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210" tabRatio="938" activeTab="1"/>
  </bookViews>
  <sheets>
    <sheet name="投资支付台账-2023年度" sheetId="8" r:id="rId1"/>
    <sheet name="投资支付台账-202401" sheetId="13" r:id="rId2"/>
    <sheet name="投资支付台账-202402" sheetId="12" r:id="rId3"/>
    <sheet name="投资支付台账-202403" sheetId="15" r:id="rId4"/>
    <sheet name="投资支付台账-202404" sheetId="16" r:id="rId5"/>
    <sheet name="投资支付台账-202405" sheetId="17" r:id="rId6"/>
    <sheet name="投资支付台账-202406" sheetId="18" r:id="rId7"/>
    <sheet name="投资支付台账-202407" sheetId="24" r:id="rId8"/>
    <sheet name="Sheet1" sheetId="19" r:id="rId9"/>
    <sheet name="Sheet1 (2)" sheetId="20" r:id="rId10"/>
    <sheet name="Sheet2" sheetId="21" r:id="rId11"/>
    <sheet name="0619" sheetId="22" r:id="rId12"/>
    <sheet name="0629" sheetId="23" r:id="rId13"/>
  </sheets>
  <externalReferences>
    <externalReference r:id="rId14"/>
    <externalReference r:id="rId15"/>
  </externalReferences>
  <definedNames>
    <definedName name="_xlnm._FilterDatabase" localSheetId="9" hidden="1">'Sheet1 (2)'!$A$1:$L$452</definedName>
    <definedName name="_xlnm._FilterDatabase" localSheetId="10" hidden="1">Sheet2!$A$1:$Q$453</definedName>
    <definedName name="_xlnm._FilterDatabase" localSheetId="11" hidden="1">'0619'!$A$1:$T$453</definedName>
    <definedName name="_xlnm._FilterDatabase" localSheetId="5" hidden="1">'投资支付台账-202405'!$A$37:$W$190</definedName>
    <definedName name="_xlnm._FilterDatabase" localSheetId="6" hidden="1">'投资支付台账-202406'!$A$36:$W$194</definedName>
    <definedName name="_xlnm._FilterDatabase" localSheetId="7" hidden="1">'投资支付台账-202407'!$A$36:$W$194</definedName>
  </definedNames>
  <calcPr calcId="144525"/>
</workbook>
</file>

<file path=xl/comments1.xml><?xml version="1.0" encoding="utf-8"?>
<comments xmlns="http://schemas.openxmlformats.org/spreadsheetml/2006/main">
  <authors>
    <author>柳瑾</author>
  </authors>
  <commentList>
    <comment ref="V24" authorId="0">
      <text>
        <r>
          <rPr>
            <b/>
            <sz val="9"/>
            <rFont val="宋体"/>
            <charset val="134"/>
          </rPr>
          <t>柳瑾:</t>
        </r>
        <r>
          <rPr>
            <sz val="9"/>
            <rFont val="宋体"/>
            <charset val="134"/>
          </rPr>
          <t xml:space="preserve">
实际为民工工资保留金</t>
        </r>
      </text>
    </comment>
    <comment ref="E50" authorId="0">
      <text>
        <r>
          <rPr>
            <b/>
            <sz val="9"/>
            <rFont val="宋体"/>
            <charset val="134"/>
          </rPr>
          <t>柳瑾:</t>
        </r>
        <r>
          <rPr>
            <sz val="9"/>
            <rFont val="宋体"/>
            <charset val="134"/>
          </rPr>
          <t xml:space="preserve">
预测费用</t>
        </r>
      </text>
    </comment>
    <comment ref="Y83" authorId="0">
      <text>
        <r>
          <rPr>
            <b/>
            <sz val="9"/>
            <rFont val="宋体"/>
            <charset val="134"/>
          </rPr>
          <t>柳瑾:</t>
        </r>
        <r>
          <rPr>
            <sz val="9"/>
            <rFont val="宋体"/>
            <charset val="134"/>
          </rPr>
          <t xml:space="preserve">
其中民工工资20万</t>
        </r>
      </text>
    </comment>
  </commentList>
</comments>
</file>

<file path=xl/comments2.xml><?xml version="1.0" encoding="utf-8"?>
<comments xmlns="http://schemas.openxmlformats.org/spreadsheetml/2006/main">
  <authors>
    <author>柳瑾</author>
  </authors>
  <commentList>
    <comment ref="Q8" authorId="0">
      <text>
        <r>
          <rPr>
            <b/>
            <sz val="9"/>
            <rFont val="宋体"/>
            <charset val="134"/>
          </rPr>
          <t>柳瑾:罚款</t>
        </r>
      </text>
    </comment>
    <comment ref="W27" authorId="0">
      <text>
        <r>
          <rPr>
            <b/>
            <sz val="9"/>
            <rFont val="宋体"/>
            <charset val="134"/>
          </rPr>
          <t>柳瑾:</t>
        </r>
        <r>
          <rPr>
            <sz val="9"/>
            <rFont val="宋体"/>
            <charset val="134"/>
          </rPr>
          <t xml:space="preserve">
实际为民工工资保留金</t>
        </r>
      </text>
    </comment>
    <comment ref="E53" authorId="0">
      <text>
        <r>
          <rPr>
            <b/>
            <sz val="9"/>
            <rFont val="宋体"/>
            <charset val="134"/>
          </rPr>
          <t>柳瑾:</t>
        </r>
        <r>
          <rPr>
            <sz val="9"/>
            <rFont val="宋体"/>
            <charset val="134"/>
          </rPr>
          <t xml:space="preserve">
预测费用</t>
        </r>
      </text>
    </comment>
    <comment ref="W76" authorId="0">
      <text>
        <r>
          <rPr>
            <b/>
            <sz val="9"/>
            <rFont val="宋体"/>
            <charset val="134"/>
          </rPr>
          <t>柳瑾:</t>
        </r>
        <r>
          <rPr>
            <sz val="9"/>
            <rFont val="宋体"/>
            <charset val="134"/>
          </rPr>
          <t xml:space="preserve">
应付利息
</t>
        </r>
      </text>
    </comment>
    <comment ref="W79" authorId="0">
      <text>
        <r>
          <rPr>
            <b/>
            <sz val="9"/>
            <rFont val="宋体"/>
            <charset val="134"/>
          </rPr>
          <t>柳瑾:</t>
        </r>
        <r>
          <rPr>
            <sz val="9"/>
            <rFont val="宋体"/>
            <charset val="134"/>
          </rPr>
          <t xml:space="preserve">
应付利息</t>
        </r>
      </text>
    </comment>
    <comment ref="X98" authorId="0">
      <text>
        <r>
          <rPr>
            <b/>
            <sz val="9"/>
            <rFont val="宋体"/>
            <charset val="134"/>
          </rPr>
          <t>柳瑾:</t>
        </r>
        <r>
          <rPr>
            <sz val="9"/>
            <rFont val="宋体"/>
            <charset val="134"/>
          </rPr>
          <t xml:space="preserve">
其中民工工资20万</t>
        </r>
      </text>
    </comment>
    <comment ref="W134" authorId="0">
      <text>
        <r>
          <rPr>
            <b/>
            <sz val="9"/>
            <rFont val="宋体"/>
            <charset val="134"/>
          </rPr>
          <t>柳瑾:</t>
        </r>
        <r>
          <rPr>
            <sz val="9"/>
            <rFont val="宋体"/>
            <charset val="134"/>
          </rPr>
          <t xml:space="preserve">
韩应付利息619500元</t>
        </r>
      </text>
    </comment>
  </commentList>
</comments>
</file>

<file path=xl/comments3.xml><?xml version="1.0" encoding="utf-8"?>
<comments xmlns="http://schemas.openxmlformats.org/spreadsheetml/2006/main">
  <authors>
    <author>柳瑾</author>
  </authors>
  <commentList>
    <comment ref="Q8" authorId="0">
      <text>
        <r>
          <rPr>
            <b/>
            <sz val="9"/>
            <rFont val="宋体"/>
            <charset val="134"/>
          </rPr>
          <t>柳瑾:罚款</t>
        </r>
      </text>
    </comment>
    <comment ref="W38" authorId="0">
      <text>
        <r>
          <rPr>
            <b/>
            <sz val="9"/>
            <rFont val="宋体"/>
            <charset val="134"/>
          </rPr>
          <t>柳瑾:</t>
        </r>
        <r>
          <rPr>
            <sz val="9"/>
            <rFont val="宋体"/>
            <charset val="134"/>
          </rPr>
          <t xml:space="preserve">
实际为民工工资保留金</t>
        </r>
      </text>
    </comment>
    <comment ref="E79" authorId="0">
      <text>
        <r>
          <rPr>
            <b/>
            <sz val="9"/>
            <rFont val="宋体"/>
            <charset val="134"/>
          </rPr>
          <t>柳瑾:</t>
        </r>
        <r>
          <rPr>
            <sz val="9"/>
            <rFont val="宋体"/>
            <charset val="134"/>
          </rPr>
          <t xml:space="preserve">
预测费用</t>
        </r>
      </text>
    </comment>
    <comment ref="W107" authorId="0">
      <text>
        <r>
          <rPr>
            <b/>
            <sz val="9"/>
            <rFont val="宋体"/>
            <charset val="134"/>
          </rPr>
          <t>柳瑾:</t>
        </r>
        <r>
          <rPr>
            <sz val="9"/>
            <rFont val="宋体"/>
            <charset val="134"/>
          </rPr>
          <t xml:space="preserve">
应付利息
</t>
        </r>
      </text>
    </comment>
    <comment ref="W110" authorId="0">
      <text>
        <r>
          <rPr>
            <b/>
            <sz val="9"/>
            <rFont val="宋体"/>
            <charset val="134"/>
          </rPr>
          <t>柳瑾:</t>
        </r>
        <r>
          <rPr>
            <sz val="9"/>
            <rFont val="宋体"/>
            <charset val="134"/>
          </rPr>
          <t xml:space="preserve">
应付利息</t>
        </r>
      </text>
    </comment>
    <comment ref="Z147" authorId="0">
      <text>
        <r>
          <rPr>
            <b/>
            <sz val="9"/>
            <rFont val="宋体"/>
            <charset val="134"/>
          </rPr>
          <t>柳瑾:</t>
        </r>
        <r>
          <rPr>
            <sz val="9"/>
            <rFont val="宋体"/>
            <charset val="134"/>
          </rPr>
          <t xml:space="preserve">
其中民工工资20万</t>
        </r>
      </text>
    </comment>
    <comment ref="W202" authorId="0">
      <text>
        <r>
          <rPr>
            <b/>
            <sz val="9"/>
            <rFont val="宋体"/>
            <charset val="134"/>
          </rPr>
          <t>柳瑾:</t>
        </r>
        <r>
          <rPr>
            <sz val="9"/>
            <rFont val="宋体"/>
            <charset val="134"/>
          </rPr>
          <t xml:space="preserve">
韩应付利息619500元</t>
        </r>
      </text>
    </comment>
  </commentList>
</comments>
</file>

<file path=xl/comments4.xml><?xml version="1.0" encoding="utf-8"?>
<comments xmlns="http://schemas.openxmlformats.org/spreadsheetml/2006/main">
  <authors>
    <author>柳瑾</author>
  </authors>
  <commentList>
    <comment ref="Q8" authorId="0">
      <text>
        <r>
          <rPr>
            <b/>
            <sz val="9"/>
            <rFont val="宋体"/>
            <charset val="134"/>
          </rPr>
          <t>柳瑾:罚款</t>
        </r>
      </text>
    </comment>
    <comment ref="W38" authorId="0">
      <text>
        <r>
          <rPr>
            <b/>
            <sz val="9"/>
            <rFont val="宋体"/>
            <charset val="134"/>
          </rPr>
          <t>柳瑾:</t>
        </r>
        <r>
          <rPr>
            <sz val="9"/>
            <rFont val="宋体"/>
            <charset val="134"/>
          </rPr>
          <t xml:space="preserve">
实际为民工工资保留金</t>
        </r>
      </text>
    </comment>
    <comment ref="E79" authorId="0">
      <text>
        <r>
          <rPr>
            <b/>
            <sz val="9"/>
            <rFont val="宋体"/>
            <charset val="134"/>
          </rPr>
          <t>柳瑾:</t>
        </r>
        <r>
          <rPr>
            <sz val="9"/>
            <rFont val="宋体"/>
            <charset val="134"/>
          </rPr>
          <t xml:space="preserve">
预测费用</t>
        </r>
      </text>
    </comment>
    <comment ref="W114" authorId="0">
      <text>
        <r>
          <rPr>
            <b/>
            <sz val="9"/>
            <rFont val="宋体"/>
            <charset val="134"/>
          </rPr>
          <t>柳瑾:</t>
        </r>
        <r>
          <rPr>
            <sz val="9"/>
            <rFont val="宋体"/>
            <charset val="134"/>
          </rPr>
          <t xml:space="preserve">
应付利息</t>
        </r>
      </text>
    </comment>
    <comment ref="Z160" authorId="0">
      <text>
        <r>
          <rPr>
            <b/>
            <sz val="9"/>
            <rFont val="宋体"/>
            <charset val="134"/>
          </rPr>
          <t>柳瑾:</t>
        </r>
        <r>
          <rPr>
            <sz val="9"/>
            <rFont val="宋体"/>
            <charset val="134"/>
          </rPr>
          <t xml:space="preserve">
其中民工工资20万</t>
        </r>
      </text>
    </comment>
    <comment ref="I218" authorId="0">
      <text>
        <r>
          <rPr>
            <b/>
            <sz val="9"/>
            <rFont val="宋体"/>
            <charset val="134"/>
          </rPr>
          <t>柳瑾:</t>
        </r>
        <r>
          <rPr>
            <sz val="9"/>
            <rFont val="宋体"/>
            <charset val="134"/>
          </rPr>
          <t xml:space="preserve">
与账务差异954776.19元为调账影响</t>
        </r>
      </text>
    </comment>
    <comment ref="W219" authorId="0">
      <text>
        <r>
          <rPr>
            <b/>
            <sz val="9"/>
            <rFont val="宋体"/>
            <charset val="134"/>
          </rPr>
          <t>柳瑾:</t>
        </r>
        <r>
          <rPr>
            <sz val="9"/>
            <rFont val="宋体"/>
            <charset val="134"/>
          </rPr>
          <t xml:space="preserve">
韩应付利息619500元</t>
        </r>
      </text>
    </comment>
  </commentList>
</comments>
</file>

<file path=xl/comments5.xml><?xml version="1.0" encoding="utf-8"?>
<comments xmlns="http://schemas.openxmlformats.org/spreadsheetml/2006/main">
  <authors>
    <author>柳瑾</author>
  </authors>
  <commentList>
    <comment ref="W35" authorId="0">
      <text>
        <r>
          <rPr>
            <b/>
            <sz val="9"/>
            <rFont val="宋体"/>
            <charset val="134"/>
          </rPr>
          <t>柳瑾:</t>
        </r>
        <r>
          <rPr>
            <sz val="9"/>
            <rFont val="宋体"/>
            <charset val="134"/>
          </rPr>
          <t xml:space="preserve">
实际为民工工资保留金</t>
        </r>
      </text>
    </comment>
    <comment ref="E76" authorId="0">
      <text>
        <r>
          <rPr>
            <b/>
            <sz val="9"/>
            <rFont val="宋体"/>
            <charset val="134"/>
          </rPr>
          <t>柳瑾:</t>
        </r>
        <r>
          <rPr>
            <sz val="9"/>
            <rFont val="宋体"/>
            <charset val="134"/>
          </rPr>
          <t xml:space="preserve">
预测费用</t>
        </r>
      </text>
    </comment>
    <comment ref="W113" authorId="0">
      <text>
        <r>
          <rPr>
            <b/>
            <sz val="9"/>
            <rFont val="宋体"/>
            <charset val="134"/>
          </rPr>
          <t>柳瑾:</t>
        </r>
        <r>
          <rPr>
            <sz val="9"/>
            <rFont val="宋体"/>
            <charset val="134"/>
          </rPr>
          <t xml:space="preserve">
应付利息</t>
        </r>
      </text>
    </comment>
    <comment ref="W170" authorId="0">
      <text>
        <r>
          <rPr>
            <b/>
            <sz val="9"/>
            <rFont val="宋体"/>
            <charset val="134"/>
          </rPr>
          <t>柳瑾:</t>
        </r>
        <r>
          <rPr>
            <sz val="9"/>
            <rFont val="宋体"/>
            <charset val="134"/>
          </rPr>
          <t xml:space="preserve">
暂估</t>
        </r>
      </text>
    </comment>
    <comment ref="I221" authorId="0">
      <text>
        <r>
          <rPr>
            <b/>
            <sz val="9"/>
            <rFont val="宋体"/>
            <charset val="134"/>
          </rPr>
          <t>柳瑾:</t>
        </r>
        <r>
          <rPr>
            <sz val="9"/>
            <rFont val="宋体"/>
            <charset val="134"/>
          </rPr>
          <t xml:space="preserve">
与账务差异954776.19元为调账影响</t>
        </r>
      </text>
    </comment>
  </commentList>
</comments>
</file>

<file path=xl/comments6.xml><?xml version="1.0" encoding="utf-8"?>
<comments xmlns="http://schemas.openxmlformats.org/spreadsheetml/2006/main">
  <authors>
    <author>柳瑾</author>
  </authors>
  <commentList>
    <comment ref="W36" authorId="0">
      <text>
        <r>
          <rPr>
            <b/>
            <sz val="9"/>
            <rFont val="宋体"/>
            <charset val="134"/>
          </rPr>
          <t>柳瑾:</t>
        </r>
        <r>
          <rPr>
            <sz val="9"/>
            <rFont val="宋体"/>
            <charset val="134"/>
          </rPr>
          <t xml:space="preserve">
实际为民工工资保留金</t>
        </r>
      </text>
    </comment>
    <comment ref="E78" authorId="0">
      <text>
        <r>
          <rPr>
            <b/>
            <sz val="9"/>
            <rFont val="宋体"/>
            <charset val="134"/>
          </rPr>
          <t>柳瑾:</t>
        </r>
        <r>
          <rPr>
            <sz val="9"/>
            <rFont val="宋体"/>
            <charset val="134"/>
          </rPr>
          <t xml:space="preserve">
预测费用</t>
        </r>
      </text>
    </comment>
    <comment ref="W118" authorId="0">
      <text>
        <r>
          <rPr>
            <b/>
            <sz val="9"/>
            <rFont val="宋体"/>
            <charset val="134"/>
          </rPr>
          <t>柳瑾:</t>
        </r>
        <r>
          <rPr>
            <sz val="9"/>
            <rFont val="宋体"/>
            <charset val="134"/>
          </rPr>
          <t xml:space="preserve">
应付利息</t>
        </r>
      </text>
    </comment>
    <comment ref="W194" authorId="0">
      <text>
        <r>
          <rPr>
            <b/>
            <sz val="9"/>
            <rFont val="宋体"/>
            <charset val="134"/>
          </rPr>
          <t>柳瑾:</t>
        </r>
        <r>
          <rPr>
            <sz val="9"/>
            <rFont val="宋体"/>
            <charset val="134"/>
          </rPr>
          <t xml:space="preserve">
暂估</t>
        </r>
      </text>
    </comment>
    <comment ref="I256" authorId="0">
      <text>
        <r>
          <rPr>
            <b/>
            <sz val="9"/>
            <rFont val="宋体"/>
            <charset val="134"/>
          </rPr>
          <t>柳瑾:</t>
        </r>
        <r>
          <rPr>
            <sz val="9"/>
            <rFont val="宋体"/>
            <charset val="134"/>
          </rPr>
          <t xml:space="preserve">
与账务差异954776.19元为调账影响</t>
        </r>
      </text>
    </comment>
    <comment ref="I263" authorId="0">
      <text>
        <r>
          <rPr>
            <b/>
            <sz val="9"/>
            <rFont val="宋体"/>
            <charset val="134"/>
          </rPr>
          <t>柳瑾:</t>
        </r>
        <r>
          <rPr>
            <sz val="9"/>
            <rFont val="宋体"/>
            <charset val="134"/>
          </rPr>
          <t xml:space="preserve">
1至4月+5月</t>
        </r>
      </text>
    </comment>
    <comment ref="J263" authorId="0">
      <text>
        <r>
          <rPr>
            <b/>
            <sz val="9"/>
            <rFont val="宋体"/>
            <charset val="134"/>
          </rPr>
          <t>柳瑾:</t>
        </r>
        <r>
          <rPr>
            <sz val="9"/>
            <rFont val="宋体"/>
            <charset val="134"/>
          </rPr>
          <t xml:space="preserve">
5月生产购
电费14256.7</t>
        </r>
      </text>
    </comment>
  </commentList>
</comments>
</file>

<file path=xl/comments7.xml><?xml version="1.0" encoding="utf-8"?>
<comments xmlns="http://schemas.openxmlformats.org/spreadsheetml/2006/main">
  <authors>
    <author>柳瑾</author>
  </authors>
  <commentList>
    <comment ref="W38" authorId="0">
      <text>
        <r>
          <rPr>
            <b/>
            <sz val="9"/>
            <rFont val="宋体"/>
            <charset val="134"/>
          </rPr>
          <t>柳瑾:</t>
        </r>
        <r>
          <rPr>
            <sz val="9"/>
            <rFont val="宋体"/>
            <charset val="134"/>
          </rPr>
          <t xml:space="preserve">
实际为民工工资保留金</t>
        </r>
      </text>
    </comment>
    <comment ref="E81" authorId="0">
      <text>
        <r>
          <rPr>
            <b/>
            <sz val="9"/>
            <rFont val="宋体"/>
            <charset val="134"/>
          </rPr>
          <t>柳瑾:</t>
        </r>
        <r>
          <rPr>
            <sz val="9"/>
            <rFont val="宋体"/>
            <charset val="134"/>
          </rPr>
          <t xml:space="preserve">
预测费用</t>
        </r>
      </text>
    </comment>
    <comment ref="W127" authorId="0">
      <text>
        <r>
          <rPr>
            <b/>
            <sz val="9"/>
            <rFont val="宋体"/>
            <charset val="134"/>
          </rPr>
          <t>柳瑾:</t>
        </r>
        <r>
          <rPr>
            <sz val="9"/>
            <rFont val="宋体"/>
            <charset val="134"/>
          </rPr>
          <t xml:space="preserve">
应付利息</t>
        </r>
      </text>
    </comment>
    <comment ref="I131" authorId="0">
      <text>
        <r>
          <rPr>
            <sz val="9"/>
            <rFont val="宋体"/>
            <charset val="134"/>
          </rPr>
          <t>飞凤滩财务费用 29679.27元</t>
        </r>
      </text>
    </comment>
    <comment ref="W210" authorId="0">
      <text>
        <r>
          <rPr>
            <b/>
            <sz val="9"/>
            <rFont val="宋体"/>
            <charset val="134"/>
          </rPr>
          <t>柳瑾:</t>
        </r>
        <r>
          <rPr>
            <sz val="9"/>
            <rFont val="宋体"/>
            <charset val="134"/>
          </rPr>
          <t xml:space="preserve">
暂估</t>
        </r>
      </text>
    </comment>
    <comment ref="I295" authorId="0">
      <text>
        <r>
          <rPr>
            <b/>
            <sz val="9"/>
            <rFont val="宋体"/>
            <charset val="134"/>
          </rPr>
          <t>柳瑾:</t>
        </r>
        <r>
          <rPr>
            <sz val="9"/>
            <rFont val="宋体"/>
            <charset val="134"/>
          </rPr>
          <t xml:space="preserve">
与账务差异954776.19元为调账影响</t>
        </r>
      </text>
    </comment>
    <comment ref="I302" authorId="0">
      <text>
        <r>
          <rPr>
            <b/>
            <sz val="9"/>
            <rFont val="宋体"/>
            <charset val="134"/>
          </rPr>
          <t>柳瑾:</t>
        </r>
        <r>
          <rPr>
            <sz val="9"/>
            <rFont val="宋体"/>
            <charset val="134"/>
          </rPr>
          <t xml:space="preserve">
1至4月+5月+6月65046236.89</t>
        </r>
      </text>
    </comment>
    <comment ref="J302" authorId="0">
      <text>
        <r>
          <rPr>
            <b/>
            <sz val="9"/>
            <rFont val="宋体"/>
            <charset val="134"/>
          </rPr>
          <t>柳瑾:</t>
        </r>
        <r>
          <rPr>
            <sz val="9"/>
            <rFont val="宋体"/>
            <charset val="134"/>
          </rPr>
          <t xml:space="preserve">
5月生产购
电费14256.7</t>
        </r>
      </text>
    </comment>
  </commentList>
</comments>
</file>

<file path=xl/comments8.xml><?xml version="1.0" encoding="utf-8"?>
<comments xmlns="http://schemas.openxmlformats.org/spreadsheetml/2006/main">
  <authors>
    <author>柳瑾</author>
  </authors>
  <commentList>
    <comment ref="W38" authorId="0">
      <text>
        <r>
          <rPr>
            <b/>
            <sz val="9"/>
            <rFont val="宋体"/>
            <charset val="134"/>
          </rPr>
          <t>柳瑾:</t>
        </r>
        <r>
          <rPr>
            <sz val="9"/>
            <rFont val="宋体"/>
            <charset val="134"/>
          </rPr>
          <t xml:space="preserve">
实际为民工工资保留金</t>
        </r>
      </text>
    </comment>
    <comment ref="E81" authorId="0">
      <text>
        <r>
          <rPr>
            <b/>
            <sz val="9"/>
            <rFont val="宋体"/>
            <charset val="134"/>
          </rPr>
          <t>柳瑾:</t>
        </r>
        <r>
          <rPr>
            <sz val="9"/>
            <rFont val="宋体"/>
            <charset val="134"/>
          </rPr>
          <t xml:space="preserve">
预测费用</t>
        </r>
      </text>
    </comment>
    <comment ref="W127" authorId="0">
      <text>
        <r>
          <rPr>
            <b/>
            <sz val="9"/>
            <rFont val="宋体"/>
            <charset val="134"/>
          </rPr>
          <t>柳瑾:</t>
        </r>
        <r>
          <rPr>
            <sz val="9"/>
            <rFont val="宋体"/>
            <charset val="134"/>
          </rPr>
          <t xml:space="preserve">
应付利息</t>
        </r>
      </text>
    </comment>
    <comment ref="I131" authorId="0">
      <text>
        <r>
          <rPr>
            <sz val="9"/>
            <rFont val="宋体"/>
            <charset val="134"/>
          </rPr>
          <t>飞凤滩财务费用 29679.27元</t>
        </r>
      </text>
    </comment>
    <comment ref="W210" authorId="0">
      <text>
        <r>
          <rPr>
            <b/>
            <sz val="9"/>
            <rFont val="宋体"/>
            <charset val="134"/>
          </rPr>
          <t>柳瑾:</t>
        </r>
        <r>
          <rPr>
            <sz val="9"/>
            <rFont val="宋体"/>
            <charset val="134"/>
          </rPr>
          <t xml:space="preserve">
暂估</t>
        </r>
      </text>
    </comment>
    <comment ref="I295" authorId="0">
      <text>
        <r>
          <rPr>
            <b/>
            <sz val="9"/>
            <rFont val="宋体"/>
            <charset val="134"/>
          </rPr>
          <t>柳瑾:</t>
        </r>
        <r>
          <rPr>
            <sz val="9"/>
            <rFont val="宋体"/>
            <charset val="134"/>
          </rPr>
          <t xml:space="preserve">
与账务差异954776.19元为调账影响</t>
        </r>
      </text>
    </comment>
    <comment ref="I302" authorId="0">
      <text>
        <r>
          <rPr>
            <b/>
            <sz val="9"/>
            <rFont val="宋体"/>
            <charset val="134"/>
          </rPr>
          <t>柳瑾:</t>
        </r>
        <r>
          <rPr>
            <sz val="9"/>
            <rFont val="宋体"/>
            <charset val="134"/>
          </rPr>
          <t xml:space="preserve">
1至4月+5月+6月65046236.89</t>
        </r>
      </text>
    </comment>
    <comment ref="J302" authorId="0">
      <text>
        <r>
          <rPr>
            <b/>
            <sz val="9"/>
            <rFont val="宋体"/>
            <charset val="134"/>
          </rPr>
          <t>柳瑾:</t>
        </r>
        <r>
          <rPr>
            <sz val="9"/>
            <rFont val="宋体"/>
            <charset val="134"/>
          </rPr>
          <t xml:space="preserve">
5月生产购
电费14256.7</t>
        </r>
      </text>
    </comment>
  </commentList>
</comments>
</file>

<file path=xl/sharedStrings.xml><?xml version="1.0" encoding="utf-8"?>
<sst xmlns="http://schemas.openxmlformats.org/spreadsheetml/2006/main" count="27030" uniqueCount="2201">
  <si>
    <r>
      <t>2023</t>
    </r>
    <r>
      <rPr>
        <b/>
        <sz val="22"/>
        <rFont val="宋体"/>
        <charset val="134"/>
      </rPr>
      <t>年新能源项目结算台账</t>
    </r>
  </si>
  <si>
    <t>序号</t>
  </si>
  <si>
    <t>项目名称</t>
  </si>
  <si>
    <t>合同号</t>
  </si>
  <si>
    <t>合同单位</t>
  </si>
  <si>
    <t>合同金额（元）</t>
  </si>
  <si>
    <t>以前年度</t>
  </si>
  <si>
    <t>凭证编号</t>
  </si>
  <si>
    <t>凭证摘要</t>
  </si>
  <si>
    <t>本年累计投资</t>
  </si>
  <si>
    <t>扣款</t>
  </si>
  <si>
    <r>
      <t>基建</t>
    </r>
    <r>
      <rPr>
        <b/>
        <sz val="11"/>
        <rFont val="Times New Roman"/>
        <family val="1"/>
        <charset val="0"/>
      </rPr>
      <t>-</t>
    </r>
    <r>
      <rPr>
        <b/>
        <sz val="11"/>
        <rFont val="宋体"/>
        <charset val="134"/>
      </rPr>
      <t>预付账款</t>
    </r>
  </si>
  <si>
    <t>应付金额</t>
  </si>
  <si>
    <t>本年实际支付</t>
  </si>
  <si>
    <t>应付挂账</t>
  </si>
  <si>
    <t>累计已入投资</t>
  </si>
  <si>
    <t>累计支付</t>
  </si>
  <si>
    <t>预计</t>
  </si>
  <si>
    <t>结算金额</t>
  </si>
  <si>
    <t>进项税</t>
  </si>
  <si>
    <t>价税合计</t>
  </si>
  <si>
    <t>工程质保金</t>
  </si>
  <si>
    <t>设备质保金</t>
  </si>
  <si>
    <t>农民工工资保证金</t>
  </si>
  <si>
    <t>约/投标质保金或押金</t>
  </si>
  <si>
    <t>罚款</t>
  </si>
  <si>
    <t>应付额</t>
  </si>
  <si>
    <t>应付民工</t>
  </si>
  <si>
    <t>付额</t>
  </si>
  <si>
    <t>投资（含税）</t>
  </si>
  <si>
    <t>资金支付</t>
  </si>
  <si>
    <t>一</t>
  </si>
  <si>
    <r>
      <t xml:space="preserve"> </t>
    </r>
    <r>
      <rPr>
        <b/>
        <sz val="11"/>
        <rFont val="宋体"/>
        <charset val="134"/>
      </rPr>
      <t>黄蛟山风电场</t>
    </r>
  </si>
  <si>
    <r>
      <t>四川华电广元黄蛟山（一期）</t>
    </r>
    <r>
      <rPr>
        <sz val="11"/>
        <rFont val="Times New Roman"/>
        <family val="1"/>
        <charset val="0"/>
      </rPr>
      <t>60MW</t>
    </r>
    <r>
      <rPr>
        <sz val="11"/>
        <rFont val="宋体"/>
        <charset val="134"/>
      </rPr>
      <t>风电项目主体工程</t>
    </r>
    <r>
      <rPr>
        <sz val="11"/>
        <rFont val="Times New Roman"/>
        <family val="1"/>
        <charset val="0"/>
      </rPr>
      <t>EPC</t>
    </r>
    <r>
      <rPr>
        <sz val="11"/>
        <rFont val="宋体"/>
        <charset val="134"/>
      </rPr>
      <t>总承包合同</t>
    </r>
  </si>
  <si>
    <t>SCXNY-JJ/FW-2023-026</t>
  </si>
  <si>
    <t>中国电建集团贵阳勘测设计研究院有限公司</t>
  </si>
  <si>
    <r>
      <t>转账</t>
    </r>
    <r>
      <rPr>
        <sz val="11"/>
        <rFont val="Times New Roman"/>
        <family val="1"/>
        <charset val="0"/>
      </rPr>
      <t xml:space="preserve">276820231000004
</t>
    </r>
    <r>
      <rPr>
        <sz val="11"/>
        <rFont val="宋体"/>
        <charset val="134"/>
      </rPr>
      <t>银付276820231100064</t>
    </r>
  </si>
  <si>
    <r>
      <t>结算黄蛟山风电主体工程</t>
    </r>
    <r>
      <rPr>
        <sz val="11"/>
        <rFont val="Times New Roman"/>
        <family val="1"/>
        <charset val="0"/>
      </rPr>
      <t>EPC</t>
    </r>
    <r>
      <rPr>
        <sz val="11"/>
        <rFont val="宋体"/>
        <charset val="134"/>
      </rPr>
      <t>总承包第一期进度费用</t>
    </r>
  </si>
  <si>
    <r>
      <t>转账</t>
    </r>
    <r>
      <rPr>
        <sz val="11"/>
        <rFont val="Times New Roman"/>
        <family val="1"/>
        <charset val="0"/>
      </rPr>
      <t xml:space="preserve">276820231100017
</t>
    </r>
    <r>
      <rPr>
        <sz val="11"/>
        <rFont val="宋体"/>
        <charset val="134"/>
      </rPr>
      <t>银付276820231100064</t>
    </r>
  </si>
  <si>
    <r>
      <t>结算黄蛟山风电主体工程</t>
    </r>
    <r>
      <rPr>
        <sz val="11"/>
        <rFont val="Times New Roman"/>
        <family val="1"/>
        <charset val="0"/>
      </rPr>
      <t>EPC</t>
    </r>
    <r>
      <rPr>
        <sz val="11"/>
        <rFont val="宋体"/>
        <charset val="134"/>
      </rPr>
      <t>总承包第二期进度费用</t>
    </r>
  </si>
  <si>
    <r>
      <t>转账</t>
    </r>
    <r>
      <rPr>
        <sz val="11"/>
        <rFont val="Times New Roman"/>
        <family val="1"/>
        <charset val="0"/>
      </rPr>
      <t>276820231100046</t>
    </r>
  </si>
  <si>
    <r>
      <t>结算黄蛟山风电主体工程</t>
    </r>
    <r>
      <rPr>
        <sz val="11"/>
        <rFont val="Times New Roman"/>
        <family val="1"/>
        <charset val="0"/>
      </rPr>
      <t>EPC</t>
    </r>
    <r>
      <rPr>
        <sz val="11"/>
        <rFont val="宋体"/>
        <charset val="134"/>
      </rPr>
      <t>总承包第三期备料款</t>
    </r>
  </si>
  <si>
    <t>转账276820231200014
银付276820231200039
银付276820231200041</t>
  </si>
  <si>
    <t>结算贵阳院黄蛟山风电项目EPC主体工程第四期进度款</t>
  </si>
  <si>
    <t>转账276820231200079
银付276820231200090
银付276820231200110</t>
  </si>
  <si>
    <t>结算贵阳院黄蛟山风电项目EPC主体工程第五期进度款</t>
  </si>
  <si>
    <t>小计</t>
  </si>
  <si>
    <r>
      <t>四川华电广元黄蛟山</t>
    </r>
    <r>
      <rPr>
        <sz val="11"/>
        <rFont val="Times New Roman"/>
        <family val="1"/>
        <charset val="0"/>
      </rPr>
      <t>(</t>
    </r>
    <r>
      <rPr>
        <sz val="11"/>
        <rFont val="宋体"/>
        <charset val="134"/>
      </rPr>
      <t>一期</t>
    </r>
    <r>
      <rPr>
        <sz val="11"/>
        <rFont val="Times New Roman"/>
        <family val="1"/>
        <charset val="0"/>
      </rPr>
      <t>)60MW</t>
    </r>
    <r>
      <rPr>
        <sz val="11"/>
        <rFont val="宋体"/>
        <charset val="134"/>
      </rPr>
      <t>风电项目工程建设监理服务合同</t>
    </r>
  </si>
  <si>
    <t>SCXNY-JJ/FW-2023-025</t>
  </si>
  <si>
    <t>华电和祥工程咨询有限公司</t>
  </si>
  <si>
    <r>
      <t>转账</t>
    </r>
    <r>
      <rPr>
        <sz val="11"/>
        <rFont val="Times New Roman"/>
        <family val="1"/>
        <charset val="0"/>
      </rPr>
      <t>276820230900004</t>
    </r>
  </si>
  <si>
    <t>预付华电和祥黄蛟山风电项目监理服务预付款</t>
  </si>
  <si>
    <r>
      <t>转账</t>
    </r>
    <r>
      <rPr>
        <sz val="11"/>
        <rFont val="Times New Roman"/>
        <family val="1"/>
        <charset val="0"/>
      </rPr>
      <t>276820231000033</t>
    </r>
  </si>
  <si>
    <t>结算华电和祥工程咨询有限公司第一次季度费用</t>
  </si>
  <si>
    <t>四川华电广元黄蛟山（一期）60MW风电项目送出工程EPC总承包合同</t>
  </si>
  <si>
    <t>SCXNY-JJ/FW-2023-027</t>
  </si>
  <si>
    <t>中国电建集团成都勘测设计研究院有限公司</t>
  </si>
  <si>
    <r>
      <t>银付</t>
    </r>
    <r>
      <rPr>
        <sz val="11"/>
        <rFont val="Times New Roman"/>
        <family val="1"/>
        <charset val="0"/>
      </rPr>
      <t>276820230900002</t>
    </r>
  </si>
  <si>
    <r>
      <t>预付成勘院送出工程</t>
    </r>
    <r>
      <rPr>
        <sz val="11"/>
        <rFont val="Times New Roman"/>
        <family val="1"/>
        <charset val="0"/>
      </rPr>
      <t>EPC</t>
    </r>
    <r>
      <rPr>
        <sz val="11"/>
        <rFont val="宋体"/>
        <charset val="134"/>
      </rPr>
      <t>总承包合同预付款</t>
    </r>
  </si>
  <si>
    <r>
      <t>转账</t>
    </r>
    <r>
      <rPr>
        <sz val="11"/>
        <rFont val="Times New Roman"/>
        <family val="1"/>
        <charset val="0"/>
      </rPr>
      <t xml:space="preserve">276820231000037
</t>
    </r>
    <r>
      <rPr>
        <sz val="11"/>
        <rFont val="宋体"/>
        <charset val="134"/>
      </rPr>
      <t>转账276820231000038</t>
    </r>
  </si>
  <si>
    <t>结算黄蛟山风电送出EPC总承包第二期进度费用</t>
  </si>
  <si>
    <r>
      <t>转账</t>
    </r>
    <r>
      <rPr>
        <sz val="11"/>
        <rFont val="Times New Roman"/>
        <family val="1"/>
        <charset val="0"/>
      </rPr>
      <t>276820231100053</t>
    </r>
  </si>
  <si>
    <r>
      <t>结算黄蛟山风电送出</t>
    </r>
    <r>
      <rPr>
        <sz val="11"/>
        <rFont val="Times New Roman"/>
        <family val="1"/>
        <charset val="0"/>
      </rPr>
      <t>EPC</t>
    </r>
    <r>
      <rPr>
        <sz val="11"/>
        <rFont val="宋体"/>
        <charset val="134"/>
      </rPr>
      <t>总承包第三期备料款</t>
    </r>
  </si>
  <si>
    <t>转账276820231200073
银付276820231200089
银付276820231200085</t>
  </si>
  <si>
    <t>结算成勘院送出工程第四期进度款</t>
  </si>
  <si>
    <t>转账276820231200087</t>
  </si>
  <si>
    <t>暂估  结算成勘院送出工程第五期进度款</t>
  </si>
  <si>
    <r>
      <t>四川华电广元黄蛟山（一期）</t>
    </r>
    <r>
      <rPr>
        <sz val="11"/>
        <rFont val="Times New Roman"/>
        <family val="1"/>
        <charset val="0"/>
      </rPr>
      <t>60MW</t>
    </r>
    <r>
      <rPr>
        <sz val="11"/>
        <rFont val="宋体"/>
        <charset val="134"/>
      </rPr>
      <t>风电项目塔筒设备采购合同</t>
    </r>
  </si>
  <si>
    <t>SCXNY-HJS/HW-2023-033</t>
  </si>
  <si>
    <t>武汉华电工程装备有限公司</t>
  </si>
  <si>
    <r>
      <t>转账</t>
    </r>
    <r>
      <rPr>
        <sz val="11"/>
        <rFont val="Times New Roman"/>
        <family val="1"/>
        <charset val="0"/>
      </rPr>
      <t>276820231000036</t>
    </r>
  </si>
  <si>
    <t>武汉华电工程装备有限公司风机塔筒设备合同预付款</t>
  </si>
  <si>
    <r>
      <t>转账</t>
    </r>
    <r>
      <rPr>
        <sz val="11"/>
        <rFont val="Times New Roman"/>
        <family val="1"/>
        <charset val="0"/>
      </rPr>
      <t xml:space="preserve">276820231100022
</t>
    </r>
    <r>
      <rPr>
        <sz val="11"/>
        <rFont val="宋体"/>
        <charset val="134"/>
      </rPr>
      <t>银付276820231100027
银付276820231100069</t>
    </r>
  </si>
  <si>
    <t>结算武汉华电工程有限公司塔筒设备第二次备料款</t>
  </si>
  <si>
    <t>转账276820231200051
银付276820231200054</t>
  </si>
  <si>
    <t>结算武汉华电工程公司风机塔筒设备到货款</t>
  </si>
  <si>
    <r>
      <t>四川华电广元黄蛟山（一期）</t>
    </r>
    <r>
      <rPr>
        <sz val="11"/>
        <rFont val="Times New Roman"/>
        <family val="1"/>
        <charset val="0"/>
      </rPr>
      <t>60MW</t>
    </r>
    <r>
      <rPr>
        <sz val="11"/>
        <rFont val="宋体"/>
        <charset val="134"/>
      </rPr>
      <t>风电项目机组采购合同</t>
    </r>
  </si>
  <si>
    <t>SCXNY-HJS/FW-2023-028</t>
  </si>
  <si>
    <t>东方电气风电股份有限公司</t>
  </si>
  <si>
    <r>
      <t>转账</t>
    </r>
    <r>
      <rPr>
        <sz val="11"/>
        <rFont val="Times New Roman"/>
        <family val="1"/>
        <charset val="0"/>
      </rPr>
      <t>276820231000005</t>
    </r>
  </si>
  <si>
    <t>预付东方风电主机设备合同预付款</t>
  </si>
  <si>
    <r>
      <t>转账</t>
    </r>
    <r>
      <rPr>
        <sz val="11"/>
        <rFont val="Times New Roman"/>
        <family val="1"/>
        <charset val="0"/>
      </rPr>
      <t xml:space="preserve">276820231200015
</t>
    </r>
    <r>
      <rPr>
        <sz val="11"/>
        <rFont val="宋体"/>
        <charset val="134"/>
      </rPr>
      <t>转账276820231200016</t>
    </r>
  </si>
  <si>
    <t>结算东方风电机组采购合同第二次备料款费用</t>
  </si>
  <si>
    <t>银付276820231200083</t>
  </si>
  <si>
    <t>支付东方风电机组采购合同第二次备料款费用</t>
  </si>
  <si>
    <t>银付276820231200095</t>
  </si>
  <si>
    <t>支付东方风电机组采购合同第三次到货款费用</t>
  </si>
  <si>
    <r>
      <t>宝珠寺电厂</t>
    </r>
    <r>
      <rPr>
        <sz val="11"/>
        <rFont val="Times New Roman"/>
        <family val="1"/>
        <charset val="0"/>
      </rPr>
      <t>“</t>
    </r>
    <r>
      <rPr>
        <sz val="11"/>
        <rFont val="宋体"/>
        <charset val="134"/>
      </rPr>
      <t>水风光</t>
    </r>
    <r>
      <rPr>
        <sz val="11"/>
        <rFont val="Times New Roman"/>
        <family val="1"/>
        <charset val="0"/>
      </rPr>
      <t>”</t>
    </r>
    <r>
      <rPr>
        <sz val="11"/>
        <rFont val="宋体"/>
        <charset val="134"/>
      </rPr>
      <t>互补项目黄蛟山风电场可行性研究设计服务合同</t>
    </r>
  </si>
  <si>
    <t>1036D202100091</t>
  </si>
  <si>
    <r>
      <t>转账</t>
    </r>
    <r>
      <rPr>
        <sz val="11"/>
        <rFont val="Times New Roman"/>
        <family val="1"/>
        <charset val="0"/>
      </rPr>
      <t>276820231000029</t>
    </r>
  </si>
  <si>
    <t>结算贵阳院黄蛟山风电项目可行性研究设计服务费用</t>
  </si>
  <si>
    <r>
      <t>宝珠寺水电站</t>
    </r>
    <r>
      <rPr>
        <sz val="11"/>
        <rFont val="Times New Roman"/>
        <family val="1"/>
        <charset val="0"/>
      </rPr>
      <t>“</t>
    </r>
    <r>
      <rPr>
        <sz val="11"/>
        <rFont val="宋体"/>
        <charset val="134"/>
      </rPr>
      <t>水风光</t>
    </r>
    <r>
      <rPr>
        <sz val="11"/>
        <rFont val="Times New Roman"/>
        <family val="1"/>
        <charset val="0"/>
      </rPr>
      <t>”</t>
    </r>
    <r>
      <rPr>
        <sz val="11"/>
        <rFont val="宋体"/>
        <charset val="134"/>
      </rPr>
      <t>互补项目黄蛟山风电场建设用地预审及项目选址服务合同</t>
    </r>
  </si>
  <si>
    <t>1036D202100111</t>
  </si>
  <si>
    <t>四川金土地实业有限公司</t>
  </si>
  <si>
    <r>
      <t>转账</t>
    </r>
    <r>
      <rPr>
        <sz val="11"/>
        <rFont val="Times New Roman"/>
        <family val="1"/>
        <charset val="0"/>
      </rPr>
      <t>276820231000021</t>
    </r>
  </si>
  <si>
    <t>结算金土地公司用地预审及项目选址服务费用</t>
  </si>
  <si>
    <t>黄蛟山安全预评价报告</t>
  </si>
  <si>
    <t>1036D202100099</t>
  </si>
  <si>
    <t>四川众望安全环保技术咨询有限公司</t>
  </si>
  <si>
    <r>
      <t>转账</t>
    </r>
    <r>
      <rPr>
        <sz val="11"/>
        <rFont val="Times New Roman"/>
        <family val="1"/>
        <charset val="0"/>
      </rPr>
      <t>276820231000015</t>
    </r>
  </si>
  <si>
    <t>结算四川众望公司黄蛟山风电项目安全预评价服务费用</t>
  </si>
  <si>
    <t>黄蛟山水土保持报告书</t>
  </si>
  <si>
    <t>1036D202100117</t>
  </si>
  <si>
    <t>四川蜀水生态环境建设有限责任公司</t>
  </si>
  <si>
    <r>
      <t>转账</t>
    </r>
    <r>
      <rPr>
        <sz val="11"/>
        <rFont val="Times New Roman"/>
        <family val="1"/>
        <charset val="0"/>
      </rPr>
      <t>276820231000016</t>
    </r>
  </si>
  <si>
    <t>结算四川蜀水公司黄蛟山风电项目水土保持方案服务费用</t>
  </si>
  <si>
    <t>黄蛟山环境影响评价报告表</t>
  </si>
  <si>
    <t>1036D202100102</t>
  </si>
  <si>
    <t>四川双清工程咨询有限公司</t>
  </si>
  <si>
    <r>
      <t>转账</t>
    </r>
    <r>
      <rPr>
        <sz val="11"/>
        <rFont val="Times New Roman"/>
        <family val="1"/>
        <charset val="0"/>
      </rPr>
      <t>276820231000018</t>
    </r>
  </si>
  <si>
    <t>结算四川双清公司黄蛟山风电项目环境影响评价服务费用</t>
  </si>
  <si>
    <t>黄蛟山接入系统报告</t>
  </si>
  <si>
    <t>1036D202100112</t>
  </si>
  <si>
    <t>四川电力设计咨询有限责任公司</t>
  </si>
  <si>
    <r>
      <t>转账</t>
    </r>
    <r>
      <rPr>
        <sz val="11"/>
        <rFont val="Times New Roman"/>
        <family val="1"/>
        <charset val="0"/>
      </rPr>
      <t>276820231000017</t>
    </r>
  </si>
  <si>
    <t>结算川电咨询公司黄蛟山风电项目接入系统设计服务费用</t>
  </si>
  <si>
    <r>
      <t>四川华电广元新能源有限公司黄蛟山（一期）</t>
    </r>
    <r>
      <rPr>
        <sz val="11"/>
        <rFont val="Times New Roman"/>
        <family val="1"/>
        <charset val="0"/>
      </rPr>
      <t>60MW</t>
    </r>
    <r>
      <rPr>
        <sz val="11"/>
        <rFont val="宋体"/>
        <charset val="134"/>
      </rPr>
      <t>风电项目消纳分析咨询技术服务合同</t>
    </r>
  </si>
  <si>
    <t>SCXNY-HJS/FW-2023-029</t>
  </si>
  <si>
    <r>
      <t>转账</t>
    </r>
    <r>
      <rPr>
        <sz val="11"/>
        <rFont val="Times New Roman"/>
        <family val="1"/>
        <charset val="0"/>
      </rPr>
      <t>276820231000020</t>
    </r>
  </si>
  <si>
    <t>结算川电咨询公司黄蛟山项目消纳分析咨询技术服务费用</t>
  </si>
  <si>
    <t>水土保持补偿费</t>
  </si>
  <si>
    <r>
      <t>《四川华电广元黄蛟山</t>
    </r>
    <r>
      <rPr>
        <sz val="11"/>
        <rFont val="Times New Roman"/>
        <family val="1"/>
        <charset val="0"/>
      </rPr>
      <t>(</t>
    </r>
    <r>
      <rPr>
        <sz val="11"/>
        <rFont val="宋体"/>
        <charset val="134"/>
      </rPr>
      <t>一期</t>
    </r>
    <r>
      <rPr>
        <sz val="11"/>
        <rFont val="Times New Roman"/>
        <family val="1"/>
        <charset val="0"/>
      </rPr>
      <t xml:space="preserve">)60MW </t>
    </r>
    <r>
      <rPr>
        <sz val="11"/>
        <rFont val="宋体"/>
        <charset val="134"/>
      </rPr>
      <t>风电项目水土保持方案审批准予行政许可决定书》（川水许可决</t>
    </r>
    <r>
      <rPr>
        <sz val="11"/>
        <rFont val="Times New Roman"/>
        <family val="1"/>
        <charset val="0"/>
      </rPr>
      <t>[ 2023 ]139</t>
    </r>
    <r>
      <rPr>
        <sz val="11"/>
        <rFont val="宋体"/>
        <charset val="134"/>
      </rPr>
      <t>号）</t>
    </r>
  </si>
  <si>
    <t>四川省水利厅</t>
  </si>
  <si>
    <r>
      <t>转账</t>
    </r>
    <r>
      <rPr>
        <sz val="11"/>
        <rFont val="Times New Roman"/>
        <family val="1"/>
        <charset val="0"/>
      </rPr>
      <t>276820231000022</t>
    </r>
  </si>
  <si>
    <t>支付黄蛟山风电项目水土保持补偿费</t>
  </si>
  <si>
    <t>黄蛟山用地补偿费</t>
  </si>
  <si>
    <t>SCXNY-HJS/FW-2023-044</t>
  </si>
  <si>
    <t>广元市利州区白朝乡人民政府</t>
  </si>
  <si>
    <r>
      <t>转账</t>
    </r>
    <r>
      <rPr>
        <sz val="11"/>
        <rFont val="Times New Roman"/>
        <family val="1"/>
        <charset val="0"/>
      </rPr>
      <t>276820231000039</t>
    </r>
  </si>
  <si>
    <t>结算黄蛟山一期风电项目用地补偿费及工作经费</t>
  </si>
  <si>
    <r>
      <t>转账</t>
    </r>
    <r>
      <rPr>
        <sz val="11"/>
        <rFont val="Times New Roman"/>
        <family val="1"/>
        <charset val="0"/>
      </rPr>
      <t xml:space="preserve">276820231200088
</t>
    </r>
    <r>
      <rPr>
        <sz val="11"/>
        <rFont val="宋体"/>
        <charset val="134"/>
      </rPr>
      <t>银付276820231200092</t>
    </r>
  </si>
  <si>
    <t>结算黄蛟山（一期）风电项目用地补偿费（第二批）</t>
  </si>
  <si>
    <t>黄蛟山一期风电永久占用林地森林植被恢复费</t>
  </si>
  <si>
    <r>
      <t>《广元市自然资源局利州区分局利州区林业局关于广元黄蛟山（一期）风电项目使用林地认定的报告》（广自然资利区〔</t>
    </r>
    <r>
      <rPr>
        <sz val="11"/>
        <rFont val="Times New Roman"/>
        <family val="1"/>
        <charset val="0"/>
      </rPr>
      <t>2023]348</t>
    </r>
    <r>
      <rPr>
        <sz val="11"/>
        <rFont val="宋体"/>
        <charset val="134"/>
      </rPr>
      <t>号）</t>
    </r>
  </si>
  <si>
    <t>广元市利州区林业局</t>
  </si>
  <si>
    <r>
      <t>转账</t>
    </r>
    <r>
      <rPr>
        <sz val="11"/>
        <rFont val="Times New Roman"/>
        <family val="1"/>
        <charset val="0"/>
      </rPr>
      <t>276820230900002</t>
    </r>
  </si>
  <si>
    <t>结算黄蛟山一期风电永久占用林地森林植被恢复费</t>
  </si>
  <si>
    <t>黄蛟山用地策划报告</t>
  </si>
  <si>
    <t>1036D202100118</t>
  </si>
  <si>
    <t>北京计鹏信息咨询有限公司</t>
  </si>
  <si>
    <r>
      <t>转账</t>
    </r>
    <r>
      <rPr>
        <sz val="11"/>
        <rFont val="Times New Roman"/>
        <family val="1"/>
        <charset val="0"/>
      </rPr>
      <t>276820231100026</t>
    </r>
  </si>
  <si>
    <t>结算北京计鹏公司用地策划服务费用</t>
  </si>
  <si>
    <t>黄蛟山对旅游影响咨询服务</t>
  </si>
  <si>
    <t>SCXNY- JJ/FW-2022-032</t>
  </si>
  <si>
    <t>中机中联工程有限公司</t>
  </si>
  <si>
    <t>转账276820231200072
银付276820231200091</t>
  </si>
  <si>
    <t>结算中机中联公司黄蛟山风电项目对旅游影响咨询服务费</t>
  </si>
  <si>
    <t>黄蛟山航行评估报告</t>
  </si>
  <si>
    <t>无编号</t>
  </si>
  <si>
    <t>成都云瑞智信航空科技有限公司</t>
  </si>
  <si>
    <r>
      <t>转账</t>
    </r>
    <r>
      <rPr>
        <sz val="11"/>
        <rFont val="Times New Roman"/>
        <family val="1"/>
        <charset val="0"/>
      </rPr>
      <t xml:space="preserve">276820231200046
</t>
    </r>
    <r>
      <rPr>
        <sz val="11"/>
        <rFont val="宋体"/>
        <charset val="134"/>
      </rPr>
      <t>银付276820231200052</t>
    </r>
  </si>
  <si>
    <t>结算成都云瑞公司航行评估专题服务费用</t>
  </si>
  <si>
    <t>黄蛟山可研内审</t>
  </si>
  <si>
    <t>SCXNY-JJ/FW-2023-005</t>
  </si>
  <si>
    <t>中国华电集团有限公司经济技术咨询分公司</t>
  </si>
  <si>
    <r>
      <t>转账</t>
    </r>
    <r>
      <rPr>
        <sz val="11"/>
        <rFont val="Times New Roman"/>
        <family val="1"/>
        <charset val="0"/>
      </rPr>
      <t>276820231100047</t>
    </r>
  </si>
  <si>
    <r>
      <t>结算黄蛟山（一期）</t>
    </r>
    <r>
      <rPr>
        <sz val="11"/>
        <rFont val="Times New Roman"/>
        <family val="1"/>
        <charset val="0"/>
      </rPr>
      <t>60MW</t>
    </r>
    <r>
      <rPr>
        <sz val="11"/>
        <rFont val="宋体"/>
        <charset val="134"/>
      </rPr>
      <t>风电项目可研审查费用</t>
    </r>
  </si>
  <si>
    <r>
      <t>四川华电广元黄蛟山</t>
    </r>
    <r>
      <rPr>
        <sz val="11"/>
        <rFont val="Times New Roman"/>
        <family val="1"/>
        <charset val="0"/>
      </rPr>
      <t>60MW</t>
    </r>
    <r>
      <rPr>
        <sz val="11"/>
        <rFont val="宋体"/>
        <charset val="134"/>
      </rPr>
      <t>风电项目场内道路林地可行性报告及林木采伐作业设计编制专题技术服务合同</t>
    </r>
  </si>
  <si>
    <t>SCXNY-JJ/FW-2023-003</t>
  </si>
  <si>
    <t>四川省林业和草原调查规划院</t>
  </si>
  <si>
    <r>
      <t>转账</t>
    </r>
    <r>
      <rPr>
        <sz val="11"/>
        <rFont val="Times New Roman"/>
        <family val="1"/>
        <charset val="0"/>
      </rPr>
      <t>276820231100033</t>
    </r>
  </si>
  <si>
    <t>结算省林规院黄蛟山道路林地服务费</t>
  </si>
  <si>
    <r>
      <t>四川华电广元黄蛟山</t>
    </r>
    <r>
      <rPr>
        <sz val="11"/>
        <rFont val="Times New Roman"/>
        <family val="1"/>
        <charset val="0"/>
      </rPr>
      <t>60MW</t>
    </r>
    <r>
      <rPr>
        <sz val="11"/>
        <rFont val="宋体"/>
        <charset val="134"/>
      </rPr>
      <t>风电项目林地可行性报告及林木采伐作业设计编制专题技术服务合同</t>
    </r>
    <r>
      <rPr>
        <sz val="11"/>
        <rFont val="Times New Roman"/>
        <family val="1"/>
        <charset val="0"/>
      </rPr>
      <t xml:space="preserve"> </t>
    </r>
  </si>
  <si>
    <t>SCXNY-JJ/FW-2023-004</t>
  </si>
  <si>
    <r>
      <t>转账</t>
    </r>
    <r>
      <rPr>
        <sz val="11"/>
        <rFont val="Times New Roman"/>
        <family val="1"/>
        <charset val="0"/>
      </rPr>
      <t>276820231100027</t>
    </r>
  </si>
  <si>
    <t>结算省林规院黄蛟山项目林地服务费</t>
  </si>
  <si>
    <t>建筑工程一切险及第三者责任险</t>
  </si>
  <si>
    <t>12679183902139548904</t>
  </si>
  <si>
    <t>中国平安财产保险股份有限公司成都市锦城支公司</t>
  </si>
  <si>
    <r>
      <t>转账</t>
    </r>
    <r>
      <rPr>
        <sz val="11"/>
        <rFont val="Times New Roman"/>
        <family val="1"/>
        <charset val="0"/>
      </rPr>
      <t>276820231000012</t>
    </r>
  </si>
  <si>
    <t>结算黄蛟山风电一期项目建安工程一切险保费</t>
  </si>
  <si>
    <r>
      <t>射坪山</t>
    </r>
    <r>
      <rPr>
        <sz val="11"/>
        <rFont val="Times New Roman"/>
        <family val="1"/>
        <charset val="0"/>
      </rPr>
      <t>75MW</t>
    </r>
    <r>
      <rPr>
        <sz val="11"/>
        <rFont val="宋体"/>
        <charset val="134"/>
      </rPr>
      <t>风电项目测风塔采购及安装服务采购</t>
    </r>
  </si>
  <si>
    <t>SCXNY- JJ/SB-2022-033</t>
  </si>
  <si>
    <t>北京莱塞尔科技有限公司</t>
  </si>
  <si>
    <r>
      <t>转账</t>
    </r>
    <r>
      <rPr>
        <sz val="11"/>
        <rFont val="Times New Roman"/>
        <family val="1"/>
        <charset val="0"/>
      </rPr>
      <t xml:space="preserve">276820231200047
</t>
    </r>
    <r>
      <rPr>
        <sz val="11"/>
        <rFont val="宋体"/>
        <charset val="134"/>
      </rPr>
      <t>银付276820231200049</t>
    </r>
  </si>
  <si>
    <t>结算北京莱维赛尔射坪山项目测风塔采购及安装服务费用</t>
  </si>
  <si>
    <r>
      <t>宝珠寺水电站</t>
    </r>
    <r>
      <rPr>
        <sz val="11"/>
        <rFont val="Times New Roman"/>
        <family val="1"/>
        <charset val="0"/>
      </rPr>
      <t>“</t>
    </r>
    <r>
      <rPr>
        <sz val="11"/>
        <rFont val="宋体"/>
        <charset val="134"/>
      </rPr>
      <t>水风光</t>
    </r>
    <r>
      <rPr>
        <sz val="11"/>
        <rFont val="Times New Roman"/>
        <family val="1"/>
        <charset val="0"/>
      </rPr>
      <t>”</t>
    </r>
    <r>
      <rPr>
        <sz val="11"/>
        <rFont val="宋体"/>
        <charset val="134"/>
      </rPr>
      <t>互补项目黄蛟山风电场建设用地压覆矿产资源调查服务</t>
    </r>
  </si>
  <si>
    <t>1036D202100101</t>
  </si>
  <si>
    <t>四川川核地质工程有限公司</t>
  </si>
  <si>
    <t>国电南自SAP平台优化服务</t>
  </si>
  <si>
    <t>国电南京自动化股份有限公司</t>
  </si>
  <si>
    <t>转账276820231200048</t>
  </si>
  <si>
    <t>结算国电南自SAP平台优化服务费用</t>
  </si>
  <si>
    <t>黄蛟山风电项目送出工程水土保持补偿费</t>
  </si>
  <si>
    <r>
      <t>转账276820231200076
银付</t>
    </r>
    <r>
      <rPr>
        <sz val="11"/>
        <rFont val="Times New Roman"/>
        <family val="1"/>
        <charset val="0"/>
      </rPr>
      <t>276820231200081</t>
    </r>
  </si>
  <si>
    <t>结算黄蛟山风电项目送出工程水土保持补偿费</t>
  </si>
  <si>
    <t>黄蛟山（一期）风电项目建设用地补偿费</t>
  </si>
  <si>
    <t>广元市土地房屋征收拆迁事务中心</t>
  </si>
  <si>
    <t>转账276820231200089
银付276820231200094</t>
  </si>
  <si>
    <t>预付黄蛟山（一期）风电项目建设用地补偿费</t>
  </si>
  <si>
    <t>转账276820231200097</t>
  </si>
  <si>
    <t>结算入账黄蛟山（一期）风电项目建设用地补偿费</t>
  </si>
  <si>
    <t>关于广元黄蛟山风电项目前期费的协议</t>
  </si>
  <si>
    <t>四川盐源华电新能源有限公司</t>
  </si>
  <si>
    <t>黄蛟山项目前期费用入账</t>
  </si>
  <si>
    <t>四川华电新能源有限公司</t>
  </si>
  <si>
    <t>印花税</t>
  </si>
  <si>
    <r>
      <t>转账</t>
    </r>
    <r>
      <rPr>
        <sz val="11"/>
        <rFont val="Times New Roman"/>
        <family val="1"/>
        <charset val="0"/>
      </rPr>
      <t xml:space="preserve">276820231200019
</t>
    </r>
    <r>
      <rPr>
        <sz val="11"/>
        <rFont val="宋体"/>
        <charset val="134"/>
      </rPr>
      <t>银付276820231200045</t>
    </r>
  </si>
  <si>
    <t>计提印花税（黄蛟山、坝后）</t>
  </si>
  <si>
    <t>利息费用（含手续费）</t>
  </si>
  <si>
    <t>利息支出</t>
  </si>
  <si>
    <t>利息收入</t>
  </si>
  <si>
    <t>手续费</t>
  </si>
  <si>
    <t>日常报销</t>
  </si>
  <si>
    <t>年累计</t>
  </si>
  <si>
    <r>
      <t>——</t>
    </r>
    <r>
      <rPr>
        <sz val="11"/>
        <rFont val="宋体"/>
        <charset val="134"/>
      </rPr>
      <t>招待费</t>
    </r>
  </si>
  <si>
    <r>
      <t>9-11</t>
    </r>
    <r>
      <rPr>
        <sz val="11"/>
        <rFont val="宋体"/>
        <charset val="134"/>
      </rPr>
      <t>月</t>
    </r>
  </si>
  <si>
    <r>
      <t>12</t>
    </r>
    <r>
      <rPr>
        <sz val="11"/>
        <rFont val="宋体"/>
        <charset val="134"/>
      </rPr>
      <t>月</t>
    </r>
  </si>
  <si>
    <r>
      <t>——</t>
    </r>
    <r>
      <rPr>
        <sz val="11"/>
        <rFont val="宋体"/>
        <charset val="134"/>
      </rPr>
      <t>办公费</t>
    </r>
  </si>
  <si>
    <r>
      <t>——</t>
    </r>
    <r>
      <rPr>
        <sz val="11"/>
        <rFont val="宋体"/>
        <charset val="134"/>
      </rPr>
      <t>差旅费</t>
    </r>
  </si>
  <si>
    <t>生产准备</t>
  </si>
  <si>
    <r>
      <t>——</t>
    </r>
    <r>
      <rPr>
        <sz val="11"/>
        <rFont val="宋体"/>
        <charset val="134"/>
      </rPr>
      <t>会议费</t>
    </r>
  </si>
  <si>
    <t>黄蛟山风电场小计</t>
  </si>
  <si>
    <t>二</t>
  </si>
  <si>
    <t>坝后光伏项目</t>
  </si>
  <si>
    <r>
      <t>四川华电广元宝珠寺水电站坝后</t>
    </r>
    <r>
      <rPr>
        <sz val="11"/>
        <rFont val="Times New Roman"/>
        <family val="1"/>
        <charset val="0"/>
      </rPr>
      <t>5.55MW</t>
    </r>
    <r>
      <rPr>
        <sz val="11"/>
        <rFont val="宋体"/>
        <charset val="134"/>
      </rPr>
      <t>分布式光伏项目</t>
    </r>
    <r>
      <rPr>
        <sz val="11"/>
        <rFont val="Times New Roman"/>
        <family val="1"/>
        <charset val="0"/>
      </rPr>
      <t>EPC</t>
    </r>
    <r>
      <rPr>
        <sz val="11"/>
        <rFont val="宋体"/>
        <charset val="134"/>
      </rPr>
      <t>总承包合同</t>
    </r>
  </si>
  <si>
    <t>SCXNY-BZS/GC-2023-045</t>
  </si>
  <si>
    <t>四川锐南电力建设工程有限公司</t>
  </si>
  <si>
    <r>
      <t>转账</t>
    </r>
    <r>
      <rPr>
        <sz val="11"/>
        <rFont val="Times New Roman"/>
        <family val="1"/>
        <charset val="0"/>
      </rPr>
      <t>276820231100059</t>
    </r>
  </si>
  <si>
    <r>
      <t>预付四川锐南公司坝后光伏</t>
    </r>
    <r>
      <rPr>
        <sz val="11"/>
        <rFont val="Times New Roman"/>
        <family val="1"/>
        <charset val="0"/>
      </rPr>
      <t>EPC</t>
    </r>
    <r>
      <rPr>
        <sz val="11"/>
        <rFont val="宋体"/>
        <charset val="134"/>
      </rPr>
      <t>总承包第一期预付款</t>
    </r>
  </si>
  <si>
    <r>
      <t>转账</t>
    </r>
    <r>
      <rPr>
        <sz val="11"/>
        <rFont val="Times New Roman"/>
        <family val="1"/>
        <charset val="0"/>
      </rPr>
      <t xml:space="preserve">276820231200081
</t>
    </r>
    <r>
      <rPr>
        <sz val="11"/>
        <rFont val="宋体"/>
        <charset val="134"/>
      </rPr>
      <t>转账276820231200082
银付276820231200093</t>
    </r>
  </si>
  <si>
    <t>结算四川锐南公司坝后光伏项目第一期进度款</t>
  </si>
  <si>
    <t>水土保持补偿费坝后光伏</t>
  </si>
  <si>
    <t>广元利州区水利局（税务局代征收）</t>
  </si>
  <si>
    <r>
      <t>转账</t>
    </r>
    <r>
      <rPr>
        <sz val="11"/>
        <rFont val="Times New Roman"/>
        <family val="1"/>
        <charset val="0"/>
      </rPr>
      <t>276820231000006</t>
    </r>
  </si>
  <si>
    <r>
      <t>结算坝后</t>
    </r>
    <r>
      <rPr>
        <sz val="11"/>
        <rFont val="Times New Roman"/>
        <family val="1"/>
        <charset val="0"/>
      </rPr>
      <t>5.55MW</t>
    </r>
    <r>
      <rPr>
        <sz val="11"/>
        <rFont val="宋体"/>
        <charset val="134"/>
      </rPr>
      <t>分布式光伏项目水土保持补偿费</t>
    </r>
  </si>
  <si>
    <r>
      <t>四川华电广元宝珠寺水电站坝后</t>
    </r>
    <r>
      <rPr>
        <sz val="11"/>
        <rFont val="Times New Roman"/>
        <family val="1"/>
        <charset val="0"/>
      </rPr>
      <t>5.55MW</t>
    </r>
    <r>
      <rPr>
        <sz val="11"/>
        <rFont val="宋体"/>
        <charset val="134"/>
      </rPr>
      <t>分布式光伏项目光伏组件采购合同</t>
    </r>
  </si>
  <si>
    <t>GCL-XXJC-ZJXS-2023-0903</t>
  </si>
  <si>
    <t>协鑫集成科技股份有限公司</t>
  </si>
  <si>
    <t>转账276820231200049
银付276820231200053</t>
  </si>
  <si>
    <t>结算协鑫公司光伏组件设备费用</t>
  </si>
  <si>
    <t>四川华电广元宝珠寺水电站坝后分布式光伏项目可行性研究设计技术服务</t>
  </si>
  <si>
    <t>SCXNY-BZS/FW -2023-028</t>
  </si>
  <si>
    <r>
      <t>湖南动力源电力勘测设计有限公司</t>
    </r>
    <r>
      <rPr>
        <sz val="11"/>
        <rFont val="Times New Roman"/>
        <family val="1"/>
        <charset val="0"/>
      </rPr>
      <t> </t>
    </r>
  </si>
  <si>
    <t>转账276820231200006
银付276820231200014</t>
  </si>
  <si>
    <t>结算湖南动力源公司坝后光伏项目可研技术服务费用</t>
  </si>
  <si>
    <r>
      <t>四川华电广元宝珠寺水电站坝后</t>
    </r>
    <r>
      <rPr>
        <sz val="11"/>
        <rFont val="Times New Roman"/>
        <family val="1"/>
        <charset val="0"/>
      </rPr>
      <t xml:space="preserve"> </t>
    </r>
    <r>
      <rPr>
        <sz val="11"/>
        <rFont val="宋体"/>
        <charset val="134"/>
      </rPr>
      <t>分布式光伏项目可行性研究报告评审技术服务</t>
    </r>
  </si>
  <si>
    <t>SCXNY-BZS/FW- 2023-037</t>
  </si>
  <si>
    <t>转账276820231200003
银付276820231200015</t>
  </si>
  <si>
    <t>结算中国华电技经中心坝后光伏可研评审技术服务费用</t>
  </si>
  <si>
    <t>12679183902270263799</t>
  </si>
  <si>
    <r>
      <t>转账</t>
    </r>
    <r>
      <rPr>
        <sz val="11"/>
        <rFont val="Times New Roman"/>
        <family val="1"/>
        <charset val="0"/>
      </rPr>
      <t xml:space="preserve">276820231200031
</t>
    </r>
    <r>
      <rPr>
        <sz val="11"/>
        <rFont val="宋体"/>
        <charset val="134"/>
      </rPr>
      <t>银付276820231200047</t>
    </r>
  </si>
  <si>
    <t>结算坝后光伏项目建安工程一切险保费</t>
  </si>
  <si>
    <t>坝后光伏项目光伏组件</t>
  </si>
  <si>
    <t>阳光电源股份有限公司</t>
  </si>
  <si>
    <t>转账276820231200052
银付276820231200056</t>
  </si>
  <si>
    <t>结算阳光电源坝后光伏项目光伏组件进度款支付</t>
  </si>
  <si>
    <t>日常报销（含手续费）</t>
  </si>
  <si>
    <r>
      <t>9-12</t>
    </r>
    <r>
      <rPr>
        <b/>
        <sz val="11"/>
        <rFont val="宋体"/>
        <charset val="134"/>
      </rPr>
      <t>月</t>
    </r>
  </si>
  <si>
    <r>
      <t>——</t>
    </r>
    <r>
      <rPr>
        <b/>
        <sz val="11"/>
        <rFont val="宋体"/>
        <charset val="134"/>
      </rPr>
      <t>招待费</t>
    </r>
  </si>
  <si>
    <r>
      <t>9-11</t>
    </r>
    <r>
      <rPr>
        <b/>
        <sz val="11"/>
        <rFont val="宋体"/>
        <charset val="134"/>
      </rPr>
      <t>月</t>
    </r>
  </si>
  <si>
    <r>
      <t>12</t>
    </r>
    <r>
      <rPr>
        <b/>
        <sz val="11"/>
        <rFont val="宋体"/>
        <charset val="134"/>
      </rPr>
      <t>月</t>
    </r>
  </si>
  <si>
    <r>
      <t>——</t>
    </r>
    <r>
      <rPr>
        <b/>
        <sz val="11"/>
        <rFont val="宋体"/>
        <charset val="134"/>
      </rPr>
      <t>办公费</t>
    </r>
  </si>
  <si>
    <r>
      <t>——</t>
    </r>
    <r>
      <rPr>
        <b/>
        <sz val="11"/>
        <rFont val="宋体"/>
        <charset val="134"/>
      </rPr>
      <t>差旅费</t>
    </r>
  </si>
  <si>
    <r>
      <t>——</t>
    </r>
    <r>
      <rPr>
        <b/>
        <sz val="11"/>
        <rFont val="宋体"/>
        <charset val="134"/>
      </rPr>
      <t>会议费</t>
    </r>
  </si>
  <si>
    <t>坝后光伏项目小计</t>
  </si>
  <si>
    <t>三、七里山风电场</t>
  </si>
  <si>
    <t>七里山社会稳定风险评估</t>
  </si>
  <si>
    <r>
      <t>转账</t>
    </r>
    <r>
      <rPr>
        <sz val="11"/>
        <rFont val="Times New Roman"/>
        <family val="1"/>
        <charset val="0"/>
      </rPr>
      <t>276820231100002</t>
    </r>
  </si>
  <si>
    <t>结算四川众望公司七里山风电项目社稳专题费用</t>
  </si>
  <si>
    <t>七里山航行评估</t>
  </si>
  <si>
    <t>成都中成蓝翼航空技术服务有限公司</t>
  </si>
  <si>
    <r>
      <t>转账</t>
    </r>
    <r>
      <rPr>
        <sz val="11"/>
        <rFont val="Times New Roman"/>
        <family val="1"/>
        <charset val="0"/>
      </rPr>
      <t>276820231100004</t>
    </r>
  </si>
  <si>
    <t>结算成都中成蓝翼公司航行评估技术服务费用</t>
  </si>
  <si>
    <t>七里山用地预审及项目选址</t>
  </si>
  <si>
    <t>柒零叁信息科技有限公司</t>
  </si>
  <si>
    <r>
      <t>转账</t>
    </r>
    <r>
      <rPr>
        <sz val="11"/>
        <rFont val="Times New Roman"/>
        <family val="1"/>
        <charset val="0"/>
      </rPr>
      <t>276820231100003</t>
    </r>
  </si>
  <si>
    <t>结算柒零叁公司七里山用地预审及项目选址技术服务费用</t>
  </si>
  <si>
    <t>七里山地灾评价服务</t>
  </si>
  <si>
    <r>
      <t>转账</t>
    </r>
    <r>
      <rPr>
        <sz val="11"/>
        <rFont val="Times New Roman"/>
        <family val="1"/>
        <charset val="0"/>
      </rPr>
      <t>276820231100005</t>
    </r>
  </si>
  <si>
    <t>结算四川川核地质公司地灾评价服务费用</t>
  </si>
  <si>
    <t>七里山压覆矿调查服务</t>
  </si>
  <si>
    <t>甘肃省地质矿产勘查开发局第一地质矿产勘查院</t>
  </si>
  <si>
    <t>七里山安全预评价服务</t>
  </si>
  <si>
    <t>SCXY-JJ/FW- 2023-014</t>
  </si>
  <si>
    <t>北京中安质环技术评价中心有限公司</t>
  </si>
  <si>
    <r>
      <t>转账</t>
    </r>
    <r>
      <rPr>
        <sz val="11"/>
        <rFont val="Times New Roman"/>
        <family val="1"/>
        <charset val="0"/>
      </rPr>
      <t xml:space="preserve">276820231200017
</t>
    </r>
    <r>
      <rPr>
        <sz val="11"/>
        <rFont val="宋体"/>
        <charset val="134"/>
      </rPr>
      <t>银付276820231200016</t>
    </r>
  </si>
  <si>
    <t>结算北京中安质环公司七里山项目安全预评价服务费用</t>
  </si>
  <si>
    <t>转账276820231200062</t>
  </si>
  <si>
    <t>七里山风电场小计</t>
  </si>
  <si>
    <t>总计</t>
  </si>
  <si>
    <t>资金来源</t>
  </si>
  <si>
    <t>资金支出</t>
  </si>
  <si>
    <r>
      <t>2023</t>
    </r>
    <r>
      <rPr>
        <b/>
        <sz val="22"/>
        <rFont val="宋体"/>
        <charset val="134"/>
      </rPr>
      <t>-2024年新能源项目结算及支付台账</t>
    </r>
  </si>
  <si>
    <t>年度</t>
  </si>
  <si>
    <t>年度累计投资</t>
  </si>
  <si>
    <t>其他应付款</t>
  </si>
  <si>
    <t>累计实际支付</t>
  </si>
  <si>
    <t>1月预计支付</t>
  </si>
  <si>
    <t>备注</t>
  </si>
  <si>
    <t>其他应付款-保证金或押金-工程质保金</t>
  </si>
  <si>
    <t>其他应付款-保证金或押金-设备质保金</t>
  </si>
  <si>
    <t>其他应付款-保证金或押金-其他</t>
  </si>
  <si>
    <t>履约/投标质保金或押金</t>
  </si>
  <si>
    <t>其他</t>
  </si>
  <si>
    <r>
      <t>2023</t>
    </r>
    <r>
      <rPr>
        <sz val="11"/>
        <rFont val="宋体"/>
        <charset val="134"/>
      </rPr>
      <t>年</t>
    </r>
  </si>
  <si>
    <r>
      <t>2024</t>
    </r>
    <r>
      <rPr>
        <sz val="11"/>
        <rFont val="宋体"/>
        <charset val="134"/>
      </rPr>
      <t>年</t>
    </r>
  </si>
  <si>
    <t>银付276820240100009</t>
  </si>
  <si>
    <t>支付贵阳院主体工程第五期进度款</t>
  </si>
  <si>
    <t>本期扣回预付款116593.50元</t>
  </si>
  <si>
    <t>其中农民工工资175.68万元</t>
  </si>
  <si>
    <t>2023年</t>
  </si>
  <si>
    <t>黄蛟山风电项目临时用地勘测定界服务</t>
  </si>
  <si>
    <t>四川蜀地勘测规划服务有限公司</t>
  </si>
  <si>
    <t>黄蛟山风电项目进场道路施工后勘测定界复核服务合同</t>
  </si>
  <si>
    <t>成都经纬空间科技有限公司</t>
  </si>
  <si>
    <t>清洁能源建设管理部采购防寒服、实时可视化系统采购</t>
  </si>
  <si>
    <t>非小额采购计划</t>
  </si>
  <si>
    <t>清洁能源建设管理部采购纵向加密系统</t>
  </si>
  <si>
    <r>
      <t>2023</t>
    </r>
    <r>
      <rPr>
        <b/>
        <sz val="11"/>
        <rFont val="宋体"/>
        <charset val="134"/>
      </rPr>
      <t>年</t>
    </r>
  </si>
  <si>
    <r>
      <t>2024</t>
    </r>
    <r>
      <rPr>
        <b/>
        <sz val="11"/>
        <rFont val="宋体"/>
        <charset val="134"/>
      </rPr>
      <t>年</t>
    </r>
  </si>
  <si>
    <r>
      <t>1</t>
    </r>
    <r>
      <rPr>
        <b/>
        <sz val="11"/>
        <rFont val="宋体"/>
        <charset val="134"/>
      </rPr>
      <t>月</t>
    </r>
  </si>
  <si>
    <t>管理费用</t>
  </si>
  <si>
    <r>
      <t>1</t>
    </r>
    <r>
      <rPr>
        <sz val="11"/>
        <rFont val="宋体"/>
        <charset val="134"/>
      </rPr>
      <t>月</t>
    </r>
  </si>
  <si>
    <t>王刚报黄蛟山风电项目并网监督检查会会议费</t>
  </si>
  <si>
    <r>
      <t>生产准备</t>
    </r>
    <r>
      <rPr>
        <sz val="11"/>
        <rFont val="Times New Roman"/>
        <family val="1"/>
        <charset val="0"/>
      </rPr>
      <t>-</t>
    </r>
    <r>
      <rPr>
        <sz val="11"/>
        <rFont val="宋体"/>
        <charset val="134"/>
      </rPr>
      <t>其他</t>
    </r>
  </si>
  <si>
    <r>
      <t>2023</t>
    </r>
    <r>
      <rPr>
        <b/>
        <sz val="11"/>
        <rFont val="宋体"/>
        <charset val="134"/>
      </rPr>
      <t>年度</t>
    </r>
  </si>
  <si>
    <r>
      <t>2024</t>
    </r>
    <r>
      <rPr>
        <b/>
        <sz val="11"/>
        <rFont val="宋体"/>
        <charset val="134"/>
      </rPr>
      <t>年度</t>
    </r>
  </si>
  <si>
    <t>四川华电广元宝珠寺水电站坝后5.55MW分布式光伏项目逆变器采购合同</t>
  </si>
  <si>
    <t>2024年</t>
  </si>
  <si>
    <r>
      <t>1</t>
    </r>
    <r>
      <rPr>
        <b/>
        <sz val="11"/>
        <rFont val="宋体"/>
        <charset val="134"/>
      </rPr>
      <t>月</t>
    </r>
    <r>
      <rPr>
        <b/>
        <sz val="11"/>
        <rFont val="Times New Roman"/>
        <family val="1"/>
        <charset val="0"/>
      </rPr>
      <t xml:space="preserve"> </t>
    </r>
  </si>
  <si>
    <r>
      <t>1</t>
    </r>
    <r>
      <rPr>
        <sz val="11"/>
        <rFont val="宋体"/>
        <charset val="134"/>
      </rPr>
      <t>月</t>
    </r>
    <r>
      <rPr>
        <sz val="11"/>
        <rFont val="Times New Roman"/>
        <family val="1"/>
        <charset val="0"/>
      </rPr>
      <t xml:space="preserve">
</t>
    </r>
    <r>
      <rPr>
        <sz val="11"/>
        <rFont val="宋体"/>
        <charset val="134"/>
      </rPr>
      <t>银付</t>
    </r>
    <r>
      <rPr>
        <sz val="11"/>
        <rFont val="Times New Roman"/>
        <family val="1"/>
        <charset val="0"/>
      </rPr>
      <t>276820240100031</t>
    </r>
  </si>
  <si>
    <t>李能杰报销业务交流费</t>
  </si>
  <si>
    <t>七里山风电场项目小计</t>
  </si>
  <si>
    <t>2023-2024年共计</t>
  </si>
  <si>
    <r>
      <t>2023</t>
    </r>
    <r>
      <rPr>
        <b/>
        <sz val="22"/>
        <rFont val="宋体"/>
        <charset val="134"/>
      </rPr>
      <t>-2024年新能源项目结算台账</t>
    </r>
  </si>
  <si>
    <t>2023年小计</t>
  </si>
  <si>
    <t>2024年小计</t>
  </si>
  <si>
    <t>转账276820240200024</t>
  </si>
  <si>
    <t>冲销暂估  结算成勘院送出工程第五期进度款</t>
  </si>
  <si>
    <t>转账276820240200021</t>
  </si>
  <si>
    <t>结算成勘院第五期进度款</t>
  </si>
  <si>
    <t>银付276820240200032</t>
  </si>
  <si>
    <t>支付盐源新能黄蛟山项目前期费用款</t>
  </si>
  <si>
    <t>银付276820240200031</t>
  </si>
  <si>
    <t>支付四川华电新能公司黄蛟山项目前期费用款</t>
  </si>
  <si>
    <r>
      <t>2</t>
    </r>
    <r>
      <rPr>
        <b/>
        <sz val="11"/>
        <rFont val="宋体"/>
        <charset val="134"/>
      </rPr>
      <t>月</t>
    </r>
  </si>
  <si>
    <r>
      <t>2</t>
    </r>
    <r>
      <rPr>
        <sz val="11"/>
        <rFont val="宋体"/>
        <charset val="134"/>
      </rPr>
      <t>月</t>
    </r>
  </si>
  <si>
    <r>
      <t>3</t>
    </r>
    <r>
      <rPr>
        <sz val="11"/>
        <rFont val="宋体"/>
        <charset val="134"/>
      </rPr>
      <t>月</t>
    </r>
  </si>
  <si>
    <r>
      <t>4</t>
    </r>
    <r>
      <rPr>
        <sz val="11"/>
        <rFont val="宋体"/>
        <charset val="134"/>
      </rPr>
      <t>月</t>
    </r>
  </si>
  <si>
    <t>生产准备-提前进场-培训费</t>
  </si>
  <si>
    <r>
      <t>2</t>
    </r>
    <r>
      <rPr>
        <b/>
        <sz val="11"/>
        <rFont val="宋体"/>
        <charset val="134"/>
      </rPr>
      <t>月</t>
    </r>
    <r>
      <rPr>
        <b/>
        <sz val="11"/>
        <rFont val="Times New Roman"/>
        <family val="1"/>
        <charset val="0"/>
      </rPr>
      <t xml:space="preserve"> </t>
    </r>
  </si>
  <si>
    <r>
      <t>3</t>
    </r>
    <r>
      <rPr>
        <b/>
        <sz val="11"/>
        <rFont val="宋体"/>
        <charset val="134"/>
      </rPr>
      <t>月</t>
    </r>
    <r>
      <rPr>
        <b/>
        <sz val="11"/>
        <rFont val="Times New Roman"/>
        <family val="1"/>
        <charset val="0"/>
      </rPr>
      <t xml:space="preserve"> </t>
    </r>
  </si>
  <si>
    <r>
      <t>4</t>
    </r>
    <r>
      <rPr>
        <b/>
        <sz val="11"/>
        <rFont val="宋体"/>
        <charset val="134"/>
      </rPr>
      <t>月</t>
    </r>
    <r>
      <rPr>
        <b/>
        <sz val="11"/>
        <rFont val="Times New Roman"/>
        <family val="1"/>
        <charset val="0"/>
      </rPr>
      <t xml:space="preserve"> </t>
    </r>
  </si>
  <si>
    <r>
      <t>5</t>
    </r>
    <r>
      <rPr>
        <b/>
        <sz val="11"/>
        <rFont val="宋体"/>
        <charset val="134"/>
      </rPr>
      <t>月</t>
    </r>
    <r>
      <rPr>
        <b/>
        <sz val="11"/>
        <rFont val="Times New Roman"/>
        <family val="1"/>
        <charset val="0"/>
      </rPr>
      <t xml:space="preserve"> </t>
    </r>
  </si>
  <si>
    <t>——基建管理宣传费</t>
  </si>
  <si>
    <t>2023-2024年累计</t>
  </si>
  <si>
    <t>应付利息</t>
  </si>
  <si>
    <t>应付账款</t>
  </si>
  <si>
    <t>账面</t>
  </si>
  <si>
    <r>
      <t>生产准备</t>
    </r>
    <r>
      <rPr>
        <sz val="11"/>
        <color theme="1"/>
        <rFont val="Times New Roman"/>
        <family val="1"/>
        <charset val="0"/>
      </rPr>
      <t>-</t>
    </r>
    <r>
      <rPr>
        <sz val="11"/>
        <color theme="1"/>
        <rFont val="宋体"/>
        <charset val="134"/>
      </rPr>
      <t>应付材料</t>
    </r>
  </si>
  <si>
    <t>预计支付</t>
  </si>
  <si>
    <t>转账276820240300015</t>
  </si>
  <si>
    <t>结算华电和祥第二次进度款</t>
  </si>
  <si>
    <t>银付276820240300063
银付276820240300068</t>
  </si>
  <si>
    <t>支付成勘院第五期进度款
结算成勘院送出工程第五期进度款（第二笔农民工工资）</t>
  </si>
  <si>
    <t>银付276820240300069</t>
  </si>
  <si>
    <t>结算武汉华电重工第5期投运款</t>
  </si>
  <si>
    <t>转账276820240300065</t>
  </si>
  <si>
    <t>结算东方电气公司第三期投运款</t>
  </si>
  <si>
    <t>转账276820240300017</t>
  </si>
  <si>
    <t>结算四川蜀地公司勘测定界服务费用</t>
  </si>
  <si>
    <r>
      <t>3</t>
    </r>
    <r>
      <rPr>
        <b/>
        <sz val="11"/>
        <rFont val="宋体"/>
        <charset val="134"/>
      </rPr>
      <t>月</t>
    </r>
  </si>
  <si>
    <t>3月</t>
  </si>
  <si>
    <t>工器具购置</t>
  </si>
  <si>
    <r>
      <t>转账</t>
    </r>
    <r>
      <rPr>
        <sz val="11"/>
        <rFont val="Times New Roman"/>
        <family val="1"/>
        <charset val="0"/>
      </rPr>
      <t>276820240300017</t>
    </r>
  </si>
  <si>
    <t>结算甘肃勘查院七里山压覆矿专题服务费用</t>
  </si>
  <si>
    <t>宣传费</t>
  </si>
  <si>
    <t>差旅费</t>
  </si>
  <si>
    <r>
      <t>2023</t>
    </r>
    <r>
      <rPr>
        <sz val="11"/>
        <rFont val="宋体"/>
        <charset val="134"/>
      </rPr>
      <t>年账面数据</t>
    </r>
  </si>
  <si>
    <r>
      <t>2024</t>
    </r>
    <r>
      <rPr>
        <sz val="11"/>
        <rFont val="宋体"/>
        <charset val="134"/>
      </rPr>
      <t>年账面</t>
    </r>
  </si>
  <si>
    <t>转账276820240400037</t>
  </si>
  <si>
    <t>结算黄蛟山风电项目第三期监理服务费用</t>
  </si>
  <si>
    <t>转账276820240300016</t>
  </si>
  <si>
    <t>冲销预付华电和祥黄蛟山风电项目监理服务预付款</t>
  </si>
  <si>
    <t>ERP系统财务模块推广服务费</t>
  </si>
  <si>
    <t>南京南自华盾数字技术有限公司</t>
  </si>
  <si>
    <t>转账276820240400036</t>
  </si>
  <si>
    <t>结算南京南自华盾公司ERP系统财务模块推广服务费</t>
  </si>
  <si>
    <t>郑州国电公司设备监造</t>
  </si>
  <si>
    <t>郑州国电机械设计研究所有限公司</t>
  </si>
  <si>
    <t xml:space="preserve"> 
158,895.00</t>
  </si>
  <si>
    <t>结算郑州国电公司设备监造费</t>
  </si>
  <si>
    <r>
      <t>4</t>
    </r>
    <r>
      <rPr>
        <b/>
        <sz val="11"/>
        <rFont val="宋体"/>
        <charset val="134"/>
      </rPr>
      <t>月</t>
    </r>
  </si>
  <si>
    <t>4月</t>
  </si>
  <si>
    <t>转账276820240400034</t>
  </si>
  <si>
    <t>坝后光伏EPC总承包合同结算款项2024年4月暂估</t>
  </si>
  <si>
    <t>转账276820240400038</t>
  </si>
  <si>
    <t>暂估阳光电源光伏逆变器设备估算款</t>
  </si>
  <si>
    <t>监理服务</t>
  </si>
  <si>
    <t>坝后光伏华电和祥监理技术服务费2024年4月暂估</t>
  </si>
  <si>
    <t>水水土保持服务费</t>
  </si>
  <si>
    <t>转账276820240400030</t>
  </si>
  <si>
    <t>坝后光伏四川蜀水水土保持服务费2024年4月暂估</t>
  </si>
  <si>
    <t>七里山EPC总承包合同</t>
  </si>
  <si>
    <t>转账276820240400031</t>
  </si>
  <si>
    <t>支付七里山EPC总承包合同设计费用首付款</t>
  </si>
  <si>
    <t>四、拓展项目</t>
  </si>
  <si>
    <t>永安工业园</t>
  </si>
  <si>
    <t>招待费</t>
  </si>
  <si>
    <t>茶光互补</t>
  </si>
  <si>
    <t>拓展费</t>
  </si>
  <si>
    <t>娃哈哈光伏</t>
  </si>
  <si>
    <t>基建</t>
  </si>
  <si>
    <t>业务招待费</t>
  </si>
  <si>
    <t>中哲分布式</t>
  </si>
  <si>
    <t>转账276820240500058</t>
  </si>
  <si>
    <t>结算黄蛟山主体工程贵阳院第六期进度款</t>
  </si>
  <si>
    <t>暂估</t>
  </si>
  <si>
    <t>5月暂估</t>
  </si>
  <si>
    <t>转账276820240500129</t>
  </si>
  <si>
    <t>暂估黄蛟山风电项目建设用地税费</t>
  </si>
  <si>
    <t>转账276820231200132</t>
  </si>
  <si>
    <t>转账276820231200131</t>
  </si>
  <si>
    <t>转账276820240500054</t>
  </si>
  <si>
    <t>结算成都经纬空间科技有限公司勘测定界服务费用</t>
  </si>
  <si>
    <t>暂估成都万博智通科技有限公司感知设备估算款</t>
  </si>
  <si>
    <t>转账276820240500136</t>
  </si>
  <si>
    <t>结算四川金土地黄蛟山建设用地报件服务费</t>
  </si>
  <si>
    <t>转账276820240500085</t>
  </si>
  <si>
    <t>暂估大唐四川广元风电有限公司前期费用</t>
  </si>
  <si>
    <t>转账276820240500120</t>
  </si>
  <si>
    <r>
      <t>5</t>
    </r>
    <r>
      <rPr>
        <b/>
        <sz val="11"/>
        <rFont val="宋体"/>
        <charset val="134"/>
      </rPr>
      <t>月</t>
    </r>
  </si>
  <si>
    <r>
      <t>5</t>
    </r>
    <r>
      <rPr>
        <sz val="11"/>
        <rFont val="宋体"/>
        <charset val="134"/>
      </rPr>
      <t>月</t>
    </r>
  </si>
  <si>
    <t>转账276820240500028</t>
  </si>
  <si>
    <t>结算枫香林风电场测甲醛测水质的费用</t>
  </si>
  <si>
    <r>
      <t>转账</t>
    </r>
    <r>
      <rPr>
        <sz val="11"/>
        <rFont val="Times New Roman"/>
        <family val="1"/>
        <charset val="0"/>
      </rPr>
      <t>276820240500048</t>
    </r>
  </si>
  <si>
    <t>支付鑫方盛数智科技股份有限公司采购费用</t>
  </si>
  <si>
    <t>转账276820240500051</t>
  </si>
  <si>
    <t>结算深圳齐心集团股份有限公司采购费用</t>
  </si>
  <si>
    <t>转账276820240500053</t>
  </si>
  <si>
    <t>支付震坤行工业超市（上海）有限公司采购费用</t>
  </si>
  <si>
    <t>转账276820240500038</t>
  </si>
  <si>
    <t>支付广博集团股份有限公司采购费用</t>
  </si>
  <si>
    <t>转账276820240500050</t>
  </si>
  <si>
    <t>支付欧菲斯集团股份有限公司采购费用</t>
  </si>
  <si>
    <t>转账276820240500040</t>
  </si>
  <si>
    <t>支付西域智慧供应链（上海）股份公司采购费用</t>
  </si>
  <si>
    <t>转账276820240500116</t>
  </si>
  <si>
    <t>支付黄蛟山生产准备物资采购费用</t>
  </si>
  <si>
    <t>转账276820240500046</t>
  </si>
  <si>
    <t>转账276820240500047</t>
  </si>
  <si>
    <t>支付得力集团有限公司采购费用</t>
  </si>
  <si>
    <t>转账276820240500055</t>
  </si>
  <si>
    <t>四川盛杰电力设备工程有限公司</t>
  </si>
  <si>
    <t>转账276820240500042</t>
  </si>
  <si>
    <t>结算咸亨国际科技股份有限公司采购费用</t>
  </si>
  <si>
    <t>转账276820240500049</t>
  </si>
  <si>
    <t>支付成都瑞信诚科技有限责任公司采购费用</t>
  </si>
  <si>
    <t>转账276820240500056</t>
  </si>
  <si>
    <t>支付史泰博（上海）有限公司采购费用</t>
  </si>
  <si>
    <t>转账276820240500070</t>
  </si>
  <si>
    <t>结算枫香林风电场纱窗费用</t>
  </si>
  <si>
    <t>转账276820240500052</t>
  </si>
  <si>
    <t>支付上海晨光科力普办公用品有限公司采购费用</t>
  </si>
  <si>
    <t>转账276820240500045</t>
  </si>
  <si>
    <t>支付领先未来科技集团有限公司采购费用</t>
  </si>
  <si>
    <t>生产准备差旅费</t>
  </si>
  <si>
    <r>
      <t>4</t>
    </r>
    <r>
      <rPr>
        <b/>
        <sz val="11"/>
        <rFont val="宋体"/>
        <charset val="134"/>
      </rPr>
      <t>月（基建期）</t>
    </r>
  </si>
  <si>
    <t>转账276820240400031
转账276820240500029
转账276820240500001</t>
  </si>
  <si>
    <t>转账276820240500059</t>
  </si>
  <si>
    <t>结算七里山风电项目建安工程一切险保费</t>
  </si>
  <si>
    <t>转账276820240500031</t>
  </si>
  <si>
    <t>结算四川硕龙林业科技有限公司技术服务费（防火通道）</t>
  </si>
  <si>
    <t>转账276820240500086</t>
  </si>
  <si>
    <t>结算七里山风电项目用地补偿费及工作经费（第一次）</t>
  </si>
  <si>
    <r>
      <t>——</t>
    </r>
    <r>
      <rPr>
        <b/>
        <sz val="11"/>
        <rFont val="宋体"/>
        <charset val="134"/>
      </rPr>
      <t>培训费</t>
    </r>
  </si>
  <si>
    <r>
      <t>结算秦军等</t>
    </r>
    <r>
      <rPr>
        <sz val="11"/>
        <rFont val="Times New Roman"/>
        <family val="1"/>
        <charset val="0"/>
      </rPr>
      <t>6</t>
    </r>
    <r>
      <rPr>
        <sz val="11"/>
        <rFont val="宋体"/>
        <charset val="134"/>
      </rPr>
      <t>人参加四川公司净瓶工程培训费</t>
    </r>
  </si>
  <si>
    <t>5月</t>
  </si>
  <si>
    <r>
      <t>2024</t>
    </r>
    <r>
      <rPr>
        <b/>
        <sz val="11"/>
        <rFont val="宋体"/>
        <charset val="134"/>
      </rPr>
      <t>年坝后在建转出</t>
    </r>
  </si>
  <si>
    <t>转账276820240600050</t>
  </si>
  <si>
    <t>暂估黄蛟山主体程贵阳院估算款</t>
  </si>
  <si>
    <t>转账276820240600049</t>
  </si>
  <si>
    <t>结算黄蛟山送出工程成勘院第六期进度款</t>
  </si>
  <si>
    <t>转账276820240600048</t>
  </si>
  <si>
    <t>暂估黄蛟山送出工程成勘院估算款</t>
  </si>
  <si>
    <t>转账276820240600051</t>
  </si>
  <si>
    <t>结算塔筒第六期结算款</t>
  </si>
  <si>
    <r>
      <t>6</t>
    </r>
    <r>
      <rPr>
        <sz val="11"/>
        <rFont val="宋体"/>
        <charset val="134"/>
      </rPr>
      <t>月</t>
    </r>
  </si>
  <si>
    <t>转账276820240600001</t>
  </si>
  <si>
    <t>冲销暂估大唐四川广元风电有限公司前期费用</t>
  </si>
  <si>
    <t>转账276820240600024</t>
  </si>
  <si>
    <t>结算大唐四川广元风电有限公司前期费用</t>
  </si>
  <si>
    <t>转账276820240600044</t>
  </si>
  <si>
    <t>结算立信会计事务所2023年度审计服务费</t>
  </si>
  <si>
    <r>
      <t>6</t>
    </r>
    <r>
      <rPr>
        <b/>
        <sz val="11"/>
        <rFont val="宋体"/>
        <charset val="134"/>
      </rPr>
      <t>月</t>
    </r>
  </si>
  <si>
    <t>转账276820240600045支付四川华电广元工程公司生产准备服务费</t>
  </si>
  <si>
    <t>结算史泰博（上海）有限公司采购费用</t>
  </si>
  <si>
    <t>结算广博集团股份有限公司采购费用</t>
  </si>
  <si>
    <t>支付深圳齐心集团股份有限公司采购费用</t>
  </si>
  <si>
    <t>转账276820240600065</t>
  </si>
  <si>
    <t>结算七里山主体工程EPC总承包进度款总第三期</t>
  </si>
  <si>
    <t>七里山机组合同</t>
  </si>
  <si>
    <t>转账276820240600052</t>
  </si>
  <si>
    <t>结算七里山机组合同备料款</t>
  </si>
  <si>
    <t>——办公费</t>
  </si>
  <si>
    <t>转账276820240600041</t>
  </si>
  <si>
    <t>6月印花税费</t>
  </si>
  <si>
    <t>从</t>
  </si>
  <si>
    <t>归档凭证编号</t>
  </si>
  <si>
    <t>WBS 元素</t>
  </si>
  <si>
    <t>CO对象名称</t>
  </si>
  <si>
    <t>凭证抬头文本</t>
  </si>
  <si>
    <t>名称</t>
  </si>
  <si>
    <t>成本要素描述</t>
  </si>
  <si>
    <t>过帐日期</t>
  </si>
  <si>
    <t>凭证日期</t>
  </si>
  <si>
    <t>业务货币值</t>
  </si>
  <si>
    <t>2023</t>
  </si>
  <si>
    <t>010</t>
  </si>
  <si>
    <t>转账276820231000004</t>
  </si>
  <si>
    <t>1004102313</t>
  </si>
  <si>
    <t>276801.1</t>
  </si>
  <si>
    <t>黄蛟山风电\建筑工程</t>
  </si>
  <si>
    <t>结算黄蛟山风电主体工程EPC总承包第一期进度费用</t>
  </si>
  <si>
    <t>基建工程支出-建筑工程</t>
  </si>
  <si>
    <t>转账276820231000037</t>
  </si>
  <si>
    <t>1004151925</t>
  </si>
  <si>
    <t>012</t>
  </si>
  <si>
    <t>转账276820231200073</t>
  </si>
  <si>
    <t>1004372094</t>
  </si>
  <si>
    <t>2024</t>
  </si>
  <si>
    <t>002</t>
  </si>
  <si>
    <t>转账276820240200033</t>
  </si>
  <si>
    <t>1004531853</t>
  </si>
  <si>
    <t>项目结转-基建</t>
  </si>
  <si>
    <t>WBS 276801.1</t>
  </si>
  <si>
    <t>项目成本转出</t>
  </si>
  <si>
    <t>转账276820231200104</t>
  </si>
  <si>
    <t>1004415492</t>
  </si>
  <si>
    <t>006</t>
  </si>
  <si>
    <t>1004776633</t>
  </si>
  <si>
    <t>1004775019</t>
  </si>
  <si>
    <t>基建工程支出-暂估</t>
  </si>
  <si>
    <t>1004778013</t>
  </si>
  <si>
    <t>1004510384</t>
  </si>
  <si>
    <t>1004514530</t>
  </si>
  <si>
    <t>冲销结算成勘院送出工程第五期进度款</t>
  </si>
  <si>
    <t>1004384211</t>
  </si>
  <si>
    <t>结算成勘院送出工程第五期进度款</t>
  </si>
  <si>
    <t>转账276820231000051</t>
  </si>
  <si>
    <t>1004161296</t>
  </si>
  <si>
    <t>011</t>
  </si>
  <si>
    <t>转账276820231100017</t>
  </si>
  <si>
    <t>1004185806</t>
  </si>
  <si>
    <t>276801.1.2</t>
  </si>
  <si>
    <t>黄蛟山风电\建筑工程\发电厂工程</t>
  </si>
  <si>
    <t>结算黄蛟山风电主体工程EPC总承包第二期进度费用</t>
  </si>
  <si>
    <t>转账276820231200014</t>
  </si>
  <si>
    <t>1004280802</t>
  </si>
  <si>
    <t>基建工程支出-工程物资设备款</t>
  </si>
  <si>
    <t>转账276820231200079</t>
  </si>
  <si>
    <t>1004375304</t>
  </si>
  <si>
    <t>结算贵阳院主体工程第五期进度款</t>
  </si>
  <si>
    <t>转账276820231200105</t>
  </si>
  <si>
    <t>1004415493</t>
  </si>
  <si>
    <t>WBS 276801.1.2</t>
  </si>
  <si>
    <t>转账276820231100065</t>
  </si>
  <si>
    <t>1004248444</t>
  </si>
  <si>
    <t>转账276820231100046</t>
  </si>
  <si>
    <t>1004208784</t>
  </si>
  <si>
    <t>结算黄蛟山风电主体工程EPC总承包第三期备料款</t>
  </si>
  <si>
    <t>005</t>
  </si>
  <si>
    <t>1004714980</t>
  </si>
  <si>
    <t>转账276820240500087</t>
  </si>
  <si>
    <t>1004725251</t>
  </si>
  <si>
    <t>276801.1.4</t>
  </si>
  <si>
    <t>黄蛟山风电\建筑工程\其他工程</t>
  </si>
  <si>
    <t>转账276820231100053</t>
  </si>
  <si>
    <t>1004219488</t>
  </si>
  <si>
    <t>结算黄蛟山风电送出EPC总承包第三期备料款</t>
  </si>
  <si>
    <t>转账276820231100066</t>
  </si>
  <si>
    <t>1004248445</t>
  </si>
  <si>
    <t>WBS 276801.1.4</t>
  </si>
  <si>
    <t>基建工程支出-其他</t>
  </si>
  <si>
    <t>转账276820240200034</t>
  </si>
  <si>
    <t>1004531854</t>
  </si>
  <si>
    <t>转账276820231200106</t>
  </si>
  <si>
    <t>1004415494</t>
  </si>
  <si>
    <t>1004778742</t>
  </si>
  <si>
    <t>276801.2</t>
  </si>
  <si>
    <t>黄蛟山风电\设备及安装工程</t>
  </si>
  <si>
    <t>转账276820231100022</t>
  </si>
  <si>
    <t>1004187477</t>
  </si>
  <si>
    <t>276801.2.1</t>
  </si>
  <si>
    <t>黄蛟山风电\设备及安装工程\发电场设备及安装工程</t>
  </si>
  <si>
    <t>转账276820231200051</t>
  </si>
  <si>
    <t>1004336815</t>
  </si>
  <si>
    <t>转账276820231200107</t>
  </si>
  <si>
    <t>1004415495</t>
  </si>
  <si>
    <t>WBS 276801.2.1</t>
  </si>
  <si>
    <t>转账276820231200015</t>
  </si>
  <si>
    <t>1004282005</t>
  </si>
  <si>
    <t>转账276820231100067</t>
  </si>
  <si>
    <t>1004248446</t>
  </si>
  <si>
    <t>276801.2.2</t>
  </si>
  <si>
    <t>黄蛟山风电\设备及安装工程\集电线路设备及安装工程</t>
  </si>
  <si>
    <t>003</t>
  </si>
  <si>
    <t>1004594705</t>
  </si>
  <si>
    <t>276801.2.3</t>
  </si>
  <si>
    <t>黄蛟山风电\设备及安装工程\其他设备及安装工程</t>
  </si>
  <si>
    <t>转账276820240300068</t>
  </si>
  <si>
    <t>1004598497</t>
  </si>
  <si>
    <t>WBS 276801.2.3</t>
  </si>
  <si>
    <t>276801.2.4</t>
  </si>
  <si>
    <t>黄蛟山风电\设备及安装工程\升压变电设备及安装工程</t>
  </si>
  <si>
    <t>转账276820240500088</t>
  </si>
  <si>
    <t>1004725252</t>
  </si>
  <si>
    <t>WBS 276801.2.4</t>
  </si>
  <si>
    <t>276801.3</t>
  </si>
  <si>
    <t>黄蛟山风电\在安装设备</t>
  </si>
  <si>
    <t>转账276820231000052</t>
  </si>
  <si>
    <t>1004161297</t>
  </si>
  <si>
    <t>WBS 276801.3</t>
  </si>
  <si>
    <t>1004728073</t>
  </si>
  <si>
    <t>转账276820240500121</t>
  </si>
  <si>
    <t>1004730949</t>
  </si>
  <si>
    <t>276801.4</t>
  </si>
  <si>
    <t>黄蛟山风电\待摊支出</t>
  </si>
  <si>
    <t>转账276820231000053</t>
  </si>
  <si>
    <t>1004161298</t>
  </si>
  <si>
    <t>WBS 276801.4</t>
  </si>
  <si>
    <t>转账276820231000039</t>
  </si>
  <si>
    <t>1004156065</t>
  </si>
  <si>
    <t>276801.4.1.1</t>
  </si>
  <si>
    <t>黄蛟山风电\待摊支出\建设场地征用及清理费\土地征用费</t>
  </si>
  <si>
    <t>结算黄蛟山（一期）风电项目用地补偿费及工作经费</t>
  </si>
  <si>
    <t>基建工程支出-待摊支出-建设场地征用及清理费</t>
  </si>
  <si>
    <t>转账276820231200088</t>
  </si>
  <si>
    <t>1004385253</t>
  </si>
  <si>
    <t>结算黄蛟山一期风电项目用地补偿费第二批</t>
  </si>
  <si>
    <t>转账276820231000054</t>
  </si>
  <si>
    <t>1004161299</t>
  </si>
  <si>
    <t>WBS 276801.4.1.1</t>
  </si>
  <si>
    <t>转账276820231200113</t>
  </si>
  <si>
    <t>1004415501</t>
  </si>
  <si>
    <t>1004733347</t>
  </si>
  <si>
    <t>转账276820240500143</t>
  </si>
  <si>
    <t>1004734859</t>
  </si>
  <si>
    <t>1004410893</t>
  </si>
  <si>
    <t>276801.4.1.1.1</t>
  </si>
  <si>
    <t>黄蛟山风电\待摊支出\建设场地征用及清理费\土地征用费\永久性用地征地</t>
  </si>
  <si>
    <t>冲预付黄蛟山一期风电项目建设用地补偿费</t>
  </si>
  <si>
    <t>冲预付黄蛟山（一期）风电项目建设用地补偿费</t>
  </si>
  <si>
    <t>009</t>
  </si>
  <si>
    <t>转账276820230900002</t>
  </si>
  <si>
    <t>1004069146</t>
  </si>
  <si>
    <t>基建工程支出-待摊支出-项目建设管理费-项目法人管理费-其他</t>
  </si>
  <si>
    <t>转账276820231200102</t>
  </si>
  <si>
    <t>1004415490</t>
  </si>
  <si>
    <t>WBS 276801.4.1.1.1</t>
  </si>
  <si>
    <t>转账276820230900007</t>
  </si>
  <si>
    <t>1004093148</t>
  </si>
  <si>
    <t>276801.4.1.1.5</t>
  </si>
  <si>
    <t>黄蛟山风电\待摊支出\建设场地征用及清理费\土地征用费\耕地占用税</t>
  </si>
  <si>
    <t>转账276820240500144</t>
  </si>
  <si>
    <t>1004734860</t>
  </si>
  <si>
    <t>WBS 276801.4.1.1.5</t>
  </si>
  <si>
    <t>转账276820231100078</t>
  </si>
  <si>
    <t>1004248910</t>
  </si>
  <si>
    <t>276801.4.2.1.1</t>
  </si>
  <si>
    <t>黄蛟山风电\待摊支出\项目建设管理费\项目法人管理费\差旅费</t>
  </si>
  <si>
    <t>调账WBS</t>
  </si>
  <si>
    <t>生产运营成本-一般管理费-差旅费</t>
  </si>
  <si>
    <t>转账276820231100028</t>
  </si>
  <si>
    <t>1004202823</t>
  </si>
  <si>
    <t>何炎培报销上海西电负责黄蛟山GIS验收差旅费</t>
  </si>
  <si>
    <t>转账276820231000014</t>
  </si>
  <si>
    <t>1004127615</t>
  </si>
  <si>
    <t>万学贵报销差旅费</t>
  </si>
  <si>
    <t>基建工程支出-待摊支出-项目建设管理费-项目法人管理费-差旅费</t>
  </si>
  <si>
    <t>转账276820231100060</t>
  </si>
  <si>
    <t>1004240693</t>
  </si>
  <si>
    <t>调账</t>
  </si>
  <si>
    <t>转账276820231100031</t>
  </si>
  <si>
    <t>1004202851</t>
  </si>
  <si>
    <t>张喆等3人报销差旅费</t>
  </si>
  <si>
    <t>转账276820231100018</t>
  </si>
  <si>
    <t>1004185939</t>
  </si>
  <si>
    <t>转账276820231000013</t>
  </si>
  <si>
    <t>1004127686</t>
  </si>
  <si>
    <t>吴燕忠报销差旅费</t>
  </si>
  <si>
    <t>转账276820231000027</t>
  </si>
  <si>
    <t>1004147398</t>
  </si>
  <si>
    <t>转账276820231000028</t>
  </si>
  <si>
    <t>1004147342</t>
  </si>
  <si>
    <t>转账276820231000043</t>
  </si>
  <si>
    <t>1004150419</t>
  </si>
  <si>
    <t>吴燕忠等5人报销差旅费</t>
  </si>
  <si>
    <t>转账276820231000041</t>
  </si>
  <si>
    <t>1004150343</t>
  </si>
  <si>
    <t>转账276820231000042</t>
  </si>
  <si>
    <t>1004159967</t>
  </si>
  <si>
    <t>张喆报销差旅费</t>
  </si>
  <si>
    <t>转账276820231000040</t>
  </si>
  <si>
    <t>1004151967</t>
  </si>
  <si>
    <t>转账276820231000026</t>
  </si>
  <si>
    <t>1004147312</t>
  </si>
  <si>
    <t>转账276820231100016</t>
  </si>
  <si>
    <t>1004185646</t>
  </si>
  <si>
    <t>张喆等三人报销差旅费</t>
  </si>
  <si>
    <t>转账276820231100019</t>
  </si>
  <si>
    <t>1004186070</t>
  </si>
  <si>
    <t>邓宸睿报销差旅费</t>
  </si>
  <si>
    <t>转账276820231100048</t>
  </si>
  <si>
    <t>1004214379</t>
  </si>
  <si>
    <t>报销张喆等3人差旅费</t>
  </si>
  <si>
    <t>转账276820231100050</t>
  </si>
  <si>
    <t>1004214656</t>
  </si>
  <si>
    <t>转账276820231100054</t>
  </si>
  <si>
    <t>1004219806</t>
  </si>
  <si>
    <t>转账276820231100021</t>
  </si>
  <si>
    <t>1004186322</t>
  </si>
  <si>
    <t>钟原报销设备厂家查看生产进度差旅费</t>
  </si>
  <si>
    <t>转账276820231100020</t>
  </si>
  <si>
    <t>1004186273</t>
  </si>
  <si>
    <t>钟原报销省电力公司接入事项汇报差旅费</t>
  </si>
  <si>
    <t>转账276820231100057</t>
  </si>
  <si>
    <t>1004225929</t>
  </si>
  <si>
    <t>袁华萍等3人到盐源公司大河风场出差</t>
  </si>
  <si>
    <t>转账276820231100056</t>
  </si>
  <si>
    <t>1004223919</t>
  </si>
  <si>
    <t>转账276820231100036</t>
  </si>
  <si>
    <t>1004203982</t>
  </si>
  <si>
    <t>熊涛报销差旅费</t>
  </si>
  <si>
    <t>转账276820231100024</t>
  </si>
  <si>
    <t>1004187520</t>
  </si>
  <si>
    <t>转账276820231100025</t>
  </si>
  <si>
    <t>1004187521</t>
  </si>
  <si>
    <t>转账276820231100030</t>
  </si>
  <si>
    <t>1004202914</t>
  </si>
  <si>
    <t>许小东报销差旅费</t>
  </si>
  <si>
    <t>转账276820231100032</t>
  </si>
  <si>
    <t>1004203080</t>
  </si>
  <si>
    <t>张喆、李斌、何明芝绵阳、巴中出差</t>
  </si>
  <si>
    <t>转账276820231100035</t>
  </si>
  <si>
    <t>1004203198</t>
  </si>
  <si>
    <t>转账276820231200018</t>
  </si>
  <si>
    <t>1004287797</t>
  </si>
  <si>
    <t>转账276820231200070</t>
  </si>
  <si>
    <t>1004367631</t>
  </si>
  <si>
    <t>许小东到成都出差</t>
  </si>
  <si>
    <t>转账276820231200061</t>
  </si>
  <si>
    <t>1004352276</t>
  </si>
  <si>
    <t>何明芝报剑阁县差旅费</t>
  </si>
  <si>
    <t>转账276820231000007</t>
  </si>
  <si>
    <t>1004118086</t>
  </si>
  <si>
    <t>转账276820231000009</t>
  </si>
  <si>
    <t>1004118540</t>
  </si>
  <si>
    <t>转账276820231200008</t>
  </si>
  <si>
    <t>1004278560</t>
  </si>
  <si>
    <t>吴燕忠等七人报销差旅费</t>
  </si>
  <si>
    <t>转账276820231200056</t>
  </si>
  <si>
    <t>1004350621</t>
  </si>
  <si>
    <t>王刚报销差旅费。</t>
  </si>
  <si>
    <t>转账276820231200055</t>
  </si>
  <si>
    <t>1004350475</t>
  </si>
  <si>
    <t>邓伟到设备厂家开展设备验收</t>
  </si>
  <si>
    <t>转账276820231200080</t>
  </si>
  <si>
    <t>1004377170</t>
  </si>
  <si>
    <t>柳启富到黄蛟山风电场工作</t>
  </si>
  <si>
    <t>转账276820231200084</t>
  </si>
  <si>
    <t>1004380097</t>
  </si>
  <si>
    <t>张喆报销2人差旅费</t>
  </si>
  <si>
    <t>转账276820231200057</t>
  </si>
  <si>
    <t>1004350702</t>
  </si>
  <si>
    <t>钟原报销设备厂家催交货差旅费</t>
  </si>
  <si>
    <t>转账276820231100068</t>
  </si>
  <si>
    <t>1004248447</t>
  </si>
  <si>
    <t>WBS 276801.4.2.1.1</t>
  </si>
  <si>
    <t>转账276820231200108</t>
  </si>
  <si>
    <t>1004415496</t>
  </si>
  <si>
    <t>转账276820231200036</t>
  </si>
  <si>
    <t>1004302788</t>
  </si>
  <si>
    <t>何强、李斌巴中出差</t>
  </si>
  <si>
    <t>转账276820231200091</t>
  </si>
  <si>
    <t>1004364955</t>
  </si>
  <si>
    <t>奚天龙报销3人差旅费</t>
  </si>
  <si>
    <t>转账276820231200040</t>
  </si>
  <si>
    <t>1004302957</t>
  </si>
  <si>
    <t>转账276820231200034</t>
  </si>
  <si>
    <t>1004302595</t>
  </si>
  <si>
    <t>刘栋到成都出差</t>
  </si>
  <si>
    <t>转账276820231200011</t>
  </si>
  <si>
    <t>1004279514</t>
  </si>
  <si>
    <t>转账276820231200010</t>
  </si>
  <si>
    <t>1004279466</t>
  </si>
  <si>
    <t>转账276820231200044</t>
  </si>
  <si>
    <t>1004304392</t>
  </si>
  <si>
    <t>转账276820231200002</t>
  </si>
  <si>
    <t>1004277743</t>
  </si>
  <si>
    <t>转账276820231200001</t>
  </si>
  <si>
    <t>1004277556</t>
  </si>
  <si>
    <t>转账276820231200066</t>
  </si>
  <si>
    <t>1004357177</t>
  </si>
  <si>
    <t>何强、何明芝巴中出差</t>
  </si>
  <si>
    <t>转账276820231200022</t>
  </si>
  <si>
    <t>1004307702</t>
  </si>
  <si>
    <t>转账276820231200024</t>
  </si>
  <si>
    <t>1004307704</t>
  </si>
  <si>
    <t>转账276820231200029</t>
  </si>
  <si>
    <t>1004308612</t>
  </si>
  <si>
    <t>胥桥报差旅费。</t>
  </si>
  <si>
    <t>转账276820231200028</t>
  </si>
  <si>
    <t>1004308611</t>
  </si>
  <si>
    <t>邓伟、陈仰福到设备厂家开展设备验收</t>
  </si>
  <si>
    <t>转账276820231200030</t>
  </si>
  <si>
    <t>1004308618</t>
  </si>
  <si>
    <t>转账276820231200093</t>
  </si>
  <si>
    <t>1004366332</t>
  </si>
  <si>
    <t>黄蛟山运维项目部8人到生产现场</t>
  </si>
  <si>
    <t>转账276820231200094</t>
  </si>
  <si>
    <t>1004366339</t>
  </si>
  <si>
    <t>吴燕忠等10人报销差旅费</t>
  </si>
  <si>
    <t>转账276820231200020</t>
  </si>
  <si>
    <t>1004307420</t>
  </si>
  <si>
    <t>何明芝、何强巴中出差</t>
  </si>
  <si>
    <t>转账276820231200023</t>
  </si>
  <si>
    <t>1004307628</t>
  </si>
  <si>
    <t>转账276820231000055</t>
  </si>
  <si>
    <t>1004162374</t>
  </si>
  <si>
    <t>转账276820231100079</t>
  </si>
  <si>
    <t>1004249159</t>
  </si>
  <si>
    <t>001</t>
  </si>
  <si>
    <t>转账276820240100009</t>
  </si>
  <si>
    <t>1004451877</t>
  </si>
  <si>
    <t>胡慧丹报销差旅费</t>
  </si>
  <si>
    <t>转账276820240100041</t>
  </si>
  <si>
    <t>1004465186</t>
  </si>
  <si>
    <t>吴燕忠等11人报销差旅费</t>
  </si>
  <si>
    <t>转账276820240100040</t>
  </si>
  <si>
    <t>1004465183</t>
  </si>
  <si>
    <t>转账276820240100036</t>
  </si>
  <si>
    <t>1004464622</t>
  </si>
  <si>
    <t>转账276820240100020</t>
  </si>
  <si>
    <t>1004463660</t>
  </si>
  <si>
    <t>黄琮翔报销差旅费</t>
  </si>
  <si>
    <t>转账276820240100021</t>
  </si>
  <si>
    <t>1004463666</t>
  </si>
  <si>
    <t>转账276820240100039</t>
  </si>
  <si>
    <t>1004465080</t>
  </si>
  <si>
    <t>柳瑾报差旅费</t>
  </si>
  <si>
    <t>转账276820240100045</t>
  </si>
  <si>
    <t>1004471188</t>
  </si>
  <si>
    <t>何强去巴中市通江县、南江县企业对接</t>
  </si>
  <si>
    <t>转账276820240100042</t>
  </si>
  <si>
    <t>1004465221</t>
  </si>
  <si>
    <t>柳启富到黄蛟山风电场出差</t>
  </si>
  <si>
    <t>转账276820240100047</t>
  </si>
  <si>
    <t>1004471330</t>
  </si>
  <si>
    <t>马爱尊等6人出差。</t>
  </si>
  <si>
    <t>转账276820240100046</t>
  </si>
  <si>
    <t>1004471323</t>
  </si>
  <si>
    <t>转账276820240100048</t>
  </si>
  <si>
    <t>1004471731</t>
  </si>
  <si>
    <t>转账276820240100003</t>
  </si>
  <si>
    <t>1004451421</t>
  </si>
  <si>
    <t>转账276820240100002</t>
  </si>
  <si>
    <t>1004451399</t>
  </si>
  <si>
    <t>张喆报销两人差旅费。</t>
  </si>
  <si>
    <t>转账276820240100011</t>
  </si>
  <si>
    <t>1004452502</t>
  </si>
  <si>
    <t>转账276820240100017</t>
  </si>
  <si>
    <t>1004463533</t>
  </si>
  <si>
    <t>许小东、奚天龙报销差旅费</t>
  </si>
  <si>
    <t>转账276820240100049</t>
  </si>
  <si>
    <t>1004471825</t>
  </si>
  <si>
    <t>张喆报销两人差旅费</t>
  </si>
  <si>
    <t>转账276820240200013</t>
  </si>
  <si>
    <t>1004502934</t>
  </si>
  <si>
    <t>转账276820240200015</t>
  </si>
  <si>
    <t>1004502943</t>
  </si>
  <si>
    <t>转账276820240200006</t>
  </si>
  <si>
    <t>1004502648</t>
  </si>
  <si>
    <t>转账276820240200025</t>
  </si>
  <si>
    <t>1004517708</t>
  </si>
  <si>
    <t>李能杰报销差旅费。</t>
  </si>
  <si>
    <t>转账276820240200018</t>
  </si>
  <si>
    <t>1004503232</t>
  </si>
  <si>
    <t>转账276820240200001</t>
  </si>
  <si>
    <t>1004502458</t>
  </si>
  <si>
    <t>转账276820240300007</t>
  </si>
  <si>
    <t>1004549812</t>
  </si>
  <si>
    <t>报销吴燕忠等11人出差</t>
  </si>
  <si>
    <t>转账276820240300009</t>
  </si>
  <si>
    <t>1004549818</t>
  </si>
  <si>
    <t>转账276820240300002</t>
  </si>
  <si>
    <t>1004549770</t>
  </si>
  <si>
    <t>王芳林、钟原报销差旅费</t>
  </si>
  <si>
    <t>转账276820240300008</t>
  </si>
  <si>
    <t>1004549816</t>
  </si>
  <si>
    <t>转账276820240200035</t>
  </si>
  <si>
    <t>1004531855</t>
  </si>
  <si>
    <t>转账276820240500089</t>
  </si>
  <si>
    <t>1004725253</t>
  </si>
  <si>
    <t>004</t>
  </si>
  <si>
    <t>转账276820240400041</t>
  </si>
  <si>
    <t>1004663610</t>
  </si>
  <si>
    <t>转账276820240300033</t>
  </si>
  <si>
    <t>1004568957</t>
  </si>
  <si>
    <t>转账276820240300032</t>
  </si>
  <si>
    <t>1004568873</t>
  </si>
  <si>
    <t>转账276820240300034</t>
  </si>
  <si>
    <t>1004569371</t>
  </si>
  <si>
    <t>转账276820240300020</t>
  </si>
  <si>
    <t>1004560562</t>
  </si>
  <si>
    <t>转账276820240300027</t>
  </si>
  <si>
    <t>1004563093</t>
  </si>
  <si>
    <t>转账276820240300029</t>
  </si>
  <si>
    <t>1004568764</t>
  </si>
  <si>
    <t>转账276820240300051</t>
  </si>
  <si>
    <t>1004586512</t>
  </si>
  <si>
    <t>转账276820240300040</t>
  </si>
  <si>
    <t>1004576546</t>
  </si>
  <si>
    <t>转账276820240300035</t>
  </si>
  <si>
    <t>1004569391</t>
  </si>
  <si>
    <t>转账276820240300039</t>
  </si>
  <si>
    <t>1004576341</t>
  </si>
  <si>
    <t>转账276820240400028</t>
  </si>
  <si>
    <t>1004645051</t>
  </si>
  <si>
    <t>转账276820240400002</t>
  </si>
  <si>
    <t>1004609941</t>
  </si>
  <si>
    <t>柳启富到黄蛟山出差</t>
  </si>
  <si>
    <t>转账276820240400005</t>
  </si>
  <si>
    <t>1004610116</t>
  </si>
  <si>
    <t>转账276820240400009</t>
  </si>
  <si>
    <t>1004610222</t>
  </si>
  <si>
    <t>转账276820240400007</t>
  </si>
  <si>
    <t>1004610133</t>
  </si>
  <si>
    <t>转账276820240300055</t>
  </si>
  <si>
    <t>1004588840</t>
  </si>
  <si>
    <t>转账276820240500026</t>
  </si>
  <si>
    <t>1004690721</t>
  </si>
  <si>
    <t>王元贵报销差旅费</t>
  </si>
  <si>
    <t>转账276820240100054</t>
  </si>
  <si>
    <t>1004480871</t>
  </si>
  <si>
    <t>转账276820240400010</t>
  </si>
  <si>
    <t>1004626788</t>
  </si>
  <si>
    <t>转账276820240400012</t>
  </si>
  <si>
    <t>1004626905</t>
  </si>
  <si>
    <t>熊涛报销差旅费。</t>
  </si>
  <si>
    <t>转账276820240500009</t>
  </si>
  <si>
    <t>1004690249</t>
  </si>
  <si>
    <t>张倩到黄蛟山出差</t>
  </si>
  <si>
    <t>转账276820231200071</t>
  </si>
  <si>
    <t>1004370455</t>
  </si>
  <si>
    <t>276801.4.2.1.15</t>
  </si>
  <si>
    <t>黄蛟山风电\待摊支出\项目建设管理费\项目法人管理费\会议费</t>
  </si>
  <si>
    <t>青晏、李庆武参加新能源生产人员岗位能力认证会务费</t>
  </si>
  <si>
    <t>基建工程支出-待摊支出-项目建设管理费-项目法人管理费-会议费</t>
  </si>
  <si>
    <t>转账276820231200059</t>
  </si>
  <si>
    <t>1004350776</t>
  </si>
  <si>
    <t>吴燕忠报销黄蛟山送出工程协调会议费</t>
  </si>
  <si>
    <t>转账276820240100055</t>
  </si>
  <si>
    <t>1004480872</t>
  </si>
  <si>
    <t>WBS 276801.4.2.1.15</t>
  </si>
  <si>
    <t>转账276820231200053</t>
  </si>
  <si>
    <t>1004348614</t>
  </si>
  <si>
    <t>赵立科报黄蛟山风电项目单叶片吊装协调会议费</t>
  </si>
  <si>
    <t>转账276820231200125</t>
  </si>
  <si>
    <t>1004415524</t>
  </si>
  <si>
    <t>转账276820231200134</t>
  </si>
  <si>
    <t>1004418997</t>
  </si>
  <si>
    <t>转账276820240100050</t>
  </si>
  <si>
    <t>1004474944</t>
  </si>
  <si>
    <t>转账276820231200096</t>
  </si>
  <si>
    <t>1004366671</t>
  </si>
  <si>
    <t>陈仰福、袁华萍参加新能源生产人员岗位能力认证考试</t>
  </si>
  <si>
    <t>转账276820231200130</t>
  </si>
  <si>
    <t>1004417644</t>
  </si>
  <si>
    <t>入账科目调整</t>
  </si>
  <si>
    <t>转账276820231100049</t>
  </si>
  <si>
    <t>1004214419</t>
  </si>
  <si>
    <t>276801.4.2.1.2</t>
  </si>
  <si>
    <t>黄蛟山风电\待摊支出\项目建设管理费\项目法人管理费\办公费</t>
  </si>
  <si>
    <t>刘栋报销办公费</t>
  </si>
  <si>
    <t>基建工程支出-待摊支出-项目建设管理费-项目法人管理费-办公费</t>
  </si>
  <si>
    <t>转账276820231100076</t>
  </si>
  <si>
    <t>1004248858</t>
  </si>
  <si>
    <t>WBS 276801.4.2.1.2</t>
  </si>
  <si>
    <t>转账276820240200029</t>
  </si>
  <si>
    <t>1004531749</t>
  </si>
  <si>
    <t>276801.4.2.1.2.3</t>
  </si>
  <si>
    <t>黄蛟山风电\待摊支出\项目建设管理费\项目法人管理费\办公费\办公用品</t>
  </si>
  <si>
    <t>结算北京京东世纪信息技术有限公司办公用品费</t>
  </si>
  <si>
    <t>基建工程支出-待摊支出-生产准备费-其他</t>
  </si>
  <si>
    <t>转账276820240200042</t>
  </si>
  <si>
    <t>1004531864</t>
  </si>
  <si>
    <t>WBS 276801.4.2.1.2.3</t>
  </si>
  <si>
    <t>转账276820230900001</t>
  </si>
  <si>
    <t>1004066752</t>
  </si>
  <si>
    <t>276801.4.2.1.3</t>
  </si>
  <si>
    <t>黄蛟山风电\待摊支出\项目建设管理费\项目法人管理费\业务招待费</t>
  </si>
  <si>
    <t>赵立科报销业务交流费。</t>
  </si>
  <si>
    <t>基建工程支出-待摊支出-项目建设管理费-项目法人管理费-业务招待费</t>
  </si>
  <si>
    <t>转账276820231000001</t>
  </si>
  <si>
    <t>1004105632</t>
  </si>
  <si>
    <t>王刚报销业务交流费。</t>
  </si>
  <si>
    <t>转账276820231200025</t>
  </si>
  <si>
    <t>1004307705</t>
  </si>
  <si>
    <t>万学贵报销业务交流费</t>
  </si>
  <si>
    <t>转账276820231000050</t>
  </si>
  <si>
    <t>1004161295</t>
  </si>
  <si>
    <t>WBS 276801.4.2.1.3</t>
  </si>
  <si>
    <t>转账276820231100063</t>
  </si>
  <si>
    <t>1004248441</t>
  </si>
  <si>
    <t>转账276820231200101</t>
  </si>
  <si>
    <t>1004415489</t>
  </si>
  <si>
    <t>转账276820240100024</t>
  </si>
  <si>
    <t>1004463687</t>
  </si>
  <si>
    <t>胥桥报业务交流费。</t>
  </si>
  <si>
    <t>转账276820231000003</t>
  </si>
  <si>
    <t>1004107319</t>
  </si>
  <si>
    <t>王刚报销业务交流费</t>
  </si>
  <si>
    <t>转账276820231000011</t>
  </si>
  <si>
    <t>1004118543</t>
  </si>
  <si>
    <t>邓宸睿报销业务交流费</t>
  </si>
  <si>
    <t>转账276820231000008</t>
  </si>
  <si>
    <t>1004118584</t>
  </si>
  <si>
    <t>转账276820231000045</t>
  </si>
  <si>
    <t>1004159950</t>
  </si>
  <si>
    <t>转账276820231100029</t>
  </si>
  <si>
    <t>1004202908</t>
  </si>
  <si>
    <t>柳瑾报业务交流费</t>
  </si>
  <si>
    <t>转账276820231100034</t>
  </si>
  <si>
    <t>1004203190</t>
  </si>
  <si>
    <t>刘栋报销业务交流费秦军1816元</t>
  </si>
  <si>
    <t>刘栋报销业务交流费（秦军1816元）</t>
  </si>
  <si>
    <t>转账276820231200007</t>
  </si>
  <si>
    <t>1004278545</t>
  </si>
  <si>
    <t>吴燕忠报销业务交流费</t>
  </si>
  <si>
    <t>转账276820231200065</t>
  </si>
  <si>
    <t>1004357175</t>
  </si>
  <si>
    <t>转账276820231200058</t>
  </si>
  <si>
    <t>1004350710</t>
  </si>
  <si>
    <t>转账276820231200064</t>
  </si>
  <si>
    <t>1004357172</t>
  </si>
  <si>
    <t>赵立科报销业务交流费</t>
  </si>
  <si>
    <t>转账276820230900006</t>
  </si>
  <si>
    <t>1004093147</t>
  </si>
  <si>
    <t>转账276820240100026</t>
  </si>
  <si>
    <t>1004463698</t>
  </si>
  <si>
    <t>许小东报销业务交流费王永建1752</t>
  </si>
  <si>
    <t>许小东报销业务交流费（王永建1752）</t>
  </si>
  <si>
    <t>转账276820240100022</t>
  </si>
  <si>
    <t>1004463672</t>
  </si>
  <si>
    <t>转账276820240100012</t>
  </si>
  <si>
    <t>1004452529</t>
  </si>
  <si>
    <t>转账276820240100044</t>
  </si>
  <si>
    <t>1004471177</t>
  </si>
  <si>
    <t>转账276820240200017</t>
  </si>
  <si>
    <t>1004503221</t>
  </si>
  <si>
    <t>钟原报销业务交流费。秦军1700元</t>
  </si>
  <si>
    <t>钟原报销业务交流费。（秦军1700元）</t>
  </si>
  <si>
    <t>转账276820240300001</t>
  </si>
  <si>
    <t>1004549766</t>
  </si>
  <si>
    <t>钟原报销业务交流费</t>
  </si>
  <si>
    <t>转账276820240300003</t>
  </si>
  <si>
    <t>1004549772</t>
  </si>
  <si>
    <t>邓伟报销业务交流费</t>
  </si>
  <si>
    <t>转账276820240300031</t>
  </si>
  <si>
    <t>1004568861</t>
  </si>
  <si>
    <t>转账276820240300005</t>
  </si>
  <si>
    <t>1004549786</t>
  </si>
  <si>
    <t>转账276820240100052</t>
  </si>
  <si>
    <t>1004480869</t>
  </si>
  <si>
    <t>转账276820240200031</t>
  </si>
  <si>
    <t>1004531851</t>
  </si>
  <si>
    <t>转账276820240300053</t>
  </si>
  <si>
    <t>1004588838</t>
  </si>
  <si>
    <t>转账276820240400040</t>
  </si>
  <si>
    <t>1004663609</t>
  </si>
  <si>
    <t>转账276820240100004</t>
  </si>
  <si>
    <t>1004451525</t>
  </si>
  <si>
    <t>转账276820240400011</t>
  </si>
  <si>
    <t>1004626883</t>
  </si>
  <si>
    <t>吴燕忠报销业务交流费秦军：1789元</t>
  </si>
  <si>
    <t>吴燕忠报销业务交流费（秦军：1789元）</t>
  </si>
  <si>
    <t>转账276820231000010</t>
  </si>
  <si>
    <t>1004118590</t>
  </si>
  <si>
    <t>转账276820231000002</t>
  </si>
  <si>
    <t>1004106589</t>
  </si>
  <si>
    <t>许小东报销业务交流费</t>
  </si>
  <si>
    <t>转账276820231000019</t>
  </si>
  <si>
    <t>1004146307</t>
  </si>
  <si>
    <t>转账276820231000032</t>
  </si>
  <si>
    <t>1004148680</t>
  </si>
  <si>
    <t>许小东报销业务交流费王永建1790元</t>
  </si>
  <si>
    <t>许小东报销业务交流费（王永建1790元）</t>
  </si>
  <si>
    <t>转账276820231000044</t>
  </si>
  <si>
    <t>1004150477</t>
  </si>
  <si>
    <t>转账276820231000030</t>
  </si>
  <si>
    <t>1004148335</t>
  </si>
  <si>
    <t>转账276820231000025</t>
  </si>
  <si>
    <t>1004146894</t>
  </si>
  <si>
    <t>转账276820231000047</t>
  </si>
  <si>
    <t>1004160469</t>
  </si>
  <si>
    <t>转账276820231000046</t>
  </si>
  <si>
    <t>1004160468</t>
  </si>
  <si>
    <t>转账276820231000048</t>
  </si>
  <si>
    <t>1004160375</t>
  </si>
  <si>
    <t>转账276820231000024</t>
  </si>
  <si>
    <t>1004146800</t>
  </si>
  <si>
    <t>刘栋报销业务交流费</t>
  </si>
  <si>
    <t>转账276820231000023</t>
  </si>
  <si>
    <t>1004146617</t>
  </si>
  <si>
    <t>转账276820231100006</t>
  </si>
  <si>
    <t>1004173837</t>
  </si>
  <si>
    <t>转账276820231100007</t>
  </si>
  <si>
    <t>1004173848</t>
  </si>
  <si>
    <t>转账276820231100014</t>
  </si>
  <si>
    <t>1004175129</t>
  </si>
  <si>
    <t>转账276820231100015</t>
  </si>
  <si>
    <t>1004175161</t>
  </si>
  <si>
    <t>财务报融资贷款业务交流费</t>
  </si>
  <si>
    <t>转账276820231100010</t>
  </si>
  <si>
    <t>1004174562</t>
  </si>
  <si>
    <t>转账276820231100011</t>
  </si>
  <si>
    <t>1004174591</t>
  </si>
  <si>
    <t>邓宸睿报销业务交流费王永建1484元</t>
  </si>
  <si>
    <t>邓宸睿报销业务交流费（王永建1484元）</t>
  </si>
  <si>
    <t>转账276820231100012</t>
  </si>
  <si>
    <t>1004174796</t>
  </si>
  <si>
    <t>转账276820231100013</t>
  </si>
  <si>
    <t>1004174866</t>
  </si>
  <si>
    <t>转账276820231100008</t>
  </si>
  <si>
    <t>1004174124</t>
  </si>
  <si>
    <t>邓宸睿报销业务交流费王永建1204元</t>
  </si>
  <si>
    <t>邓宸睿报销业务交流费（王永建1204元）</t>
  </si>
  <si>
    <t>转账276820231100009</t>
  </si>
  <si>
    <t>1004174312</t>
  </si>
  <si>
    <t>转账276820231100058</t>
  </si>
  <si>
    <t>1004226004</t>
  </si>
  <si>
    <t>奚天龙报销业务交流费</t>
  </si>
  <si>
    <t>转账276820231100055</t>
  </si>
  <si>
    <t>1004223766</t>
  </si>
  <si>
    <t>转账276820231100040</t>
  </si>
  <si>
    <t>1004204264</t>
  </si>
  <si>
    <t>转账276820231100041</t>
  </si>
  <si>
    <t>1004204266</t>
  </si>
  <si>
    <t>转账276820231100038</t>
  </si>
  <si>
    <t>1004204228</t>
  </si>
  <si>
    <t>转账276820231100045</t>
  </si>
  <si>
    <t>1004205508</t>
  </si>
  <si>
    <t>转账276820231100042</t>
  </si>
  <si>
    <t>1004204565</t>
  </si>
  <si>
    <t>郭怡报销业务交流费</t>
  </si>
  <si>
    <t>转账276820231100037</t>
  </si>
  <si>
    <t>1004204294</t>
  </si>
  <si>
    <t>转账276820231100044</t>
  </si>
  <si>
    <t>1004205381</t>
  </si>
  <si>
    <t>转账276820231200013</t>
  </si>
  <si>
    <t>1004280485</t>
  </si>
  <si>
    <t>许小东报销业务交流费王永建1588元</t>
  </si>
  <si>
    <t>许小东报销业务交流费(王永建1588元）</t>
  </si>
  <si>
    <t>转账276820231200012</t>
  </si>
  <si>
    <t>1004280483</t>
  </si>
  <si>
    <t>转账276820231200050</t>
  </si>
  <si>
    <t>1004331673</t>
  </si>
  <si>
    <t>转账276820231200060</t>
  </si>
  <si>
    <t>1004350993</t>
  </si>
  <si>
    <t>转账276820231200005</t>
  </si>
  <si>
    <t>1004278167</t>
  </si>
  <si>
    <t>转账276820231200075</t>
  </si>
  <si>
    <t>1004373285</t>
  </si>
  <si>
    <t>转账276820231200074</t>
  </si>
  <si>
    <t>1004372222</t>
  </si>
  <si>
    <t>转账276820231200083</t>
  </si>
  <si>
    <t>1004379509</t>
  </si>
  <si>
    <t>转账276820231200009</t>
  </si>
  <si>
    <t>1004279131</t>
  </si>
  <si>
    <t>转账276820231200027</t>
  </si>
  <si>
    <t>1004308487</t>
  </si>
  <si>
    <t>转账276820231200026</t>
  </si>
  <si>
    <t>1004308485</t>
  </si>
  <si>
    <t>转账276820231200035</t>
  </si>
  <si>
    <t>1004302631</t>
  </si>
  <si>
    <t>许小东报销业务交流费秦军1850元</t>
  </si>
  <si>
    <t>许小东报销业务交流费(秦军1850元）</t>
  </si>
  <si>
    <t>转账276820231200037</t>
  </si>
  <si>
    <t>1004302878</t>
  </si>
  <si>
    <t>转账276820231200039</t>
  </si>
  <si>
    <t>1004303006</t>
  </si>
  <si>
    <t>转账276820231200042</t>
  </si>
  <si>
    <t>1004303715</t>
  </si>
  <si>
    <t>转账276820231200041</t>
  </si>
  <si>
    <t>1004303179</t>
  </si>
  <si>
    <t>转账276820231200063</t>
  </si>
  <si>
    <t>1004356179</t>
  </si>
  <si>
    <t>转账276820231200078</t>
  </si>
  <si>
    <t>1004373965</t>
  </si>
  <si>
    <t>转账276820231200054</t>
  </si>
  <si>
    <t>1004349044</t>
  </si>
  <si>
    <t>转账276820231200045</t>
  </si>
  <si>
    <t>1004304784</t>
  </si>
  <si>
    <t>转账276820240100034</t>
  </si>
  <si>
    <t>1004464362</t>
  </si>
  <si>
    <t>转账276820240100006</t>
  </si>
  <si>
    <t>1004451709</t>
  </si>
  <si>
    <t>转账276820240100007</t>
  </si>
  <si>
    <t>1004451713</t>
  </si>
  <si>
    <t>转账276820240100008</t>
  </si>
  <si>
    <t>1004451793</t>
  </si>
  <si>
    <t>转账276820240300024</t>
  </si>
  <si>
    <t>1004560815</t>
  </si>
  <si>
    <t>吴燕忠报销业务交流费秦军：1940元</t>
  </si>
  <si>
    <t>吴燕忠报销业务交流费（秦军：1940元）</t>
  </si>
  <si>
    <t>转账276820240300026</t>
  </si>
  <si>
    <t>1004562956</t>
  </si>
  <si>
    <t>张喆报销业务交流费</t>
  </si>
  <si>
    <t>转账276820240300047</t>
  </si>
  <si>
    <t>1004585300</t>
  </si>
  <si>
    <t>转账276820240300049</t>
  </si>
  <si>
    <t>1004586349</t>
  </si>
  <si>
    <t>转账276820240400021</t>
  </si>
  <si>
    <t>1004627403</t>
  </si>
  <si>
    <t>转账276820240400020</t>
  </si>
  <si>
    <t>1004627343</t>
  </si>
  <si>
    <t>1004764922</t>
  </si>
  <si>
    <t>276801.4.2.1.6</t>
  </si>
  <si>
    <t>黄蛟山风电\待摊支出\项目建设管理费\项目法人管理费\咨询费</t>
  </si>
  <si>
    <t>转账276820231200019</t>
  </si>
  <si>
    <t>1004311767</t>
  </si>
  <si>
    <t>276801.4.2.1.9.2</t>
  </si>
  <si>
    <t>黄蛟山风电\待摊支出\项目建设管理费\项目法人管理费\税费\印花税</t>
  </si>
  <si>
    <t>计提印花税黄蛟山、坝后</t>
  </si>
  <si>
    <t>基建工程支出-待摊支出-税费</t>
  </si>
  <si>
    <t>转账276820231200124</t>
  </si>
  <si>
    <t>1004415523</t>
  </si>
  <si>
    <t>WBS 276801.4.2.1.9.2</t>
  </si>
  <si>
    <t>转账276820231000012</t>
  </si>
  <si>
    <t>1004125657</t>
  </si>
  <si>
    <t>276801.4.2.2</t>
  </si>
  <si>
    <t>黄蛟山风电\待摊支出\项目建设管理费\工程保险费</t>
  </si>
  <si>
    <t>转账276820231000056</t>
  </si>
  <si>
    <t>1004162375</t>
  </si>
  <si>
    <t>WBS 276801.4.2.2</t>
  </si>
  <si>
    <t>转账276820231200047</t>
  </si>
  <si>
    <t>1004326304</t>
  </si>
  <si>
    <t>276801.4.2.3</t>
  </si>
  <si>
    <t>黄蛟山风电\待摊支出\项目建设管理费\工程建设管理费</t>
  </si>
  <si>
    <t>转账276820231200126</t>
  </si>
  <si>
    <t>1004415525</t>
  </si>
  <si>
    <t>WBS 276801.4.2.3</t>
  </si>
  <si>
    <t>1004329812</t>
  </si>
  <si>
    <t>276801.4.2.4</t>
  </si>
  <si>
    <t>黄蛟山风电\待摊支出\项目建设管理费\项目咨询服务费</t>
  </si>
  <si>
    <t>基建工程支出-待摊支出-项目建设技术服务费</t>
  </si>
  <si>
    <t>转账276820231200127</t>
  </si>
  <si>
    <t>1004415526</t>
  </si>
  <si>
    <t>WBS 276801.4.2.4</t>
  </si>
  <si>
    <t>1004654288</t>
  </si>
  <si>
    <t>转账276820240400042</t>
  </si>
  <si>
    <t>1004663611</t>
  </si>
  <si>
    <t>转账276820240500090</t>
  </si>
  <si>
    <t>1004725254</t>
  </si>
  <si>
    <t>1004725008</t>
  </si>
  <si>
    <t>转账276820231000020</t>
  </si>
  <si>
    <t>1004146470</t>
  </si>
  <si>
    <t>276801.4.2.6</t>
  </si>
  <si>
    <t>黄蛟山风电\待摊支出\项目建设管理费\专题报告</t>
  </si>
  <si>
    <t>转账276820231100027</t>
  </si>
  <si>
    <t>1004202121</t>
  </si>
  <si>
    <t>转账276820231200135</t>
  </si>
  <si>
    <t>1004418998</t>
  </si>
  <si>
    <t>WBS 276801.4.2.6</t>
  </si>
  <si>
    <t>转账276820231200109</t>
  </si>
  <si>
    <t>1004415497</t>
  </si>
  <si>
    <t>转账276820231100033</t>
  </si>
  <si>
    <t>1004203098</t>
  </si>
  <si>
    <t>转账276820231100026</t>
  </si>
  <si>
    <t>1004188869</t>
  </si>
  <si>
    <t>转账276820231100069</t>
  </si>
  <si>
    <t>1004248448</t>
  </si>
  <si>
    <t>转账276820240500122</t>
  </si>
  <si>
    <t>1004730950</t>
  </si>
  <si>
    <t>1004740535</t>
  </si>
  <si>
    <t>1004754869</t>
  </si>
  <si>
    <t>转账276820231200072</t>
  </si>
  <si>
    <t>1004371661</t>
  </si>
  <si>
    <t>转账276820231200046</t>
  </si>
  <si>
    <t>1004324567</t>
  </si>
  <si>
    <t>1004418799</t>
  </si>
  <si>
    <t>1004419432</t>
  </si>
  <si>
    <t>转账276820231000067</t>
  </si>
  <si>
    <t>1004162425</t>
  </si>
  <si>
    <t>1004730092</t>
  </si>
  <si>
    <t>转账276820231000017</t>
  </si>
  <si>
    <t>1004145262</t>
  </si>
  <si>
    <t>276801.4.2.6.10</t>
  </si>
  <si>
    <t>黄蛟山风电\待摊支出\项目建设管理费\专题报告\接入系统咨询费</t>
  </si>
  <si>
    <t>转账276820231000059</t>
  </si>
  <si>
    <t>1004162378</t>
  </si>
  <si>
    <t>WBS 276801.4.2.6.10</t>
  </si>
  <si>
    <t>转账276820231000015</t>
  </si>
  <si>
    <t>1004144851</t>
  </si>
  <si>
    <t>276801.4.2.6.12</t>
  </si>
  <si>
    <t>黄蛟山风电\待摊支出\项目建设管理费\专题报告\安全预评价</t>
  </si>
  <si>
    <t>转账276820231000060</t>
  </si>
  <si>
    <t>1004162379</t>
  </si>
  <si>
    <t>WBS 276801.4.2.6.12</t>
  </si>
  <si>
    <t>转账276820231000021</t>
  </si>
  <si>
    <t>1004146477</t>
  </si>
  <si>
    <t>276801.4.2.6.14</t>
  </si>
  <si>
    <t>黄蛟山风电\待摊支出\项目建设管理费\专题报告\项目选址</t>
  </si>
  <si>
    <t>转账276820231000061</t>
  </si>
  <si>
    <t>1004162380</t>
  </si>
  <si>
    <t>WBS 276801.4.2.6.14</t>
  </si>
  <si>
    <t>转账276820231000029</t>
  </si>
  <si>
    <t>1004148248</t>
  </si>
  <si>
    <t>276801.4.2.6.15</t>
  </si>
  <si>
    <t>黄蛟山风电\待摊支出\项目建设管理费\专题报告\可研</t>
  </si>
  <si>
    <t>转账276820231100047</t>
  </si>
  <si>
    <t>1004211795</t>
  </si>
  <si>
    <t>结算黄蛟山一期60MW风电项目可研审查费用</t>
  </si>
  <si>
    <t>结算黄蛟山（一期）60MW风电项目可研审查费用</t>
  </si>
  <si>
    <t>转账276820231000062</t>
  </si>
  <si>
    <t>1004162381</t>
  </si>
  <si>
    <t>WBS 276801.4.2.6.15</t>
  </si>
  <si>
    <t>转账276820231100070</t>
  </si>
  <si>
    <t>1004248449</t>
  </si>
  <si>
    <t>1004558328</t>
  </si>
  <si>
    <t>276801.4.2.6.16</t>
  </si>
  <si>
    <t>黄蛟山风电\待摊支出\项目建设管理费\专题报告\勘测定界</t>
  </si>
  <si>
    <t>1004705726</t>
  </si>
  <si>
    <t>转账276820240500091</t>
  </si>
  <si>
    <t>1004725255</t>
  </si>
  <si>
    <t>WBS 276801.4.2.6.16</t>
  </si>
  <si>
    <t>转账276820240300056</t>
  </si>
  <si>
    <t>1004588841</t>
  </si>
  <si>
    <t>转账276820231000018</t>
  </si>
  <si>
    <t>1004146281</t>
  </si>
  <si>
    <t>276801.4.2.6.2</t>
  </si>
  <si>
    <t>黄蛟山风电\待摊支出\项目建设管理费\专题报告\环境影响评价费</t>
  </si>
  <si>
    <t>转账276820231000057</t>
  </si>
  <si>
    <t>1004162376</t>
  </si>
  <si>
    <t>WBS 276801.4.2.6.2</t>
  </si>
  <si>
    <t>转账276820231000016</t>
  </si>
  <si>
    <t>1004145174</t>
  </si>
  <si>
    <t>276801.4.2.6.5</t>
  </si>
  <si>
    <t>黄蛟山风电\待摊支出\项目建设管理费\专题报告\水保编制费</t>
  </si>
  <si>
    <t>转账276820231000058</t>
  </si>
  <si>
    <t>1004162377</t>
  </si>
  <si>
    <t>WBS 276801.4.2.6.5</t>
  </si>
  <si>
    <t>转账276820240600045</t>
  </si>
  <si>
    <t>1004765057</t>
  </si>
  <si>
    <t>276801.4.3</t>
  </si>
  <si>
    <t>黄蛟山风电\待摊支出\生产准备费</t>
  </si>
  <si>
    <t>支付四川华电广元工程公司生产准备服务费</t>
  </si>
  <si>
    <t>1004698473</t>
  </si>
  <si>
    <t>转账276820240500092</t>
  </si>
  <si>
    <t>1004725256</t>
  </si>
  <si>
    <t>WBS 276801.4.3</t>
  </si>
  <si>
    <t>转账276820231200090</t>
  </si>
  <si>
    <t>1004363521</t>
  </si>
  <si>
    <t>276801.4.3.1.1</t>
  </si>
  <si>
    <t>黄蛟山风电\待摊支出\生产准备费\生产人员培训及提前进厂费\差旅费</t>
  </si>
  <si>
    <t>袁华萍、陈仰福参加新能源运行人员岗位能力认证考试</t>
  </si>
  <si>
    <t>转账276820231200067</t>
  </si>
  <si>
    <t>1004361562</t>
  </si>
  <si>
    <t>青晏、李庆武参加新能源运行生产人员岗位能力认证考试</t>
  </si>
  <si>
    <t>转账276820231200110</t>
  </si>
  <si>
    <t>1004415498</t>
  </si>
  <si>
    <t>WBS 276801.4.3.1.1</t>
  </si>
  <si>
    <t>转账276820240500093</t>
  </si>
  <si>
    <t>1004725257</t>
  </si>
  <si>
    <t>转账276820240400019</t>
  </si>
  <si>
    <t>1004627314</t>
  </si>
  <si>
    <t>钟原、邓伟参加四川公司涉网试验交流会议。</t>
  </si>
  <si>
    <t>转账276820240500025</t>
  </si>
  <si>
    <t>1004690710</t>
  </si>
  <si>
    <t>冯秋果报销差旅费。</t>
  </si>
  <si>
    <t>转账276820240500010</t>
  </si>
  <si>
    <t>1004690266</t>
  </si>
  <si>
    <t>钟原、柳启富报销风电调研差旅费</t>
  </si>
  <si>
    <t>转账276820240600025</t>
  </si>
  <si>
    <t>1004754873</t>
  </si>
  <si>
    <t>转账276820240400043</t>
  </si>
  <si>
    <t>1004663612</t>
  </si>
  <si>
    <t>转账276820240200030</t>
  </si>
  <si>
    <t>1004531149</t>
  </si>
  <si>
    <t>276801.4.3.1.2</t>
  </si>
  <si>
    <t>黄蛟山风电\待摊支出\生产准备费\生产人员培训及提前进厂费\培训费</t>
  </si>
  <si>
    <t>基建工程支出-待摊支出-生产准备费-生产职工培训及提前进厂费</t>
  </si>
  <si>
    <t>转账276820240200036</t>
  </si>
  <si>
    <t>1004531856</t>
  </si>
  <si>
    <t>WBS 276801.4.3.1.2</t>
  </si>
  <si>
    <t>转账276820240500048</t>
  </si>
  <si>
    <t>1004705463</t>
  </si>
  <si>
    <t>276801.4.3.2</t>
  </si>
  <si>
    <t>黄蛟山风电\待摊支出\生产准备费\工器具及生产家具购置费</t>
  </si>
  <si>
    <t>1004705530</t>
  </si>
  <si>
    <t>1004705708</t>
  </si>
  <si>
    <t>支付震坤行工业超市上海有限公司采购费用</t>
  </si>
  <si>
    <t>1004705111</t>
  </si>
  <si>
    <t>1004705513</t>
  </si>
  <si>
    <t>1004705156</t>
  </si>
  <si>
    <t>支付西域智慧供应链上海股份公司采购费用</t>
  </si>
  <si>
    <t>1004705444</t>
  </si>
  <si>
    <t>1004705483</t>
  </si>
  <si>
    <t>转账276820240500123</t>
  </si>
  <si>
    <t>1004730951</t>
  </si>
  <si>
    <t>WBS 276801.4.3.2</t>
  </si>
  <si>
    <t>转账276820240500094</t>
  </si>
  <si>
    <t>1004725258</t>
  </si>
  <si>
    <t>1004727646</t>
  </si>
  <si>
    <t>1004705413</t>
  </si>
  <si>
    <t>1004706048</t>
  </si>
  <si>
    <t>1004705318</t>
  </si>
  <si>
    <t>1004706099</t>
  </si>
  <si>
    <t>支付史泰博上海有限公司采购费用</t>
  </si>
  <si>
    <t>1004682696</t>
  </si>
  <si>
    <t>转账276820240300042</t>
  </si>
  <si>
    <t>1004577150</t>
  </si>
  <si>
    <t>276801.4.3.2.1</t>
  </si>
  <si>
    <t>黄蛟山风电\待摊支出\生产准备费\工器具及生产家具购置费\管理用工器具</t>
  </si>
  <si>
    <t>结算南京兰坤电子科技有限公司可视化系统费用</t>
  </si>
  <si>
    <t>转账276820240300043</t>
  </si>
  <si>
    <t>1004577757</t>
  </si>
  <si>
    <t>结算北京博阳慧源电力科技有限公司采购纵向加密装置费</t>
  </si>
  <si>
    <t>1004705706</t>
  </si>
  <si>
    <t>1004705389</t>
  </si>
  <si>
    <t>转账276820240300058</t>
  </si>
  <si>
    <t>1004588843</t>
  </si>
  <si>
    <t>WBS 276801.4.3.2.1</t>
  </si>
  <si>
    <t>转账276820240300041</t>
  </si>
  <si>
    <t>1004577038</t>
  </si>
  <si>
    <t>结算天津汇立腾达商贸有限公司可视化系统采购费用</t>
  </si>
  <si>
    <t>转账276820240100056</t>
  </si>
  <si>
    <t>1004480873</t>
  </si>
  <si>
    <t>转账276820240300069</t>
  </si>
  <si>
    <t>1004598498</t>
  </si>
  <si>
    <t>转账276820240500096</t>
  </si>
  <si>
    <t>1004725260</t>
  </si>
  <si>
    <t>转账276820240100051</t>
  </si>
  <si>
    <t>1004480748</t>
  </si>
  <si>
    <t>基建物资出库</t>
  </si>
  <si>
    <t>转账276820240300067</t>
  </si>
  <si>
    <t>1004597727</t>
  </si>
  <si>
    <t>结算四川华集采电子商务有限公司采购费用</t>
  </si>
  <si>
    <t>276801.4.4</t>
  </si>
  <si>
    <t>黄蛟山风电\待摊支出\项目建设技术服务费</t>
  </si>
  <si>
    <t>转账276820231000033</t>
  </si>
  <si>
    <t>1004150103</t>
  </si>
  <si>
    <t>276801.4.4.1</t>
  </si>
  <si>
    <t>黄蛟山风电\待摊支出\项目建设技术服务费\工程监理费</t>
  </si>
  <si>
    <t>转账276820231000063</t>
  </si>
  <si>
    <t>1004162382</t>
  </si>
  <si>
    <t>WBS 276801.4.4.1</t>
  </si>
  <si>
    <t>1004558313</t>
  </si>
  <si>
    <t>1004654902</t>
  </si>
  <si>
    <t>转账276820240400044</t>
  </si>
  <si>
    <t>1004663613</t>
  </si>
  <si>
    <t>转账276820240300057</t>
  </si>
  <si>
    <t>1004588842</t>
  </si>
  <si>
    <t>276801.4.4.2</t>
  </si>
  <si>
    <t>黄蛟山风电\待摊支出\项目建设技术服务费\勘察设计费</t>
  </si>
  <si>
    <t>转账276820231000064</t>
  </si>
  <si>
    <t>1004162383</t>
  </si>
  <si>
    <t>WBS 276801.4.4.2</t>
  </si>
  <si>
    <t>转账276820240500095</t>
  </si>
  <si>
    <t>1004725259</t>
  </si>
  <si>
    <t>转账276820240400035</t>
  </si>
  <si>
    <t>1004653504</t>
  </si>
  <si>
    <t>276801.4.4.4</t>
  </si>
  <si>
    <t>黄蛟山风电\待摊支出\项目建设技术服务费\工程技术服务费</t>
  </si>
  <si>
    <t>转账276820240400045</t>
  </si>
  <si>
    <t>1004663614</t>
  </si>
  <si>
    <t>WBS 276801.4.4.4</t>
  </si>
  <si>
    <t>转账276820231000022</t>
  </si>
  <si>
    <t>1004146594</t>
  </si>
  <si>
    <t>276801.4.5.1</t>
  </si>
  <si>
    <t>黄蛟山风电\待摊支出\其他税费\水土保持补偿费</t>
  </si>
  <si>
    <t>转账276820231200076</t>
  </si>
  <si>
    <t>1004373360</t>
  </si>
  <si>
    <t>支付黄蛟山风电项目送出工程水土保持补偿费</t>
  </si>
  <si>
    <t>转账276820231000065</t>
  </si>
  <si>
    <t>1004162384</t>
  </si>
  <si>
    <t>WBS 276801.4.5.1</t>
  </si>
  <si>
    <t>转账276820231200111</t>
  </si>
  <si>
    <t>1004415499</t>
  </si>
  <si>
    <t>转账276820231100061</t>
  </si>
  <si>
    <t>1004247513</t>
  </si>
  <si>
    <t>276801.5.1.1</t>
  </si>
  <si>
    <t>黄蛟山风电\财务费用\利息支出\长期借款利息支出</t>
  </si>
  <si>
    <t>计提11月借款利息</t>
  </si>
  <si>
    <t>基建工程支出-待摊支出-建设期存贷款相关-利息支出</t>
  </si>
  <si>
    <t>转账276820231200137</t>
  </si>
  <si>
    <t>1004247514</t>
  </si>
  <si>
    <t>重置计提11月借款利息</t>
  </si>
  <si>
    <t>银付276820231200122</t>
  </si>
  <si>
    <t>1004374185</t>
  </si>
  <si>
    <t>支付建行4季度利息费用（黄蛟山项目）</t>
  </si>
  <si>
    <t>转账276820231200112</t>
  </si>
  <si>
    <t>1004415500</t>
  </si>
  <si>
    <t>WBS 276801.5.1.1</t>
  </si>
  <si>
    <t>1004374186</t>
  </si>
  <si>
    <t>转账276820231200099</t>
  </si>
  <si>
    <t>1004409333</t>
  </si>
  <si>
    <t>计提12月借款利息</t>
  </si>
  <si>
    <t>转账276820240100001</t>
  </si>
  <si>
    <t>1004409334</t>
  </si>
  <si>
    <t>重置计提12月借款利息</t>
  </si>
  <si>
    <t>1004409329</t>
  </si>
  <si>
    <t>1004409331</t>
  </si>
  <si>
    <t>1004409330</t>
  </si>
  <si>
    <t>1004409332</t>
  </si>
  <si>
    <t>转账276820231100077</t>
  </si>
  <si>
    <t>1004248861</t>
  </si>
  <si>
    <t>转账276820240100031</t>
  </si>
  <si>
    <t>1004457724</t>
  </si>
  <si>
    <t>计提1月借款利息</t>
  </si>
  <si>
    <t>1004457722</t>
  </si>
  <si>
    <t>转账276820240200043</t>
  </si>
  <si>
    <t>1004457723</t>
  </si>
  <si>
    <t>重置计提1月借款利息</t>
  </si>
  <si>
    <t>1004457728</t>
  </si>
  <si>
    <t>1004457729</t>
  </si>
  <si>
    <t>1004457726</t>
  </si>
  <si>
    <t>1004457727</t>
  </si>
  <si>
    <t>1004457725</t>
  </si>
  <si>
    <t>转账276820240300019</t>
  </si>
  <si>
    <t>1004515800</t>
  </si>
  <si>
    <t>计提2月借款利息重置</t>
  </si>
  <si>
    <t>转账276820240200028</t>
  </si>
  <si>
    <t>1004515799</t>
  </si>
  <si>
    <t>计提2月借款利息</t>
  </si>
  <si>
    <t>1004515803</t>
  </si>
  <si>
    <t>1004515804</t>
  </si>
  <si>
    <t>1004515797</t>
  </si>
  <si>
    <t>1004515798</t>
  </si>
  <si>
    <t>1004515801</t>
  </si>
  <si>
    <t>1004515802</t>
  </si>
  <si>
    <t>银付276820240300054</t>
  </si>
  <si>
    <t>1004575301</t>
  </si>
  <si>
    <t>支付建行1季度利息费用（黄蛟山项目）</t>
  </si>
  <si>
    <t>转账276820240400072</t>
  </si>
  <si>
    <t>1004593828</t>
  </si>
  <si>
    <t>重置利息</t>
  </si>
  <si>
    <t>1004593827</t>
  </si>
  <si>
    <t>计提3月借款利息</t>
  </si>
  <si>
    <t>1004579766</t>
  </si>
  <si>
    <t>合同号20030956调减0.02元</t>
  </si>
  <si>
    <t>1004575660</t>
  </si>
  <si>
    <t>冲销计提利息尾差凭证</t>
  </si>
  <si>
    <t>1004575309</t>
  </si>
  <si>
    <t>1004575300</t>
  </si>
  <si>
    <t>1004593835</t>
  </si>
  <si>
    <t>1004593836</t>
  </si>
  <si>
    <t>1004593831</t>
  </si>
  <si>
    <t>1004593832</t>
  </si>
  <si>
    <t>1004593833</t>
  </si>
  <si>
    <t>1004593829</t>
  </si>
  <si>
    <t>1004593834</t>
  </si>
  <si>
    <t>1004593830</t>
  </si>
  <si>
    <t>银付276820240300075</t>
  </si>
  <si>
    <t>1004578513</t>
  </si>
  <si>
    <t>1004577336</t>
  </si>
  <si>
    <t>支付工行1季度利息费用（黄蛟山项目）</t>
  </si>
  <si>
    <t>银付276820240600054</t>
  </si>
  <si>
    <t>1004774702</t>
  </si>
  <si>
    <t>支付建行2季度利息费用（黄蛟山项目）</t>
  </si>
  <si>
    <t>转账276820240500160</t>
  </si>
  <si>
    <t>1004658770</t>
  </si>
  <si>
    <t>计提4月借款利息</t>
  </si>
  <si>
    <t>转账276820240400073</t>
  </si>
  <si>
    <t>1004658769</t>
  </si>
  <si>
    <t>转账276820240400033</t>
  </si>
  <si>
    <t>1004649633</t>
  </si>
  <si>
    <t>坝后光伏项目转商费用化利息调整</t>
  </si>
  <si>
    <t>1004657463</t>
  </si>
  <si>
    <t>1004657464</t>
  </si>
  <si>
    <t>1004657465</t>
  </si>
  <si>
    <t>1004657466</t>
  </si>
  <si>
    <t>1004657467</t>
  </si>
  <si>
    <t>1004658768</t>
  </si>
  <si>
    <t>1004658771</t>
  </si>
  <si>
    <t>1004658772</t>
  </si>
  <si>
    <t>1004734846</t>
  </si>
  <si>
    <t>资产负债表科目传输</t>
  </si>
  <si>
    <t>转账276820240500072</t>
  </si>
  <si>
    <t>1004714659</t>
  </si>
  <si>
    <t>飞凤滩5月费用化利息调整</t>
  </si>
  <si>
    <t>基建工程支出-待摊支出-建设期存款相关-利息支出</t>
  </si>
  <si>
    <t>转账276820240500071</t>
  </si>
  <si>
    <t>1004715191</t>
  </si>
  <si>
    <t>枫香林费用化利息调整</t>
  </si>
  <si>
    <t>转账276820240500148</t>
  </si>
  <si>
    <t>1004712109</t>
  </si>
  <si>
    <t>计提5月借款利息</t>
  </si>
  <si>
    <t>1004712110</t>
  </si>
  <si>
    <t>1004712107</t>
  </si>
  <si>
    <t>1004712108</t>
  </si>
  <si>
    <t>转账276820240500139</t>
  </si>
  <si>
    <t>1004735157</t>
  </si>
  <si>
    <t>冲销枫香林费用化利息调整</t>
  </si>
  <si>
    <t>1004712111</t>
  </si>
  <si>
    <t>1004712112</t>
  </si>
  <si>
    <t>1004712113</t>
  </si>
  <si>
    <t>1004712114</t>
  </si>
  <si>
    <t>1004712115</t>
  </si>
  <si>
    <t>1004712116</t>
  </si>
  <si>
    <t>转账276820240500151</t>
  </si>
  <si>
    <t>1004735831</t>
  </si>
  <si>
    <t>财务费用调整</t>
  </si>
  <si>
    <t>1004774730</t>
  </si>
  <si>
    <t>利息、本金支付（被动扣款）(启用贷款模块)_赵美微</t>
  </si>
  <si>
    <t>1004774703</t>
  </si>
  <si>
    <t>1004774729</t>
  </si>
  <si>
    <t>1004774731</t>
  </si>
  <si>
    <t>转账276820240100057</t>
  </si>
  <si>
    <t>1004480874</t>
  </si>
  <si>
    <t>转账276820240300070</t>
  </si>
  <si>
    <t>1004598499</t>
  </si>
  <si>
    <t>转账276820240300059</t>
  </si>
  <si>
    <t>1004588844</t>
  </si>
  <si>
    <t>转账276820240600053</t>
  </si>
  <si>
    <t>1004774436</t>
  </si>
  <si>
    <t>计提6月借款利息</t>
  </si>
  <si>
    <t>1004774432</t>
  </si>
  <si>
    <t>1004774430</t>
  </si>
  <si>
    <t>1004774438</t>
  </si>
  <si>
    <t>1004774434</t>
  </si>
  <si>
    <t>1004774440</t>
  </si>
  <si>
    <t>转账276820240200037</t>
  </si>
  <si>
    <t>1004531857</t>
  </si>
  <si>
    <t>转账276820240400046</t>
  </si>
  <si>
    <t>1004663615</t>
  </si>
  <si>
    <t>转账276820240500142</t>
  </si>
  <si>
    <t>1004734858</t>
  </si>
  <si>
    <t>转账276820240500097</t>
  </si>
  <si>
    <t>1004725261</t>
  </si>
  <si>
    <t>转账276820240500152</t>
  </si>
  <si>
    <t>1004736034</t>
  </si>
  <si>
    <t>转账276820230900009</t>
  </si>
  <si>
    <t>1004087548</t>
  </si>
  <si>
    <t>276801.5.1.2</t>
  </si>
  <si>
    <t>黄蛟山风电\财务费用\利息支出\短期借款利息支出</t>
  </si>
  <si>
    <t>计提华电商业保理短期借款利息</t>
  </si>
  <si>
    <t>转账276820231000031</t>
  </si>
  <si>
    <t>1004087549</t>
  </si>
  <si>
    <t>重置计提华电商业保理短期借款利息</t>
  </si>
  <si>
    <t>转账276820231000035</t>
  </si>
  <si>
    <t>1004149229</t>
  </si>
  <si>
    <t>1004149230</t>
  </si>
  <si>
    <t>转账276820231000049</t>
  </si>
  <si>
    <t>1004161294</t>
  </si>
  <si>
    <t>WBS 276801.5.1.2</t>
  </si>
  <si>
    <t>转账276820231100062</t>
  </si>
  <si>
    <t>1004248439</t>
  </si>
  <si>
    <t>转账276820231200100</t>
  </si>
  <si>
    <t>1004415488</t>
  </si>
  <si>
    <t>转账276820231200133</t>
  </si>
  <si>
    <t>1004418996</t>
  </si>
  <si>
    <t>1004149231</t>
  </si>
  <si>
    <t>1004149232</t>
  </si>
  <si>
    <t>银付276820231100080</t>
  </si>
  <si>
    <t>1004239492</t>
  </si>
  <si>
    <t>提前归还华电商业保理公司部分本息</t>
  </si>
  <si>
    <t>1004247509</t>
  </si>
  <si>
    <t>1004247510</t>
  </si>
  <si>
    <t>1004247511</t>
  </si>
  <si>
    <t>1004247512</t>
  </si>
  <si>
    <t>银付276820231200050</t>
  </si>
  <si>
    <t>1004418971</t>
  </si>
  <si>
    <t>利息错误冲销</t>
  </si>
  <si>
    <t>银付276820231200117</t>
  </si>
  <si>
    <t>1004418972</t>
  </si>
  <si>
    <t>提前归还华电商业保理公司部分利息</t>
  </si>
  <si>
    <t>转账276820230900005</t>
  </si>
  <si>
    <t>1004093146</t>
  </si>
  <si>
    <t>银付276820231200120</t>
  </si>
  <si>
    <t>1004366991</t>
  </si>
  <si>
    <t>支付华电商业保理公司4季度利息</t>
  </si>
  <si>
    <t>1004380645</t>
  </si>
  <si>
    <t>12月25日归还保理短期借款本金及利息</t>
  </si>
  <si>
    <t>1004330575</t>
  </si>
  <si>
    <t>银付276820230900006</t>
  </si>
  <si>
    <t>1004092327</t>
  </si>
  <si>
    <t>276801.51</t>
  </si>
  <si>
    <t>黄蛟山风电\财务费用\手续费</t>
  </si>
  <si>
    <t>支付银行手续费</t>
  </si>
  <si>
    <t>银付276820231100018</t>
  </si>
  <si>
    <t>1004185298</t>
  </si>
  <si>
    <t>支付建行手续费20元</t>
  </si>
  <si>
    <t>转账276820231200103</t>
  </si>
  <si>
    <t>1004415491</t>
  </si>
  <si>
    <t>WBS 276801.51</t>
  </si>
  <si>
    <t>转账276820240100053</t>
  </si>
  <si>
    <t>1004480870</t>
  </si>
  <si>
    <t>银付276820231100030</t>
  </si>
  <si>
    <t>1004201388</t>
  </si>
  <si>
    <t>支付建行手续费200元</t>
  </si>
  <si>
    <t>银付276820231200048</t>
  </si>
  <si>
    <t>1004326318</t>
  </si>
  <si>
    <t>支付农行手续费15元12.12</t>
  </si>
  <si>
    <t>基建工程支出-待摊支出-建设期存贷款相关-手续费支出</t>
  </si>
  <si>
    <t>转账276820230900008</t>
  </si>
  <si>
    <t>1004093149</t>
  </si>
  <si>
    <t>转账276820231100064</t>
  </si>
  <si>
    <t>1004248442</t>
  </si>
  <si>
    <t>转账276820231200136</t>
  </si>
  <si>
    <t>1004418999</t>
  </si>
  <si>
    <t>转账276820240200032</t>
  </si>
  <si>
    <t>1004531852</t>
  </si>
  <si>
    <t>转账276820240300054</t>
  </si>
  <si>
    <t>1004588839</t>
  </si>
  <si>
    <t>银付276820231200118</t>
  </si>
  <si>
    <t>1004419805</t>
  </si>
  <si>
    <t>支付农行手续费15元12.26</t>
  </si>
  <si>
    <t>银收276820240300006</t>
  </si>
  <si>
    <t>1004582125</t>
  </si>
  <si>
    <t>收建行1季度存款利息收入</t>
  </si>
  <si>
    <t>基建工程支出-待摊支出-建设期存贷款相关-利息收入</t>
  </si>
  <si>
    <t>银付276820240200020</t>
  </si>
  <si>
    <t>1004506654</t>
  </si>
  <si>
    <t>转账276820240100063</t>
  </si>
  <si>
    <t>1004490447</t>
  </si>
  <si>
    <t>银收276820231200005</t>
  </si>
  <si>
    <t>1004404600</t>
  </si>
  <si>
    <t>农行4季度存款利息收入</t>
  </si>
  <si>
    <t>银付276820231200111</t>
  </si>
  <si>
    <t>1004404572</t>
  </si>
  <si>
    <t>支付农行手续费15元12.25</t>
  </si>
  <si>
    <t>银收276820231200007</t>
  </si>
  <si>
    <t>1004405839</t>
  </si>
  <si>
    <t>华电财务四季度存款利息收入</t>
  </si>
  <si>
    <t>银收276820231200009</t>
  </si>
  <si>
    <t>1004406277</t>
  </si>
  <si>
    <t>建行4季度存款利息收入</t>
  </si>
  <si>
    <t>银付276820231000049</t>
  </si>
  <si>
    <t>1004162623</t>
  </si>
  <si>
    <t>支付建行手续费10月</t>
  </si>
  <si>
    <t>转账276820231000068</t>
  </si>
  <si>
    <t>1004162633</t>
  </si>
  <si>
    <t>银付276820231100072</t>
  </si>
  <si>
    <t>1004228146</t>
  </si>
  <si>
    <t>支付农行手续费20元11.17</t>
  </si>
  <si>
    <t>银付276820231200001</t>
  </si>
  <si>
    <t>1004276972</t>
  </si>
  <si>
    <t>支付农行手续费150元11.24</t>
  </si>
  <si>
    <t>银付276820231200112</t>
  </si>
  <si>
    <t>1004404698</t>
  </si>
  <si>
    <t>支付工行手续费50元12.23</t>
  </si>
  <si>
    <t>银收276820240300007</t>
  </si>
  <si>
    <t>1004582226</t>
  </si>
  <si>
    <t>收华电财务公司1季度利息收入</t>
  </si>
  <si>
    <t>银收276820240300004</t>
  </si>
  <si>
    <t>1004582097</t>
  </si>
  <si>
    <t>收工行1季度存款利息收入</t>
  </si>
  <si>
    <t>银收276820240300008</t>
  </si>
  <si>
    <t>1004586365</t>
  </si>
  <si>
    <t>农行1季度存款利息收入</t>
  </si>
  <si>
    <t>银付276820240100013</t>
  </si>
  <si>
    <t>1004455795</t>
  </si>
  <si>
    <t>支付工行手续费632.96元</t>
  </si>
  <si>
    <t>银付276820240100050</t>
  </si>
  <si>
    <t>1004487580</t>
  </si>
  <si>
    <t>参考凭证号</t>
  </si>
  <si>
    <t>项目定义</t>
  </si>
  <si>
    <t>成本要素</t>
  </si>
  <si>
    <t>业务性质</t>
  </si>
  <si>
    <t>专项类别</t>
  </si>
  <si>
    <t>参考会计年</t>
  </si>
  <si>
    <t>会计年度</t>
  </si>
  <si>
    <t>成本要素名称</t>
  </si>
  <si>
    <t>全部数量</t>
  </si>
  <si>
    <t>100000297</t>
  </si>
  <si>
    <t>CHDDJ-2768023001</t>
  </si>
  <si>
    <t>5001900500</t>
  </si>
  <si>
    <t>14</t>
  </si>
  <si>
    <t>100000193</t>
  </si>
  <si>
    <t>51</t>
  </si>
  <si>
    <t>100000785</t>
  </si>
  <si>
    <t>5101080000</t>
  </si>
  <si>
    <t>24</t>
  </si>
  <si>
    <t>100000788</t>
  </si>
  <si>
    <t>100000490</t>
  </si>
  <si>
    <t>100000168</t>
  </si>
  <si>
    <t>100000641</t>
  </si>
  <si>
    <t>100000656</t>
  </si>
  <si>
    <t>100000689</t>
  </si>
  <si>
    <t>100000645</t>
  </si>
  <si>
    <t>100000160</t>
  </si>
  <si>
    <t>5101990000</t>
  </si>
  <si>
    <t>100000083</t>
  </si>
  <si>
    <t>100000609</t>
  </si>
  <si>
    <t>100000734</t>
  </si>
  <si>
    <t>100000524</t>
  </si>
  <si>
    <t>100000468</t>
  </si>
  <si>
    <t>100000014</t>
  </si>
  <si>
    <t>5101010000</t>
  </si>
  <si>
    <t>100000462</t>
  </si>
  <si>
    <t>100000787</t>
  </si>
  <si>
    <t>100000167</t>
  </si>
  <si>
    <t>100000324</t>
  </si>
  <si>
    <t>100000473</t>
  </si>
  <si>
    <t>100000590</t>
  </si>
  <si>
    <t>100000515</t>
  </si>
  <si>
    <t>100000774</t>
  </si>
  <si>
    <t>5101030000</t>
  </si>
  <si>
    <t>100000234</t>
  </si>
  <si>
    <t>100000255</t>
  </si>
  <si>
    <t>100000790</t>
  </si>
  <si>
    <t>100000176</t>
  </si>
  <si>
    <t>100000399</t>
  </si>
  <si>
    <t>100000325</t>
  </si>
  <si>
    <t>100000332</t>
  </si>
  <si>
    <t>100000394</t>
  </si>
  <si>
    <t>5101040300</t>
  </si>
  <si>
    <t>基建工程支出-待摊支出-项目建设技术服务</t>
  </si>
  <si>
    <t>100000410</t>
  </si>
  <si>
    <t>100000050</t>
  </si>
  <si>
    <t>100000776</t>
  </si>
  <si>
    <t>100000070</t>
  </si>
  <si>
    <t>100000229</t>
  </si>
  <si>
    <t>100000411</t>
  </si>
  <si>
    <t>100000408</t>
  </si>
  <si>
    <t>100000002</t>
  </si>
  <si>
    <t>5101040190</t>
  </si>
  <si>
    <t>基建工程支出-待摊支出-项目建设管理费-</t>
  </si>
  <si>
    <t>100000040</t>
  </si>
  <si>
    <t>5101040102</t>
  </si>
  <si>
    <t>100000199</t>
  </si>
  <si>
    <t>100000038</t>
  </si>
  <si>
    <t>100000025</t>
  </si>
  <si>
    <t>100000029</t>
  </si>
  <si>
    <t>100000060</t>
  </si>
  <si>
    <t>100000062</t>
  </si>
  <si>
    <t>100000072</t>
  </si>
  <si>
    <t>100000074</t>
  </si>
  <si>
    <t>100000099</t>
  </si>
  <si>
    <t>100000087</t>
  </si>
  <si>
    <t>100000058</t>
  </si>
  <si>
    <t>100000165</t>
  </si>
  <si>
    <t>100000170</t>
  </si>
  <si>
    <t>100000275</t>
  </si>
  <si>
    <t>100000240</t>
  </si>
  <si>
    <t>100000245</t>
  </si>
  <si>
    <t>100000256</t>
  </si>
  <si>
    <t>100000174</t>
  </si>
  <si>
    <t>100000172</t>
  </si>
  <si>
    <t>100000263</t>
  </si>
  <si>
    <t>100000260</t>
  </si>
  <si>
    <t>100000211</t>
  </si>
  <si>
    <t>100000178</t>
  </si>
  <si>
    <t>100000180</t>
  </si>
  <si>
    <t>100000198</t>
  </si>
  <si>
    <t>100000201</t>
  </si>
  <si>
    <t>100000207</t>
  </si>
  <si>
    <t>100000328</t>
  </si>
  <si>
    <t>100000312</t>
  </si>
  <si>
    <t>100000457</t>
  </si>
  <si>
    <t>100000409</t>
  </si>
  <si>
    <t>100000421</t>
  </si>
  <si>
    <t>100000441</t>
  </si>
  <si>
    <t>100000474</t>
  </si>
  <si>
    <t>100000482</t>
  </si>
  <si>
    <t>100000413</t>
  </si>
  <si>
    <t>100000119</t>
  </si>
  <si>
    <t>100000342</t>
  </si>
  <si>
    <t>100000350</t>
  </si>
  <si>
    <t>100000338</t>
  </si>
  <si>
    <t>100000318</t>
  </si>
  <si>
    <t>100000316</t>
  </si>
  <si>
    <t>100000360</t>
  </si>
  <si>
    <t>100000302</t>
  </si>
  <si>
    <t>100000300</t>
  </si>
  <si>
    <t>100000433</t>
  </si>
  <si>
    <t>100000368</t>
  </si>
  <si>
    <t>100000372</t>
  </si>
  <si>
    <t>100000382</t>
  </si>
  <si>
    <t>100000380</t>
  </si>
  <si>
    <t>100000384</t>
  </si>
  <si>
    <t>100000445</t>
  </si>
  <si>
    <t>100000447</t>
  </si>
  <si>
    <t>100000364</t>
  </si>
  <si>
    <t>100000370</t>
  </si>
  <si>
    <t>100000064</t>
  </si>
  <si>
    <t>100000034</t>
  </si>
  <si>
    <t>100000036</t>
  </si>
  <si>
    <t>100000075</t>
  </si>
  <si>
    <t>100000073</t>
  </si>
  <si>
    <t>100000071</t>
  </si>
  <si>
    <t>100000077</t>
  </si>
  <si>
    <t>100000085</t>
  </si>
  <si>
    <t>100000089</t>
  </si>
  <si>
    <t>100000000</t>
  </si>
  <si>
    <t>100000019</t>
  </si>
  <si>
    <t>100000028</t>
  </si>
  <si>
    <t>100000091</t>
  </si>
  <si>
    <t>100000143</t>
  </si>
  <si>
    <t>100000147</t>
  </si>
  <si>
    <t>100000129</t>
  </si>
  <si>
    <t>100000153</t>
  </si>
  <si>
    <t>100000210</t>
  </si>
  <si>
    <t>100000214</t>
  </si>
  <si>
    <t>100000212</t>
  </si>
  <si>
    <t>100000200</t>
  </si>
  <si>
    <t>100000262</t>
  </si>
  <si>
    <t>100000266</t>
  </si>
  <si>
    <t>100000264</t>
  </si>
  <si>
    <t>100000251</t>
  </si>
  <si>
    <t>100000313</t>
  </si>
  <si>
    <t>100000279</t>
  </si>
  <si>
    <t>100000268</t>
  </si>
  <si>
    <t>100000276</t>
  </si>
  <si>
    <t>100000348</t>
  </si>
  <si>
    <t>100000356</t>
  </si>
  <si>
    <t>100000352</t>
  </si>
  <si>
    <t>100000485</t>
  </si>
  <si>
    <t>100000519</t>
  </si>
  <si>
    <t>100000459</t>
  </si>
  <si>
    <t>5101040105</t>
  </si>
  <si>
    <t>100000417</t>
  </si>
  <si>
    <t>100000404</t>
  </si>
  <si>
    <t>100000093</t>
  </si>
  <si>
    <t>100000451</t>
  </si>
  <si>
    <t>100000548</t>
  </si>
  <si>
    <t>100000242</t>
  </si>
  <si>
    <t>5101040101</t>
  </si>
  <si>
    <t>5101040103</t>
  </si>
  <si>
    <t>100000015</t>
  </si>
  <si>
    <t>100000374</t>
  </si>
  <si>
    <t>100000042</t>
  </si>
  <si>
    <t>100000022</t>
  </si>
  <si>
    <t>100000033</t>
  </si>
  <si>
    <t>100000027</t>
  </si>
  <si>
    <t>100000097</t>
  </si>
  <si>
    <t>100000196</t>
  </si>
  <si>
    <t>100000205</t>
  </si>
  <si>
    <t>100000310</t>
  </si>
  <si>
    <t>100000431</t>
  </si>
  <si>
    <t>100000415</t>
  </si>
  <si>
    <t>100000429</t>
  </si>
  <si>
    <t>100000046</t>
  </si>
  <si>
    <t>100000021</t>
  </si>
  <si>
    <t>100000081</t>
  </si>
  <si>
    <t>100000151</t>
  </si>
  <si>
    <t>100000202</t>
  </si>
  <si>
    <t>100000206</t>
  </si>
  <si>
    <t>100000004</t>
  </si>
  <si>
    <t>100000362</t>
  </si>
  <si>
    <t>100000381</t>
  </si>
  <si>
    <t>100000031</t>
  </si>
  <si>
    <t>100000047</t>
  </si>
  <si>
    <t>100000067</t>
  </si>
  <si>
    <t>100000076</t>
  </si>
  <si>
    <t>100000065</t>
  </si>
  <si>
    <t>100000056</t>
  </si>
  <si>
    <t>100000103</t>
  </si>
  <si>
    <t>100000101</t>
  </si>
  <si>
    <t>100000105</t>
  </si>
  <si>
    <t>100000054</t>
  </si>
  <si>
    <t>100000052</t>
  </si>
  <si>
    <t>100000144</t>
  </si>
  <si>
    <t>100000146</t>
  </si>
  <si>
    <t>100000162</t>
  </si>
  <si>
    <t>100000152</t>
  </si>
  <si>
    <t>100000154</t>
  </si>
  <si>
    <t>100000156</t>
  </si>
  <si>
    <t>100000158</t>
  </si>
  <si>
    <t>100000148</t>
  </si>
  <si>
    <t>100000150</t>
  </si>
  <si>
    <t>100000265</t>
  </si>
  <si>
    <t>100000258</t>
  </si>
  <si>
    <t>100000219</t>
  </si>
  <si>
    <t>100000221</t>
  </si>
  <si>
    <t>100000215</t>
  </si>
  <si>
    <t>100000223</t>
  </si>
  <si>
    <t>100000213</t>
  </si>
  <si>
    <t>100000227</t>
  </si>
  <si>
    <t>100000322</t>
  </si>
  <si>
    <t>100000320</t>
  </si>
  <si>
    <t>100000397</t>
  </si>
  <si>
    <t>100000419</t>
  </si>
  <si>
    <t>100000307</t>
  </si>
  <si>
    <t>100000465</t>
  </si>
  <si>
    <t>100000463</t>
  </si>
  <si>
    <t>100000479</t>
  </si>
  <si>
    <t>100000314</t>
  </si>
  <si>
    <t>100000378</t>
  </si>
  <si>
    <t>100000376</t>
  </si>
  <si>
    <t>100000340</t>
  </si>
  <si>
    <t>100000344</t>
  </si>
  <si>
    <t>100000355</t>
  </si>
  <si>
    <t>100000427</t>
  </si>
  <si>
    <t>100000470</t>
  </si>
  <si>
    <t>100000407</t>
  </si>
  <si>
    <t>100000008</t>
  </si>
  <si>
    <t>100000010</t>
  </si>
  <si>
    <t>100000012</t>
  </si>
  <si>
    <t>100000243</t>
  </si>
  <si>
    <t>100000248</t>
  </si>
  <si>
    <t>100000303</t>
  </si>
  <si>
    <t>100000308</t>
  </si>
  <si>
    <t>100000383</t>
  </si>
  <si>
    <t>100000035</t>
  </si>
  <si>
    <t>100000392</t>
  </si>
  <si>
    <t>100000049</t>
  </si>
  <si>
    <t>100000192</t>
  </si>
  <si>
    <t>100000203</t>
  </si>
  <si>
    <t>100000182</t>
  </si>
  <si>
    <t>100000461</t>
  </si>
  <si>
    <t>100000391</t>
  </si>
  <si>
    <t>100000549</t>
  </si>
  <si>
    <t>100000550</t>
  </si>
  <si>
    <t>100000045</t>
  </si>
  <si>
    <t>100000043</t>
  </si>
  <si>
    <t>100000239</t>
  </si>
  <si>
    <t>100000231</t>
  </si>
  <si>
    <t>100000565</t>
  </si>
  <si>
    <t>100000044</t>
  </si>
  <si>
    <t>100000439</t>
  </si>
  <si>
    <t>100000436</t>
  </si>
  <si>
    <t>100000735</t>
  </si>
  <si>
    <t>100000379</t>
  </si>
  <si>
    <t>100000517</t>
  </si>
  <si>
    <t>100000487</t>
  </si>
  <si>
    <t>100000282</t>
  </si>
  <si>
    <t>100000285</t>
  </si>
  <si>
    <t>100000281</t>
  </si>
  <si>
    <t>100000051</t>
  </si>
  <si>
    <t>100000467</t>
  </si>
  <si>
    <t>100000009</t>
  </si>
  <si>
    <t>100000387</t>
  </si>
  <si>
    <t>5101040800</t>
  </si>
  <si>
    <t>5101040401</t>
  </si>
  <si>
    <t>基建工程支出-待摊支出-生产准备费-生产</t>
  </si>
  <si>
    <t>100000179</t>
  </si>
  <si>
    <t>5101040402</t>
  </si>
  <si>
    <t>100000559</t>
  </si>
  <si>
    <t>100000562</t>
  </si>
  <si>
    <t>100000564</t>
  </si>
  <si>
    <t>100000544</t>
  </si>
  <si>
    <t>100000561</t>
  </si>
  <si>
    <t>100000547</t>
  </si>
  <si>
    <t>100000558</t>
  </si>
  <si>
    <t>100000560</t>
  </si>
  <si>
    <t>100000569</t>
  </si>
  <si>
    <t>100000639</t>
  </si>
  <si>
    <t>100000557</t>
  </si>
  <si>
    <t>100000567</t>
  </si>
  <si>
    <t>100000563</t>
  </si>
  <si>
    <t>100000556</t>
  </si>
  <si>
    <t>100000095</t>
  </si>
  <si>
    <t>100000336</t>
  </si>
  <si>
    <t>2768</t>
  </si>
  <si>
    <t>5101040501</t>
  </si>
  <si>
    <t>基建工程支出-待摊支出-建设期存贷款相关</t>
  </si>
  <si>
    <t>100000406</t>
  </si>
  <si>
    <t>100000592</t>
  </si>
  <si>
    <t>100000591</t>
  </si>
  <si>
    <t>100000667</t>
  </si>
  <si>
    <t>100000679</t>
  </si>
  <si>
    <t>100000792</t>
  </si>
  <si>
    <t>转账276820240600054</t>
  </si>
  <si>
    <t>枫香林、飞凤滩费用化利息调整</t>
  </si>
  <si>
    <t>1004780799</t>
  </si>
  <si>
    <t>100000164</t>
  </si>
  <si>
    <t>100000187</t>
  </si>
  <si>
    <t>100000393</t>
  </si>
  <si>
    <t>5101040503</t>
  </si>
  <si>
    <t>100000554</t>
  </si>
  <si>
    <t>100000295</t>
  </si>
  <si>
    <t>5101040502</t>
  </si>
  <si>
    <t>100000157</t>
  </si>
  <si>
    <t>100000506</t>
  </si>
  <si>
    <t>100000505</t>
  </si>
  <si>
    <t>100000509</t>
  </si>
  <si>
    <t>100000512</t>
  </si>
  <si>
    <t>100000128</t>
  </si>
  <si>
    <t>100000267</t>
  </si>
  <si>
    <t>100000299</t>
  </si>
  <si>
    <t>100000507</t>
  </si>
  <si>
    <t>100000296</t>
  </si>
  <si>
    <t>100000293</t>
  </si>
  <si>
    <t>100000023</t>
  </si>
  <si>
    <t>100000109</t>
  </si>
  <si>
    <t>5101040200</t>
  </si>
  <si>
    <t>基建工程支出-待摊支出-建设场地征用及清</t>
  </si>
  <si>
    <t>100000492</t>
  </si>
  <si>
    <t>专项内容</t>
  </si>
  <si>
    <t>供应商</t>
  </si>
  <si>
    <t>物料描述</t>
  </si>
  <si>
    <t>2401</t>
  </si>
  <si>
    <t>1696039</t>
  </si>
  <si>
    <t>2419</t>
  </si>
  <si>
    <t>2402</t>
  </si>
  <si>
    <t>转账276820240600055</t>
  </si>
  <si>
    <t>1004779254</t>
  </si>
  <si>
    <t>转账276820240600062</t>
  </si>
  <si>
    <t>1004779261</t>
  </si>
  <si>
    <t>WBS 276801.2</t>
  </si>
  <si>
    <t>转账276820240600056</t>
  </si>
  <si>
    <t>1004779255</t>
  </si>
  <si>
    <t>WBS 276801.2.2</t>
  </si>
  <si>
    <t>转账276820240600057</t>
  </si>
  <si>
    <t>1004779256</t>
  </si>
  <si>
    <t>WBS 276801.4.2.1.6</t>
  </si>
  <si>
    <t>转账276820240600058</t>
  </si>
  <si>
    <t>1004779257</t>
  </si>
  <si>
    <t>1004792685</t>
  </si>
  <si>
    <t>结算史泰博上海有限公司采购费用</t>
  </si>
  <si>
    <t>转账276820240600059</t>
  </si>
  <si>
    <t>1004779258</t>
  </si>
  <si>
    <t>转账276820240600060</t>
  </si>
  <si>
    <t>1004779259</t>
  </si>
  <si>
    <t>1004793136</t>
  </si>
  <si>
    <t>1004794025</t>
  </si>
  <si>
    <t>转账276820240600061</t>
  </si>
  <si>
    <t>1004779260</t>
  </si>
  <si>
    <t>WBS 276801.4.4</t>
  </si>
  <si>
    <t>转账276820240600063</t>
  </si>
  <si>
    <t>1004779262</t>
  </si>
  <si>
    <t>1004805914</t>
  </si>
  <si>
    <t>应计的/延期的冲销</t>
  </si>
  <si>
    <t>1004781960</t>
  </si>
  <si>
    <t>1004784271</t>
  </si>
  <si>
    <t>1004807406</t>
  </si>
  <si>
    <t>计提利息2</t>
  </si>
  <si>
    <t>转账276820240600064</t>
  </si>
  <si>
    <t>1004782248</t>
  </si>
  <si>
    <t>1004781958</t>
  </si>
  <si>
    <t>1004781963</t>
  </si>
  <si>
    <t>1004781957</t>
  </si>
  <si>
    <t>1004781961</t>
  </si>
  <si>
    <t>1004781955</t>
  </si>
  <si>
    <t>1004781956</t>
  </si>
  <si>
    <t>1004781959</t>
  </si>
  <si>
    <t>1004781967</t>
  </si>
  <si>
    <t>1004781965</t>
  </si>
  <si>
    <t>1004806380</t>
  </si>
  <si>
    <t>冲销支付利息</t>
  </si>
  <si>
    <t>1004784269</t>
  </si>
  <si>
    <t>1004805752</t>
  </si>
  <si>
    <t>调整借款合同，合同号20031696</t>
  </si>
  <si>
    <t>1004779038</t>
  </si>
  <si>
    <t>276803.2.1</t>
  </si>
  <si>
    <t>七里山风电\设备及安装工程\发电场设备及安装工程</t>
  </si>
  <si>
    <t>1004798554</t>
  </si>
  <si>
    <t>WBS 276803.2.1</t>
  </si>
  <si>
    <t>1004786105</t>
  </si>
  <si>
    <t>276803.3.3</t>
  </si>
  <si>
    <t>七里山风电\建筑工程\交通工程</t>
  </si>
  <si>
    <t>结算七里山主体工程EPC总承包进度款（总第三期）</t>
  </si>
  <si>
    <t>1004798549</t>
  </si>
  <si>
    <t>WBS 276803.3.3</t>
  </si>
  <si>
    <t>转账276820240600017</t>
  </si>
  <si>
    <t>1004754789</t>
  </si>
  <si>
    <t>276803.4.2.1.1</t>
  </si>
  <si>
    <t>七里山风电\待摊支出\项目建设管理费\项目法人管理费\差旅费</t>
  </si>
  <si>
    <t>吴燕忠到成都汇报工作</t>
  </si>
  <si>
    <t>转账276820240600026</t>
  </si>
  <si>
    <t>1004754887</t>
  </si>
  <si>
    <t>转账276820240600030</t>
  </si>
  <si>
    <t>1004754966</t>
  </si>
  <si>
    <t>1004798550</t>
  </si>
  <si>
    <t>WBS 276803.4.2.1.1</t>
  </si>
  <si>
    <t>转账276820240600009</t>
  </si>
  <si>
    <t>1004754695</t>
  </si>
  <si>
    <t>转账276820240600002</t>
  </si>
  <si>
    <t>1004749369</t>
  </si>
  <si>
    <t>276803.4.2.1.10.2</t>
  </si>
  <si>
    <t>七里山风电\待摊支出\项目建设管理费\项目法人管理费\税费\印花税</t>
  </si>
  <si>
    <t>计提印花税七里山</t>
  </si>
  <si>
    <t>计提印花税（七里山）</t>
  </si>
  <si>
    <t>1004798553</t>
  </si>
  <si>
    <t>WBS 276803.4.2.1.10.2</t>
  </si>
  <si>
    <t>1004755416</t>
  </si>
  <si>
    <t>276803.4.2.1.2.1</t>
  </si>
  <si>
    <t>七里山风电\待摊支出\项目建设管理费\项目法人管理费\办公费\印刷费</t>
  </si>
  <si>
    <t>结算并支付白龙江广告会计凭证档案封面制作费</t>
  </si>
  <si>
    <t>1004798551</t>
  </si>
  <si>
    <t>WBS 276803.4.2.1.2.1</t>
  </si>
  <si>
    <t>转账276820240600005</t>
  </si>
  <si>
    <t>1004754587</t>
  </si>
  <si>
    <t>276803.4.2.1.4</t>
  </si>
  <si>
    <t>七里山风电\待摊支出\项目建设管理费\项目法人管理费\业务招待费</t>
  </si>
  <si>
    <t>转账276820240600033</t>
  </si>
  <si>
    <t>1004755111</t>
  </si>
  <si>
    <t>1004798552</t>
  </si>
  <si>
    <t>WBS 276803.4.2.1.4</t>
  </si>
  <si>
    <t>1004789442</t>
  </si>
  <si>
    <t>转账276820240600008</t>
  </si>
  <si>
    <t>1004754687</t>
  </si>
  <si>
    <t>转账276820240600040</t>
  </si>
  <si>
    <t>1004755236</t>
  </si>
  <si>
    <t>转账276820240600042</t>
  </si>
  <si>
    <t>1004756269</t>
  </si>
  <si>
    <t>郭怡报销业务交流费国能北京商业保理有限公司</t>
  </si>
  <si>
    <t>郭怡报销业务交流费（国能北京商业保理有限公司）</t>
  </si>
  <si>
    <t>转账276820240600031</t>
  </si>
  <si>
    <t>1004755021</t>
  </si>
  <si>
    <t>转账276820240600037</t>
  </si>
  <si>
    <t>1004755190</t>
  </si>
  <si>
    <t>吴燕忠报销业务交流费秦军：1945</t>
  </si>
  <si>
    <t>吴燕忠报销业务交流费（秦军：1945）</t>
  </si>
  <si>
    <t>1004789617</t>
  </si>
  <si>
    <t>许小东报销业务交流费王永建1300元</t>
  </si>
  <si>
    <t>许小东报销业务交流费（王永建1300元）</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</si>
</sst>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 &quot;￥&quot;* #,##0.00_ ;_ &quot;￥&quot;* \-#,##0.00_ ;_ &quot;￥&quot;* \-??_ ;_ @_ "/>
    <numFmt numFmtId="177" formatCode="yyyy\-mm\-dd"/>
    <numFmt numFmtId="178" formatCode="_ &quot;￥&quot;* #,##0_ ;_ &quot;￥&quot;* \-#,##0_ ;_ &quot;￥&quot;* \-_ ;_ @_ "/>
    <numFmt numFmtId="179" formatCode="#,##0.000"/>
    <numFmt numFmtId="180" formatCode="0.00_ "/>
  </numFmts>
  <fonts count="43">
    <font>
      <sz val="12"/>
      <name val="宋体"/>
      <charset val="134"/>
    </font>
    <font>
      <sz val="11"/>
      <color theme="1"/>
      <name val="宋体"/>
      <charset val="134"/>
      <scheme val="minor"/>
    </font>
    <font>
      <b/>
      <sz val="11"/>
      <color theme="1"/>
      <name val="宋体"/>
      <charset val="134"/>
      <scheme val="minor"/>
    </font>
    <font>
      <sz val="11"/>
      <color rgb="FFFF0000"/>
      <name val="宋体"/>
      <charset val="134"/>
      <scheme val="minor"/>
    </font>
    <font>
      <sz val="16"/>
      <color theme="1"/>
      <name val="宋体"/>
      <charset val="134"/>
      <scheme val="minor"/>
    </font>
    <font>
      <sz val="11"/>
      <name val="宋体"/>
      <charset val="134"/>
      <scheme val="minor"/>
    </font>
    <font>
      <sz val="12"/>
      <color theme="1"/>
      <name val="宋体"/>
      <charset val="134"/>
      <scheme val="minor"/>
    </font>
    <font>
      <b/>
      <sz val="10"/>
      <name val="宋体"/>
      <charset val="134"/>
    </font>
    <font>
      <sz val="11"/>
      <color theme="1"/>
      <name val="Times New Roman"/>
      <family val="1"/>
      <charset val="0"/>
    </font>
    <font>
      <sz val="11"/>
      <name val="Times New Roman"/>
      <family val="1"/>
      <charset val="0"/>
    </font>
    <font>
      <b/>
      <sz val="22"/>
      <name val="Times New Roman"/>
      <family val="1"/>
      <charset val="0"/>
    </font>
    <font>
      <b/>
      <sz val="11"/>
      <name val="宋体"/>
      <charset val="134"/>
    </font>
    <font>
      <b/>
      <sz val="11"/>
      <name val="Times New Roman"/>
      <family val="1"/>
      <charset val="0"/>
    </font>
    <font>
      <sz val="11"/>
      <name val="宋体"/>
      <charset val="134"/>
    </font>
    <font>
      <b/>
      <u/>
      <sz val="11"/>
      <name val="宋体"/>
      <charset val="134"/>
    </font>
    <font>
      <sz val="11"/>
      <color rgb="FFFF0000"/>
      <name val="Times New Roman"/>
      <family val="1"/>
      <charset val="0"/>
    </font>
    <font>
      <sz val="10"/>
      <name val="宋体"/>
      <charset val="134"/>
    </font>
    <font>
      <b/>
      <sz val="11"/>
      <color rgb="FFFF0000"/>
      <name val="Times New Roman"/>
      <family val="1"/>
      <charset val="0"/>
    </font>
    <font>
      <sz val="12"/>
      <name val="Times New Roman"/>
      <family val="1"/>
      <charset val="0"/>
    </font>
    <font>
      <sz val="11"/>
      <color theme="1"/>
      <name val="宋体"/>
      <charset val="134"/>
    </font>
    <font>
      <sz val="11"/>
      <color indexed="9"/>
      <name val="宋体"/>
      <charset val="134"/>
    </font>
    <font>
      <sz val="11"/>
      <color indexed="8"/>
      <name val="宋体"/>
      <charset val="134"/>
    </font>
    <font>
      <sz val="11"/>
      <color indexed="62"/>
      <name val="宋体"/>
      <charset val="134"/>
    </font>
    <font>
      <sz val="11"/>
      <color indexed="16"/>
      <name val="宋体"/>
      <charset val="134"/>
    </font>
    <font>
      <u/>
      <sz val="11"/>
      <color indexed="12"/>
      <name val="宋体"/>
      <charset val="134"/>
    </font>
    <font>
      <u/>
      <sz val="11"/>
      <color indexed="20"/>
      <name val="宋体"/>
      <charset val="134"/>
    </font>
    <font>
      <b/>
      <sz val="11"/>
      <color indexed="54"/>
      <name val="宋体"/>
      <charset val="134"/>
    </font>
    <font>
      <sz val="11"/>
      <color indexed="10"/>
      <name val="宋体"/>
      <charset val="134"/>
    </font>
    <font>
      <b/>
      <sz val="18"/>
      <color indexed="54"/>
      <name val="宋体"/>
      <charset val="134"/>
    </font>
    <font>
      <i/>
      <sz val="11"/>
      <color indexed="23"/>
      <name val="宋体"/>
      <charset val="134"/>
    </font>
    <font>
      <sz val="9"/>
      <name val="宋体"/>
      <charset val="134"/>
    </font>
    <font>
      <b/>
      <sz val="15"/>
      <color indexed="54"/>
      <name val="宋体"/>
      <charset val="134"/>
    </font>
    <font>
      <b/>
      <sz val="13"/>
      <color indexed="54"/>
      <name val="宋体"/>
      <charset val="134"/>
    </font>
    <font>
      <b/>
      <sz val="11"/>
      <color indexed="63"/>
      <name val="宋体"/>
      <charset val="134"/>
    </font>
    <font>
      <b/>
      <sz val="11"/>
      <color indexed="53"/>
      <name val="宋体"/>
      <charset val="134"/>
    </font>
    <font>
      <b/>
      <sz val="11"/>
      <color indexed="9"/>
      <name val="宋体"/>
      <charset val="134"/>
    </font>
    <font>
      <sz val="11"/>
      <color indexed="53"/>
      <name val="宋体"/>
      <charset val="134"/>
    </font>
    <font>
      <b/>
      <sz val="11"/>
      <color indexed="8"/>
      <name val="宋体"/>
      <charset val="134"/>
    </font>
    <font>
      <sz val="11"/>
      <color indexed="17"/>
      <name val="宋体"/>
      <charset val="134"/>
    </font>
    <font>
      <sz val="11"/>
      <color indexed="19"/>
      <name val="宋体"/>
      <charset val="134"/>
    </font>
    <font>
      <b/>
      <sz val="22"/>
      <name val="宋体"/>
      <charset val="134"/>
    </font>
    <font>
      <b/>
      <sz val="9"/>
      <name val="宋体"/>
      <charset val="134"/>
    </font>
    <font>
      <sz val="9"/>
      <name val="宋体"/>
      <charset val="134"/>
    </font>
  </fonts>
  <fills count="29">
    <fill>
      <patternFill patternType="none"/>
    </fill>
    <fill>
      <patternFill patternType="gray125"/>
    </fill>
    <fill>
      <patternFill patternType="solid">
        <fgColor indexed="19"/>
        <bgColor indexed="64"/>
      </patternFill>
    </fill>
    <fill>
      <patternFill patternType="solid">
        <fgColor indexed="43"/>
        <bgColor indexed="64"/>
      </patternFill>
    </fill>
    <fill>
      <patternFill patternType="solid">
        <fgColor rgb="FF92D050"/>
        <bgColor indexed="64"/>
      </patternFill>
    </fill>
    <fill>
      <patternFill patternType="solid">
        <fgColor rgb="FFFFC000"/>
        <bgColor indexed="64"/>
      </patternFill>
    </fill>
    <fill>
      <patternFill patternType="solid">
        <fgColor rgb="FFBDD7EE"/>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
        <bgColor theme="4" tint="0.799981688894314"/>
      </patternFill>
    </fill>
    <fill>
      <patternFill patternType="solid">
        <fgColor theme="4" tint="0.799981688894314"/>
        <bgColor indexed="64"/>
      </patternFill>
    </fill>
    <fill>
      <patternFill patternType="solid">
        <fgColor theme="2" tint="-0.249977111117893"/>
        <bgColor indexed="64"/>
      </patternFill>
    </fill>
    <fill>
      <patternFill patternType="solid">
        <fgColor rgb="FF00B050"/>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45"/>
        <bgColor indexed="64"/>
      </patternFill>
    </fill>
    <fill>
      <patternFill patternType="solid">
        <fgColor indexed="26"/>
        <bgColor indexed="64"/>
      </patternFill>
    </fill>
    <fill>
      <patternFill patternType="solid">
        <fgColor indexed="48"/>
        <bgColor indexed="64"/>
      </patternFill>
    </fill>
    <fill>
      <patternFill patternType="solid">
        <fgColor indexed="31"/>
        <bgColor indexed="64"/>
      </patternFill>
    </fill>
    <fill>
      <patternFill patternType="solid">
        <fgColor indexed="44"/>
        <bgColor indexed="64"/>
      </patternFill>
    </fill>
    <fill>
      <patternFill patternType="solid">
        <fgColor indexed="55"/>
        <bgColor indexed="64"/>
      </patternFill>
    </fill>
    <fill>
      <patternFill patternType="solid">
        <fgColor indexed="42"/>
        <bgColor indexed="64"/>
      </patternFill>
    </fill>
    <fill>
      <patternFill patternType="solid">
        <fgColor indexed="53"/>
        <bgColor indexed="64"/>
      </patternFill>
    </fill>
    <fill>
      <patternFill patternType="solid">
        <fgColor indexed="54"/>
        <bgColor indexed="64"/>
      </patternFill>
    </fill>
    <fill>
      <patternFill patternType="solid">
        <fgColor indexed="27"/>
        <bgColor indexed="64"/>
      </patternFill>
    </fill>
    <fill>
      <patternFill patternType="solid">
        <fgColor indexed="51"/>
        <bgColor indexed="64"/>
      </patternFill>
    </fill>
    <fill>
      <patternFill patternType="solid">
        <fgColor indexed="24"/>
        <bgColor indexed="64"/>
      </patternFill>
    </fill>
    <fill>
      <patternFill patternType="solid">
        <fgColor indexed="57"/>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399975585192419"/>
      </top>
      <bottom style="thin">
        <color theme="4" tint="0.399975585192419"/>
      </bottom>
      <diagonal/>
    </border>
    <border>
      <left style="thin">
        <color auto="1"/>
      </left>
      <right/>
      <top/>
      <bottom style="thin">
        <color auto="1"/>
      </bottom>
      <diagonal/>
    </border>
    <border>
      <left/>
      <right/>
      <top/>
      <bottom style="thin">
        <color auto="1"/>
      </bottom>
      <diagonal/>
    </border>
    <border>
      <left/>
      <right style="thin">
        <color theme="4" tint="0.399975585192419"/>
      </right>
      <top style="thin">
        <color theme="4" tint="0.399975585192419"/>
      </top>
      <bottom style="thin">
        <color theme="4" tint="0.399975585192419"/>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8"/>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8"/>
      </top>
      <bottom style="double">
        <color indexed="48"/>
      </bottom>
      <diagonal/>
    </border>
  </borders>
  <cellStyleXfs count="59">
    <xf numFmtId="0" fontId="0" fillId="0" borderId="0"/>
    <xf numFmtId="178" fontId="0" fillId="0" borderId="0" applyProtection="0"/>
    <xf numFmtId="0" fontId="20" fillId="13" borderId="0" applyProtection="0"/>
    <xf numFmtId="0" fontId="21" fillId="14" borderId="0" applyProtection="0"/>
    <xf numFmtId="0" fontId="22" fillId="13" borderId="18" applyProtection="0"/>
    <xf numFmtId="176" fontId="0" fillId="0" borderId="0" applyProtection="0"/>
    <xf numFmtId="41" fontId="0" fillId="0" borderId="0" applyProtection="0"/>
    <xf numFmtId="0" fontId="21" fillId="15" borderId="0" applyProtection="0"/>
    <xf numFmtId="0" fontId="23" fillId="16" borderId="0" applyProtection="0"/>
    <xf numFmtId="43" fontId="0" fillId="0" borderId="0" applyProtection="0"/>
    <xf numFmtId="0" fontId="20" fillId="15" borderId="0" applyProtection="0"/>
    <xf numFmtId="0" fontId="24" fillId="0" borderId="0" applyProtection="0"/>
    <xf numFmtId="9" fontId="0" fillId="0" borderId="0" applyProtection="0"/>
    <xf numFmtId="0" fontId="25" fillId="0" borderId="0" applyProtection="0"/>
    <xf numFmtId="0" fontId="0" fillId="17" borderId="19" applyProtection="0"/>
    <xf numFmtId="0" fontId="20" fillId="13" borderId="0" applyProtection="0"/>
    <xf numFmtId="0" fontId="26" fillId="0" borderId="0" applyProtection="0"/>
    <xf numFmtId="0" fontId="27" fillId="0" borderId="0" applyProtection="0"/>
    <xf numFmtId="0" fontId="28" fillId="0" borderId="0" applyProtection="0"/>
    <xf numFmtId="0" fontId="20" fillId="18" borderId="0" applyProtection="0"/>
    <xf numFmtId="0" fontId="21" fillId="19" borderId="0" applyProtection="0"/>
    <xf numFmtId="0" fontId="29" fillId="0" borderId="0" applyProtection="0"/>
    <xf numFmtId="0" fontId="30" fillId="0" borderId="0">
      <alignment vertical="center"/>
    </xf>
    <xf numFmtId="0" fontId="31" fillId="0" borderId="20" applyProtection="0"/>
    <xf numFmtId="0" fontId="32" fillId="0" borderId="20" applyProtection="0"/>
    <xf numFmtId="0" fontId="20" fillId="20" borderId="0" applyProtection="0"/>
    <xf numFmtId="0" fontId="26" fillId="0" borderId="21" applyProtection="0"/>
    <xf numFmtId="0" fontId="20" fillId="13" borderId="0" applyProtection="0"/>
    <xf numFmtId="0" fontId="33" fillId="14" borderId="22" applyProtection="0"/>
    <xf numFmtId="0" fontId="21" fillId="3" borderId="0" applyProtection="0"/>
    <xf numFmtId="0" fontId="34" fillId="14" borderId="18" applyProtection="0"/>
    <xf numFmtId="0" fontId="35" fillId="21" borderId="23" applyProtection="0"/>
    <xf numFmtId="0" fontId="21" fillId="22" borderId="0" applyProtection="0"/>
    <xf numFmtId="0" fontId="20" fillId="23" borderId="0" applyProtection="0"/>
    <xf numFmtId="0" fontId="36" fillId="0" borderId="24" applyProtection="0"/>
    <xf numFmtId="0" fontId="37" fillId="0" borderId="25" applyProtection="0"/>
    <xf numFmtId="0" fontId="21" fillId="19" borderId="0" applyProtection="0"/>
    <xf numFmtId="0" fontId="38" fillId="22" borderId="0" applyProtection="0"/>
    <xf numFmtId="0" fontId="20" fillId="24" borderId="0" applyProtection="0"/>
    <xf numFmtId="0" fontId="39" fillId="3" borderId="0" applyProtection="0"/>
    <xf numFmtId="0" fontId="21" fillId="19" borderId="0" applyProtection="0"/>
    <xf numFmtId="0" fontId="20" fillId="18" borderId="0" applyProtection="0"/>
    <xf numFmtId="0" fontId="21" fillId="25" borderId="0" applyProtection="0"/>
    <xf numFmtId="0" fontId="21" fillId="19" borderId="0" applyProtection="0"/>
    <xf numFmtId="0" fontId="21" fillId="17" borderId="0" applyProtection="0"/>
    <xf numFmtId="0" fontId="21" fillId="13" borderId="0" applyProtection="0"/>
    <xf numFmtId="0" fontId="20" fillId="21" borderId="0" applyProtection="0"/>
    <xf numFmtId="0" fontId="20" fillId="26" borderId="0" applyProtection="0"/>
    <xf numFmtId="0" fontId="21" fillId="17" borderId="0" applyProtection="0"/>
    <xf numFmtId="0" fontId="21" fillId="3" borderId="0" applyProtection="0"/>
    <xf numFmtId="0" fontId="20" fillId="24" borderId="0" applyProtection="0"/>
    <xf numFmtId="0" fontId="21" fillId="19" borderId="0" applyProtection="0"/>
    <xf numFmtId="0" fontId="20" fillId="27" borderId="0" applyProtection="0"/>
    <xf numFmtId="0" fontId="20" fillId="28" borderId="0" applyProtection="0"/>
    <xf numFmtId="0" fontId="21" fillId="15" borderId="0" applyProtection="0"/>
    <xf numFmtId="0" fontId="20" fillId="15" borderId="0" applyProtection="0"/>
    <xf numFmtId="0" fontId="0" fillId="0" borderId="0" applyProtection="0"/>
    <xf numFmtId="0" fontId="30" fillId="0" borderId="0">
      <alignment vertical="center"/>
    </xf>
    <xf numFmtId="43" fontId="0" fillId="0" borderId="0" applyFont="0" applyFill="0" applyBorder="0" applyAlignment="0" applyProtection="0">
      <alignment vertical="center"/>
    </xf>
  </cellStyleXfs>
  <cellXfs count="496">
    <xf numFmtId="0" fontId="0" fillId="0" borderId="0" xfId="0"/>
    <xf numFmtId="0" fontId="1" fillId="0" borderId="0" xfId="0" applyFont="1" applyFill="1" applyBorder="1" applyAlignment="1">
      <alignment vertical="center"/>
    </xf>
    <xf numFmtId="0" fontId="1" fillId="2" borderId="0" xfId="0" applyFont="1" applyFill="1" applyBorder="1" applyAlignment="1">
      <alignment vertical="center"/>
    </xf>
    <xf numFmtId="49" fontId="1" fillId="3" borderId="0" xfId="0" applyNumberFormat="1" applyFont="1" applyFill="1" applyBorder="1" applyAlignment="1">
      <alignment vertical="center"/>
    </xf>
    <xf numFmtId="0" fontId="1" fillId="3" borderId="0" xfId="0" applyFont="1" applyFill="1" applyBorder="1" applyAlignment="1">
      <alignment horizontal="left" vertical="center"/>
    </xf>
    <xf numFmtId="177" fontId="1" fillId="0" borderId="0" xfId="0" applyNumberFormat="1" applyFont="1" applyFill="1" applyBorder="1" applyAlignment="1">
      <alignment vertical="center"/>
    </xf>
    <xf numFmtId="4" fontId="1" fillId="0" borderId="0" xfId="0" applyNumberFormat="1" applyFont="1" applyFill="1" applyBorder="1" applyAlignment="1">
      <alignment vertical="center"/>
    </xf>
    <xf numFmtId="179" fontId="1" fillId="0" borderId="0" xfId="0" applyNumberFormat="1" applyFont="1" applyFill="1" applyBorder="1" applyAlignment="1">
      <alignment vertical="center"/>
    </xf>
    <xf numFmtId="43" fontId="2" fillId="4" borderId="0" xfId="0" applyNumberFormat="1" applyFont="1" applyFill="1" applyBorder="1" applyAlignment="1">
      <alignment vertical="center"/>
    </xf>
    <xf numFmtId="0" fontId="3" fillId="0" borderId="0" xfId="0" applyFont="1" applyFill="1" applyBorder="1" applyAlignment="1">
      <alignment vertical="center"/>
    </xf>
    <xf numFmtId="49" fontId="3" fillId="3" borderId="0" xfId="0" applyNumberFormat="1" applyFont="1" applyFill="1" applyBorder="1" applyAlignment="1">
      <alignment vertical="center"/>
    </xf>
    <xf numFmtId="4" fontId="1" fillId="5" borderId="0" xfId="0" applyNumberFormat="1" applyFont="1" applyFill="1" applyBorder="1" applyAlignment="1">
      <alignment vertical="center"/>
    </xf>
    <xf numFmtId="177" fontId="3" fillId="0" borderId="0" xfId="0" applyNumberFormat="1" applyFont="1" applyFill="1" applyBorder="1" applyAlignment="1">
      <alignment vertical="center"/>
    </xf>
    <xf numFmtId="4" fontId="3" fillId="5" borderId="0" xfId="0" applyNumberFormat="1" applyFont="1" applyFill="1" applyBorder="1" applyAlignment="1">
      <alignment vertical="center"/>
    </xf>
    <xf numFmtId="43" fontId="1" fillId="4"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1" fillId="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7" fillId="0" borderId="0" xfId="0" applyFont="1" applyFill="1" applyBorder="1" applyAlignment="1">
      <alignment horizontal="center" vertical="center"/>
    </xf>
    <xf numFmtId="0" fontId="7" fillId="0" borderId="0" xfId="0" applyFont="1" applyFill="1" applyAlignment="1">
      <alignment horizontal="center" vertical="center"/>
    </xf>
    <xf numFmtId="0" fontId="8" fillId="0" borderId="0" xfId="0" applyFont="1" applyFill="1" applyBorder="1" applyAlignment="1">
      <alignment vertical="center"/>
    </xf>
    <xf numFmtId="43" fontId="8" fillId="0" borderId="0" xfId="0" applyNumberFormat="1" applyFont="1" applyFill="1" applyBorder="1" applyAlignment="1">
      <alignment vertical="center"/>
    </xf>
    <xf numFmtId="43" fontId="8" fillId="0" borderId="0" xfId="0" applyNumberFormat="1" applyFont="1" applyFill="1" applyAlignment="1">
      <alignment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43" fontId="9" fillId="0" borderId="0" xfId="0" applyNumberFormat="1" applyFont="1" applyFill="1" applyBorder="1" applyAlignment="1">
      <alignment horizontal="right" vertical="center"/>
    </xf>
    <xf numFmtId="0" fontId="9" fillId="0" borderId="0" xfId="0" applyFont="1" applyFill="1" applyBorder="1" applyAlignment="1">
      <alignment horizontal="right" vertical="center"/>
    </xf>
    <xf numFmtId="0" fontId="9" fillId="0" borderId="0" xfId="0" applyFont="1" applyFill="1" applyBorder="1" applyAlignment="1">
      <alignment horizontal="right" vertical="center" wrapText="1"/>
    </xf>
    <xf numFmtId="0" fontId="9" fillId="0" borderId="0" xfId="0" applyFont="1" applyFill="1" applyAlignment="1">
      <alignment horizontal="right" vertical="center"/>
    </xf>
    <xf numFmtId="0" fontId="9" fillId="0" borderId="0" xfId="0" applyFont="1" applyFill="1" applyAlignment="1">
      <alignment horizontal="center" vertical="center"/>
    </xf>
    <xf numFmtId="0" fontId="10" fillId="0" borderId="0" xfId="0" applyNumberFormat="1" applyFont="1" applyFill="1" applyAlignment="1">
      <alignment horizontal="center" vertical="center"/>
    </xf>
    <xf numFmtId="43" fontId="10" fillId="0" borderId="0" xfId="0" applyNumberFormat="1" applyFont="1" applyFill="1" applyAlignment="1">
      <alignment horizontal="center" vertical="center"/>
    </xf>
    <xf numFmtId="180" fontId="11" fillId="0" borderId="1" xfId="0" applyNumberFormat="1" applyFont="1" applyFill="1" applyBorder="1" applyAlignment="1">
      <alignment horizontal="center" vertical="center" wrapText="1"/>
    </xf>
    <xf numFmtId="43" fontId="11" fillId="0" borderId="1" xfId="0" applyNumberFormat="1" applyFont="1" applyFill="1" applyBorder="1" applyAlignment="1">
      <alignment horizontal="center" vertical="center" wrapText="1"/>
    </xf>
    <xf numFmtId="180" fontId="11" fillId="6" borderId="1" xfId="0" applyNumberFormat="1" applyFont="1" applyFill="1" applyBorder="1" applyAlignment="1">
      <alignment horizontal="center" vertical="center" wrapText="1"/>
    </xf>
    <xf numFmtId="180" fontId="12" fillId="6" borderId="2" xfId="0" applyNumberFormat="1" applyFont="1" applyFill="1" applyBorder="1" applyAlignment="1">
      <alignment horizontal="center" vertical="center" wrapText="1"/>
    </xf>
    <xf numFmtId="180" fontId="12" fillId="6" borderId="3" xfId="0" applyNumberFormat="1" applyFont="1" applyFill="1" applyBorder="1" applyAlignment="1">
      <alignment horizontal="center" vertical="center" wrapText="1"/>
    </xf>
    <xf numFmtId="43" fontId="12" fillId="6" borderId="3" xfId="0" applyNumberFormat="1" applyFont="1" applyFill="1" applyBorder="1" applyAlignment="1">
      <alignment horizontal="center" vertical="center" wrapText="1"/>
    </xf>
    <xf numFmtId="180" fontId="12" fillId="6" borderId="4" xfId="0" applyNumberFormat="1" applyFont="1" applyFill="1" applyBorder="1" applyAlignment="1">
      <alignment horizontal="center" vertical="center" wrapText="1"/>
    </xf>
    <xf numFmtId="0" fontId="9" fillId="0" borderId="5" xfId="0" applyFont="1" applyFill="1" applyBorder="1" applyAlignment="1">
      <alignment horizontal="center" vertical="center" wrapText="1"/>
    </xf>
    <xf numFmtId="0" fontId="13" fillId="0" borderId="5" xfId="0" applyFont="1" applyFill="1" applyBorder="1" applyAlignment="1">
      <alignment horizontal="center" vertical="center" wrapText="1"/>
    </xf>
    <xf numFmtId="43" fontId="9" fillId="0" borderId="5" xfId="0" applyNumberFormat="1" applyFont="1" applyFill="1" applyBorder="1" applyAlignment="1">
      <alignment horizontal="center" vertical="center" wrapText="1"/>
    </xf>
    <xf numFmtId="43" fontId="9" fillId="0" borderId="1" xfId="0" applyNumberFormat="1" applyFont="1" applyFill="1" applyBorder="1" applyAlignment="1">
      <alignment horizontal="center" vertical="center" wrapText="1"/>
    </xf>
    <xf numFmtId="43" fontId="13" fillId="0" borderId="1" xfId="0" applyNumberFormat="1" applyFont="1" applyFill="1" applyBorder="1" applyAlignment="1">
      <alignment horizontal="center" vertical="center" wrapText="1"/>
    </xf>
    <xf numFmtId="0" fontId="9" fillId="0" borderId="6" xfId="0" applyFont="1" applyFill="1" applyBorder="1" applyAlignment="1">
      <alignment horizontal="center" vertical="center" wrapText="1"/>
    </xf>
    <xf numFmtId="43" fontId="9" fillId="0" borderId="6" xfId="0" applyNumberFormat="1" applyFont="1" applyFill="1" applyBorder="1" applyAlignment="1">
      <alignment horizontal="center" vertical="center" wrapText="1"/>
    </xf>
    <xf numFmtId="43" fontId="13" fillId="0" borderId="1" xfId="0" applyNumberFormat="1" applyFont="1" applyFill="1" applyBorder="1" applyAlignment="1" applyProtection="1">
      <alignment horizontal="center" vertical="center" wrapText="1"/>
    </xf>
    <xf numFmtId="43" fontId="13" fillId="0" borderId="1" xfId="0" applyNumberFormat="1" applyFont="1" applyFill="1" applyBorder="1" applyAlignment="1" applyProtection="1">
      <alignment horizontal="center" vertical="center"/>
    </xf>
    <xf numFmtId="43" fontId="9" fillId="7" borderId="1" xfId="0" applyNumberFormat="1" applyFont="1" applyFill="1" applyBorder="1" applyAlignment="1">
      <alignment horizontal="center" vertical="center" wrapText="1"/>
    </xf>
    <xf numFmtId="43" fontId="13" fillId="7" borderId="1" xfId="0" applyNumberFormat="1" applyFont="1" applyFill="1" applyBorder="1" applyAlignment="1" applyProtection="1">
      <alignment horizontal="center" vertical="center" wrapText="1"/>
    </xf>
    <xf numFmtId="43" fontId="13" fillId="7" borderId="5" xfId="0" applyNumberFormat="1" applyFont="1" applyFill="1" applyBorder="1" applyAlignment="1" applyProtection="1">
      <alignment horizontal="center" vertical="center" wrapText="1"/>
    </xf>
    <xf numFmtId="43" fontId="13" fillId="7" borderId="6" xfId="0" applyNumberFormat="1" applyFont="1" applyFill="1" applyBorder="1" applyAlignment="1" applyProtection="1">
      <alignment horizontal="center" vertical="center" wrapText="1"/>
    </xf>
    <xf numFmtId="43" fontId="13" fillId="7" borderId="7" xfId="0" applyNumberFormat="1" applyFont="1" applyFill="1" applyBorder="1" applyAlignment="1" applyProtection="1">
      <alignment horizontal="center" vertical="center" wrapText="1"/>
    </xf>
    <xf numFmtId="0" fontId="1" fillId="6" borderId="1" xfId="0" applyFont="1" applyFill="1" applyBorder="1" applyAlignment="1">
      <alignment horizontal="center" vertical="center" wrapText="1"/>
    </xf>
    <xf numFmtId="43" fontId="11" fillId="0" borderId="2" xfId="0" applyNumberFormat="1" applyFont="1" applyFill="1" applyBorder="1" applyAlignment="1" applyProtection="1">
      <alignment horizontal="center" vertical="center"/>
    </xf>
    <xf numFmtId="43" fontId="11" fillId="0" borderId="3" xfId="0" applyNumberFormat="1" applyFont="1" applyFill="1" applyBorder="1" applyAlignment="1" applyProtection="1">
      <alignment horizontal="center" vertical="center"/>
    </xf>
    <xf numFmtId="43" fontId="11" fillId="0" borderId="4" xfId="0" applyNumberFormat="1" applyFont="1" applyFill="1" applyBorder="1" applyAlignment="1" applyProtection="1">
      <alignment horizontal="center" vertical="center"/>
    </xf>
    <xf numFmtId="43" fontId="11" fillId="7" borderId="1" xfId="0" applyNumberFormat="1" applyFont="1" applyFill="1" applyBorder="1" applyAlignment="1" applyProtection="1">
      <alignment horizontal="center" vertical="center"/>
    </xf>
    <xf numFmtId="43" fontId="9" fillId="0" borderId="6" xfId="0" applyNumberFormat="1" applyFont="1" applyFill="1" applyBorder="1" applyAlignment="1">
      <alignment vertical="center" wrapText="1"/>
    </xf>
    <xf numFmtId="43" fontId="11" fillId="0" borderId="7" xfId="0" applyNumberFormat="1" applyFont="1" applyFill="1" applyBorder="1" applyAlignment="1" applyProtection="1">
      <alignment horizontal="center" vertical="center"/>
    </xf>
    <xf numFmtId="43" fontId="12" fillId="0" borderId="7" xfId="0" applyNumberFormat="1" applyFont="1" applyFill="1" applyBorder="1" applyAlignment="1" applyProtection="1">
      <alignment horizontal="center" vertical="center"/>
    </xf>
    <xf numFmtId="0" fontId="13" fillId="8" borderId="5" xfId="0" applyFont="1" applyFill="1" applyBorder="1" applyAlignment="1">
      <alignment horizontal="center" vertical="center" wrapText="1"/>
    </xf>
    <xf numFmtId="43" fontId="13" fillId="0" borderId="1" xfId="0" applyNumberFormat="1" applyFont="1" applyFill="1" applyBorder="1" applyAlignment="1">
      <alignment horizontal="center" vertical="center" wrapText="1"/>
    </xf>
    <xf numFmtId="0" fontId="13" fillId="8" borderId="6" xfId="0" applyFont="1" applyFill="1" applyBorder="1" applyAlignment="1">
      <alignment horizontal="center" vertical="center" wrapText="1"/>
    </xf>
    <xf numFmtId="43" fontId="13" fillId="7" borderId="1" xfId="0" applyNumberFormat="1" applyFont="1" applyFill="1" applyBorder="1" applyAlignment="1">
      <alignment horizontal="center" vertical="center" wrapText="1"/>
    </xf>
    <xf numFmtId="43" fontId="13" fillId="0" borderId="5" xfId="0" applyNumberFormat="1" applyFont="1" applyFill="1" applyBorder="1" applyAlignment="1">
      <alignment horizontal="center" vertical="center" wrapText="1"/>
    </xf>
    <xf numFmtId="43" fontId="13" fillId="0" borderId="6" xfId="0" applyNumberFormat="1" applyFont="1" applyFill="1" applyBorder="1" applyAlignment="1">
      <alignment horizontal="center" vertical="center" wrapText="1"/>
    </xf>
    <xf numFmtId="43" fontId="13" fillId="0" borderId="7" xfId="0" applyNumberFormat="1" applyFont="1" applyFill="1" applyBorder="1" applyAlignment="1">
      <alignment horizontal="center" vertical="center" wrapText="1"/>
    </xf>
    <xf numFmtId="43" fontId="13" fillId="0" borderId="5" xfId="0" applyNumberFormat="1" applyFont="1" applyFill="1" applyBorder="1" applyAlignment="1" applyProtection="1">
      <alignment horizontal="center" vertical="center" wrapText="1"/>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1" fillId="9" borderId="8" xfId="0" applyFont="1" applyFill="1" applyBorder="1" applyAlignment="1">
      <alignment horizontal="center" vertical="center"/>
    </xf>
    <xf numFmtId="43" fontId="13" fillId="0" borderId="1" xfId="0" applyNumberFormat="1" applyFont="1" applyFill="1" applyBorder="1" applyAlignment="1">
      <alignment vertical="center" wrapText="1"/>
    </xf>
    <xf numFmtId="43" fontId="13" fillId="0" borderId="5" xfId="0" applyNumberFormat="1" applyFont="1" applyFill="1" applyBorder="1" applyAlignment="1" applyProtection="1">
      <alignment horizontal="center" vertical="center" wrapText="1"/>
    </xf>
    <xf numFmtId="43" fontId="13" fillId="0" borderId="5" xfId="0" applyNumberFormat="1" applyFont="1" applyFill="1" applyBorder="1" applyAlignment="1">
      <alignment horizontal="center" vertical="center" wrapText="1"/>
    </xf>
    <xf numFmtId="43" fontId="9" fillId="0" borderId="7" xfId="0" applyNumberFormat="1" applyFont="1" applyFill="1" applyBorder="1" applyAlignment="1">
      <alignment horizontal="center" vertical="center" wrapText="1"/>
    </xf>
    <xf numFmtId="43" fontId="13" fillId="0" borderId="1" xfId="0" applyNumberFormat="1" applyFont="1" applyFill="1" applyBorder="1" applyAlignment="1" applyProtection="1">
      <alignment horizontal="center" vertical="center" wrapText="1"/>
    </xf>
    <xf numFmtId="43" fontId="13" fillId="0" borderId="1" xfId="0" applyNumberFormat="1" applyFont="1" applyFill="1" applyBorder="1" applyAlignment="1" applyProtection="1">
      <alignment horizontal="left" vertical="center" wrapText="1"/>
    </xf>
    <xf numFmtId="43" fontId="10" fillId="0" borderId="0" xfId="0" applyNumberFormat="1" applyFont="1" applyFill="1" applyAlignment="1">
      <alignment horizontal="right" vertical="center"/>
    </xf>
    <xf numFmtId="0" fontId="10" fillId="0" borderId="0" xfId="0" applyNumberFormat="1" applyFont="1" applyFill="1" applyAlignment="1">
      <alignment horizontal="right" vertical="center"/>
    </xf>
    <xf numFmtId="43" fontId="11" fillId="0" borderId="1" xfId="0" applyNumberFormat="1" applyFont="1" applyFill="1" applyBorder="1" applyAlignment="1" applyProtection="1">
      <alignment horizontal="center" vertical="center"/>
    </xf>
    <xf numFmtId="43" fontId="12" fillId="0" borderId="1" xfId="0" applyNumberFormat="1" applyFont="1" applyFill="1" applyBorder="1" applyAlignment="1" applyProtection="1">
      <alignment horizontal="center" vertical="center"/>
    </xf>
    <xf numFmtId="0" fontId="11" fillId="0" borderId="4" xfId="0" applyNumberFormat="1" applyFont="1" applyFill="1" applyBorder="1" applyAlignment="1" applyProtection="1">
      <alignment horizontal="center" vertical="center"/>
    </xf>
    <xf numFmtId="0" fontId="14" fillId="0" borderId="1" xfId="0" applyNumberFormat="1" applyFont="1" applyFill="1" applyBorder="1" applyAlignment="1" applyProtection="1">
      <alignment horizontal="center" vertical="center"/>
    </xf>
    <xf numFmtId="0" fontId="11" fillId="0" borderId="9" xfId="0" applyNumberFormat="1" applyFont="1" applyFill="1" applyBorder="1" applyAlignment="1" applyProtection="1">
      <alignment horizontal="center" vertical="center" wrapText="1"/>
    </xf>
    <xf numFmtId="0" fontId="11" fillId="0" borderId="10" xfId="0" applyNumberFormat="1" applyFont="1" applyFill="1" applyBorder="1" applyAlignment="1" applyProtection="1">
      <alignment horizontal="center" vertical="center" wrapText="1"/>
    </xf>
    <xf numFmtId="0" fontId="11" fillId="0" borderId="7" xfId="0" applyNumberFormat="1" applyFont="1" applyFill="1" applyBorder="1" applyAlignment="1" applyProtection="1">
      <alignment horizontal="center" vertical="center" wrapText="1"/>
    </xf>
    <xf numFmtId="43" fontId="9" fillId="6" borderId="1" xfId="0" applyNumberFormat="1" applyFont="1" applyFill="1" applyBorder="1" applyAlignment="1">
      <alignment horizontal="right" vertical="center" wrapText="1"/>
    </xf>
    <xf numFmtId="43" fontId="9" fillId="0" borderId="1" xfId="0" applyNumberFormat="1" applyFont="1" applyFill="1" applyBorder="1" applyAlignment="1">
      <alignment horizontal="right" vertical="center" wrapText="1"/>
    </xf>
    <xf numFmtId="43" fontId="9" fillId="0" borderId="1" xfId="0" applyNumberFormat="1" applyFont="1" applyFill="1" applyBorder="1" applyAlignment="1">
      <alignment horizontal="right" vertical="center" wrapText="1"/>
    </xf>
    <xf numFmtId="43" fontId="13" fillId="0" borderId="1" xfId="0" applyNumberFormat="1" applyFont="1" applyFill="1" applyBorder="1" applyAlignment="1">
      <alignment horizontal="right" vertical="center" wrapText="1"/>
    </xf>
    <xf numFmtId="43" fontId="13" fillId="0" borderId="5" xfId="0" applyNumberFormat="1" applyFont="1" applyFill="1" applyBorder="1" applyAlignment="1">
      <alignment horizontal="right" vertical="center" wrapText="1"/>
    </xf>
    <xf numFmtId="43" fontId="13" fillId="0" borderId="6" xfId="0" applyNumberFormat="1" applyFont="1" applyFill="1" applyBorder="1" applyAlignment="1">
      <alignment horizontal="right" vertical="center" wrapText="1"/>
    </xf>
    <xf numFmtId="43" fontId="5" fillId="0" borderId="1" xfId="0" applyNumberFormat="1" applyFont="1" applyFill="1" applyBorder="1" applyAlignment="1">
      <alignment horizontal="right" vertical="center"/>
    </xf>
    <xf numFmtId="43" fontId="13" fillId="0" borderId="1" xfId="0" applyNumberFormat="1" applyFont="1" applyFill="1" applyBorder="1" applyAlignment="1" applyProtection="1">
      <alignment horizontal="right" vertical="center" wrapText="1"/>
    </xf>
    <xf numFmtId="43" fontId="9" fillId="7" borderId="1" xfId="0" applyNumberFormat="1" applyFont="1" applyFill="1" applyBorder="1" applyAlignment="1">
      <alignment horizontal="right" vertical="center" wrapText="1"/>
    </xf>
    <xf numFmtId="43" fontId="9" fillId="7" borderId="1" xfId="0" applyNumberFormat="1" applyFont="1" applyFill="1" applyBorder="1" applyAlignment="1">
      <alignment vertical="center" wrapText="1"/>
    </xf>
    <xf numFmtId="43" fontId="9" fillId="7" borderId="5" xfId="0" applyNumberFormat="1" applyFont="1" applyFill="1" applyBorder="1" applyAlignment="1">
      <alignment horizontal="center" vertical="center" wrapText="1"/>
    </xf>
    <xf numFmtId="43" fontId="13" fillId="7" borderId="1" xfId="0" applyNumberFormat="1" applyFont="1" applyFill="1" applyBorder="1" applyAlignment="1" applyProtection="1">
      <alignment horizontal="right" vertical="center" wrapText="1"/>
    </xf>
    <xf numFmtId="43" fontId="9" fillId="7" borderId="6" xfId="0" applyNumberFormat="1" applyFont="1" applyFill="1" applyBorder="1" applyAlignment="1">
      <alignment horizontal="center" vertical="center" wrapText="1"/>
    </xf>
    <xf numFmtId="43" fontId="9" fillId="7" borderId="7" xfId="0" applyNumberFormat="1" applyFont="1" applyFill="1" applyBorder="1" applyAlignment="1">
      <alignment horizontal="center" vertical="center" wrapText="1"/>
    </xf>
    <xf numFmtId="43" fontId="13" fillId="7" borderId="7" xfId="0" applyNumberFormat="1" applyFont="1" applyFill="1" applyBorder="1" applyAlignment="1" applyProtection="1">
      <alignment horizontal="center" vertical="center" wrapText="1"/>
    </xf>
    <xf numFmtId="43" fontId="12" fillId="0" borderId="1" xfId="0" applyNumberFormat="1" applyFont="1" applyFill="1" applyBorder="1" applyAlignment="1">
      <alignment horizontal="right" vertical="center" wrapText="1"/>
    </xf>
    <xf numFmtId="43" fontId="12" fillId="7" borderId="1" xfId="0" applyNumberFormat="1" applyFont="1" applyFill="1" applyBorder="1" applyAlignment="1">
      <alignment horizontal="right" vertical="center" wrapText="1"/>
    </xf>
    <xf numFmtId="43" fontId="12" fillId="0" borderId="7" xfId="0" applyNumberFormat="1" applyFont="1" applyFill="1" applyBorder="1" applyAlignment="1">
      <alignment horizontal="right" vertical="center" wrapText="1"/>
    </xf>
    <xf numFmtId="43" fontId="12" fillId="5" borderId="1" xfId="0" applyNumberFormat="1" applyFont="1" applyFill="1" applyBorder="1" applyAlignment="1">
      <alignment horizontal="right" vertical="center" wrapText="1"/>
    </xf>
    <xf numFmtId="43" fontId="9" fillId="0" borderId="5" xfId="0" applyNumberFormat="1" applyFont="1" applyFill="1" applyBorder="1" applyAlignment="1">
      <alignment horizontal="right" vertical="center" wrapText="1"/>
    </xf>
    <xf numFmtId="43" fontId="9" fillId="0" borderId="6" xfId="0" applyNumberFormat="1" applyFont="1" applyFill="1" applyBorder="1" applyAlignment="1">
      <alignment horizontal="right" vertical="center" wrapText="1"/>
    </xf>
    <xf numFmtId="43" fontId="9" fillId="0" borderId="7" xfId="0" applyNumberFormat="1" applyFont="1" applyFill="1" applyBorder="1" applyAlignment="1">
      <alignment horizontal="right" vertical="center" wrapText="1"/>
    </xf>
    <xf numFmtId="43" fontId="13" fillId="0" borderId="7" xfId="0" applyNumberFormat="1" applyFont="1" applyFill="1" applyBorder="1" applyAlignment="1">
      <alignment horizontal="right" vertical="center" wrapText="1"/>
    </xf>
    <xf numFmtId="43" fontId="9" fillId="0" borderId="1" xfId="0" applyNumberFormat="1" applyFont="1" applyFill="1" applyBorder="1" applyAlignment="1" applyProtection="1">
      <alignment horizontal="right" vertical="center"/>
    </xf>
    <xf numFmtId="43" fontId="9" fillId="0" borderId="7" xfId="0" applyNumberFormat="1" applyFont="1" applyFill="1" applyBorder="1" applyAlignment="1" applyProtection="1">
      <alignment horizontal="right" vertical="center"/>
    </xf>
    <xf numFmtId="43" fontId="5" fillId="7" borderId="1" xfId="0" applyNumberFormat="1" applyFont="1" applyFill="1" applyBorder="1" applyAlignment="1">
      <alignment horizontal="right" vertical="center"/>
    </xf>
    <xf numFmtId="43" fontId="1" fillId="9" borderId="11" xfId="0" applyNumberFormat="1" applyFont="1" applyFill="1" applyBorder="1" applyAlignment="1">
      <alignment horizontal="center" vertical="center"/>
    </xf>
    <xf numFmtId="43" fontId="9" fillId="0" borderId="5" xfId="0" applyNumberFormat="1" applyFont="1" applyFill="1" applyBorder="1" applyAlignment="1">
      <alignment horizontal="right" vertical="center" wrapText="1"/>
    </xf>
    <xf numFmtId="0" fontId="10" fillId="0" borderId="0" xfId="0" applyNumberFormat="1" applyFont="1" applyFill="1" applyAlignment="1">
      <alignment horizontal="right" vertical="center" wrapText="1"/>
    </xf>
    <xf numFmtId="0" fontId="11" fillId="0" borderId="5" xfId="0" applyNumberFormat="1" applyFont="1" applyFill="1" applyBorder="1" applyAlignment="1" applyProtection="1">
      <alignment horizontal="center" vertical="center"/>
    </xf>
    <xf numFmtId="0" fontId="11" fillId="0" borderId="12" xfId="0" applyNumberFormat="1" applyFont="1" applyFill="1" applyBorder="1" applyAlignment="1" applyProtection="1">
      <alignment horizontal="center" vertical="center" wrapText="1"/>
    </xf>
    <xf numFmtId="0" fontId="11" fillId="0" borderId="13" xfId="0" applyNumberFormat="1" applyFont="1" applyFill="1" applyBorder="1" applyAlignment="1" applyProtection="1">
      <alignment horizontal="center" vertical="center" wrapText="1"/>
    </xf>
    <xf numFmtId="0" fontId="11" fillId="0" borderId="14" xfId="0" applyNumberFormat="1" applyFont="1" applyFill="1" applyBorder="1" applyAlignment="1" applyProtection="1">
      <alignment horizontal="center" vertical="center" wrapText="1"/>
    </xf>
    <xf numFmtId="0" fontId="11" fillId="0" borderId="7" xfId="0" applyNumberFormat="1" applyFont="1" applyFill="1" applyBorder="1" applyAlignment="1" applyProtection="1">
      <alignment horizontal="center" vertical="center"/>
    </xf>
    <xf numFmtId="0" fontId="11" fillId="0" borderId="1" xfId="0" applyNumberFormat="1" applyFont="1" applyFill="1" applyBorder="1" applyAlignment="1" applyProtection="1">
      <alignment horizontal="center" vertical="center" wrapText="1"/>
    </xf>
    <xf numFmtId="0" fontId="11" fillId="0" borderId="4" xfId="0" applyNumberFormat="1" applyFont="1" applyFill="1" applyBorder="1" applyAlignment="1" applyProtection="1">
      <alignment horizontal="center" vertical="center" wrapText="1"/>
    </xf>
    <xf numFmtId="0" fontId="11" fillId="0" borderId="14" xfId="0" applyNumberFormat="1" applyFont="1" applyFill="1" applyBorder="1" applyAlignment="1" applyProtection="1">
      <alignment horizontal="center" vertical="center"/>
    </xf>
    <xf numFmtId="43" fontId="9" fillId="6" borderId="4" xfId="0" applyNumberFormat="1" applyFont="1" applyFill="1" applyBorder="1" applyAlignment="1">
      <alignment horizontal="right" vertical="center" wrapText="1"/>
    </xf>
    <xf numFmtId="43" fontId="9" fillId="6" borderId="4" xfId="0" applyNumberFormat="1" applyFont="1" applyFill="1" applyBorder="1" applyAlignment="1">
      <alignment horizontal="right" vertical="center" wrapText="1"/>
    </xf>
    <xf numFmtId="43" fontId="9" fillId="6" borderId="4" xfId="0" applyNumberFormat="1" applyFont="1" applyFill="1" applyBorder="1" applyAlignment="1">
      <alignment horizontal="center" vertical="center" wrapText="1"/>
    </xf>
    <xf numFmtId="43" fontId="9" fillId="0" borderId="4" xfId="0" applyNumberFormat="1" applyFont="1" applyFill="1" applyBorder="1" applyAlignment="1">
      <alignment horizontal="right" vertical="center" wrapText="1"/>
    </xf>
    <xf numFmtId="43" fontId="9" fillId="0" borderId="4" xfId="0" applyNumberFormat="1" applyFont="1" applyFill="1" applyBorder="1" applyAlignment="1">
      <alignment horizontal="right" vertical="center" wrapText="1"/>
    </xf>
    <xf numFmtId="43" fontId="9" fillId="0" borderId="4" xfId="0" applyNumberFormat="1" applyFont="1" applyFill="1" applyBorder="1" applyAlignment="1">
      <alignment horizontal="center" vertical="center" wrapText="1"/>
    </xf>
    <xf numFmtId="43" fontId="13" fillId="0" borderId="6" xfId="0" applyNumberFormat="1" applyFont="1" applyFill="1" applyBorder="1" applyAlignment="1" applyProtection="1">
      <alignment horizontal="right" vertical="center" wrapText="1"/>
    </xf>
    <xf numFmtId="43" fontId="13" fillId="0" borderId="6" xfId="0" applyNumberFormat="1" applyFont="1" applyFill="1" applyBorder="1" applyAlignment="1" applyProtection="1">
      <alignment horizontal="center" vertical="center" wrapText="1"/>
    </xf>
    <xf numFmtId="43" fontId="13" fillId="0" borderId="7" xfId="0" applyNumberFormat="1" applyFont="1" applyFill="1" applyBorder="1" applyAlignment="1" applyProtection="1">
      <alignment horizontal="right" vertical="center" wrapText="1"/>
    </xf>
    <xf numFmtId="43" fontId="13" fillId="0" borderId="7" xfId="0" applyNumberFormat="1" applyFont="1" applyFill="1" applyBorder="1" applyAlignment="1" applyProtection="1">
      <alignment horizontal="center" vertical="center" wrapText="1"/>
    </xf>
    <xf numFmtId="43" fontId="13" fillId="7" borderId="7" xfId="0" applyNumberFormat="1" applyFont="1" applyFill="1" applyBorder="1" applyAlignment="1" applyProtection="1">
      <alignment horizontal="right" vertical="center" wrapText="1"/>
    </xf>
    <xf numFmtId="43" fontId="12" fillId="5" borderId="4" xfId="0" applyNumberFormat="1" applyFont="1" applyFill="1" applyBorder="1" applyAlignment="1">
      <alignment horizontal="right" vertical="center" wrapText="1"/>
    </xf>
    <xf numFmtId="43" fontId="12" fillId="5" borderId="4" xfId="0" applyNumberFormat="1" applyFont="1" applyFill="1" applyBorder="1" applyAlignment="1">
      <alignment horizontal="center" vertical="center" wrapText="1"/>
    </xf>
    <xf numFmtId="43" fontId="9" fillId="7" borderId="4" xfId="0" applyNumberFormat="1" applyFont="1" applyFill="1" applyBorder="1" applyAlignment="1">
      <alignment horizontal="right" vertical="center" wrapText="1"/>
    </xf>
    <xf numFmtId="43" fontId="9" fillId="7" borderId="4" xfId="0" applyNumberFormat="1" applyFont="1" applyFill="1" applyBorder="1" applyAlignment="1">
      <alignment horizontal="right" vertical="center" wrapText="1"/>
    </xf>
    <xf numFmtId="43" fontId="9" fillId="0" borderId="1" xfId="0" applyNumberFormat="1" applyFont="1" applyFill="1" applyBorder="1" applyAlignment="1">
      <alignment horizontal="center" vertical="center" wrapText="1"/>
    </xf>
    <xf numFmtId="43" fontId="12" fillId="5" borderId="1" xfId="0" applyNumberFormat="1" applyFont="1" applyFill="1" applyBorder="1" applyAlignment="1">
      <alignment horizontal="center" vertical="center" wrapText="1"/>
    </xf>
    <xf numFmtId="43" fontId="9" fillId="5" borderId="1" xfId="0" applyNumberFormat="1" applyFont="1" applyFill="1" applyBorder="1" applyAlignment="1">
      <alignment horizontal="right" vertical="center" wrapText="1"/>
    </xf>
    <xf numFmtId="43" fontId="9" fillId="0" borderId="5" xfId="0" applyNumberFormat="1" applyFont="1" applyFill="1" applyBorder="1" applyAlignment="1" applyProtection="1">
      <alignment horizontal="right" vertical="center"/>
    </xf>
    <xf numFmtId="43" fontId="9" fillId="0" borderId="7" xfId="0" applyNumberFormat="1" applyFont="1" applyFill="1" applyBorder="1" applyAlignment="1" applyProtection="1">
      <alignment horizontal="right" vertical="center"/>
    </xf>
    <xf numFmtId="43" fontId="13" fillId="7" borderId="7" xfId="0" applyNumberFormat="1" applyFont="1" applyFill="1" applyBorder="1" applyAlignment="1">
      <alignment horizontal="center" vertical="center" wrapText="1"/>
    </xf>
    <xf numFmtId="43" fontId="13" fillId="7" borderId="1" xfId="0" applyNumberFormat="1" applyFont="1" applyFill="1" applyBorder="1" applyAlignment="1" applyProtection="1">
      <alignment horizontal="left" vertical="center" wrapText="1"/>
    </xf>
    <xf numFmtId="43" fontId="13" fillId="0" borderId="4" xfId="0" applyNumberFormat="1" applyFont="1" applyFill="1" applyBorder="1" applyAlignment="1">
      <alignment horizontal="center" vertical="center" wrapText="1"/>
    </xf>
    <xf numFmtId="0" fontId="9" fillId="0" borderId="7" xfId="0" applyFont="1" applyFill="1" applyBorder="1" applyAlignment="1">
      <alignment horizontal="center" vertical="center" wrapText="1"/>
    </xf>
    <xf numFmtId="43" fontId="11" fillId="0" borderId="12" xfId="0" applyNumberFormat="1" applyFont="1" applyFill="1" applyBorder="1" applyAlignment="1" applyProtection="1">
      <alignment horizontal="center" vertical="center"/>
    </xf>
    <xf numFmtId="43" fontId="12" fillId="0" borderId="13" xfId="0" applyNumberFormat="1" applyFont="1" applyFill="1" applyBorder="1" applyAlignment="1" applyProtection="1">
      <alignment horizontal="center" vertical="center"/>
    </xf>
    <xf numFmtId="0" fontId="9" fillId="0" borderId="1" xfId="0" applyFont="1" applyFill="1" applyBorder="1" applyAlignment="1">
      <alignment horizontal="center" vertical="center" wrapText="1"/>
    </xf>
    <xf numFmtId="180" fontId="13" fillId="0" borderId="1" xfId="0" applyNumberFormat="1" applyFont="1" applyFill="1" applyBorder="1" applyAlignment="1">
      <alignment horizontal="center" vertical="center" wrapText="1"/>
    </xf>
    <xf numFmtId="180" fontId="9"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49" fontId="5" fillId="0" borderId="1" xfId="0" applyNumberFormat="1" applyFont="1" applyFill="1" applyBorder="1" applyAlignment="1">
      <alignment vertical="center" wrapText="1"/>
    </xf>
    <xf numFmtId="49" fontId="1" fillId="7" borderId="1" xfId="0" applyNumberFormat="1" applyFont="1" applyFill="1" applyBorder="1" applyAlignment="1">
      <alignment horizontal="center" vertical="center"/>
    </xf>
    <xf numFmtId="49" fontId="5" fillId="7" borderId="13" xfId="0" applyNumberFormat="1" applyFont="1" applyFill="1" applyBorder="1" applyAlignment="1">
      <alignment horizontal="center" vertical="center" wrapText="1"/>
    </xf>
    <xf numFmtId="49" fontId="5" fillId="7" borderId="14" xfId="0" applyNumberFormat="1" applyFont="1" applyFill="1" applyBorder="1" applyAlignment="1">
      <alignment horizontal="center" vertical="center" wrapText="1"/>
    </xf>
    <xf numFmtId="180" fontId="13" fillId="8" borderId="1" xfId="0" applyNumberFormat="1" applyFont="1" applyFill="1" applyBorder="1" applyAlignment="1">
      <alignment horizontal="center" vertical="center" wrapText="1"/>
    </xf>
    <xf numFmtId="180" fontId="13" fillId="0" borderId="1" xfId="0" applyNumberFormat="1" applyFont="1" applyFill="1" applyBorder="1" applyAlignment="1">
      <alignment horizontal="center" vertical="center" wrapText="1"/>
    </xf>
    <xf numFmtId="180" fontId="9" fillId="0" borderId="1" xfId="0" applyNumberFormat="1" applyFont="1" applyFill="1" applyBorder="1" applyAlignment="1">
      <alignment horizontal="center" vertical="center" wrapText="1"/>
    </xf>
    <xf numFmtId="180" fontId="13" fillId="8"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8" borderId="7" xfId="0" applyFont="1" applyFill="1" applyBorder="1" applyAlignment="1">
      <alignment horizontal="center" vertical="center" wrapText="1"/>
    </xf>
    <xf numFmtId="43" fontId="9" fillId="7"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13" fillId="0" borderId="13" xfId="0" applyFont="1" applyFill="1" applyBorder="1" applyAlignment="1">
      <alignment horizontal="center" vertical="center" wrapText="1"/>
    </xf>
    <xf numFmtId="43" fontId="9"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3" fontId="13" fillId="6" borderId="1" xfId="0" applyNumberFormat="1" applyFont="1" applyFill="1" applyBorder="1" applyAlignment="1">
      <alignment horizontal="center" vertical="center" wrapText="1"/>
    </xf>
    <xf numFmtId="180" fontId="11" fillId="0" borderId="12" xfId="0" applyNumberFormat="1" applyFont="1" applyFill="1" applyBorder="1" applyAlignment="1">
      <alignment horizontal="center" vertical="center" wrapText="1"/>
    </xf>
    <xf numFmtId="180" fontId="11" fillId="0" borderId="15" xfId="0" applyNumberFormat="1" applyFont="1" applyFill="1" applyBorder="1" applyAlignment="1">
      <alignment horizontal="center" vertical="center" wrapText="1"/>
    </xf>
    <xf numFmtId="180" fontId="11" fillId="0" borderId="13" xfId="0" applyNumberFormat="1" applyFont="1" applyFill="1" applyBorder="1" applyAlignment="1">
      <alignment horizontal="center" vertical="center" wrapText="1"/>
    </xf>
    <xf numFmtId="43" fontId="12" fillId="0" borderId="1" xfId="0" applyNumberFormat="1" applyFont="1" applyFill="1" applyBorder="1" applyAlignment="1">
      <alignment horizontal="center" vertical="center" wrapText="1"/>
    </xf>
    <xf numFmtId="180" fontId="11" fillId="0" borderId="16" xfId="0" applyNumberFormat="1" applyFont="1" applyFill="1" applyBorder="1" applyAlignment="1">
      <alignment horizontal="center" vertical="center" wrapText="1"/>
    </xf>
    <xf numFmtId="180" fontId="11" fillId="0" borderId="0" xfId="0" applyNumberFormat="1" applyFont="1" applyFill="1" applyAlignment="1">
      <alignment horizontal="center" vertical="center" wrapText="1"/>
    </xf>
    <xf numFmtId="180" fontId="11" fillId="0" borderId="17" xfId="0" applyNumberFormat="1" applyFont="1" applyFill="1" applyBorder="1" applyAlignment="1">
      <alignment horizontal="center" vertical="center" wrapText="1"/>
    </xf>
    <xf numFmtId="43" fontId="12" fillId="0" borderId="5" xfId="0" applyNumberFormat="1" applyFont="1" applyFill="1" applyBorder="1" applyAlignment="1">
      <alignment horizontal="center" vertical="center" wrapText="1"/>
    </xf>
    <xf numFmtId="43" fontId="12" fillId="7" borderId="5" xfId="0" applyNumberFormat="1" applyFont="1" applyFill="1" applyBorder="1" applyAlignment="1">
      <alignment horizontal="center" vertical="center" wrapText="1"/>
    </xf>
    <xf numFmtId="43" fontId="13" fillId="7" borderId="1" xfId="0" applyNumberFormat="1" applyFont="1" applyFill="1" applyBorder="1" applyAlignment="1" applyProtection="1">
      <alignment horizontal="center" vertical="center"/>
    </xf>
    <xf numFmtId="43" fontId="12" fillId="7" borderId="6" xfId="0" applyNumberFormat="1" applyFont="1" applyFill="1" applyBorder="1" applyAlignment="1">
      <alignment horizontal="center" vertical="center" wrapText="1"/>
    </xf>
    <xf numFmtId="43" fontId="12" fillId="0" borderId="1" xfId="0" applyNumberFormat="1" applyFont="1" applyFill="1" applyBorder="1" applyAlignment="1">
      <alignment horizontal="center" vertical="center" wrapText="1"/>
    </xf>
    <xf numFmtId="180" fontId="11" fillId="0" borderId="1" xfId="0" applyNumberFormat="1" applyFont="1" applyFill="1" applyBorder="1" applyAlignment="1">
      <alignment horizontal="center" vertical="center" wrapText="1"/>
    </xf>
    <xf numFmtId="43" fontId="12" fillId="0" borderId="6" xfId="0" applyNumberFormat="1" applyFont="1" applyFill="1" applyBorder="1" applyAlignment="1">
      <alignment horizontal="center" vertical="center" wrapText="1"/>
    </xf>
    <xf numFmtId="43" fontId="12" fillId="0" borderId="7" xfId="0" applyNumberFormat="1" applyFont="1" applyFill="1" applyBorder="1" applyAlignment="1">
      <alignment horizontal="center" vertical="center" wrapText="1"/>
    </xf>
    <xf numFmtId="180" fontId="11" fillId="7" borderId="1" xfId="0" applyNumberFormat="1" applyFont="1" applyFill="1" applyBorder="1" applyAlignment="1">
      <alignment horizontal="center" vertical="center" wrapText="1"/>
    </xf>
    <xf numFmtId="43" fontId="12" fillId="7" borderId="7" xfId="0" applyNumberFormat="1" applyFont="1" applyFill="1" applyBorder="1" applyAlignment="1">
      <alignment horizontal="center" vertical="center" wrapText="1"/>
    </xf>
    <xf numFmtId="43" fontId="9" fillId="7" borderId="7" xfId="0" applyNumberFormat="1" applyFont="1" applyFill="1" applyBorder="1" applyAlignment="1">
      <alignment horizontal="right" vertical="center" wrapText="1"/>
    </xf>
    <xf numFmtId="43" fontId="5" fillId="0" borderId="1" xfId="0" applyNumberFormat="1" applyFont="1" applyFill="1" applyBorder="1" applyAlignment="1">
      <alignment horizontal="right" vertical="center"/>
    </xf>
    <xf numFmtId="43" fontId="12" fillId="0" borderId="1" xfId="0" applyNumberFormat="1" applyFont="1" applyFill="1" applyBorder="1" applyAlignment="1">
      <alignment horizontal="right" vertical="center" wrapText="1"/>
    </xf>
    <xf numFmtId="43" fontId="12" fillId="7" borderId="1" xfId="0" applyNumberFormat="1" applyFont="1" applyFill="1" applyBorder="1" applyAlignment="1">
      <alignment horizontal="right" vertical="center" wrapText="1"/>
    </xf>
    <xf numFmtId="43" fontId="9" fillId="7" borderId="7" xfId="0" applyNumberFormat="1" applyFont="1" applyFill="1" applyBorder="1" applyAlignment="1" applyProtection="1">
      <alignment horizontal="right" vertical="center"/>
    </xf>
    <xf numFmtId="4" fontId="5" fillId="0" borderId="1" xfId="0" applyNumberFormat="1" applyFont="1" applyFill="1" applyBorder="1" applyAlignment="1">
      <alignment horizontal="right" vertical="center"/>
    </xf>
    <xf numFmtId="4" fontId="5" fillId="0" borderId="1" xfId="0" applyNumberFormat="1" applyFont="1" applyFill="1" applyBorder="1" applyAlignment="1">
      <alignment horizontal="right" vertical="center"/>
    </xf>
    <xf numFmtId="4" fontId="5" fillId="7" borderId="1" xfId="0" applyNumberFormat="1" applyFont="1" applyFill="1" applyBorder="1" applyAlignment="1">
      <alignment horizontal="right" vertical="center"/>
    </xf>
    <xf numFmtId="43" fontId="9" fillId="7" borderId="1" xfId="0" applyNumberFormat="1" applyFont="1" applyFill="1" applyBorder="1" applyAlignment="1">
      <alignment horizontal="right" vertical="center" wrapText="1"/>
    </xf>
    <xf numFmtId="43" fontId="9" fillId="0" borderId="1" xfId="0" applyNumberFormat="1" applyFont="1" applyFill="1" applyBorder="1" applyAlignment="1">
      <alignment vertical="center" wrapText="1"/>
    </xf>
    <xf numFmtId="43" fontId="12" fillId="7" borderId="1" xfId="0" applyNumberFormat="1" applyFont="1" applyFill="1" applyBorder="1" applyAlignment="1">
      <alignment horizontal="center" vertical="center" wrapText="1"/>
    </xf>
    <xf numFmtId="180" fontId="11" fillId="0" borderId="9" xfId="0" applyNumberFormat="1" applyFont="1" applyFill="1" applyBorder="1" applyAlignment="1">
      <alignment horizontal="center" vertical="center" wrapText="1"/>
    </xf>
    <xf numFmtId="180" fontId="11" fillId="0" borderId="10" xfId="0" applyNumberFormat="1" applyFont="1" applyFill="1" applyBorder="1" applyAlignment="1">
      <alignment horizontal="center" vertical="center" wrapText="1"/>
    </xf>
    <xf numFmtId="180" fontId="11" fillId="0" borderId="14" xfId="0" applyNumberFormat="1" applyFont="1" applyFill="1" applyBorder="1" applyAlignment="1">
      <alignment horizontal="center" vertical="center" wrapText="1"/>
    </xf>
    <xf numFmtId="180" fontId="11" fillId="0" borderId="2" xfId="0" applyNumberFormat="1" applyFont="1" applyFill="1" applyBorder="1" applyAlignment="1">
      <alignment horizontal="center" vertical="center" wrapText="1"/>
    </xf>
    <xf numFmtId="180" fontId="12" fillId="0" borderId="3" xfId="0" applyNumberFormat="1" applyFont="1" applyFill="1" applyBorder="1" applyAlignment="1">
      <alignment horizontal="center" vertical="center" wrapText="1"/>
    </xf>
    <xf numFmtId="180" fontId="12" fillId="0" borderId="4" xfId="0" applyNumberFormat="1" applyFont="1" applyFill="1" applyBorder="1" applyAlignment="1">
      <alignment horizontal="center" vertical="center" wrapText="1"/>
    </xf>
    <xf numFmtId="43" fontId="11" fillId="0" borderId="1" xfId="0" applyNumberFormat="1" applyFont="1" applyFill="1" applyBorder="1" applyAlignment="1">
      <alignment horizontal="center" vertical="center" wrapText="1"/>
    </xf>
    <xf numFmtId="180" fontId="9" fillId="0" borderId="12" xfId="0" applyNumberFormat="1" applyFont="1" applyFill="1" applyBorder="1" applyAlignment="1">
      <alignment horizontal="right" vertical="center" wrapText="1"/>
    </xf>
    <xf numFmtId="180" fontId="9" fillId="0" borderId="15" xfId="0" applyNumberFormat="1" applyFont="1" applyFill="1" applyBorder="1" applyAlignment="1">
      <alignment horizontal="right" vertical="center" wrapText="1"/>
    </xf>
    <xf numFmtId="180" fontId="9" fillId="0" borderId="13" xfId="0" applyNumberFormat="1" applyFont="1" applyFill="1" applyBorder="1" applyAlignment="1">
      <alignment horizontal="right" vertical="center" wrapText="1"/>
    </xf>
    <xf numFmtId="180" fontId="9" fillId="0" borderId="16" xfId="0" applyNumberFormat="1" applyFont="1" applyFill="1" applyBorder="1" applyAlignment="1">
      <alignment horizontal="right" vertical="center" wrapText="1"/>
    </xf>
    <xf numFmtId="180" fontId="9" fillId="0" borderId="0" xfId="0" applyNumberFormat="1" applyFont="1" applyFill="1" applyAlignment="1">
      <alignment horizontal="right" vertical="center" wrapText="1"/>
    </xf>
    <xf numFmtId="180" fontId="9" fillId="0" borderId="17" xfId="0" applyNumberFormat="1" applyFont="1" applyFill="1" applyBorder="1" applyAlignment="1">
      <alignment horizontal="right" vertical="center" wrapText="1"/>
    </xf>
    <xf numFmtId="43" fontId="13" fillId="7" borderId="1" xfId="0" applyNumberFormat="1" applyFont="1" applyFill="1" applyBorder="1" applyAlignment="1">
      <alignment horizontal="right" vertical="center" wrapText="1"/>
    </xf>
    <xf numFmtId="180" fontId="9" fillId="0" borderId="12" xfId="0" applyNumberFormat="1" applyFont="1" applyFill="1" applyBorder="1" applyAlignment="1">
      <alignment horizontal="center" vertical="center" wrapText="1"/>
    </xf>
    <xf numFmtId="180" fontId="9" fillId="0" borderId="15" xfId="0" applyNumberFormat="1" applyFont="1" applyFill="1" applyBorder="1" applyAlignment="1">
      <alignment horizontal="center" vertical="center" wrapText="1"/>
    </xf>
    <xf numFmtId="180" fontId="9" fillId="0" borderId="13" xfId="0" applyNumberFormat="1" applyFont="1" applyFill="1" applyBorder="1" applyAlignment="1">
      <alignment horizontal="center" vertical="center" wrapText="1"/>
    </xf>
    <xf numFmtId="180" fontId="9" fillId="0" borderId="16" xfId="0" applyNumberFormat="1" applyFont="1" applyFill="1" applyBorder="1" applyAlignment="1">
      <alignment horizontal="center" vertical="center" wrapText="1"/>
    </xf>
    <xf numFmtId="180" fontId="9" fillId="0" borderId="0" xfId="0" applyNumberFormat="1" applyFont="1" applyFill="1" applyAlignment="1">
      <alignment horizontal="center" vertical="center" wrapText="1"/>
    </xf>
    <xf numFmtId="180" fontId="9" fillId="0" borderId="17" xfId="0" applyNumberFormat="1" applyFont="1" applyFill="1" applyBorder="1" applyAlignment="1">
      <alignment horizontal="center" vertical="center" wrapText="1"/>
    </xf>
    <xf numFmtId="43" fontId="13" fillId="0" borderId="1" xfId="0" applyNumberFormat="1" applyFont="1" applyFill="1" applyBorder="1" applyAlignment="1">
      <alignment horizontal="right" vertical="center" wrapText="1"/>
    </xf>
    <xf numFmtId="43" fontId="13" fillId="7" borderId="4" xfId="0" applyNumberFormat="1" applyFont="1" applyFill="1" applyBorder="1" applyAlignment="1">
      <alignment horizontal="right" vertical="center" wrapText="1"/>
    </xf>
    <xf numFmtId="180" fontId="9" fillId="0" borderId="1" xfId="0" applyNumberFormat="1" applyFont="1" applyFill="1" applyBorder="1" applyAlignment="1">
      <alignment horizontal="right" vertical="center" wrapText="1"/>
    </xf>
    <xf numFmtId="43" fontId="9" fillId="0" borderId="4" xfId="0" applyNumberFormat="1" applyFont="1" applyFill="1" applyBorder="1" applyAlignment="1">
      <alignment horizontal="right" vertical="center" wrapText="1"/>
    </xf>
    <xf numFmtId="180" fontId="9" fillId="0" borderId="1" xfId="0" applyNumberFormat="1" applyFont="1" applyFill="1" applyBorder="1" applyAlignment="1">
      <alignment horizontal="right" vertical="center" wrapText="1"/>
    </xf>
    <xf numFmtId="180" fontId="9" fillId="7" borderId="1" xfId="0" applyNumberFormat="1" applyFont="1" applyFill="1" applyBorder="1" applyAlignment="1">
      <alignment horizontal="right" vertical="center" wrapText="1"/>
    </xf>
    <xf numFmtId="180" fontId="9" fillId="7" borderId="1" xfId="0" applyNumberFormat="1" applyFont="1" applyFill="1" applyBorder="1" applyAlignment="1">
      <alignment horizontal="right" vertical="center" wrapText="1"/>
    </xf>
    <xf numFmtId="180" fontId="11" fillId="10" borderId="12" xfId="0" applyNumberFormat="1" applyFont="1" applyFill="1" applyBorder="1" applyAlignment="1">
      <alignment horizontal="center" vertical="center" wrapText="1"/>
    </xf>
    <xf numFmtId="180" fontId="11" fillId="10" borderId="15" xfId="0" applyNumberFormat="1" applyFont="1" applyFill="1" applyBorder="1" applyAlignment="1">
      <alignment horizontal="center" vertical="center" wrapText="1"/>
    </xf>
    <xf numFmtId="43" fontId="11" fillId="10" borderId="15" xfId="0" applyNumberFormat="1" applyFont="1" applyFill="1" applyBorder="1" applyAlignment="1">
      <alignment horizontal="center" vertical="center" wrapText="1"/>
    </xf>
    <xf numFmtId="43" fontId="12" fillId="10" borderId="1" xfId="0" applyNumberFormat="1" applyFont="1" applyFill="1" applyBorder="1" applyAlignment="1">
      <alignment horizontal="center" vertical="center" wrapText="1"/>
    </xf>
    <xf numFmtId="43" fontId="12" fillId="10" borderId="1" xfId="0" applyNumberFormat="1" applyFont="1" applyFill="1" applyBorder="1" applyAlignment="1">
      <alignment horizontal="right" vertical="center" wrapText="1"/>
    </xf>
    <xf numFmtId="180" fontId="11" fillId="10" borderId="9" xfId="0" applyNumberFormat="1" applyFont="1" applyFill="1" applyBorder="1" applyAlignment="1">
      <alignment horizontal="center" vertical="center" wrapText="1"/>
    </xf>
    <xf numFmtId="180" fontId="11" fillId="10" borderId="10" xfId="0" applyNumberFormat="1" applyFont="1" applyFill="1" applyBorder="1" applyAlignment="1">
      <alignment horizontal="center" vertical="center" wrapText="1"/>
    </xf>
    <xf numFmtId="43" fontId="11" fillId="10" borderId="10" xfId="0" applyNumberFormat="1" applyFont="1" applyFill="1" applyBorder="1" applyAlignment="1">
      <alignment horizontal="center" vertical="center" wrapText="1"/>
    </xf>
    <xf numFmtId="43" fontId="12" fillId="7" borderId="3" xfId="0" applyNumberFormat="1" applyFont="1" applyFill="1" applyBorder="1" applyAlignment="1">
      <alignment horizontal="center" vertical="center" wrapText="1"/>
    </xf>
    <xf numFmtId="43" fontId="12" fillId="7" borderId="4" xfId="0" applyNumberFormat="1" applyFont="1" applyFill="1" applyBorder="1" applyAlignment="1">
      <alignment horizontal="right" vertical="center" wrapText="1"/>
    </xf>
    <xf numFmtId="180" fontId="11" fillId="0" borderId="7" xfId="0" applyNumberFormat="1" applyFont="1" applyFill="1" applyBorder="1" applyAlignment="1">
      <alignment horizontal="center" vertical="center" wrapText="1"/>
    </xf>
    <xf numFmtId="180" fontId="11" fillId="0" borderId="9" xfId="0" applyNumberFormat="1" applyFont="1" applyFill="1" applyBorder="1" applyAlignment="1">
      <alignment horizontal="center" vertical="center" wrapText="1"/>
    </xf>
    <xf numFmtId="180" fontId="12" fillId="0" borderId="10" xfId="0" applyNumberFormat="1" applyFont="1" applyFill="1" applyBorder="1" applyAlignment="1">
      <alignment horizontal="center" vertical="center" wrapText="1"/>
    </xf>
    <xf numFmtId="43" fontId="12" fillId="0" borderId="3" xfId="0" applyNumberFormat="1" applyFont="1" applyFill="1" applyBorder="1" applyAlignment="1">
      <alignment horizontal="center" vertical="center" wrapText="1"/>
    </xf>
    <xf numFmtId="0" fontId="13" fillId="0" borderId="7" xfId="0" applyFont="1" applyFill="1" applyBorder="1" applyAlignment="1">
      <alignment horizontal="center" vertical="center" wrapText="1"/>
    </xf>
    <xf numFmtId="0" fontId="9" fillId="7" borderId="1" xfId="0" applyFont="1" applyFill="1" applyBorder="1" applyAlignment="1">
      <alignment horizontal="center" vertical="center" wrapText="1"/>
    </xf>
    <xf numFmtId="43" fontId="9"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3" fontId="12" fillId="0" borderId="1" xfId="0" applyNumberFormat="1" applyFont="1" applyFill="1" applyBorder="1" applyAlignment="1">
      <alignment vertical="center" wrapText="1"/>
    </xf>
    <xf numFmtId="180" fontId="13" fillId="0" borderId="5" xfId="0" applyNumberFormat="1" applyFont="1" applyFill="1" applyBorder="1" applyAlignment="1">
      <alignment horizontal="center" vertical="center" wrapText="1"/>
    </xf>
    <xf numFmtId="180" fontId="13" fillId="0" borderId="7" xfId="0" applyNumberFormat="1" applyFont="1" applyFill="1" applyBorder="1" applyAlignment="1">
      <alignment vertical="center" wrapText="1"/>
    </xf>
    <xf numFmtId="180" fontId="13" fillId="0" borderId="7" xfId="0" applyNumberFormat="1" applyFont="1" applyFill="1" applyBorder="1" applyAlignment="1">
      <alignment horizontal="center" vertical="center" wrapText="1"/>
    </xf>
    <xf numFmtId="180" fontId="13" fillId="0" borderId="9" xfId="0" applyNumberFormat="1" applyFont="1" applyFill="1" applyBorder="1" applyAlignment="1">
      <alignment vertical="center" wrapText="1"/>
    </xf>
    <xf numFmtId="180" fontId="12" fillId="0" borderId="12" xfId="0" applyNumberFormat="1" applyFont="1" applyFill="1" applyBorder="1" applyAlignment="1">
      <alignment horizontal="right" vertical="center" wrapText="1"/>
    </xf>
    <xf numFmtId="180" fontId="12" fillId="0" borderId="15" xfId="0" applyNumberFormat="1" applyFont="1" applyFill="1" applyBorder="1" applyAlignment="1">
      <alignment horizontal="right" vertical="center" wrapText="1"/>
    </xf>
    <xf numFmtId="180" fontId="12" fillId="0" borderId="13" xfId="0" applyNumberFormat="1" applyFont="1" applyFill="1" applyBorder="1" applyAlignment="1">
      <alignment horizontal="right" vertical="center" wrapText="1"/>
    </xf>
    <xf numFmtId="180" fontId="12" fillId="0" borderId="16" xfId="0" applyNumberFormat="1" applyFont="1" applyFill="1" applyBorder="1" applyAlignment="1">
      <alignment horizontal="right" vertical="center" wrapText="1"/>
    </xf>
    <xf numFmtId="180" fontId="12" fillId="0" borderId="0" xfId="0" applyNumberFormat="1" applyFont="1" applyFill="1" applyAlignment="1">
      <alignment horizontal="right" vertical="center" wrapText="1"/>
    </xf>
    <xf numFmtId="180" fontId="12" fillId="0" borderId="17" xfId="0" applyNumberFormat="1" applyFont="1" applyFill="1" applyBorder="1" applyAlignment="1">
      <alignment horizontal="right" vertical="center" wrapText="1"/>
    </xf>
    <xf numFmtId="43" fontId="12" fillId="7" borderId="1" xfId="0" applyNumberFormat="1" applyFont="1" applyFill="1" applyBorder="1" applyAlignment="1">
      <alignment horizontal="center" vertical="center" wrapText="1"/>
    </xf>
    <xf numFmtId="43" fontId="12" fillId="7" borderId="1" xfId="0" applyNumberFormat="1" applyFont="1" applyFill="1" applyBorder="1" applyAlignment="1">
      <alignment vertical="center" wrapText="1"/>
    </xf>
    <xf numFmtId="180" fontId="12" fillId="0" borderId="9" xfId="0" applyNumberFormat="1" applyFont="1" applyFill="1" applyBorder="1" applyAlignment="1">
      <alignment horizontal="right" vertical="center" wrapText="1"/>
    </xf>
    <xf numFmtId="180" fontId="12" fillId="0" borderId="10" xfId="0" applyNumberFormat="1" applyFont="1" applyFill="1" applyBorder="1" applyAlignment="1">
      <alignment horizontal="right" vertical="center" wrapText="1"/>
    </xf>
    <xf numFmtId="180" fontId="12" fillId="0" borderId="14" xfId="0" applyNumberFormat="1" applyFont="1" applyFill="1" applyBorder="1" applyAlignment="1">
      <alignment horizontal="right" vertical="center" wrapText="1"/>
    </xf>
    <xf numFmtId="180" fontId="12" fillId="0" borderId="2" xfId="0" applyNumberFormat="1" applyFont="1" applyFill="1" applyBorder="1" applyAlignment="1">
      <alignment horizontal="right" vertical="center" wrapText="1"/>
    </xf>
    <xf numFmtId="180" fontId="12" fillId="0" borderId="3" xfId="0" applyNumberFormat="1" applyFont="1" applyFill="1" applyBorder="1" applyAlignment="1">
      <alignment horizontal="right" vertical="center" wrapText="1"/>
    </xf>
    <xf numFmtId="180" fontId="12" fillId="0" borderId="4" xfId="0" applyNumberFormat="1" applyFont="1" applyFill="1" applyBorder="1" applyAlignment="1">
      <alignment horizontal="right" vertical="center" wrapText="1"/>
    </xf>
    <xf numFmtId="180" fontId="11" fillId="10" borderId="1" xfId="0" applyNumberFormat="1" applyFont="1" applyFill="1" applyBorder="1" applyAlignment="1">
      <alignment horizontal="center" vertical="center" wrapText="1"/>
    </xf>
    <xf numFmtId="43" fontId="11" fillId="10" borderId="1" xfId="0" applyNumberFormat="1" applyFont="1" applyFill="1" applyBorder="1" applyAlignment="1">
      <alignment horizontal="center" vertical="center" wrapText="1"/>
    </xf>
    <xf numFmtId="180" fontId="11" fillId="10" borderId="2" xfId="0" applyNumberFormat="1" applyFont="1" applyFill="1" applyBorder="1" applyAlignment="1">
      <alignment horizontal="center" vertical="center" wrapText="1"/>
    </xf>
    <xf numFmtId="180" fontId="11" fillId="10" borderId="3" xfId="0" applyNumberFormat="1" applyFont="1" applyFill="1" applyBorder="1" applyAlignment="1">
      <alignment horizontal="center" vertical="center" wrapText="1"/>
    </xf>
    <xf numFmtId="43" fontId="11" fillId="10" borderId="3" xfId="0" applyNumberFormat="1" applyFont="1" applyFill="1" applyBorder="1" applyAlignment="1">
      <alignment horizontal="center" vertical="center" wrapText="1"/>
    </xf>
    <xf numFmtId="43" fontId="12" fillId="7" borderId="4" xfId="0" applyNumberFormat="1" applyFont="1" applyFill="1" applyBorder="1" applyAlignment="1">
      <alignment horizontal="center" vertical="center" wrapText="1"/>
    </xf>
    <xf numFmtId="180" fontId="12"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43" fontId="13" fillId="7" borderId="1" xfId="0" applyNumberFormat="1" applyFont="1" applyFill="1" applyBorder="1" applyAlignment="1">
      <alignment horizontal="center" vertical="center" wrapText="1"/>
    </xf>
    <xf numFmtId="180" fontId="9" fillId="7" borderId="5" xfId="0" applyNumberFormat="1" applyFont="1" applyFill="1" applyBorder="1" applyAlignment="1">
      <alignment horizontal="center" vertical="center" wrapText="1"/>
    </xf>
    <xf numFmtId="180" fontId="9" fillId="7" borderId="6" xfId="0" applyNumberFormat="1" applyFont="1" applyFill="1" applyBorder="1" applyAlignment="1">
      <alignment horizontal="center" vertical="center" wrapText="1"/>
    </xf>
    <xf numFmtId="0" fontId="1" fillId="9" borderId="1" xfId="0" applyFont="1" applyFill="1" applyBorder="1" applyAlignment="1">
      <alignment vertical="center" wrapText="1"/>
    </xf>
    <xf numFmtId="0" fontId="9" fillId="0" borderId="12" xfId="0" applyFont="1" applyFill="1" applyBorder="1" applyAlignment="1">
      <alignment horizontal="center" vertical="center" wrapText="1"/>
    </xf>
    <xf numFmtId="180" fontId="13" fillId="7" borderId="5" xfId="0" applyNumberFormat="1" applyFont="1" applyFill="1" applyBorder="1" applyAlignment="1">
      <alignment horizontal="center" vertical="center" wrapText="1"/>
    </xf>
    <xf numFmtId="180" fontId="9" fillId="7" borderId="5" xfId="0" applyNumberFormat="1" applyFont="1" applyFill="1" applyBorder="1" applyAlignment="1">
      <alignment horizontal="center" vertical="center" wrapText="1"/>
    </xf>
    <xf numFmtId="180" fontId="13" fillId="7" borderId="13" xfId="0" applyNumberFormat="1" applyFont="1" applyFill="1" applyBorder="1" applyAlignment="1">
      <alignment horizontal="center" vertical="center" wrapText="1"/>
    </xf>
    <xf numFmtId="43" fontId="9" fillId="7" borderId="5"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xf>
    <xf numFmtId="180" fontId="13" fillId="7" borderId="12" xfId="0" applyNumberFormat="1" applyFont="1" applyFill="1" applyBorder="1" applyAlignment="1">
      <alignment horizontal="center" vertical="center" wrapText="1"/>
    </xf>
    <xf numFmtId="180" fontId="13" fillId="7" borderId="15" xfId="0" applyNumberFormat="1" applyFont="1" applyFill="1" applyBorder="1" applyAlignment="1">
      <alignment horizontal="center" vertical="center" wrapText="1"/>
    </xf>
    <xf numFmtId="43" fontId="9" fillId="7" borderId="5"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180" fontId="9" fillId="7" borderId="15" xfId="0" applyNumberFormat="1" applyFont="1" applyFill="1" applyBorder="1" applyAlignment="1">
      <alignment horizontal="center" vertical="center" wrapText="1"/>
    </xf>
    <xf numFmtId="43" fontId="12" fillId="10" borderId="1" xfId="0" applyNumberFormat="1" applyFont="1" applyFill="1" applyBorder="1" applyAlignment="1">
      <alignment horizontal="right" vertical="center"/>
    </xf>
    <xf numFmtId="43" fontId="12" fillId="7" borderId="1" xfId="0" applyNumberFormat="1" applyFont="1" applyFill="1" applyBorder="1" applyAlignment="1">
      <alignment horizontal="right" vertical="center"/>
    </xf>
    <xf numFmtId="43" fontId="9" fillId="0" borderId="1" xfId="0" applyNumberFormat="1" applyFont="1" applyFill="1" applyBorder="1" applyAlignment="1">
      <alignment horizontal="right" vertical="center"/>
    </xf>
    <xf numFmtId="43" fontId="9" fillId="7" borderId="5" xfId="0" applyNumberFormat="1" applyFont="1" applyFill="1" applyBorder="1" applyAlignment="1">
      <alignment horizontal="right" vertical="center" wrapText="1"/>
    </xf>
    <xf numFmtId="4" fontId="1" fillId="7" borderId="1" xfId="0" applyNumberFormat="1" applyFont="1" applyFill="1" applyBorder="1" applyAlignment="1">
      <alignment vertical="center"/>
    </xf>
    <xf numFmtId="43" fontId="9" fillId="7" borderId="5" xfId="0" applyNumberFormat="1" applyFont="1" applyFill="1" applyBorder="1" applyAlignment="1">
      <alignment horizontal="right" vertical="center" wrapText="1"/>
    </xf>
    <xf numFmtId="4" fontId="1" fillId="7" borderId="1" xfId="0" applyNumberFormat="1" applyFont="1" applyFill="1" applyBorder="1" applyAlignment="1">
      <alignment vertical="center"/>
    </xf>
    <xf numFmtId="43" fontId="12" fillId="10" borderId="5" xfId="0" applyNumberFormat="1" applyFont="1" applyFill="1" applyBorder="1" applyAlignment="1">
      <alignment horizontal="center" vertical="center"/>
    </xf>
    <xf numFmtId="43" fontId="12" fillId="10" borderId="7" xfId="0" applyNumberFormat="1" applyFont="1" applyFill="1" applyBorder="1" applyAlignment="1">
      <alignment horizontal="center" vertical="center"/>
    </xf>
    <xf numFmtId="43" fontId="9" fillId="8" borderId="1" xfId="0" applyNumberFormat="1" applyFont="1" applyFill="1" applyBorder="1" applyAlignment="1">
      <alignment horizontal="right" vertical="center" wrapText="1"/>
    </xf>
    <xf numFmtId="0" fontId="9" fillId="0" borderId="1" xfId="0" applyFont="1" applyFill="1" applyBorder="1" applyAlignment="1">
      <alignment horizontal="right" vertical="center"/>
    </xf>
    <xf numFmtId="0" fontId="16" fillId="0" borderId="0"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0" xfId="0" applyFont="1" applyFill="1" applyBorder="1" applyAlignment="1">
      <alignment horizontal="center" vertical="center"/>
    </xf>
    <xf numFmtId="43" fontId="15" fillId="0" borderId="1" xfId="0" applyNumberFormat="1" applyFont="1" applyFill="1" applyBorder="1" applyAlignment="1">
      <alignment horizontal="center" vertical="center" wrapText="1"/>
    </xf>
    <xf numFmtId="0" fontId="9" fillId="0" borderId="16" xfId="0" applyFont="1" applyFill="1" applyBorder="1" applyAlignment="1">
      <alignment horizontal="center" vertical="center" wrapText="1"/>
    </xf>
    <xf numFmtId="43" fontId="13" fillId="7" borderId="1" xfId="0" applyNumberFormat="1" applyFont="1" applyFill="1" applyBorder="1" applyAlignment="1">
      <alignment vertical="center" wrapText="1"/>
    </xf>
    <xf numFmtId="0" fontId="9" fillId="0" borderId="9" xfId="0" applyFont="1" applyFill="1" applyBorder="1" applyAlignment="1">
      <alignment horizontal="center" vertical="center" wrapText="1"/>
    </xf>
    <xf numFmtId="180" fontId="11" fillId="0" borderId="2" xfId="0" applyNumberFormat="1" applyFont="1" applyFill="1" applyBorder="1" applyAlignment="1">
      <alignment horizontal="right" vertical="center" wrapText="1"/>
    </xf>
    <xf numFmtId="180" fontId="11" fillId="0" borderId="12" xfId="0" applyNumberFormat="1" applyFont="1" applyFill="1" applyBorder="1" applyAlignment="1">
      <alignment horizontal="right" vertical="center" wrapText="1"/>
    </xf>
    <xf numFmtId="180" fontId="11" fillId="0" borderId="15" xfId="0" applyNumberFormat="1" applyFont="1" applyFill="1" applyBorder="1" applyAlignment="1">
      <alignment horizontal="right" vertical="center" wrapText="1"/>
    </xf>
    <xf numFmtId="180" fontId="11" fillId="0" borderId="13" xfId="0" applyNumberFormat="1" applyFont="1" applyFill="1" applyBorder="1" applyAlignment="1">
      <alignment horizontal="right" vertical="center" wrapText="1"/>
    </xf>
    <xf numFmtId="0" fontId="1" fillId="9" borderId="8" xfId="0" applyFont="1" applyFill="1" applyBorder="1" applyAlignment="1">
      <alignment vertical="center"/>
    </xf>
    <xf numFmtId="180" fontId="11" fillId="0" borderId="16" xfId="0" applyNumberFormat="1" applyFont="1" applyFill="1" applyBorder="1" applyAlignment="1">
      <alignment horizontal="right" vertical="center" wrapText="1"/>
    </xf>
    <xf numFmtId="180" fontId="11" fillId="0" borderId="0" xfId="0" applyNumberFormat="1" applyFont="1" applyFill="1" applyAlignment="1">
      <alignment horizontal="right" vertical="center" wrapText="1"/>
    </xf>
    <xf numFmtId="180" fontId="11" fillId="0" borderId="17" xfId="0" applyNumberFormat="1" applyFont="1" applyFill="1" applyBorder="1" applyAlignment="1">
      <alignment horizontal="right" vertical="center" wrapText="1"/>
    </xf>
    <xf numFmtId="43" fontId="13" fillId="7" borderId="2" xfId="0" applyNumberFormat="1" applyFont="1" applyFill="1" applyBorder="1" applyAlignment="1">
      <alignment horizontal="center" vertical="center" wrapText="1"/>
    </xf>
    <xf numFmtId="43" fontId="13" fillId="7" borderId="4" xfId="0" applyNumberFormat="1" applyFont="1" applyFill="1" applyBorder="1" applyAlignment="1">
      <alignment horizontal="center" vertical="center" wrapText="1"/>
    </xf>
    <xf numFmtId="43" fontId="11" fillId="10" borderId="5" xfId="0" applyNumberFormat="1" applyFont="1" applyFill="1" applyBorder="1" applyAlignment="1">
      <alignment horizontal="center" vertical="center" wrapText="1"/>
    </xf>
    <xf numFmtId="43" fontId="12" fillId="10" borderId="4" xfId="0" applyNumberFormat="1" applyFont="1" applyFill="1" applyBorder="1" applyAlignment="1">
      <alignment horizontal="center" vertical="center" wrapText="1"/>
    </xf>
    <xf numFmtId="43" fontId="11" fillId="10" borderId="6" xfId="0" applyNumberFormat="1" applyFont="1" applyFill="1" applyBorder="1" applyAlignment="1">
      <alignment horizontal="center" vertical="center" wrapText="1"/>
    </xf>
    <xf numFmtId="43" fontId="11" fillId="10" borderId="7" xfId="0" applyNumberFormat="1" applyFont="1" applyFill="1" applyBorder="1" applyAlignment="1">
      <alignment horizontal="center" vertical="center" wrapText="1"/>
    </xf>
    <xf numFmtId="0" fontId="9" fillId="11" borderId="0" xfId="0" applyFont="1" applyFill="1" applyBorder="1" applyAlignment="1">
      <alignment vertical="center"/>
    </xf>
    <xf numFmtId="43" fontId="9" fillId="0" borderId="0" xfId="0" applyNumberFormat="1" applyFont="1" applyFill="1" applyBorder="1" applyAlignment="1">
      <alignment horizontal="center" vertical="center"/>
    </xf>
    <xf numFmtId="180" fontId="11" fillId="0" borderId="3" xfId="0" applyNumberFormat="1" applyFont="1" applyFill="1" applyBorder="1" applyAlignment="1">
      <alignment horizontal="center" vertical="center" wrapText="1"/>
    </xf>
    <xf numFmtId="43" fontId="11" fillId="0" borderId="3" xfId="0" applyNumberFormat="1" applyFont="1" applyFill="1" applyBorder="1" applyAlignment="1">
      <alignment horizontal="center" vertical="center" wrapText="1"/>
    </xf>
    <xf numFmtId="180" fontId="11" fillId="0" borderId="4" xfId="0" applyNumberFormat="1" applyFont="1" applyFill="1" applyBorder="1" applyAlignment="1">
      <alignment horizontal="center" vertical="center" wrapText="1"/>
    </xf>
    <xf numFmtId="180" fontId="13" fillId="0" borderId="12" xfId="0" applyNumberFormat="1" applyFont="1" applyFill="1" applyBorder="1" applyAlignment="1">
      <alignment horizontal="center" vertical="center" wrapText="1"/>
    </xf>
    <xf numFmtId="180" fontId="13" fillId="0" borderId="15" xfId="0" applyNumberFormat="1" applyFont="1" applyFill="1" applyBorder="1" applyAlignment="1">
      <alignment horizontal="center" vertical="center" wrapText="1"/>
    </xf>
    <xf numFmtId="180" fontId="13" fillId="0" borderId="13" xfId="0" applyNumberFormat="1" applyFont="1" applyFill="1" applyBorder="1" applyAlignment="1">
      <alignment horizontal="center" vertical="center" wrapText="1"/>
    </xf>
    <xf numFmtId="180" fontId="13" fillId="0" borderId="16" xfId="0" applyNumberFormat="1" applyFont="1" applyFill="1" applyBorder="1" applyAlignment="1">
      <alignment horizontal="center" vertical="center" wrapText="1"/>
    </xf>
    <xf numFmtId="180" fontId="13" fillId="0" borderId="0" xfId="0" applyNumberFormat="1" applyFont="1" applyFill="1" applyAlignment="1">
      <alignment horizontal="center" vertical="center" wrapText="1"/>
    </xf>
    <xf numFmtId="180" fontId="13" fillId="0" borderId="17" xfId="0" applyNumberFormat="1" applyFont="1" applyFill="1" applyBorder="1" applyAlignment="1">
      <alignment horizontal="center" vertical="center" wrapText="1"/>
    </xf>
    <xf numFmtId="43" fontId="1" fillId="0" borderId="0" xfId="0" applyNumberFormat="1" applyFont="1" applyFill="1" applyBorder="1" applyAlignment="1">
      <alignment vertical="center"/>
    </xf>
    <xf numFmtId="43" fontId="12" fillId="7" borderId="4" xfId="0" applyNumberFormat="1" applyFont="1" applyFill="1" applyBorder="1" applyAlignment="1">
      <alignment horizontal="right" vertical="center"/>
    </xf>
    <xf numFmtId="43" fontId="12" fillId="7" borderId="3" xfId="0" applyNumberFormat="1" applyFont="1" applyFill="1" applyBorder="1" applyAlignment="1">
      <alignment horizontal="right" vertical="center"/>
    </xf>
    <xf numFmtId="43" fontId="12" fillId="10" borderId="4" xfId="0" applyNumberFormat="1" applyFont="1" applyFill="1" applyBorder="1" applyAlignment="1">
      <alignment horizontal="right" vertical="center" wrapText="1"/>
    </xf>
    <xf numFmtId="43" fontId="12" fillId="10" borderId="3" xfId="0" applyNumberFormat="1" applyFont="1" applyFill="1" applyBorder="1" applyAlignment="1">
      <alignment horizontal="center" vertical="center" wrapText="1"/>
    </xf>
    <xf numFmtId="43" fontId="12" fillId="7" borderId="2" xfId="0" applyNumberFormat="1" applyFont="1" applyFill="1" applyBorder="1" applyAlignment="1">
      <alignment horizontal="right" vertical="center"/>
    </xf>
    <xf numFmtId="43" fontId="12" fillId="0" borderId="1" xfId="0" applyNumberFormat="1" applyFont="1" applyFill="1" applyBorder="1" applyAlignment="1">
      <alignment horizontal="right" vertical="center"/>
    </xf>
    <xf numFmtId="43" fontId="12" fillId="4" borderId="1" xfId="0" applyNumberFormat="1" applyFont="1" applyFill="1" applyBorder="1" applyAlignment="1">
      <alignment horizontal="right" vertical="center"/>
    </xf>
    <xf numFmtId="43" fontId="12" fillId="4" borderId="2" xfId="0" applyNumberFormat="1" applyFont="1" applyFill="1" applyBorder="1" applyAlignment="1">
      <alignment horizontal="center" vertical="center"/>
    </xf>
    <xf numFmtId="43" fontId="12" fillId="4" borderId="3" xfId="0" applyNumberFormat="1" applyFont="1" applyFill="1" applyBorder="1" applyAlignment="1">
      <alignment horizontal="center" vertical="center"/>
    </xf>
    <xf numFmtId="43" fontId="12" fillId="4" borderId="0" xfId="0" applyNumberFormat="1" applyFont="1" applyFill="1" applyAlignment="1">
      <alignment vertical="center"/>
    </xf>
    <xf numFmtId="43" fontId="9" fillId="11" borderId="0" xfId="0" applyNumberFormat="1" applyFont="1" applyFill="1" applyBorder="1" applyAlignment="1">
      <alignment horizontal="right" vertical="center"/>
    </xf>
    <xf numFmtId="4" fontId="9" fillId="0" borderId="0" xfId="0" applyNumberFormat="1" applyFont="1" applyFill="1" applyBorder="1" applyAlignment="1">
      <alignment horizontal="right" vertical="center"/>
    </xf>
    <xf numFmtId="43" fontId="9" fillId="8" borderId="0" xfId="0" applyNumberFormat="1" applyFont="1" applyFill="1" applyBorder="1" applyAlignment="1">
      <alignment horizontal="right" vertical="center"/>
    </xf>
    <xf numFmtId="43" fontId="9" fillId="6" borderId="1" xfId="0" applyNumberFormat="1" applyFont="1" applyFill="1" applyBorder="1" applyAlignment="1">
      <alignment horizontal="right" vertical="center"/>
    </xf>
    <xf numFmtId="43" fontId="12" fillId="10" borderId="14" xfId="0" applyNumberFormat="1" applyFont="1" applyFill="1" applyBorder="1" applyAlignment="1">
      <alignment horizontal="center" vertical="center"/>
    </xf>
    <xf numFmtId="43" fontId="12" fillId="7" borderId="1" xfId="0" applyNumberFormat="1" applyFont="1" applyFill="1" applyBorder="1" applyAlignment="1">
      <alignment horizontal="center" vertical="center"/>
    </xf>
    <xf numFmtId="43" fontId="12" fillId="7" borderId="1" xfId="0" applyNumberFormat="1" applyFont="1" applyFill="1" applyBorder="1" applyAlignment="1">
      <alignment horizontal="right" vertical="center"/>
    </xf>
    <xf numFmtId="43" fontId="12" fillId="7" borderId="1" xfId="0" applyNumberFormat="1" applyFont="1" applyFill="1" applyBorder="1" applyAlignment="1">
      <alignment horizontal="center" vertical="center"/>
    </xf>
    <xf numFmtId="43" fontId="12" fillId="4" borderId="4" xfId="0" applyNumberFormat="1" applyFont="1" applyFill="1" applyBorder="1" applyAlignment="1">
      <alignment horizontal="center" vertical="center"/>
    </xf>
    <xf numFmtId="43" fontId="12" fillId="0" borderId="1" xfId="0" applyNumberFormat="1" applyFont="1" applyFill="1" applyBorder="1" applyAlignment="1">
      <alignment horizontal="right" vertical="center"/>
    </xf>
    <xf numFmtId="43" fontId="9" fillId="0" borderId="1" xfId="0" applyNumberFormat="1" applyFont="1" applyFill="1" applyBorder="1" applyAlignment="1">
      <alignment horizontal="right" vertical="center"/>
    </xf>
    <xf numFmtId="43" fontId="9" fillId="0" borderId="1" xfId="0" applyNumberFormat="1" applyFont="1" applyFill="1" applyBorder="1" applyAlignment="1">
      <alignment horizontal="center" vertical="center"/>
    </xf>
    <xf numFmtId="4" fontId="9" fillId="0" borderId="0" xfId="0" applyNumberFormat="1" applyFont="1" applyFill="1" applyBorder="1" applyAlignment="1">
      <alignment horizontal="right" vertical="center" wrapText="1"/>
    </xf>
    <xf numFmtId="43" fontId="9" fillId="0" borderId="0" xfId="0" applyNumberFormat="1" applyFont="1" applyFill="1" applyBorder="1" applyAlignment="1">
      <alignment horizontal="right" vertical="center" wrapText="1"/>
    </xf>
    <xf numFmtId="43" fontId="9" fillId="0" borderId="0" xfId="0" applyNumberFormat="1" applyFont="1" applyFill="1" applyAlignment="1">
      <alignment horizontal="right" vertical="center"/>
    </xf>
    <xf numFmtId="43" fontId="9" fillId="0" borderId="0" xfId="0" applyNumberFormat="1" applyFont="1" applyFill="1" applyAlignment="1">
      <alignment horizontal="center" vertical="center"/>
    </xf>
    <xf numFmtId="43" fontId="9" fillId="0" borderId="0" xfId="0" applyNumberFormat="1" applyFont="1" applyFill="1" applyAlignment="1">
      <alignment vertical="center"/>
    </xf>
    <xf numFmtId="4" fontId="9" fillId="0" borderId="0" xfId="0" applyNumberFormat="1" applyFont="1" applyFill="1" applyAlignment="1">
      <alignment horizontal="center" vertical="center"/>
    </xf>
    <xf numFmtId="180" fontId="13" fillId="0" borderId="9" xfId="0" applyNumberFormat="1" applyFont="1" applyFill="1" applyBorder="1" applyAlignment="1">
      <alignment horizontal="center" vertical="center" wrapText="1"/>
    </xf>
    <xf numFmtId="180" fontId="13" fillId="0" borderId="10" xfId="0" applyNumberFormat="1" applyFont="1" applyFill="1" applyBorder="1" applyAlignment="1">
      <alignment horizontal="center" vertical="center" wrapText="1"/>
    </xf>
    <xf numFmtId="180" fontId="13" fillId="0" borderId="14" xfId="0" applyNumberFormat="1" applyFont="1" applyFill="1" applyBorder="1" applyAlignment="1">
      <alignment horizontal="center" vertical="center" wrapText="1"/>
    </xf>
    <xf numFmtId="43" fontId="9" fillId="7" borderId="5" xfId="0" applyNumberFormat="1" applyFont="1" applyFill="1" applyBorder="1" applyAlignment="1">
      <alignment vertical="center" wrapText="1"/>
    </xf>
    <xf numFmtId="43" fontId="7" fillId="0" borderId="1" xfId="0" applyNumberFormat="1" applyFont="1" applyFill="1" applyBorder="1" applyAlignment="1">
      <alignment horizontal="center" vertical="center"/>
    </xf>
    <xf numFmtId="43" fontId="7" fillId="0" borderId="1" xfId="0" applyNumberFormat="1" applyFont="1" applyFill="1" applyBorder="1" applyAlignment="1">
      <alignment horizontal="center" vertical="center"/>
    </xf>
    <xf numFmtId="43" fontId="13" fillId="0" borderId="0" xfId="0" applyNumberFormat="1" applyFont="1" applyFill="1" applyAlignment="1">
      <alignment horizontal="center" vertical="center" wrapText="1"/>
    </xf>
    <xf numFmtId="43" fontId="9" fillId="7" borderId="0" xfId="0" applyNumberFormat="1" applyFont="1" applyFill="1" applyAlignment="1">
      <alignment vertical="center" wrapText="1"/>
    </xf>
    <xf numFmtId="43" fontId="9" fillId="7" borderId="0" xfId="0" applyNumberFormat="1" applyFont="1" applyFill="1" applyAlignment="1">
      <alignment horizontal="center" vertical="center" wrapText="1"/>
    </xf>
    <xf numFmtId="43" fontId="13" fillId="7" borderId="0" xfId="0" applyNumberFormat="1" applyFont="1" applyFill="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43" fontId="9" fillId="0" borderId="0" xfId="0" applyNumberFormat="1" applyFont="1" applyFill="1" applyAlignment="1">
      <alignment horizontal="right" vertical="center" wrapText="1"/>
    </xf>
    <xf numFmtId="43" fontId="12" fillId="5" borderId="7" xfId="0" applyNumberFormat="1" applyFont="1" applyFill="1" applyBorder="1" applyAlignment="1">
      <alignment horizontal="right" vertical="center" wrapText="1"/>
    </xf>
    <xf numFmtId="180" fontId="13" fillId="7" borderId="1" xfId="0" applyNumberFormat="1" applyFont="1" applyFill="1" applyBorder="1" applyAlignment="1">
      <alignment horizontal="center" vertical="center" wrapText="1"/>
    </xf>
    <xf numFmtId="180" fontId="9" fillId="7" borderId="1" xfId="0" applyNumberFormat="1" applyFont="1" applyFill="1" applyBorder="1" applyAlignment="1">
      <alignment horizontal="center" vertical="center" wrapText="1"/>
    </xf>
    <xf numFmtId="49" fontId="5" fillId="7" borderId="12" xfId="0" applyNumberFormat="1" applyFont="1" applyFill="1" applyBorder="1" applyAlignment="1">
      <alignment horizontal="center" vertical="center" wrapText="1"/>
    </xf>
    <xf numFmtId="49" fontId="5" fillId="7" borderId="13" xfId="0" applyNumberFormat="1" applyFont="1" applyFill="1" applyBorder="1" applyAlignment="1">
      <alignment horizontal="center" vertical="center" wrapText="1"/>
    </xf>
    <xf numFmtId="4" fontId="9" fillId="0" borderId="0" xfId="0" applyNumberFormat="1" applyFont="1" applyFill="1" applyBorder="1" applyAlignment="1">
      <alignment horizontal="center" vertical="center"/>
    </xf>
    <xf numFmtId="43" fontId="13" fillId="0" borderId="13" xfId="0" applyNumberFormat="1" applyFont="1" applyFill="1" applyBorder="1" applyAlignment="1">
      <alignment horizontal="center" vertical="center" wrapText="1"/>
    </xf>
    <xf numFmtId="43" fontId="13" fillId="0" borderId="14" xfId="0" applyNumberFormat="1" applyFont="1" applyFill="1" applyBorder="1" applyAlignment="1">
      <alignment horizontal="center" vertical="center" wrapText="1"/>
    </xf>
    <xf numFmtId="180" fontId="13" fillId="0" borderId="2" xfId="0" applyNumberFormat="1" applyFont="1" applyFill="1" applyBorder="1" applyAlignment="1">
      <alignment horizontal="center" vertical="center" wrapText="1"/>
    </xf>
    <xf numFmtId="180" fontId="13" fillId="0" borderId="3" xfId="0" applyNumberFormat="1" applyFont="1" applyFill="1" applyBorder="1" applyAlignment="1">
      <alignment horizontal="center" vertical="center" wrapText="1"/>
    </xf>
    <xf numFmtId="43" fontId="13" fillId="0" borderId="4" xfId="0" applyNumberFormat="1" applyFont="1" applyFill="1" applyBorder="1" applyAlignment="1">
      <alignment horizontal="center" vertical="center" wrapText="1"/>
    </xf>
    <xf numFmtId="180" fontId="13" fillId="0" borderId="6" xfId="0" applyNumberFormat="1" applyFont="1" applyFill="1" applyBorder="1" applyAlignment="1">
      <alignment horizontal="center" vertical="center" wrapText="1"/>
    </xf>
    <xf numFmtId="0" fontId="8" fillId="0" borderId="0" xfId="0" applyFont="1" applyFill="1" applyAlignment="1">
      <alignment vertical="center"/>
    </xf>
    <xf numFmtId="180" fontId="12" fillId="0" borderId="1" xfId="0" applyNumberFormat="1" applyFont="1" applyFill="1" applyBorder="1" applyAlignment="1">
      <alignment horizontal="center" vertical="center" wrapText="1"/>
    </xf>
    <xf numFmtId="180" fontId="12" fillId="0" borderId="5" xfId="0" applyNumberFormat="1" applyFont="1" applyFill="1" applyBorder="1" applyAlignment="1">
      <alignment horizontal="center" vertical="center" wrapText="1"/>
    </xf>
    <xf numFmtId="43" fontId="12" fillId="5" borderId="5" xfId="0" applyNumberFormat="1" applyFont="1" applyFill="1" applyBorder="1" applyAlignment="1">
      <alignment horizontal="right" vertical="center" wrapText="1"/>
    </xf>
    <xf numFmtId="43" fontId="15" fillId="0" borderId="5" xfId="0" applyNumberFormat="1" applyFont="1" applyFill="1" applyBorder="1" applyAlignment="1">
      <alignment horizontal="right" vertical="center" wrapText="1"/>
    </xf>
    <xf numFmtId="43" fontId="15" fillId="0" borderId="6" xfId="0" applyNumberFormat="1" applyFont="1" applyFill="1" applyBorder="1" applyAlignment="1">
      <alignment horizontal="right" vertical="center" wrapText="1"/>
    </xf>
    <xf numFmtId="43" fontId="9" fillId="8" borderId="5" xfId="0" applyNumberFormat="1" applyFont="1" applyFill="1" applyBorder="1" applyAlignment="1">
      <alignment horizontal="center" vertical="center" wrapText="1"/>
    </xf>
    <xf numFmtId="43" fontId="9" fillId="8" borderId="7" xfId="0" applyNumberFormat="1" applyFont="1" applyFill="1" applyBorder="1" applyAlignment="1">
      <alignment horizontal="center" vertical="center" wrapText="1"/>
    </xf>
    <xf numFmtId="43" fontId="15" fillId="0" borderId="1" xfId="0" applyNumberFormat="1" applyFont="1" applyFill="1" applyBorder="1" applyAlignment="1">
      <alignment horizontal="right" vertical="center" wrapText="1"/>
    </xf>
    <xf numFmtId="180" fontId="12" fillId="0" borderId="2" xfId="0" applyNumberFormat="1" applyFont="1" applyFill="1" applyBorder="1" applyAlignment="1">
      <alignment horizontal="center" vertical="center" wrapText="1"/>
    </xf>
    <xf numFmtId="180" fontId="11" fillId="0" borderId="7" xfId="0" applyNumberFormat="1" applyFont="1" applyFill="1" applyBorder="1" applyAlignment="1">
      <alignment horizontal="center" vertical="center" wrapText="1"/>
    </xf>
    <xf numFmtId="180" fontId="11" fillId="0" borderId="9" xfId="0" applyNumberFormat="1" applyFont="1" applyFill="1" applyBorder="1" applyAlignment="1">
      <alignment horizontal="center" vertical="center" wrapText="1"/>
    </xf>
    <xf numFmtId="43" fontId="9" fillId="0" borderId="6" xfId="0" applyNumberFormat="1" applyFont="1" applyFill="1" applyBorder="1" applyAlignment="1">
      <alignment horizontal="center" vertical="center" wrapText="1"/>
    </xf>
    <xf numFmtId="43" fontId="15" fillId="0" borderId="5" xfId="0" applyNumberFormat="1" applyFont="1" applyFill="1" applyBorder="1" applyAlignment="1">
      <alignment horizontal="center" vertical="center" wrapText="1"/>
    </xf>
    <xf numFmtId="43" fontId="15" fillId="0" borderId="6" xfId="0" applyNumberFormat="1" applyFont="1" applyFill="1" applyBorder="1" applyAlignment="1">
      <alignment horizontal="center" vertical="center" wrapText="1"/>
    </xf>
    <xf numFmtId="180" fontId="12" fillId="0" borderId="6" xfId="0" applyNumberFormat="1" applyFont="1" applyFill="1" applyBorder="1" applyAlignment="1">
      <alignment horizontal="center" vertical="center" wrapText="1"/>
    </xf>
    <xf numFmtId="180" fontId="12" fillId="0" borderId="7" xfId="0" applyNumberFormat="1" applyFont="1" applyFill="1" applyBorder="1" applyAlignment="1">
      <alignment horizontal="center" vertical="center" wrapText="1"/>
    </xf>
    <xf numFmtId="180" fontId="9" fillId="0" borderId="5" xfId="0" applyNumberFormat="1" applyFont="1" applyFill="1" applyBorder="1" applyAlignment="1">
      <alignment horizontal="center" vertical="center" wrapText="1"/>
    </xf>
    <xf numFmtId="180" fontId="9" fillId="0" borderId="6" xfId="0" applyNumberFormat="1" applyFont="1" applyFill="1" applyBorder="1" applyAlignment="1">
      <alignment horizontal="center" vertical="center" wrapText="1"/>
    </xf>
    <xf numFmtId="43" fontId="15" fillId="0" borderId="7" xfId="0" applyNumberFormat="1" applyFont="1" applyFill="1" applyBorder="1" applyAlignment="1">
      <alignment horizontal="right" vertical="center" wrapText="1"/>
    </xf>
    <xf numFmtId="43" fontId="15" fillId="7" borderId="1" xfId="0" applyNumberFormat="1" applyFont="1" applyFill="1" applyBorder="1" applyAlignment="1">
      <alignment horizontal="right" vertical="center" wrapText="1"/>
    </xf>
    <xf numFmtId="43" fontId="15" fillId="7" borderId="1" xfId="0" applyNumberFormat="1" applyFont="1" applyFill="1" applyBorder="1" applyAlignment="1">
      <alignment horizontal="center" vertical="center" wrapText="1"/>
    </xf>
    <xf numFmtId="180" fontId="9" fillId="0" borderId="7"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43" fontId="5" fillId="0" borderId="0" xfId="0" applyNumberFormat="1" applyFont="1" applyFill="1" applyBorder="1" applyAlignment="1">
      <alignment horizontal="right" vertical="center"/>
    </xf>
    <xf numFmtId="43" fontId="5" fillId="0" borderId="5" xfId="0" applyNumberFormat="1" applyFont="1" applyFill="1" applyBorder="1" applyAlignment="1">
      <alignment horizontal="right" vertical="center"/>
    </xf>
    <xf numFmtId="43" fontId="5" fillId="0" borderId="7" xfId="0" applyNumberFormat="1" applyFont="1" applyFill="1" applyBorder="1" applyAlignment="1">
      <alignment horizontal="right" vertical="center"/>
    </xf>
    <xf numFmtId="43" fontId="12" fillId="7" borderId="5" xfId="0" applyNumberFormat="1" applyFont="1" applyFill="1" applyBorder="1" applyAlignment="1">
      <alignment horizontal="right" vertical="center"/>
    </xf>
    <xf numFmtId="43" fontId="17" fillId="0" borderId="1" xfId="0" applyNumberFormat="1" applyFont="1" applyFill="1" applyBorder="1" applyAlignment="1">
      <alignment horizontal="right" vertical="center" wrapText="1"/>
    </xf>
    <xf numFmtId="43" fontId="18" fillId="0" borderId="1" xfId="0" applyNumberFormat="1" applyFont="1" applyFill="1" applyBorder="1" applyAlignment="1">
      <alignment horizontal="center" vertical="center" wrapText="1"/>
    </xf>
    <xf numFmtId="43" fontId="15" fillId="0" borderId="7" xfId="0" applyNumberFormat="1" applyFont="1" applyFill="1" applyBorder="1" applyAlignment="1">
      <alignment horizontal="center" vertical="center" wrapText="1"/>
    </xf>
    <xf numFmtId="180" fontId="15" fillId="0" borderId="1" xfId="0" applyNumberFormat="1" applyFont="1" applyFill="1" applyBorder="1" applyAlignment="1">
      <alignment horizontal="center" vertical="center" wrapText="1"/>
    </xf>
    <xf numFmtId="180" fontId="9" fillId="7" borderId="7" xfId="0" applyNumberFormat="1" applyFont="1" applyFill="1" applyBorder="1" applyAlignment="1">
      <alignment horizontal="center" vertical="center" wrapText="1"/>
    </xf>
    <xf numFmtId="180" fontId="11" fillId="10" borderId="5" xfId="0" applyNumberFormat="1" applyFont="1" applyFill="1" applyBorder="1" applyAlignment="1">
      <alignment horizontal="center" vertical="center" wrapText="1"/>
    </xf>
    <xf numFmtId="180" fontId="11" fillId="10" borderId="6" xfId="0" applyNumberFormat="1" applyFont="1" applyFill="1" applyBorder="1" applyAlignment="1">
      <alignment horizontal="center" vertical="center" wrapText="1"/>
    </xf>
    <xf numFmtId="180" fontId="11" fillId="10" borderId="7" xfId="0" applyNumberFormat="1" applyFont="1" applyFill="1" applyBorder="1" applyAlignment="1">
      <alignment horizontal="center" vertical="center" wrapText="1"/>
    </xf>
    <xf numFmtId="43" fontId="12" fillId="10" borderId="1" xfId="0" applyNumberFormat="1" applyFont="1" applyFill="1" applyBorder="1" applyAlignment="1">
      <alignment horizontal="center" vertical="center"/>
    </xf>
    <xf numFmtId="180" fontId="12" fillId="10" borderId="4" xfId="0" applyNumberFormat="1" applyFont="1" applyFill="1" applyBorder="1" applyAlignment="1">
      <alignment horizontal="center" vertical="center" wrapText="1"/>
    </xf>
    <xf numFmtId="0" fontId="19" fillId="0" borderId="0" xfId="0" applyFont="1" applyFill="1" applyAlignment="1">
      <alignment vertical="center"/>
    </xf>
    <xf numFmtId="180" fontId="11" fillId="0" borderId="9" xfId="0" applyNumberFormat="1" applyFont="1" applyFill="1" applyBorder="1" applyAlignment="1">
      <alignment horizontal="right" vertical="center" wrapText="1"/>
    </xf>
    <xf numFmtId="180" fontId="11" fillId="0" borderId="10" xfId="0" applyNumberFormat="1" applyFont="1" applyFill="1" applyBorder="1" applyAlignment="1">
      <alignment horizontal="right" vertical="center" wrapText="1"/>
    </xf>
    <xf numFmtId="180" fontId="11" fillId="0" borderId="14" xfId="0" applyNumberFormat="1" applyFont="1" applyFill="1" applyBorder="1" applyAlignment="1">
      <alignment horizontal="right" vertical="center" wrapText="1"/>
    </xf>
    <xf numFmtId="43" fontId="13" fillId="7" borderId="4" xfId="0" applyNumberFormat="1" applyFont="1" applyFill="1" applyBorder="1" applyAlignment="1">
      <alignment horizontal="left" vertical="center" wrapText="1"/>
    </xf>
    <xf numFmtId="43" fontId="13" fillId="12" borderId="1" xfId="0" applyNumberFormat="1" applyFont="1" applyFill="1" applyBorder="1" applyAlignment="1" applyProtection="1">
      <alignment horizontal="center" vertical="center" wrapText="1"/>
    </xf>
    <xf numFmtId="0" fontId="9" fillId="8" borderId="6" xfId="0" applyFont="1" applyFill="1" applyBorder="1" applyAlignment="1">
      <alignment horizontal="center" vertical="center" wrapText="1"/>
    </xf>
    <xf numFmtId="0" fontId="9" fillId="8" borderId="7" xfId="0" applyFont="1" applyFill="1" applyBorder="1" applyAlignment="1">
      <alignment horizontal="center" vertical="center" wrapText="1"/>
    </xf>
    <xf numFmtId="43" fontId="9" fillId="12" borderId="1" xfId="0" applyNumberFormat="1" applyFont="1" applyFill="1" applyBorder="1" applyAlignment="1">
      <alignment horizontal="right" vertical="center" wrapText="1"/>
    </xf>
    <xf numFmtId="43" fontId="11" fillId="0" borderId="7" xfId="0" applyNumberFormat="1" applyFont="1" applyFill="1" applyBorder="1" applyAlignment="1">
      <alignment horizontal="center" vertical="center" wrapText="1"/>
    </xf>
    <xf numFmtId="43" fontId="12" fillId="0" borderId="2" xfId="0" applyNumberFormat="1" applyFont="1" applyFill="1" applyBorder="1" applyAlignment="1">
      <alignment horizontal="center" vertical="center" wrapText="1"/>
    </xf>
    <xf numFmtId="43" fontId="11" fillId="0" borderId="9"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43" fontId="12" fillId="12" borderId="5" xfId="0" applyNumberFormat="1" applyFont="1" applyFill="1" applyBorder="1" applyAlignment="1">
      <alignment horizontal="center" vertical="center" wrapText="1"/>
    </xf>
    <xf numFmtId="180" fontId="11" fillId="12" borderId="1" xfId="0" applyNumberFormat="1" applyFont="1" applyFill="1" applyBorder="1" applyAlignment="1">
      <alignment horizontal="center" vertical="center" wrapText="1"/>
    </xf>
    <xf numFmtId="43" fontId="12" fillId="12" borderId="7" xfId="0" applyNumberFormat="1" applyFont="1" applyFill="1" applyBorder="1" applyAlignment="1">
      <alignment horizontal="center" vertical="center" wrapText="1"/>
    </xf>
    <xf numFmtId="180" fontId="9" fillId="0" borderId="9" xfId="0" applyNumberFormat="1" applyFont="1" applyFill="1" applyBorder="1" applyAlignment="1">
      <alignment horizontal="right" vertical="center" wrapText="1"/>
    </xf>
    <xf numFmtId="180" fontId="9" fillId="0" borderId="10" xfId="0" applyNumberFormat="1" applyFont="1" applyFill="1" applyBorder="1" applyAlignment="1">
      <alignment horizontal="right" vertical="center" wrapText="1"/>
    </xf>
    <xf numFmtId="180" fontId="9" fillId="0" borderId="14" xfId="0" applyNumberFormat="1" applyFont="1" applyFill="1" applyBorder="1" applyAlignment="1">
      <alignment horizontal="right" vertical="center" wrapText="1"/>
    </xf>
    <xf numFmtId="43" fontId="9" fillId="12" borderId="1" xfId="0" applyNumberFormat="1" applyFont="1" applyFill="1" applyBorder="1" applyAlignment="1">
      <alignment horizontal="center" vertical="center" wrapText="1"/>
    </xf>
    <xf numFmtId="43" fontId="13" fillId="12" borderId="1" xfId="0" applyNumberFormat="1" applyFont="1" applyFill="1" applyBorder="1" applyAlignment="1">
      <alignment horizontal="right" vertical="center" wrapText="1"/>
    </xf>
    <xf numFmtId="43" fontId="13" fillId="12" borderId="4" xfId="0" applyNumberFormat="1" applyFont="1" applyFill="1" applyBorder="1" applyAlignment="1">
      <alignment horizontal="right" vertical="center" wrapText="1"/>
    </xf>
    <xf numFmtId="180" fontId="11" fillId="0" borderId="5" xfId="0" applyNumberFormat="1" applyFont="1" applyFill="1" applyBorder="1" applyAlignment="1">
      <alignment horizontal="center" vertical="center" wrapText="1"/>
    </xf>
    <xf numFmtId="43" fontId="12" fillId="12" borderId="1" xfId="0" applyNumberFormat="1" applyFont="1" applyFill="1" applyBorder="1" applyAlignment="1">
      <alignment horizontal="center" vertical="center" wrapText="1"/>
    </xf>
    <xf numFmtId="43" fontId="12" fillId="12" borderId="1" xfId="0" applyNumberFormat="1" applyFont="1" applyFill="1" applyBorder="1" applyAlignment="1">
      <alignment vertical="center" wrapText="1"/>
    </xf>
    <xf numFmtId="0" fontId="13" fillId="0" borderId="1" xfId="0" applyFont="1" applyFill="1" applyBorder="1" applyAlignment="1">
      <alignment horizontal="center" vertical="center"/>
    </xf>
    <xf numFmtId="43" fontId="13" fillId="12" borderId="1" xfId="0" applyNumberFormat="1" applyFont="1" applyFill="1" applyBorder="1" applyAlignment="1">
      <alignment horizontal="center" vertical="center" wrapText="1"/>
    </xf>
    <xf numFmtId="43" fontId="12" fillId="12" borderId="1" xfId="0" applyNumberFormat="1" applyFont="1" applyFill="1" applyBorder="1" applyAlignment="1">
      <alignment horizontal="right" vertical="center" wrapText="1"/>
    </xf>
    <xf numFmtId="43" fontId="12" fillId="12" borderId="1" xfId="0" applyNumberFormat="1" applyFont="1" applyFill="1" applyBorder="1" applyAlignment="1">
      <alignment horizontal="right" vertical="center" wrapText="1"/>
    </xf>
    <xf numFmtId="180" fontId="11" fillId="10" borderId="13" xfId="0" applyNumberFormat="1" applyFont="1" applyFill="1" applyBorder="1" applyAlignment="1">
      <alignment horizontal="center" vertical="center" wrapText="1"/>
    </xf>
    <xf numFmtId="180" fontId="11" fillId="10" borderId="16" xfId="0" applyNumberFormat="1" applyFont="1" applyFill="1" applyBorder="1" applyAlignment="1">
      <alignment horizontal="center" vertical="center" wrapText="1"/>
    </xf>
    <xf numFmtId="180" fontId="11" fillId="10" borderId="0" xfId="0" applyNumberFormat="1" applyFont="1" applyFill="1" applyAlignment="1">
      <alignment horizontal="center" vertical="center" wrapText="1"/>
    </xf>
    <xf numFmtId="180" fontId="11" fillId="10" borderId="17" xfId="0" applyNumberFormat="1" applyFont="1" applyFill="1" applyBorder="1" applyAlignment="1">
      <alignment horizontal="center" vertical="center" wrapText="1"/>
    </xf>
    <xf numFmtId="180" fontId="11" fillId="10" borderId="14" xfId="0" applyNumberFormat="1" applyFont="1" applyFill="1" applyBorder="1" applyAlignment="1">
      <alignment horizontal="center" vertical="center" wrapText="1"/>
    </xf>
    <xf numFmtId="43" fontId="12" fillId="0" borderId="2" xfId="0" applyNumberFormat="1" applyFont="1" applyFill="1" applyBorder="1" applyAlignment="1">
      <alignment horizontal="center" vertical="center"/>
    </xf>
    <xf numFmtId="43" fontId="12" fillId="0" borderId="3" xfId="0" applyNumberFormat="1" applyFont="1" applyFill="1" applyBorder="1" applyAlignment="1">
      <alignment horizontal="center" vertical="center"/>
    </xf>
    <xf numFmtId="43" fontId="12" fillId="0" borderId="4" xfId="0" applyNumberFormat="1" applyFont="1" applyFill="1" applyBorder="1" applyAlignment="1">
      <alignment horizontal="center" vertical="center"/>
    </xf>
    <xf numFmtId="43" fontId="12" fillId="0" borderId="3" xfId="0" applyNumberFormat="1" applyFont="1" applyFill="1" applyBorder="1" applyAlignment="1" applyProtection="1">
      <alignment horizontal="center" vertical="center"/>
    </xf>
    <xf numFmtId="43" fontId="12" fillId="0" borderId="4" xfId="0" applyNumberFormat="1" applyFont="1" applyFill="1" applyBorder="1" applyAlignment="1" applyProtection="1">
      <alignment horizontal="center" vertical="center"/>
    </xf>
    <xf numFmtId="43" fontId="11" fillId="0" borderId="1" xfId="0" applyNumberFormat="1" applyFont="1" applyFill="1" applyBorder="1" applyAlignment="1" applyProtection="1">
      <alignment horizontal="center" vertical="center"/>
    </xf>
    <xf numFmtId="0" fontId="11" fillId="0" borderId="7" xfId="0" applyNumberFormat="1" applyFont="1" applyFill="1" applyBorder="1" applyAlignment="1" applyProtection="1">
      <alignment horizontal="center" vertical="center"/>
    </xf>
    <xf numFmtId="0" fontId="11" fillId="0" borderId="7" xfId="0" applyNumberFormat="1" applyFont="1" applyFill="1" applyBorder="1" applyAlignment="1" applyProtection="1">
      <alignment horizontal="center" vertical="center" wrapText="1"/>
    </xf>
    <xf numFmtId="43" fontId="3" fillId="0" borderId="1" xfId="0" applyNumberFormat="1" applyFont="1" applyFill="1" applyBorder="1" applyAlignment="1">
      <alignment horizontal="right" vertical="center"/>
    </xf>
    <xf numFmtId="43" fontId="15" fillId="0" borderId="1" xfId="0" applyNumberFormat="1" applyFont="1" applyFill="1" applyBorder="1" applyAlignment="1" applyProtection="1">
      <alignment horizontal="right" vertical="center"/>
    </xf>
    <xf numFmtId="43" fontId="15" fillId="0" borderId="1" xfId="0" applyNumberFormat="1" applyFont="1" applyFill="1" applyBorder="1" applyAlignment="1">
      <alignment horizontal="right" vertical="center" wrapText="1"/>
    </xf>
    <xf numFmtId="43" fontId="12" fillId="0" borderId="1" xfId="0" applyNumberFormat="1" applyFont="1" applyFill="1" applyBorder="1" applyAlignment="1" applyProtection="1">
      <alignment vertical="center"/>
    </xf>
    <xf numFmtId="180" fontId="11" fillId="10" borderId="4" xfId="0" applyNumberFormat="1" applyFont="1" applyFill="1" applyBorder="1" applyAlignment="1">
      <alignment horizontal="center" vertical="center" wrapText="1"/>
    </xf>
    <xf numFmtId="180" fontId="13" fillId="0" borderId="4" xfId="0" applyNumberFormat="1" applyFont="1" applyFill="1" applyBorder="1" applyAlignment="1">
      <alignment horizontal="center" vertical="center" wrapText="1"/>
    </xf>
    <xf numFmtId="180" fontId="11" fillId="10" borderId="1" xfId="0" applyNumberFormat="1" applyFont="1" applyFill="1" applyBorder="1" applyAlignment="1">
      <alignment vertical="center" wrapText="1"/>
    </xf>
    <xf numFmtId="10" fontId="12" fillId="10" borderId="4" xfId="0" applyNumberFormat="1" applyFont="1" applyFill="1" applyBorder="1" applyAlignment="1">
      <alignment horizontal="right" vertical="center" wrapText="1"/>
    </xf>
    <xf numFmtId="43" fontId="9" fillId="0" borderId="0" xfId="0" applyNumberFormat="1" applyFont="1" applyFill="1" applyBorder="1" applyAlignment="1">
      <alignment vertical="center"/>
    </xf>
    <xf numFmtId="43" fontId="3" fillId="0" borderId="1" xfId="0" applyNumberFormat="1" applyFont="1" applyFill="1" applyBorder="1" applyAlignment="1">
      <alignment horizontal="right" vertical="center"/>
    </xf>
    <xf numFmtId="43" fontId="17" fillId="0" borderId="1" xfId="0" applyNumberFormat="1" applyFont="1" applyFill="1" applyBorder="1" applyAlignment="1">
      <alignment horizontal="center" vertical="center" wrapText="1"/>
    </xf>
    <xf numFmtId="43" fontId="17" fillId="0" borderId="1" xfId="0" applyNumberFormat="1" applyFont="1" applyFill="1" applyBorder="1" applyAlignment="1">
      <alignment horizontal="right" vertical="center" wrapText="1"/>
    </xf>
    <xf numFmtId="10" fontId="0" fillId="0" borderId="0" xfId="12" applyNumberFormat="1"/>
    <xf numFmtId="43" fontId="13" fillId="0" borderId="0" xfId="0" applyNumberFormat="1" applyFont="1" applyFill="1" applyBorder="1" applyAlignment="1">
      <alignment horizontal="right" vertical="center"/>
    </xf>
    <xf numFmtId="43" fontId="9" fillId="5" borderId="0" xfId="0" applyNumberFormat="1" applyFont="1" applyFill="1" applyBorder="1" applyAlignment="1">
      <alignment horizontal="right" vertical="center"/>
    </xf>
    <xf numFmtId="43" fontId="15" fillId="0" borderId="0" xfId="0" applyNumberFormat="1" applyFont="1" applyFill="1" applyAlignment="1">
      <alignment horizontal="right" vertical="center"/>
    </xf>
    <xf numFmtId="4" fontId="9" fillId="0" borderId="0" xfId="0" applyNumberFormat="1" applyFont="1" applyFill="1" applyAlignment="1">
      <alignment horizontal="right" vertical="center"/>
    </xf>
    <xf numFmtId="0" fontId="13" fillId="0" borderId="0" xfId="0" applyFont="1" applyFill="1" applyBorder="1" applyAlignment="1">
      <alignment horizontal="right" vertical="center"/>
    </xf>
    <xf numFmtId="180" fontId="9" fillId="0" borderId="1" xfId="0" applyNumberFormat="1" applyFont="1" applyFill="1" applyBorder="1" applyAlignment="1" quotePrefix="1">
      <alignment horizontal="center" vertical="center" wrapText="1"/>
    </xf>
  </cellXfs>
  <cellStyles count="59">
    <cellStyle name="常规" xfId="0" builtinId="0"/>
    <cellStyle name="货币[0]" xfId="1" builtinId="7"/>
    <cellStyle name="60% - 着色 2"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着色 1" xfId="19"/>
    <cellStyle name="20% - 着色 5" xfId="20"/>
    <cellStyle name="解释性文本" xfId="21" builtinId="53"/>
    <cellStyle name="常规_2016_9" xfId="22"/>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40% - 着色 4" xfId="29"/>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40% - 着色 5" xfId="36"/>
    <cellStyle name="好" xfId="37" builtinId="26"/>
    <cellStyle name="着色 5" xfId="38"/>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常规_2015_8" xfId="57"/>
    <cellStyle name="千位分隔_2008-2013汇总" xfId="58"/>
  </cellStyles>
  <tableStyles count="0" defaultTableStyle="TableStyleMedium2" defaultPivotStyle="PivotStyleLight16"/>
  <colors>
    <mruColors>
      <color rgb="0000B050"/>
      <color rgb="00808000"/>
      <color rgb="0092D050"/>
      <color rgb="00BDD7EE"/>
      <color rgb="00FF0000"/>
      <color rgb="00FFC000"/>
      <color rgb="00DDEBF7"/>
      <color rgb="00FFFF00"/>
      <color rgb="00FFFF9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24&#24180;&#24191;&#20803;&#26032;&#33021;&#28304;&#20844;&#21496;+&#23453;&#32043;\10%20&#23453;&#32043;&#32463;&#33829;&#25968;&#25454;&#32479;&#35745;+&#32463;&#27982;&#27963;&#21160;&#20998;&#26512;\&#24191;&#20803;&#26032;&#33021;&#28304;&#26376;&#24230;&#32463;&#33829;&#20998;&#39033;&#30446;&#32479;&#35745;\2024&#24180;&#24191;&#20803;&#26032;&#33021;&#28304;-2024&#24180;5&#26376;&#20998;&#39033;&#30446;&#36164;&#20135;&#36127;&#20538;&#31616;&#34920;-05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4&#24180;&#24191;&#20803;&#26032;&#33021;&#28304;&#20844;&#21496;+&#23453;&#32043;\10%20&#23453;&#32043;&#32463;&#33829;&#25968;&#25454;&#32479;&#35745;+&#32463;&#27982;&#27963;&#21160;&#20998;&#26512;\&#24191;&#20803;&#26032;&#33021;&#28304;&#26376;&#24230;&#32463;&#33829;&#20998;&#39033;&#30446;&#32479;&#35745;\2024&#24180;&#24191;&#20803;&#26032;&#33021;&#28304;-2024&#24180;5&#26376;&#20998;&#39033;&#30446;&#36164;&#20135;&#36127;&#20538;&#31616;&#34920;-052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4年累计"/>
      <sheetName val="1-4月"/>
      <sheetName val="5月"/>
      <sheetName val="6月"/>
      <sheetName val="7月"/>
      <sheetName val="8月"/>
      <sheetName val="9月"/>
      <sheetName val="10月"/>
      <sheetName val="11月"/>
      <sheetName val="12月"/>
      <sheetName val="资产负债表汇总2405"/>
      <sheetName val="枫香林-202405"/>
      <sheetName val="飞凤滩-202405"/>
      <sheetName val="七里山-202405"/>
      <sheetName val="娃哈哈-202405"/>
      <sheetName val="其他-202405"/>
      <sheetName val="202405导出"/>
      <sheetName val="应付账款分电站明细-2024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44">
          <cell r="C44">
            <v>308412043.15</v>
          </cell>
        </row>
      </sheetData>
      <sheetData sheetId="1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24年累计"/>
      <sheetName val="1-4月"/>
      <sheetName val="5月"/>
      <sheetName val="6月"/>
      <sheetName val="7月"/>
      <sheetName val="8月"/>
      <sheetName val="9月"/>
      <sheetName val="10月"/>
      <sheetName val="11月"/>
      <sheetName val="12月"/>
      <sheetName val="资产负债表汇总2405"/>
      <sheetName val="枫香林-202405"/>
      <sheetName val="飞凤滩-202405"/>
      <sheetName val="七里山-202405"/>
      <sheetName val="娃哈哈-202405"/>
      <sheetName val="其他-202405"/>
      <sheetName val="202405导出"/>
      <sheetName val="应付账款分电站明细-2024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44">
          <cell r="C44">
            <v>308412043.15</v>
          </cell>
        </row>
      </sheetData>
      <sheetData sheetId="1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129"/>
  <sheetViews>
    <sheetView zoomScale="80" zoomScaleNormal="80" workbookViewId="0">
      <pane ySplit="3" topLeftCell="A98" activePane="bottomLeft" state="frozen"/>
      <selection/>
      <selection pane="bottomLeft" activeCell="K99" sqref="K99"/>
    </sheetView>
  </sheetViews>
  <sheetFormatPr defaultColWidth="9" defaultRowHeight="13.85"/>
  <cols>
    <col min="1" max="1" width="7.08333333333333" style="24" customWidth="1"/>
    <col min="2" max="2" width="19.3" style="24" customWidth="1"/>
    <col min="3" max="3" width="17.6333333333333" style="24" customWidth="1"/>
    <col min="4" max="4" width="21.4" style="24" customWidth="1"/>
    <col min="5" max="5" width="12.3416666666667" style="24" customWidth="1"/>
    <col min="6" max="6" width="12.6583333333333" style="397" customWidth="1"/>
    <col min="7" max="7" width="23.5" style="28" customWidth="1"/>
    <col min="8" max="8" width="25.3166666666667" style="28" customWidth="1"/>
    <col min="9" max="9" width="18.75" style="29" customWidth="1"/>
    <col min="10" max="10" width="15.375" style="29" customWidth="1"/>
    <col min="11" max="11" width="16.625" style="29" customWidth="1"/>
    <col min="12" max="12" width="13.75" style="30" customWidth="1"/>
    <col min="13" max="14" width="10.775" style="30" customWidth="1"/>
    <col min="15" max="15" width="13.75" style="30" customWidth="1"/>
    <col min="16" max="16" width="13.625" style="30" customWidth="1"/>
    <col min="17" max="17" width="15.375" style="30" customWidth="1"/>
    <col min="18" max="18" width="17.125" style="31" customWidth="1"/>
    <col min="19" max="19" width="12.5" style="31" customWidth="1"/>
    <col min="20" max="20" width="17.125" style="30" customWidth="1"/>
    <col min="21" max="21" width="13.75" style="32" customWidth="1"/>
    <col min="22" max="22" width="17.125" style="32" customWidth="1"/>
    <col min="23" max="23" width="16.625" style="24" hidden="1" customWidth="1"/>
    <col min="24" max="24" width="15.375" style="24" hidden="1" customWidth="1"/>
    <col min="25" max="25" width="17.125" style="397" customWidth="1"/>
    <col min="26" max="26" width="15" style="397" customWidth="1"/>
    <col min="27" max="16384" width="9" style="1"/>
  </cols>
  <sheetData>
    <row r="1" s="1" customFormat="1" ht="27" customHeight="1" spans="1:26">
      <c r="A1" s="34" t="s">
        <v>0</v>
      </c>
      <c r="B1" s="34"/>
      <c r="C1" s="34"/>
      <c r="D1" s="34"/>
      <c r="E1" s="34"/>
      <c r="F1" s="34"/>
      <c r="G1" s="34"/>
      <c r="H1" s="34"/>
      <c r="I1" s="84"/>
      <c r="J1" s="84"/>
      <c r="K1" s="84"/>
      <c r="L1" s="85"/>
      <c r="M1" s="85"/>
      <c r="N1" s="85"/>
      <c r="O1" s="85"/>
      <c r="P1" s="85"/>
      <c r="Q1" s="85"/>
      <c r="R1" s="121"/>
      <c r="S1" s="121"/>
      <c r="T1" s="85"/>
      <c r="U1" s="85"/>
      <c r="V1" s="85"/>
      <c r="W1" s="34"/>
      <c r="X1" s="34"/>
      <c r="Y1" s="34"/>
      <c r="Z1" s="34"/>
    </row>
    <row r="2" s="15" customFormat="1" ht="23" customHeight="1" spans="1:26">
      <c r="A2" s="458" t="s">
        <v>1</v>
      </c>
      <c r="B2" s="458" t="s">
        <v>2</v>
      </c>
      <c r="C2" s="458" t="s">
        <v>3</v>
      </c>
      <c r="D2" s="458" t="s">
        <v>4</v>
      </c>
      <c r="E2" s="458" t="s">
        <v>5</v>
      </c>
      <c r="F2" s="458" t="s">
        <v>6</v>
      </c>
      <c r="G2" s="458" t="s">
        <v>7</v>
      </c>
      <c r="H2" s="458" t="s">
        <v>8</v>
      </c>
      <c r="I2" s="58" t="s">
        <v>9</v>
      </c>
      <c r="J2" s="473"/>
      <c r="K2" s="474"/>
      <c r="L2" s="89" t="s">
        <v>10</v>
      </c>
      <c r="M2" s="89"/>
      <c r="N2" s="89"/>
      <c r="O2" s="89"/>
      <c r="P2" s="89"/>
      <c r="Q2" s="122" t="s">
        <v>11</v>
      </c>
      <c r="R2" s="123" t="s">
        <v>12</v>
      </c>
      <c r="S2" s="124"/>
      <c r="T2" s="123" t="s">
        <v>13</v>
      </c>
      <c r="U2" s="124"/>
      <c r="V2" s="122" t="s">
        <v>14</v>
      </c>
      <c r="W2" s="36" t="s">
        <v>15</v>
      </c>
      <c r="X2" s="36" t="s">
        <v>16</v>
      </c>
      <c r="Y2" s="36" t="s">
        <v>17</v>
      </c>
      <c r="Z2" s="398"/>
    </row>
    <row r="3" s="16" customFormat="1" ht="45" customHeight="1" spans="1:26">
      <c r="A3" s="413"/>
      <c r="B3" s="413"/>
      <c r="C3" s="413"/>
      <c r="D3" s="413"/>
      <c r="E3" s="413"/>
      <c r="F3" s="413"/>
      <c r="G3" s="413"/>
      <c r="H3" s="413"/>
      <c r="I3" s="475" t="s">
        <v>18</v>
      </c>
      <c r="J3" s="475" t="s">
        <v>19</v>
      </c>
      <c r="K3" s="475" t="s">
        <v>20</v>
      </c>
      <c r="L3" s="476" t="s">
        <v>21</v>
      </c>
      <c r="M3" s="476" t="s">
        <v>22</v>
      </c>
      <c r="N3" s="477" t="s">
        <v>23</v>
      </c>
      <c r="O3" s="477" t="s">
        <v>24</v>
      </c>
      <c r="P3" s="477" t="s">
        <v>25</v>
      </c>
      <c r="Q3" s="126"/>
      <c r="R3" s="127" t="s">
        <v>26</v>
      </c>
      <c r="S3" s="92" t="s">
        <v>27</v>
      </c>
      <c r="T3" s="127" t="s">
        <v>28</v>
      </c>
      <c r="U3" s="127" t="s">
        <v>27</v>
      </c>
      <c r="V3" s="126"/>
      <c r="W3" s="398"/>
      <c r="X3" s="398"/>
      <c r="Y3" s="407" t="s">
        <v>29</v>
      </c>
      <c r="Z3" s="407" t="s">
        <v>30</v>
      </c>
    </row>
    <row r="4" s="1" customFormat="1" ht="36" customHeight="1" spans="1:26">
      <c r="A4" s="38" t="s">
        <v>31</v>
      </c>
      <c r="B4" s="39" t="s">
        <v>32</v>
      </c>
      <c r="C4" s="40"/>
      <c r="D4" s="40"/>
      <c r="E4" s="40"/>
      <c r="F4" s="40"/>
      <c r="G4" s="40"/>
      <c r="H4" s="42"/>
      <c r="I4" s="93"/>
      <c r="J4" s="93"/>
      <c r="K4" s="93"/>
      <c r="L4" s="93"/>
      <c r="M4" s="93"/>
      <c r="N4" s="93"/>
      <c r="O4" s="93"/>
      <c r="P4" s="93"/>
      <c r="Q4" s="93"/>
      <c r="R4" s="93"/>
      <c r="S4" s="130"/>
      <c r="T4" s="131"/>
      <c r="U4" s="130"/>
      <c r="V4" s="130"/>
      <c r="W4" s="45">
        <f>K18+F5</f>
        <v>103538925.69</v>
      </c>
      <c r="X4" s="45">
        <f>T18+U18</f>
        <v>85833468.7</v>
      </c>
      <c r="Y4" s="182"/>
      <c r="Z4" s="182"/>
    </row>
    <row r="5" s="1" customFormat="1" ht="25" customHeight="1" spans="1:26">
      <c r="A5" s="43">
        <v>1</v>
      </c>
      <c r="B5" s="44" t="s">
        <v>33</v>
      </c>
      <c r="C5" s="43" t="s">
        <v>34</v>
      </c>
      <c r="D5" s="44" t="s">
        <v>35</v>
      </c>
      <c r="E5" s="45">
        <v>119482663</v>
      </c>
      <c r="F5" s="45"/>
      <c r="G5" s="69" t="s">
        <v>36</v>
      </c>
      <c r="H5" s="69" t="s">
        <v>37</v>
      </c>
      <c r="I5" s="405">
        <v>764150.94</v>
      </c>
      <c r="J5" s="112">
        <v>2428950.13</v>
      </c>
      <c r="K5" s="112">
        <f>I5+J5+I6</f>
        <v>29672001.99</v>
      </c>
      <c r="L5" s="97">
        <v>865860.06</v>
      </c>
      <c r="M5" s="97"/>
      <c r="N5" s="97"/>
      <c r="O5" s="97"/>
      <c r="P5" s="97"/>
      <c r="Q5" s="97">
        <v>0</v>
      </c>
      <c r="R5" s="96">
        <v>28601141.93</v>
      </c>
      <c r="S5" s="97">
        <v>205000</v>
      </c>
      <c r="T5" s="97">
        <v>28601141.93</v>
      </c>
      <c r="U5" s="97">
        <f>S5</f>
        <v>205000</v>
      </c>
      <c r="V5" s="97">
        <f>R5+S5-T5-U5</f>
        <v>0</v>
      </c>
      <c r="W5" s="49"/>
      <c r="X5" s="49"/>
      <c r="Y5" s="145"/>
      <c r="Z5" s="145">
        <v>0</v>
      </c>
    </row>
    <row r="6" s="1" customFormat="1" spans="1:26">
      <c r="A6" s="48"/>
      <c r="B6" s="172"/>
      <c r="C6" s="48"/>
      <c r="D6" s="172"/>
      <c r="E6" s="49"/>
      <c r="F6" s="49"/>
      <c r="G6" s="70"/>
      <c r="H6" s="70"/>
      <c r="I6" s="405">
        <v>26478900.92</v>
      </c>
      <c r="J6" s="113"/>
      <c r="K6" s="113"/>
      <c r="L6" s="98"/>
      <c r="M6" s="98"/>
      <c r="N6" s="98"/>
      <c r="O6" s="98"/>
      <c r="P6" s="98"/>
      <c r="Q6" s="98"/>
      <c r="R6" s="96"/>
      <c r="S6" s="98"/>
      <c r="T6" s="98"/>
      <c r="U6" s="98"/>
      <c r="V6" s="98"/>
      <c r="W6" s="49"/>
      <c r="X6" s="49"/>
      <c r="Y6" s="145"/>
      <c r="Z6" s="145"/>
    </row>
    <row r="7" s="1" customFormat="1" spans="1:26">
      <c r="A7" s="48"/>
      <c r="B7" s="48"/>
      <c r="C7" s="48"/>
      <c r="D7" s="48"/>
      <c r="E7" s="49"/>
      <c r="F7" s="49"/>
      <c r="G7" s="69" t="s">
        <v>38</v>
      </c>
      <c r="H7" s="69" t="s">
        <v>39</v>
      </c>
      <c r="I7" s="405">
        <v>9999999</v>
      </c>
      <c r="J7" s="112">
        <v>2431173.92</v>
      </c>
      <c r="K7" s="112">
        <f>I7+J7+I8+I9</f>
        <v>29444217.5</v>
      </c>
      <c r="L7" s="97">
        <v>851826.53</v>
      </c>
      <c r="M7" s="97"/>
      <c r="N7" s="97"/>
      <c r="O7" s="97"/>
      <c r="P7" s="97">
        <v>3100</v>
      </c>
      <c r="Q7" s="97">
        <v>0</v>
      </c>
      <c r="R7" s="96">
        <v>28139290.97</v>
      </c>
      <c r="S7" s="97">
        <v>450000</v>
      </c>
      <c r="T7" s="97">
        <v>28139290.97</v>
      </c>
      <c r="U7" s="97">
        <v>450000</v>
      </c>
      <c r="V7" s="97">
        <f>R7+S7-T7-U7</f>
        <v>0</v>
      </c>
      <c r="W7" s="49"/>
      <c r="X7" s="49"/>
      <c r="Y7" s="145"/>
      <c r="Z7" s="145"/>
    </row>
    <row r="8" s="1" customFormat="1" spans="1:26">
      <c r="A8" s="48"/>
      <c r="B8" s="48"/>
      <c r="C8" s="48"/>
      <c r="D8" s="48"/>
      <c r="E8" s="49"/>
      <c r="F8" s="49"/>
      <c r="G8" s="70"/>
      <c r="H8" s="70"/>
      <c r="I8" s="405">
        <v>7013045.58</v>
      </c>
      <c r="J8" s="113"/>
      <c r="K8" s="113"/>
      <c r="L8" s="98"/>
      <c r="M8" s="98"/>
      <c r="N8" s="98"/>
      <c r="O8" s="98"/>
      <c r="P8" s="98"/>
      <c r="Q8" s="98"/>
      <c r="R8" s="96"/>
      <c r="S8" s="98"/>
      <c r="T8" s="98"/>
      <c r="U8" s="98"/>
      <c r="V8" s="98"/>
      <c r="W8" s="49"/>
      <c r="X8" s="49"/>
      <c r="Y8" s="145"/>
      <c r="Z8" s="145"/>
    </row>
    <row r="9" s="1" customFormat="1" spans="1:26">
      <c r="A9" s="48"/>
      <c r="B9" s="48"/>
      <c r="C9" s="48"/>
      <c r="D9" s="48"/>
      <c r="E9" s="49"/>
      <c r="F9" s="49"/>
      <c r="G9" s="70"/>
      <c r="H9" s="70"/>
      <c r="I9" s="405">
        <v>9999999</v>
      </c>
      <c r="J9" s="114"/>
      <c r="K9" s="114"/>
      <c r="L9" s="98"/>
      <c r="M9" s="98"/>
      <c r="N9" s="98"/>
      <c r="O9" s="98"/>
      <c r="P9" s="98"/>
      <c r="Q9" s="98"/>
      <c r="R9" s="96"/>
      <c r="S9" s="98"/>
      <c r="T9" s="98"/>
      <c r="U9" s="98"/>
      <c r="V9" s="98"/>
      <c r="W9" s="49"/>
      <c r="X9" s="49"/>
      <c r="Y9" s="145"/>
      <c r="Z9" s="145"/>
    </row>
    <row r="10" s="1" customFormat="1" ht="38" customHeight="1" spans="1:26">
      <c r="A10" s="48"/>
      <c r="B10" s="48"/>
      <c r="C10" s="48"/>
      <c r="D10" s="48"/>
      <c r="E10" s="49"/>
      <c r="F10" s="49"/>
      <c r="G10" s="72" t="s">
        <v>40</v>
      </c>
      <c r="H10" s="72" t="s">
        <v>41</v>
      </c>
      <c r="I10" s="405">
        <v>11222091.93</v>
      </c>
      <c r="J10" s="94">
        <v>1458871.95</v>
      </c>
      <c r="K10" s="94">
        <f>I10+J10</f>
        <v>12680963.88</v>
      </c>
      <c r="L10" s="94"/>
      <c r="M10" s="94"/>
      <c r="N10" s="94"/>
      <c r="O10" s="94"/>
      <c r="P10" s="94"/>
      <c r="Q10" s="94">
        <v>0</v>
      </c>
      <c r="R10" s="94">
        <f>K10-L10-M10-N10-O10+Q10</f>
        <v>12680963.88</v>
      </c>
      <c r="S10" s="133">
        <v>0</v>
      </c>
      <c r="T10" s="134">
        <v>12680963.88</v>
      </c>
      <c r="U10" s="133">
        <v>0</v>
      </c>
      <c r="V10" s="133">
        <f>R10+S10-T10-U10</f>
        <v>0</v>
      </c>
      <c r="W10" s="49"/>
      <c r="X10" s="49"/>
      <c r="Y10" s="145"/>
      <c r="Z10" s="145"/>
    </row>
    <row r="11" s="1" customFormat="1" spans="1:26">
      <c r="A11" s="48"/>
      <c r="B11" s="48"/>
      <c r="C11" s="48"/>
      <c r="D11" s="48"/>
      <c r="E11" s="49"/>
      <c r="F11" s="49"/>
      <c r="G11" s="50" t="s">
        <v>42</v>
      </c>
      <c r="H11" s="47" t="s">
        <v>43</v>
      </c>
      <c r="I11" s="405">
        <v>990566.04</v>
      </c>
      <c r="J11" s="94">
        <v>59433.96</v>
      </c>
      <c r="K11" s="45">
        <f>SUM(I11:J13)</f>
        <v>15693004.3</v>
      </c>
      <c r="L11" s="95">
        <v>135932.38</v>
      </c>
      <c r="M11" s="95">
        <v>0</v>
      </c>
      <c r="N11" s="95">
        <v>0</v>
      </c>
      <c r="O11" s="95">
        <v>0</v>
      </c>
      <c r="P11" s="95"/>
      <c r="Q11" s="95">
        <v>0</v>
      </c>
      <c r="R11" s="95">
        <f>K11-L11-M11-N11-O11+Q11+K12+K13-S11</f>
        <v>15157071.92</v>
      </c>
      <c r="S11" s="95">
        <v>400000</v>
      </c>
      <c r="T11" s="95">
        <v>15157071.92</v>
      </c>
      <c r="U11" s="95">
        <v>400000</v>
      </c>
      <c r="V11" s="95">
        <f>R11+S11-T11-U11</f>
        <v>0</v>
      </c>
      <c r="W11" s="49"/>
      <c r="X11" s="49"/>
      <c r="Y11" s="46">
        <v>15693004.3</v>
      </c>
      <c r="Z11" s="45">
        <v>15557071.92</v>
      </c>
    </row>
    <row r="12" s="1" customFormat="1" spans="1:26">
      <c r="A12" s="48"/>
      <c r="B12" s="48"/>
      <c r="C12" s="48"/>
      <c r="D12" s="48"/>
      <c r="E12" s="49"/>
      <c r="F12" s="49"/>
      <c r="G12" s="51"/>
      <c r="H12" s="47"/>
      <c r="I12" s="405">
        <v>9877809.73</v>
      </c>
      <c r="J12" s="94">
        <v>1284115.27</v>
      </c>
      <c r="K12" s="49"/>
      <c r="L12" s="95"/>
      <c r="M12" s="95"/>
      <c r="N12" s="95"/>
      <c r="O12" s="95"/>
      <c r="P12" s="95"/>
      <c r="Q12" s="95"/>
      <c r="R12" s="95"/>
      <c r="S12" s="95"/>
      <c r="T12" s="95"/>
      <c r="U12" s="95"/>
      <c r="V12" s="95"/>
      <c r="W12" s="49"/>
      <c r="X12" s="49"/>
      <c r="Y12" s="46"/>
      <c r="Z12" s="49"/>
    </row>
    <row r="13" s="1" customFormat="1" spans="1:26">
      <c r="A13" s="48"/>
      <c r="B13" s="48"/>
      <c r="C13" s="48"/>
      <c r="D13" s="48"/>
      <c r="E13" s="49"/>
      <c r="F13" s="49"/>
      <c r="G13" s="51"/>
      <c r="H13" s="47"/>
      <c r="I13" s="405">
        <v>3193650.73</v>
      </c>
      <c r="J13" s="94">
        <v>287428.57</v>
      </c>
      <c r="K13" s="81"/>
      <c r="L13" s="95"/>
      <c r="M13" s="95"/>
      <c r="N13" s="95"/>
      <c r="O13" s="95"/>
      <c r="P13" s="95"/>
      <c r="Q13" s="95"/>
      <c r="R13" s="95"/>
      <c r="S13" s="95"/>
      <c r="T13" s="95"/>
      <c r="U13" s="95"/>
      <c r="V13" s="95"/>
      <c r="W13" s="49"/>
      <c r="X13" s="49"/>
      <c r="Y13" s="46"/>
      <c r="Z13" s="81"/>
    </row>
    <row r="14" s="1" customFormat="1" spans="1:26">
      <c r="A14" s="48"/>
      <c r="B14" s="48"/>
      <c r="C14" s="48"/>
      <c r="D14" s="48"/>
      <c r="E14" s="49"/>
      <c r="F14" s="49"/>
      <c r="G14" s="50" t="s">
        <v>44</v>
      </c>
      <c r="H14" s="50" t="s">
        <v>45</v>
      </c>
      <c r="I14" s="405">
        <v>3170698.41</v>
      </c>
      <c r="J14" s="99">
        <v>412190.79</v>
      </c>
      <c r="K14" s="94">
        <f>J14+I14</f>
        <v>3582889.2</v>
      </c>
      <c r="L14" s="100">
        <v>0</v>
      </c>
      <c r="M14" s="100">
        <v>0</v>
      </c>
      <c r="N14" s="100">
        <v>0</v>
      </c>
      <c r="O14" s="100">
        <v>355075.46</v>
      </c>
      <c r="P14" s="100"/>
      <c r="Q14" s="100">
        <v>0</v>
      </c>
      <c r="R14" s="100">
        <f>K14-L14-M14-N14-O14+Q14+K15+K17-S14</f>
        <v>15493662.56</v>
      </c>
      <c r="S14" s="100">
        <v>200000</v>
      </c>
      <c r="T14" s="100">
        <v>0</v>
      </c>
      <c r="U14" s="136">
        <v>200000</v>
      </c>
      <c r="V14" s="136">
        <f>S14-U14-T14+R14</f>
        <v>15493662.56</v>
      </c>
      <c r="W14" s="49"/>
      <c r="X14" s="49"/>
      <c r="Y14" s="409">
        <v>15693004.3</v>
      </c>
      <c r="Z14" s="45">
        <v>15557071.92</v>
      </c>
    </row>
    <row r="15" s="1" customFormat="1" spans="1:26">
      <c r="A15" s="48"/>
      <c r="B15" s="48"/>
      <c r="C15" s="48"/>
      <c r="D15" s="48"/>
      <c r="E15" s="49"/>
      <c r="F15" s="49"/>
      <c r="G15" s="50"/>
      <c r="H15" s="50"/>
      <c r="I15" s="405">
        <v>1684264.97</v>
      </c>
      <c r="J15" s="95">
        <v>977271.92</v>
      </c>
      <c r="K15" s="95">
        <f>I16+I15+J15</f>
        <v>11835848.82</v>
      </c>
      <c r="L15" s="100"/>
      <c r="M15" s="100"/>
      <c r="N15" s="100"/>
      <c r="O15" s="100"/>
      <c r="P15" s="100"/>
      <c r="Q15" s="100"/>
      <c r="R15" s="100"/>
      <c r="S15" s="100"/>
      <c r="T15" s="100"/>
      <c r="U15" s="136"/>
      <c r="V15" s="136"/>
      <c r="W15" s="49"/>
      <c r="X15" s="49"/>
      <c r="Y15" s="49"/>
      <c r="Z15" s="49"/>
    </row>
    <row r="16" s="1" customFormat="1" spans="1:26">
      <c r="A16" s="48"/>
      <c r="B16" s="48"/>
      <c r="C16" s="48"/>
      <c r="D16" s="48"/>
      <c r="E16" s="49"/>
      <c r="F16" s="49"/>
      <c r="G16" s="50"/>
      <c r="H16" s="50"/>
      <c r="I16" s="405">
        <v>9174311.93</v>
      </c>
      <c r="J16" s="95"/>
      <c r="K16" s="95"/>
      <c r="L16" s="100"/>
      <c r="M16" s="100"/>
      <c r="N16" s="100"/>
      <c r="O16" s="100"/>
      <c r="P16" s="100"/>
      <c r="Q16" s="100"/>
      <c r="R16" s="100"/>
      <c r="S16" s="100"/>
      <c r="T16" s="100"/>
      <c r="U16" s="136"/>
      <c r="V16" s="136"/>
      <c r="W16" s="49"/>
      <c r="X16" s="49"/>
      <c r="Y16" s="81"/>
      <c r="Z16" s="81"/>
    </row>
    <row r="17" s="1" customFormat="1" spans="1:26">
      <c r="A17" s="48"/>
      <c r="B17" s="48"/>
      <c r="C17" s="48"/>
      <c r="D17" s="48"/>
      <c r="E17" s="49"/>
      <c r="F17" s="49"/>
      <c r="G17" s="50"/>
      <c r="H17" s="50"/>
      <c r="I17" s="405">
        <v>594339.62</v>
      </c>
      <c r="J17" s="94">
        <v>35660.38</v>
      </c>
      <c r="K17" s="94">
        <f>I17+J17</f>
        <v>630000</v>
      </c>
      <c r="L17" s="100"/>
      <c r="M17" s="100"/>
      <c r="N17" s="100"/>
      <c r="O17" s="100"/>
      <c r="P17" s="100"/>
      <c r="Q17" s="100"/>
      <c r="R17" s="100"/>
      <c r="S17" s="100"/>
      <c r="T17" s="100"/>
      <c r="U17" s="138"/>
      <c r="V17" s="138"/>
      <c r="W17" s="49"/>
      <c r="X17" s="49"/>
      <c r="Y17" s="81"/>
      <c r="Z17" s="81"/>
    </row>
    <row r="18" s="1" customFormat="1" ht="41" customHeight="1" spans="1:26">
      <c r="A18" s="153"/>
      <c r="B18" s="153"/>
      <c r="C18" s="153"/>
      <c r="D18" s="153"/>
      <c r="E18" s="81"/>
      <c r="F18" s="81"/>
      <c r="G18" s="154" t="s">
        <v>46</v>
      </c>
      <c r="H18" s="155"/>
      <c r="I18" s="108">
        <f t="shared" ref="I18:V18" si="0">SUM(I5:I17)</f>
        <v>94163828.8</v>
      </c>
      <c r="J18" s="108">
        <f t="shared" si="0"/>
        <v>9375096.89</v>
      </c>
      <c r="K18" s="111">
        <f t="shared" si="0"/>
        <v>103538925.69</v>
      </c>
      <c r="L18" s="111">
        <f t="shared" si="0"/>
        <v>1853618.97</v>
      </c>
      <c r="M18" s="111">
        <f t="shared" si="0"/>
        <v>0</v>
      </c>
      <c r="N18" s="111">
        <f t="shared" si="0"/>
        <v>0</v>
      </c>
      <c r="O18" s="111">
        <f t="shared" si="0"/>
        <v>355075.46</v>
      </c>
      <c r="P18" s="111">
        <f t="shared" si="0"/>
        <v>3100</v>
      </c>
      <c r="Q18" s="111">
        <f t="shared" si="0"/>
        <v>0</v>
      </c>
      <c r="R18" s="111">
        <f t="shared" si="0"/>
        <v>100072131.26</v>
      </c>
      <c r="S18" s="111">
        <f t="shared" si="0"/>
        <v>1255000</v>
      </c>
      <c r="T18" s="111">
        <f t="shared" si="0"/>
        <v>84578468.7</v>
      </c>
      <c r="U18" s="111">
        <f t="shared" si="0"/>
        <v>1255000</v>
      </c>
      <c r="V18" s="111">
        <f t="shared" si="0"/>
        <v>15493662.56</v>
      </c>
      <c r="W18" s="81"/>
      <c r="X18" s="81"/>
      <c r="Y18" s="481">
        <f>SUM(Y5:Y17)</f>
        <v>31386008.6</v>
      </c>
      <c r="Z18" s="481">
        <f>SUM(Z5:Z17)</f>
        <v>31114143.84</v>
      </c>
    </row>
    <row r="19" s="1" customFormat="1" ht="27" spans="1:26">
      <c r="A19" s="43">
        <v>2</v>
      </c>
      <c r="B19" s="44" t="s">
        <v>47</v>
      </c>
      <c r="C19" s="43" t="s">
        <v>48</v>
      </c>
      <c r="D19" s="65" t="s">
        <v>49</v>
      </c>
      <c r="E19" s="45">
        <v>1845935</v>
      </c>
      <c r="F19" s="45"/>
      <c r="G19" s="66" t="s">
        <v>50</v>
      </c>
      <c r="H19" s="66" t="s">
        <v>51</v>
      </c>
      <c r="I19" s="94"/>
      <c r="J19" s="94"/>
      <c r="K19" s="94">
        <f t="shared" ref="K19:K26" si="1">I19+J19</f>
        <v>0</v>
      </c>
      <c r="L19" s="94"/>
      <c r="M19" s="94"/>
      <c r="N19" s="94"/>
      <c r="O19" s="94"/>
      <c r="P19" s="94"/>
      <c r="Q19" s="94">
        <v>184593.5</v>
      </c>
      <c r="R19" s="94">
        <f>K19-L19-M19-N19-O19+Q19</f>
        <v>184593.5</v>
      </c>
      <c r="S19" s="133"/>
      <c r="T19" s="134">
        <f>Q19</f>
        <v>184593.5</v>
      </c>
      <c r="U19" s="133"/>
      <c r="V19" s="133">
        <f t="shared" ref="V19:V30" si="2">R19+S19-T19-U19</f>
        <v>0</v>
      </c>
      <c r="W19" s="45">
        <f>K22+F19</f>
        <v>340000</v>
      </c>
      <c r="X19" s="45">
        <f>T22</f>
        <v>456593.5</v>
      </c>
      <c r="Y19" s="145"/>
      <c r="Z19" s="145">
        <v>0</v>
      </c>
    </row>
    <row r="20" s="1" customFormat="1" ht="35" customHeight="1" spans="1:26">
      <c r="A20" s="48"/>
      <c r="B20" s="48"/>
      <c r="C20" s="48"/>
      <c r="D20" s="441"/>
      <c r="E20" s="49"/>
      <c r="F20" s="49"/>
      <c r="G20" s="66" t="s">
        <v>52</v>
      </c>
      <c r="H20" s="47" t="s">
        <v>53</v>
      </c>
      <c r="I20" s="405">
        <v>320754.72</v>
      </c>
      <c r="J20" s="94">
        <v>19245.28</v>
      </c>
      <c r="K20" s="94">
        <f t="shared" si="1"/>
        <v>340000</v>
      </c>
      <c r="L20" s="94"/>
      <c r="M20" s="94"/>
      <c r="N20" s="94"/>
      <c r="O20" s="94"/>
      <c r="P20" s="94"/>
      <c r="Q20" s="94">
        <v>-68000</v>
      </c>
      <c r="R20" s="94">
        <f>K20-L20-M20-N20-O20+Q20</f>
        <v>272000</v>
      </c>
      <c r="S20" s="133"/>
      <c r="T20" s="134">
        <v>272000</v>
      </c>
      <c r="U20" s="133"/>
      <c r="V20" s="133">
        <f t="shared" si="2"/>
        <v>0</v>
      </c>
      <c r="W20" s="49"/>
      <c r="X20" s="49"/>
      <c r="Y20" s="145"/>
      <c r="Z20" s="145"/>
    </row>
    <row r="21" s="1" customFormat="1" ht="21" customHeight="1" spans="1:26">
      <c r="A21" s="48"/>
      <c r="B21" s="48"/>
      <c r="C21" s="48"/>
      <c r="D21" s="441"/>
      <c r="E21" s="49"/>
      <c r="F21" s="49"/>
      <c r="G21" s="46"/>
      <c r="H21" s="46"/>
      <c r="I21" s="94"/>
      <c r="J21" s="94"/>
      <c r="K21" s="94">
        <f t="shared" si="1"/>
        <v>0</v>
      </c>
      <c r="L21" s="94"/>
      <c r="M21" s="94"/>
      <c r="N21" s="94"/>
      <c r="O21" s="94"/>
      <c r="P21" s="94"/>
      <c r="Q21" s="94"/>
      <c r="R21" s="94">
        <f>K21-L21-M21-N21-O21+Q21</f>
        <v>0</v>
      </c>
      <c r="S21" s="133"/>
      <c r="T21" s="134"/>
      <c r="U21" s="133"/>
      <c r="V21" s="133">
        <f t="shared" si="2"/>
        <v>0</v>
      </c>
      <c r="W21" s="49"/>
      <c r="X21" s="49"/>
      <c r="Y21" s="145">
        <v>0</v>
      </c>
      <c r="Z21" s="145">
        <v>0</v>
      </c>
    </row>
    <row r="22" s="1" customFormat="1" ht="29" customHeight="1" spans="1:26">
      <c r="A22" s="48"/>
      <c r="B22" s="48"/>
      <c r="C22" s="48"/>
      <c r="D22" s="441"/>
      <c r="E22" s="49"/>
      <c r="F22" s="49"/>
      <c r="G22" s="154" t="s">
        <v>46</v>
      </c>
      <c r="H22" s="155"/>
      <c r="I22" s="108">
        <f>SUM(I19:I21)</f>
        <v>320754.72</v>
      </c>
      <c r="J22" s="108">
        <f>SUM(J19:J21)</f>
        <v>19245.28</v>
      </c>
      <c r="K22" s="111">
        <f t="shared" si="1"/>
        <v>340000</v>
      </c>
      <c r="L22" s="111">
        <f>SUM(L19:L21)</f>
        <v>0</v>
      </c>
      <c r="M22" s="111">
        <f t="shared" ref="M22:V22" si="3">SUM(M19:M21)</f>
        <v>0</v>
      </c>
      <c r="N22" s="111">
        <f t="shared" si="3"/>
        <v>0</v>
      </c>
      <c r="O22" s="111">
        <f t="shared" si="3"/>
        <v>0</v>
      </c>
      <c r="P22" s="111">
        <f t="shared" si="3"/>
        <v>0</v>
      </c>
      <c r="Q22" s="111">
        <f t="shared" si="3"/>
        <v>116593.5</v>
      </c>
      <c r="R22" s="111">
        <f t="shared" si="3"/>
        <v>456593.5</v>
      </c>
      <c r="S22" s="111">
        <f t="shared" si="3"/>
        <v>0</v>
      </c>
      <c r="T22" s="111">
        <f t="shared" si="3"/>
        <v>456593.5</v>
      </c>
      <c r="U22" s="111">
        <f t="shared" si="3"/>
        <v>0</v>
      </c>
      <c r="V22" s="111">
        <f t="shared" si="3"/>
        <v>0</v>
      </c>
      <c r="W22" s="49"/>
      <c r="X22" s="49"/>
      <c r="Y22" s="481"/>
      <c r="Z22" s="481"/>
    </row>
    <row r="23" s="1" customFormat="1" ht="27.4" spans="1:26">
      <c r="A23" s="43">
        <v>3</v>
      </c>
      <c r="B23" s="44" t="s">
        <v>54</v>
      </c>
      <c r="C23" s="43" t="s">
        <v>55</v>
      </c>
      <c r="D23" s="44" t="s">
        <v>56</v>
      </c>
      <c r="E23" s="45">
        <v>68192032</v>
      </c>
      <c r="F23" s="45"/>
      <c r="G23" s="66" t="s">
        <v>57</v>
      </c>
      <c r="H23" s="50" t="s">
        <v>58</v>
      </c>
      <c r="I23" s="94"/>
      <c r="J23" s="94"/>
      <c r="K23" s="94">
        <f t="shared" si="1"/>
        <v>0</v>
      </c>
      <c r="L23" s="94"/>
      <c r="M23" s="94"/>
      <c r="N23" s="94"/>
      <c r="O23" s="94"/>
      <c r="P23" s="94"/>
      <c r="Q23" s="94">
        <v>3409601.6</v>
      </c>
      <c r="R23" s="94">
        <f>K23-L23-M23-N23-O23+Q23</f>
        <v>3409601.6</v>
      </c>
      <c r="S23" s="133"/>
      <c r="T23" s="134">
        <v>3409601.6</v>
      </c>
      <c r="U23" s="133"/>
      <c r="V23" s="133">
        <f t="shared" si="2"/>
        <v>0</v>
      </c>
      <c r="W23" s="45">
        <f>K31+F23</f>
        <v>46688107.35</v>
      </c>
      <c r="X23" s="45">
        <f>T31+U31</f>
        <v>36666914.82</v>
      </c>
      <c r="Y23" s="145"/>
      <c r="Z23" s="145"/>
    </row>
    <row r="24" s="1" customFormat="1" ht="25" customHeight="1" spans="1:26">
      <c r="A24" s="48"/>
      <c r="B24" s="48"/>
      <c r="C24" s="48"/>
      <c r="D24" s="48"/>
      <c r="E24" s="49"/>
      <c r="F24" s="49"/>
      <c r="G24" s="69" t="s">
        <v>59</v>
      </c>
      <c r="H24" s="69" t="s">
        <v>60</v>
      </c>
      <c r="I24" s="478">
        <v>636517.45</v>
      </c>
      <c r="J24" s="112">
        <v>621962.02</v>
      </c>
      <c r="K24" s="112">
        <f>I24+I25+I26+J24</f>
        <v>6719203.2</v>
      </c>
      <c r="L24" s="97"/>
      <c r="M24" s="97"/>
      <c r="N24" s="97"/>
      <c r="O24" s="97"/>
      <c r="P24" s="97"/>
      <c r="Q24" s="97">
        <v>-3409601.6</v>
      </c>
      <c r="R24" s="97">
        <f>K24-L24-M24-N24-O24+Q24</f>
        <v>3309601.6</v>
      </c>
      <c r="S24" s="97"/>
      <c r="T24" s="97">
        <v>3175217.54</v>
      </c>
      <c r="U24" s="97"/>
      <c r="V24" s="97">
        <f t="shared" si="2"/>
        <v>134384.059999999</v>
      </c>
      <c r="W24" s="49"/>
      <c r="X24" s="49"/>
      <c r="Y24" s="145"/>
      <c r="Z24" s="145"/>
    </row>
    <row r="25" s="1" customFormat="1" spans="1:26">
      <c r="A25" s="48"/>
      <c r="B25" s="48"/>
      <c r="C25" s="48"/>
      <c r="D25" s="48"/>
      <c r="E25" s="49"/>
      <c r="F25" s="49"/>
      <c r="G25" s="70"/>
      <c r="H25" s="70"/>
      <c r="I25" s="478">
        <v>3153077.71</v>
      </c>
      <c r="J25" s="113"/>
      <c r="K25" s="113"/>
      <c r="L25" s="98"/>
      <c r="M25" s="98"/>
      <c r="N25" s="98"/>
      <c r="O25" s="98"/>
      <c r="P25" s="98"/>
      <c r="Q25" s="98"/>
      <c r="R25" s="98"/>
      <c r="S25" s="98"/>
      <c r="T25" s="98"/>
      <c r="U25" s="98"/>
      <c r="V25" s="98">
        <f t="shared" si="2"/>
        <v>0</v>
      </c>
      <c r="W25" s="49"/>
      <c r="X25" s="49"/>
      <c r="Y25" s="145"/>
      <c r="Z25" s="145"/>
    </row>
    <row r="26" s="1" customFormat="1" spans="1:26">
      <c r="A26" s="48"/>
      <c r="B26" s="48"/>
      <c r="C26" s="48"/>
      <c r="D26" s="48"/>
      <c r="E26" s="49"/>
      <c r="F26" s="49"/>
      <c r="G26" s="71"/>
      <c r="H26" s="71"/>
      <c r="I26" s="478">
        <v>2307646.02</v>
      </c>
      <c r="J26" s="114"/>
      <c r="K26" s="114"/>
      <c r="L26" s="115"/>
      <c r="M26" s="115"/>
      <c r="N26" s="115"/>
      <c r="O26" s="115"/>
      <c r="P26" s="115"/>
      <c r="Q26" s="115"/>
      <c r="R26" s="115"/>
      <c r="S26" s="115"/>
      <c r="T26" s="115"/>
      <c r="U26" s="115"/>
      <c r="V26" s="115">
        <f t="shared" si="2"/>
        <v>0</v>
      </c>
      <c r="W26" s="49"/>
      <c r="X26" s="49"/>
      <c r="Y26" s="145"/>
      <c r="Z26" s="145"/>
    </row>
    <row r="27" s="1" customFormat="1" ht="27.4" spans="1:26">
      <c r="A27" s="48"/>
      <c r="B27" s="48"/>
      <c r="C27" s="48"/>
      <c r="D27" s="48"/>
      <c r="E27" s="49"/>
      <c r="F27" s="49"/>
      <c r="G27" s="72" t="s">
        <v>61</v>
      </c>
      <c r="H27" s="69" t="s">
        <v>62</v>
      </c>
      <c r="I27" s="479">
        <v>12303071.5</v>
      </c>
      <c r="J27" s="117">
        <v>1594936.5</v>
      </c>
      <c r="K27" s="94">
        <f>I27+J27</f>
        <v>13898008</v>
      </c>
      <c r="L27" s="94"/>
      <c r="M27" s="94"/>
      <c r="N27" s="94"/>
      <c r="O27" s="94">
        <v>277960.16</v>
      </c>
      <c r="P27" s="94"/>
      <c r="Q27" s="94"/>
      <c r="R27" s="94">
        <f>K27-L27-M27-N27-O27+Q27</f>
        <v>13620047.84</v>
      </c>
      <c r="S27" s="133"/>
      <c r="T27" s="134">
        <v>13620047.84</v>
      </c>
      <c r="U27" s="133"/>
      <c r="V27" s="133">
        <f t="shared" si="2"/>
        <v>0</v>
      </c>
      <c r="W27" s="49"/>
      <c r="X27" s="49"/>
      <c r="Y27" s="145"/>
      <c r="Z27" s="145"/>
    </row>
    <row r="28" s="1" customFormat="1" ht="37" customHeight="1" spans="1:26">
      <c r="A28" s="48"/>
      <c r="B28" s="48"/>
      <c r="C28" s="48"/>
      <c r="D28" s="48"/>
      <c r="E28" s="49"/>
      <c r="F28" s="49"/>
      <c r="G28" s="73" t="s">
        <v>63</v>
      </c>
      <c r="H28" s="73" t="s">
        <v>64</v>
      </c>
      <c r="I28" s="478">
        <v>2877914.34</v>
      </c>
      <c r="J28" s="95">
        <v>172674.86</v>
      </c>
      <c r="K28" s="95">
        <f>I28+J28</f>
        <v>3050589.2</v>
      </c>
      <c r="L28" s="112"/>
      <c r="M28" s="112"/>
      <c r="N28" s="112"/>
      <c r="O28" s="112">
        <v>335960.16</v>
      </c>
      <c r="P28" s="112"/>
      <c r="Q28" s="112">
        <v>0</v>
      </c>
      <c r="R28" s="112">
        <f>K28-L28-M28-N28-O28+Q28+K29-600000</f>
        <v>15862047.84</v>
      </c>
      <c r="S28" s="112">
        <v>600000</v>
      </c>
      <c r="T28" s="112">
        <v>15862047.84</v>
      </c>
      <c r="U28" s="401">
        <v>600000</v>
      </c>
      <c r="V28" s="401">
        <f t="shared" si="2"/>
        <v>0</v>
      </c>
      <c r="W28" s="49"/>
      <c r="X28" s="49"/>
      <c r="Y28" s="174">
        <v>16798008</v>
      </c>
      <c r="Z28" s="174">
        <v>16462047.84</v>
      </c>
    </row>
    <row r="29" s="1" customFormat="1" ht="37" customHeight="1" spans="1:26">
      <c r="A29" s="48"/>
      <c r="B29" s="48"/>
      <c r="C29" s="48"/>
      <c r="D29" s="48"/>
      <c r="E29" s="49"/>
      <c r="F29" s="49"/>
      <c r="G29" s="73"/>
      <c r="H29" s="73"/>
      <c r="I29" s="478">
        <v>12612310.83</v>
      </c>
      <c r="J29" s="95">
        <v>1135107.97</v>
      </c>
      <c r="K29" s="95">
        <f>I29+J29</f>
        <v>13747418.8</v>
      </c>
      <c r="L29" s="113"/>
      <c r="M29" s="113"/>
      <c r="N29" s="113"/>
      <c r="O29" s="113"/>
      <c r="P29" s="113"/>
      <c r="Q29" s="113"/>
      <c r="R29" s="113"/>
      <c r="S29" s="113"/>
      <c r="T29" s="113"/>
      <c r="U29" s="402"/>
      <c r="V29" s="402">
        <f t="shared" si="2"/>
        <v>0</v>
      </c>
      <c r="W29" s="49"/>
      <c r="X29" s="49"/>
      <c r="Y29" s="174"/>
      <c r="Z29" s="174"/>
    </row>
    <row r="30" s="1" customFormat="1" ht="30" customHeight="1" spans="1:26">
      <c r="A30" s="48"/>
      <c r="B30" s="48"/>
      <c r="C30" s="48"/>
      <c r="D30" s="48"/>
      <c r="E30" s="49"/>
      <c r="F30" s="49"/>
      <c r="G30" s="74" t="s">
        <v>65</v>
      </c>
      <c r="H30" s="74" t="s">
        <v>66</v>
      </c>
      <c r="I30" s="478">
        <v>9272888.15</v>
      </c>
      <c r="J30" s="99"/>
      <c r="K30" s="94">
        <f>I30+J30</f>
        <v>9272888.15</v>
      </c>
      <c r="L30" s="94">
        <v>0</v>
      </c>
      <c r="M30" s="94">
        <v>0</v>
      </c>
      <c r="N30" s="94">
        <v>0</v>
      </c>
      <c r="O30" s="94">
        <v>0</v>
      </c>
      <c r="P30" s="94"/>
      <c r="Q30" s="94">
        <v>0</v>
      </c>
      <c r="R30" s="94">
        <f>K30-L30-M30-N30-O30+Q30</f>
        <v>9272888.15</v>
      </c>
      <c r="S30" s="94"/>
      <c r="T30" s="94"/>
      <c r="U30" s="94"/>
      <c r="V30" s="94">
        <f t="shared" si="2"/>
        <v>9272888.15</v>
      </c>
      <c r="W30" s="49"/>
      <c r="X30" s="49"/>
      <c r="Y30" s="314"/>
      <c r="Z30" s="145"/>
    </row>
    <row r="31" s="1" customFormat="1" ht="29" customHeight="1" spans="1:26">
      <c r="A31" s="153"/>
      <c r="B31" s="153"/>
      <c r="C31" s="153"/>
      <c r="D31" s="153"/>
      <c r="E31" s="81"/>
      <c r="F31" s="81"/>
      <c r="G31" s="154" t="s">
        <v>46</v>
      </c>
      <c r="H31" s="155"/>
      <c r="I31" s="108">
        <f>SUM(I23:I30)</f>
        <v>43163426</v>
      </c>
      <c r="J31" s="108">
        <f>SUM(J23:J30)</f>
        <v>3524681.35</v>
      </c>
      <c r="K31" s="111">
        <f>SUM(K23:K30)</f>
        <v>46688107.35</v>
      </c>
      <c r="L31" s="111">
        <f>SUM(L23:L30)</f>
        <v>0</v>
      </c>
      <c r="M31" s="111">
        <f t="shared" ref="M31:V31" si="4">SUM(M23:M30)</f>
        <v>0</v>
      </c>
      <c r="N31" s="111">
        <f t="shared" si="4"/>
        <v>0</v>
      </c>
      <c r="O31" s="111">
        <f t="shared" si="4"/>
        <v>613920.32</v>
      </c>
      <c r="P31" s="111">
        <f t="shared" si="4"/>
        <v>0</v>
      </c>
      <c r="Q31" s="111">
        <f t="shared" si="4"/>
        <v>0</v>
      </c>
      <c r="R31" s="111">
        <f t="shared" si="4"/>
        <v>45474187.03</v>
      </c>
      <c r="S31" s="111">
        <f t="shared" si="4"/>
        <v>600000</v>
      </c>
      <c r="T31" s="111">
        <f t="shared" si="4"/>
        <v>36066914.82</v>
      </c>
      <c r="U31" s="111">
        <f t="shared" si="4"/>
        <v>600000</v>
      </c>
      <c r="V31" s="111">
        <f t="shared" si="4"/>
        <v>9407272.21</v>
      </c>
      <c r="W31" s="81"/>
      <c r="X31" s="81"/>
      <c r="Y31" s="188">
        <f>SUM(Y23:Y30)</f>
        <v>16798008</v>
      </c>
      <c r="Z31" s="188">
        <f>SUM(Z23:Z30)</f>
        <v>16462047.84</v>
      </c>
    </row>
    <row r="32" s="1" customFormat="1" ht="39" customHeight="1" spans="1:26">
      <c r="A32" s="43">
        <v>4</v>
      </c>
      <c r="B32" s="44" t="s">
        <v>67</v>
      </c>
      <c r="C32" s="43" t="s">
        <v>68</v>
      </c>
      <c r="D32" s="65" t="s">
        <v>69</v>
      </c>
      <c r="E32" s="45">
        <v>31370181</v>
      </c>
      <c r="F32" s="45"/>
      <c r="G32" s="66" t="s">
        <v>70</v>
      </c>
      <c r="H32" s="66" t="s">
        <v>71</v>
      </c>
      <c r="I32" s="94"/>
      <c r="J32" s="94"/>
      <c r="K32" s="94">
        <f>I32+J32</f>
        <v>0</v>
      </c>
      <c r="L32" s="94"/>
      <c r="M32" s="94"/>
      <c r="N32" s="94"/>
      <c r="O32" s="94"/>
      <c r="P32" s="94"/>
      <c r="Q32" s="94">
        <v>3137018.1</v>
      </c>
      <c r="R32" s="94">
        <f t="shared" ref="R32:R37" si="5">K32-L32-M32-N32-O32+Q32</f>
        <v>3137018.1</v>
      </c>
      <c r="S32" s="94"/>
      <c r="T32" s="94">
        <v>3137018.1</v>
      </c>
      <c r="U32" s="94"/>
      <c r="V32" s="133">
        <f t="shared" ref="V32:V34" si="6">R32+S32-T32-U32</f>
        <v>0</v>
      </c>
      <c r="W32" s="45">
        <f>K35+F32</f>
        <v>29278835.6</v>
      </c>
      <c r="X32" s="45">
        <f>T35</f>
        <v>25096144.8</v>
      </c>
      <c r="Y32" s="145"/>
      <c r="Z32" s="145">
        <v>0</v>
      </c>
    </row>
    <row r="33" s="1" customFormat="1" ht="51" customHeight="1" spans="1:26">
      <c r="A33" s="48"/>
      <c r="B33" s="48"/>
      <c r="C33" s="48"/>
      <c r="D33" s="441"/>
      <c r="E33" s="49"/>
      <c r="F33" s="49"/>
      <c r="G33" s="66" t="s">
        <v>72</v>
      </c>
      <c r="H33" s="78" t="s">
        <v>73</v>
      </c>
      <c r="I33" s="480">
        <v>16656733.21</v>
      </c>
      <c r="J33" s="95">
        <v>2165375.39</v>
      </c>
      <c r="K33" s="95">
        <f>I33+J33</f>
        <v>18822108.6</v>
      </c>
      <c r="L33" s="95"/>
      <c r="M33" s="95"/>
      <c r="N33" s="95"/>
      <c r="O33" s="95"/>
      <c r="P33" s="95"/>
      <c r="Q33" s="95">
        <v>-3137018.1</v>
      </c>
      <c r="R33" s="95">
        <f t="shared" si="5"/>
        <v>15685090.5</v>
      </c>
      <c r="S33" s="95"/>
      <c r="T33" s="95">
        <v>15685090.5</v>
      </c>
      <c r="U33" s="405"/>
      <c r="V33" s="133">
        <f t="shared" si="6"/>
        <v>0</v>
      </c>
      <c r="W33" s="49"/>
      <c r="X33" s="49"/>
      <c r="Y33" s="145"/>
      <c r="Z33" s="145"/>
    </row>
    <row r="34" s="1" customFormat="1" ht="42" customHeight="1" spans="1:26">
      <c r="A34" s="48"/>
      <c r="B34" s="48"/>
      <c r="C34" s="48"/>
      <c r="D34" s="441"/>
      <c r="E34" s="49"/>
      <c r="F34" s="49"/>
      <c r="G34" s="50" t="s">
        <v>74</v>
      </c>
      <c r="H34" s="66" t="s">
        <v>75</v>
      </c>
      <c r="I34" s="405">
        <v>9253740.7</v>
      </c>
      <c r="J34" s="94">
        <f>K34-I34</f>
        <v>1202986.3</v>
      </c>
      <c r="K34" s="94">
        <v>10456727</v>
      </c>
      <c r="L34" s="94">
        <v>0</v>
      </c>
      <c r="M34" s="94">
        <v>0</v>
      </c>
      <c r="N34" s="94">
        <v>0</v>
      </c>
      <c r="O34" s="94">
        <v>0</v>
      </c>
      <c r="P34" s="94"/>
      <c r="Q34" s="94">
        <v>0</v>
      </c>
      <c r="R34" s="94">
        <f t="shared" si="5"/>
        <v>10456727</v>
      </c>
      <c r="S34" s="94">
        <v>0</v>
      </c>
      <c r="T34" s="94">
        <v>6274036.2</v>
      </c>
      <c r="U34" s="94"/>
      <c r="V34" s="133">
        <f t="shared" si="6"/>
        <v>4182690.8</v>
      </c>
      <c r="W34" s="49"/>
      <c r="X34" s="49"/>
      <c r="Y34" s="174">
        <f>K34</f>
        <v>10456727</v>
      </c>
      <c r="Z34" s="174">
        <v>6274036.2</v>
      </c>
    </row>
    <row r="35" s="1" customFormat="1" ht="26" customHeight="1" spans="1:26">
      <c r="A35" s="153"/>
      <c r="B35" s="153"/>
      <c r="C35" s="153"/>
      <c r="D35" s="442"/>
      <c r="E35" s="81"/>
      <c r="F35" s="81"/>
      <c r="G35" s="154" t="s">
        <v>46</v>
      </c>
      <c r="H35" s="155"/>
      <c r="I35" s="108">
        <f>SUM(I32:I34)</f>
        <v>25910473.91</v>
      </c>
      <c r="J35" s="108">
        <f>SUM(J32:J34)</f>
        <v>3368361.69</v>
      </c>
      <c r="K35" s="111">
        <f>I35+J35</f>
        <v>29278835.6</v>
      </c>
      <c r="L35" s="111"/>
      <c r="M35" s="111"/>
      <c r="N35" s="111"/>
      <c r="O35" s="111"/>
      <c r="P35" s="111"/>
      <c r="Q35" s="111">
        <f>SUM(Q32:Q34)</f>
        <v>0</v>
      </c>
      <c r="R35" s="147">
        <f t="shared" si="5"/>
        <v>29278835.6</v>
      </c>
      <c r="S35" s="147"/>
      <c r="T35" s="111">
        <f>SUM(T32:T34)</f>
        <v>25096144.8</v>
      </c>
      <c r="U35" s="111">
        <f>SUM(U32:U34)</f>
        <v>0</v>
      </c>
      <c r="V35" s="111">
        <f>SUM(V32:V34)</f>
        <v>4182690.8</v>
      </c>
      <c r="W35" s="81"/>
      <c r="X35" s="81"/>
      <c r="Y35" s="188">
        <f>SUM(Y32:Y34)</f>
        <v>10456727</v>
      </c>
      <c r="Z35" s="188">
        <f>SUM(Z32:Z34)</f>
        <v>6274036.2</v>
      </c>
    </row>
    <row r="36" s="1" customFormat="1" ht="38" customHeight="1" spans="1:26">
      <c r="A36" s="43">
        <v>5</v>
      </c>
      <c r="B36" s="44" t="s">
        <v>76</v>
      </c>
      <c r="C36" s="43" t="s">
        <v>77</v>
      </c>
      <c r="D36" s="44" t="s">
        <v>78</v>
      </c>
      <c r="E36" s="46">
        <v>98880000</v>
      </c>
      <c r="F36" s="46"/>
      <c r="G36" s="82" t="s">
        <v>79</v>
      </c>
      <c r="H36" s="82" t="s">
        <v>80</v>
      </c>
      <c r="I36" s="94"/>
      <c r="J36" s="94"/>
      <c r="K36" s="94">
        <f>I36+J36</f>
        <v>0</v>
      </c>
      <c r="L36" s="94"/>
      <c r="M36" s="94"/>
      <c r="N36" s="94"/>
      <c r="O36" s="94"/>
      <c r="P36" s="94"/>
      <c r="Q36" s="94">
        <v>9888000</v>
      </c>
      <c r="R36" s="94">
        <f t="shared" si="5"/>
        <v>9888000</v>
      </c>
      <c r="S36" s="94"/>
      <c r="T36" s="94">
        <v>9888000</v>
      </c>
      <c r="U36" s="94"/>
      <c r="V36" s="94">
        <f t="shared" ref="V36:V41" si="7">R36+S36-T36-U36</f>
        <v>0</v>
      </c>
      <c r="W36" s="45">
        <f>K40+F36</f>
        <v>79104000</v>
      </c>
      <c r="X36" s="45">
        <f>T40+F36</f>
        <v>79104000</v>
      </c>
      <c r="Y36" s="145"/>
      <c r="Z36" s="145">
        <v>0</v>
      </c>
    </row>
    <row r="37" s="1" customFormat="1" ht="47" customHeight="1" spans="1:26">
      <c r="A37" s="48"/>
      <c r="B37" s="48"/>
      <c r="C37" s="48"/>
      <c r="D37" s="48"/>
      <c r="E37" s="46"/>
      <c r="F37" s="46"/>
      <c r="G37" s="50" t="s">
        <v>81</v>
      </c>
      <c r="H37" s="83" t="s">
        <v>82</v>
      </c>
      <c r="I37" s="401">
        <f>K37-J37</f>
        <v>70003539.82</v>
      </c>
      <c r="J37" s="112">
        <v>9100460.18</v>
      </c>
      <c r="K37" s="112">
        <v>79104000</v>
      </c>
      <c r="L37" s="112"/>
      <c r="M37" s="112"/>
      <c r="N37" s="112"/>
      <c r="O37" s="112"/>
      <c r="P37" s="112"/>
      <c r="Q37" s="112">
        <v>-9888000</v>
      </c>
      <c r="R37" s="112">
        <f t="shared" si="5"/>
        <v>69216000</v>
      </c>
      <c r="S37" s="45"/>
      <c r="T37" s="148">
        <v>29664000</v>
      </c>
      <c r="U37" s="45"/>
      <c r="V37" s="45">
        <f>R37+S37-T37-T39</f>
        <v>0</v>
      </c>
      <c r="W37" s="49"/>
      <c r="X37" s="49"/>
      <c r="Y37" s="145">
        <v>79104000</v>
      </c>
      <c r="Z37" s="145">
        <v>69216000</v>
      </c>
    </row>
    <row r="38" s="1" customFormat="1" ht="47" customHeight="1" spans="1:26">
      <c r="A38" s="48"/>
      <c r="B38" s="48"/>
      <c r="C38" s="48"/>
      <c r="D38" s="48"/>
      <c r="E38" s="46"/>
      <c r="F38" s="46"/>
      <c r="G38" s="50" t="s">
        <v>83</v>
      </c>
      <c r="H38" s="83" t="s">
        <v>84</v>
      </c>
      <c r="I38" s="402"/>
      <c r="J38" s="113"/>
      <c r="K38" s="113"/>
      <c r="L38" s="113"/>
      <c r="M38" s="113"/>
      <c r="N38" s="113"/>
      <c r="O38" s="113"/>
      <c r="P38" s="113"/>
      <c r="Q38" s="113"/>
      <c r="R38" s="113"/>
      <c r="S38" s="49"/>
      <c r="T38" s="149"/>
      <c r="U38" s="49"/>
      <c r="V38" s="49">
        <f t="shared" si="7"/>
        <v>0</v>
      </c>
      <c r="W38" s="49"/>
      <c r="X38" s="49"/>
      <c r="Y38" s="145"/>
      <c r="Z38" s="145"/>
    </row>
    <row r="39" s="1" customFormat="1" ht="47" customHeight="1" spans="1:26">
      <c r="A39" s="48"/>
      <c r="B39" s="48"/>
      <c r="C39" s="48"/>
      <c r="D39" s="48"/>
      <c r="E39" s="46"/>
      <c r="F39" s="46"/>
      <c r="G39" s="50" t="s">
        <v>85</v>
      </c>
      <c r="H39" s="83" t="s">
        <v>86</v>
      </c>
      <c r="I39" s="416"/>
      <c r="J39" s="114"/>
      <c r="K39" s="114"/>
      <c r="L39" s="114"/>
      <c r="M39" s="114"/>
      <c r="N39" s="114"/>
      <c r="O39" s="114"/>
      <c r="P39" s="114"/>
      <c r="Q39" s="114"/>
      <c r="R39" s="114"/>
      <c r="S39" s="81"/>
      <c r="T39" s="149">
        <v>39552000</v>
      </c>
      <c r="U39" s="81"/>
      <c r="V39" s="81"/>
      <c r="W39" s="49"/>
      <c r="X39" s="49"/>
      <c r="Y39" s="145"/>
      <c r="Z39" s="145"/>
    </row>
    <row r="40" s="1" customFormat="1" ht="39" customHeight="1" spans="1:26">
      <c r="A40" s="153"/>
      <c r="B40" s="153"/>
      <c r="C40" s="153"/>
      <c r="D40" s="153"/>
      <c r="E40" s="46"/>
      <c r="F40" s="46"/>
      <c r="G40" s="86" t="s">
        <v>46</v>
      </c>
      <c r="H40" s="87"/>
      <c r="I40" s="108">
        <f>SUM(I36:I39)</f>
        <v>70003539.82</v>
      </c>
      <c r="J40" s="108">
        <f t="shared" ref="J40:T40" si="8">SUM(J36:J39)</f>
        <v>9100460.18</v>
      </c>
      <c r="K40" s="108">
        <f t="shared" si="8"/>
        <v>79104000</v>
      </c>
      <c r="L40" s="108">
        <f t="shared" si="8"/>
        <v>0</v>
      </c>
      <c r="M40" s="108">
        <f t="shared" si="8"/>
        <v>0</v>
      </c>
      <c r="N40" s="108">
        <f t="shared" si="8"/>
        <v>0</v>
      </c>
      <c r="O40" s="108">
        <f t="shared" si="8"/>
        <v>0</v>
      </c>
      <c r="P40" s="108">
        <f t="shared" si="8"/>
        <v>0</v>
      </c>
      <c r="Q40" s="108">
        <f t="shared" si="8"/>
        <v>0</v>
      </c>
      <c r="R40" s="108">
        <f t="shared" si="8"/>
        <v>79104000</v>
      </c>
      <c r="S40" s="108">
        <f t="shared" si="8"/>
        <v>0</v>
      </c>
      <c r="T40" s="108">
        <f t="shared" si="8"/>
        <v>79104000</v>
      </c>
      <c r="U40" s="108"/>
      <c r="V40" s="108">
        <f t="shared" si="7"/>
        <v>0</v>
      </c>
      <c r="W40" s="81"/>
      <c r="X40" s="81"/>
      <c r="Y40" s="188">
        <f>SUM(Y36:Y37)</f>
        <v>79104000</v>
      </c>
      <c r="Z40" s="188">
        <f>SUM(Z36:Z37)</f>
        <v>69216000</v>
      </c>
    </row>
    <row r="41" s="1" customFormat="1" ht="39" customHeight="1" spans="1:26">
      <c r="A41" s="43">
        <v>6</v>
      </c>
      <c r="B41" s="44" t="s">
        <v>87</v>
      </c>
      <c r="C41" s="43" t="s">
        <v>88</v>
      </c>
      <c r="D41" s="44" t="s">
        <v>35</v>
      </c>
      <c r="E41" s="45">
        <v>950000</v>
      </c>
      <c r="F41" s="46">
        <v>285000</v>
      </c>
      <c r="G41" s="152" t="s">
        <v>89</v>
      </c>
      <c r="H41" s="66" t="s">
        <v>90</v>
      </c>
      <c r="I41" s="405">
        <v>627358.49</v>
      </c>
      <c r="J41" s="94">
        <v>37641.51</v>
      </c>
      <c r="K41" s="94">
        <f>I41+J41</f>
        <v>665000</v>
      </c>
      <c r="L41" s="94"/>
      <c r="M41" s="94"/>
      <c r="N41" s="94"/>
      <c r="O41" s="94"/>
      <c r="P41" s="94"/>
      <c r="Q41" s="94"/>
      <c r="R41" s="94">
        <f t="shared" ref="R40:R59" si="9">K41-L41-M41-N41-O41+Q41</f>
        <v>665000</v>
      </c>
      <c r="S41" s="94"/>
      <c r="T41" s="94">
        <v>665000</v>
      </c>
      <c r="U41" s="94"/>
      <c r="V41" s="94">
        <f t="shared" si="7"/>
        <v>0</v>
      </c>
      <c r="W41" s="45">
        <f>K42+F41</f>
        <v>950000</v>
      </c>
      <c r="X41" s="45">
        <f>T42+F41</f>
        <v>950000</v>
      </c>
      <c r="Y41" s="145"/>
      <c r="Z41" s="145"/>
    </row>
    <row r="42" s="1" customFormat="1" ht="20" customHeight="1" spans="1:26">
      <c r="A42" s="153"/>
      <c r="B42" s="153"/>
      <c r="C42" s="153"/>
      <c r="D42" s="153"/>
      <c r="E42" s="81"/>
      <c r="F42" s="46"/>
      <c r="G42" s="154" t="s">
        <v>46</v>
      </c>
      <c r="H42" s="155"/>
      <c r="I42" s="108">
        <f>SUM(I41)</f>
        <v>627358.49</v>
      </c>
      <c r="J42" s="111">
        <f>SUM(J41)</f>
        <v>37641.51</v>
      </c>
      <c r="K42" s="111">
        <f>SUM(K41)</f>
        <v>665000</v>
      </c>
      <c r="L42" s="111"/>
      <c r="M42" s="111"/>
      <c r="N42" s="111"/>
      <c r="O42" s="111"/>
      <c r="P42" s="111"/>
      <c r="Q42" s="111">
        <f>SUM(Q41)</f>
        <v>0</v>
      </c>
      <c r="R42" s="147">
        <f t="shared" si="9"/>
        <v>665000</v>
      </c>
      <c r="S42" s="147"/>
      <c r="T42" s="111">
        <f>SUM(T41)</f>
        <v>665000</v>
      </c>
      <c r="U42" s="111">
        <f>SUM(U41)</f>
        <v>0</v>
      </c>
      <c r="V42" s="111">
        <f>SUM(V41)</f>
        <v>0</v>
      </c>
      <c r="W42" s="81"/>
      <c r="X42" s="81"/>
      <c r="Y42" s="188">
        <f>SUM(Y41)</f>
        <v>0</v>
      </c>
      <c r="Z42" s="188">
        <f>SUM(Z41)</f>
        <v>0</v>
      </c>
    </row>
    <row r="43" s="1" customFormat="1" ht="84" customHeight="1" spans="1:26">
      <c r="A43" s="156">
        <v>7</v>
      </c>
      <c r="B43" s="157" t="s">
        <v>91</v>
      </c>
      <c r="C43" s="158" t="s">
        <v>92</v>
      </c>
      <c r="D43" s="157" t="s">
        <v>93</v>
      </c>
      <c r="E43" s="145">
        <v>299000</v>
      </c>
      <c r="F43" s="145">
        <v>89700</v>
      </c>
      <c r="G43" s="66" t="s">
        <v>94</v>
      </c>
      <c r="H43" s="66" t="s">
        <v>95</v>
      </c>
      <c r="I43" s="405">
        <v>197452.83</v>
      </c>
      <c r="J43" s="94">
        <v>11847.17</v>
      </c>
      <c r="K43" s="94">
        <f t="shared" ref="K43:K53" si="10">I43+J43</f>
        <v>209300</v>
      </c>
      <c r="L43" s="94"/>
      <c r="M43" s="94"/>
      <c r="N43" s="94"/>
      <c r="O43" s="94"/>
      <c r="P43" s="94"/>
      <c r="Q43" s="94"/>
      <c r="R43" s="94">
        <f t="shared" si="9"/>
        <v>209300</v>
      </c>
      <c r="S43" s="94"/>
      <c r="T43" s="94">
        <v>209300</v>
      </c>
      <c r="U43" s="94"/>
      <c r="V43" s="94">
        <f>R43+S43-T43-U43</f>
        <v>0</v>
      </c>
      <c r="W43" s="145">
        <f t="shared" ref="W43:W51" si="11">K43+F43</f>
        <v>299000</v>
      </c>
      <c r="X43" s="145">
        <f t="shared" ref="X43:X51" si="12">T43+F43</f>
        <v>299000</v>
      </c>
      <c r="Y43" s="145"/>
      <c r="Z43" s="145"/>
    </row>
    <row r="44" s="1" customFormat="1" ht="36" customHeight="1" spans="1:26">
      <c r="A44" s="156">
        <v>8</v>
      </c>
      <c r="B44" s="157" t="s">
        <v>96</v>
      </c>
      <c r="C44" s="158" t="s">
        <v>97</v>
      </c>
      <c r="D44" s="157" t="s">
        <v>98</v>
      </c>
      <c r="E44" s="145">
        <v>75800</v>
      </c>
      <c r="F44" s="145">
        <v>37900</v>
      </c>
      <c r="G44" s="66" t="s">
        <v>99</v>
      </c>
      <c r="H44" s="66" t="s">
        <v>100</v>
      </c>
      <c r="I44" s="405">
        <v>35754.72</v>
      </c>
      <c r="J44" s="94">
        <v>2145.28</v>
      </c>
      <c r="K44" s="94">
        <f t="shared" si="10"/>
        <v>37900</v>
      </c>
      <c r="L44" s="94"/>
      <c r="M44" s="94"/>
      <c r="N44" s="94"/>
      <c r="O44" s="94"/>
      <c r="P44" s="94"/>
      <c r="Q44" s="94"/>
      <c r="R44" s="94">
        <f t="shared" si="9"/>
        <v>37900</v>
      </c>
      <c r="S44" s="94"/>
      <c r="T44" s="94">
        <f t="shared" ref="T44:T50" si="13">K44+Q44</f>
        <v>37900</v>
      </c>
      <c r="U44" s="94"/>
      <c r="V44" s="94">
        <f t="shared" ref="V44:V75" si="14">R44+S44-T44-U44</f>
        <v>0</v>
      </c>
      <c r="W44" s="145">
        <f t="shared" si="11"/>
        <v>75800</v>
      </c>
      <c r="X44" s="145">
        <f t="shared" si="12"/>
        <v>75800</v>
      </c>
      <c r="Y44" s="145"/>
      <c r="Z44" s="145"/>
    </row>
    <row r="45" s="1" customFormat="1" ht="45" customHeight="1" spans="1:26">
      <c r="A45" s="156">
        <v>9</v>
      </c>
      <c r="B45" s="157" t="s">
        <v>101</v>
      </c>
      <c r="C45" s="158" t="s">
        <v>102</v>
      </c>
      <c r="D45" s="157" t="s">
        <v>103</v>
      </c>
      <c r="E45" s="145">
        <v>139000</v>
      </c>
      <c r="F45" s="145">
        <v>0</v>
      </c>
      <c r="G45" s="66" t="s">
        <v>104</v>
      </c>
      <c r="H45" s="66" t="s">
        <v>105</v>
      </c>
      <c r="I45" s="405">
        <v>131132.08</v>
      </c>
      <c r="J45" s="94">
        <v>7867.92000000001</v>
      </c>
      <c r="K45" s="94">
        <f t="shared" si="10"/>
        <v>139000</v>
      </c>
      <c r="L45" s="94"/>
      <c r="M45" s="94"/>
      <c r="N45" s="94"/>
      <c r="O45" s="94"/>
      <c r="P45" s="94"/>
      <c r="Q45" s="94"/>
      <c r="R45" s="94">
        <f t="shared" si="9"/>
        <v>139000</v>
      </c>
      <c r="S45" s="94"/>
      <c r="T45" s="94">
        <f t="shared" si="13"/>
        <v>139000</v>
      </c>
      <c r="U45" s="94"/>
      <c r="V45" s="94">
        <f t="shared" si="14"/>
        <v>0</v>
      </c>
      <c r="W45" s="145">
        <f t="shared" si="11"/>
        <v>139000</v>
      </c>
      <c r="X45" s="145">
        <f t="shared" si="12"/>
        <v>139000</v>
      </c>
      <c r="Y45" s="145"/>
      <c r="Z45" s="145"/>
    </row>
    <row r="46" s="1" customFormat="1" ht="36" customHeight="1" spans="1:26">
      <c r="A46" s="156">
        <v>10</v>
      </c>
      <c r="B46" s="157" t="s">
        <v>106</v>
      </c>
      <c r="C46" s="158" t="s">
        <v>107</v>
      </c>
      <c r="D46" s="157" t="s">
        <v>108</v>
      </c>
      <c r="E46" s="145">
        <v>147000</v>
      </c>
      <c r="F46" s="145">
        <v>58800</v>
      </c>
      <c r="G46" s="66" t="s">
        <v>109</v>
      </c>
      <c r="H46" s="66" t="s">
        <v>110</v>
      </c>
      <c r="I46" s="405">
        <v>83207.55</v>
      </c>
      <c r="J46" s="94">
        <v>4992.45</v>
      </c>
      <c r="K46" s="94">
        <f t="shared" si="10"/>
        <v>88200</v>
      </c>
      <c r="L46" s="94"/>
      <c r="M46" s="94"/>
      <c r="N46" s="94"/>
      <c r="O46" s="94"/>
      <c r="P46" s="94"/>
      <c r="Q46" s="94"/>
      <c r="R46" s="94">
        <f t="shared" si="9"/>
        <v>88200</v>
      </c>
      <c r="S46" s="94"/>
      <c r="T46" s="94">
        <f t="shared" si="13"/>
        <v>88200</v>
      </c>
      <c r="U46" s="94"/>
      <c r="V46" s="94">
        <f t="shared" si="14"/>
        <v>0</v>
      </c>
      <c r="W46" s="145">
        <f t="shared" si="11"/>
        <v>147000</v>
      </c>
      <c r="X46" s="145">
        <f t="shared" si="12"/>
        <v>147000</v>
      </c>
      <c r="Y46" s="145"/>
      <c r="Z46" s="145"/>
    </row>
    <row r="47" s="1" customFormat="1" ht="36" customHeight="1" spans="1:26">
      <c r="A47" s="156">
        <v>11</v>
      </c>
      <c r="B47" s="157" t="s">
        <v>111</v>
      </c>
      <c r="C47" s="158" t="s">
        <v>112</v>
      </c>
      <c r="D47" s="157" t="s">
        <v>113</v>
      </c>
      <c r="E47" s="145">
        <v>350000</v>
      </c>
      <c r="F47" s="145">
        <v>175000</v>
      </c>
      <c r="G47" s="66" t="s">
        <v>114</v>
      </c>
      <c r="H47" s="66" t="s">
        <v>115</v>
      </c>
      <c r="I47" s="405">
        <v>165094.34</v>
      </c>
      <c r="J47" s="94">
        <v>9905.66</v>
      </c>
      <c r="K47" s="94">
        <f t="shared" si="10"/>
        <v>175000</v>
      </c>
      <c r="L47" s="94"/>
      <c r="M47" s="94"/>
      <c r="N47" s="94"/>
      <c r="O47" s="94"/>
      <c r="P47" s="94"/>
      <c r="Q47" s="94"/>
      <c r="R47" s="94">
        <f t="shared" si="9"/>
        <v>175000</v>
      </c>
      <c r="S47" s="94"/>
      <c r="T47" s="94">
        <f t="shared" si="13"/>
        <v>175000</v>
      </c>
      <c r="U47" s="94"/>
      <c r="V47" s="94">
        <f t="shared" si="14"/>
        <v>0</v>
      </c>
      <c r="W47" s="145">
        <f t="shared" si="11"/>
        <v>350000</v>
      </c>
      <c r="X47" s="145">
        <f t="shared" si="12"/>
        <v>350000</v>
      </c>
      <c r="Y47" s="145"/>
      <c r="Z47" s="145"/>
    </row>
    <row r="48" s="1" customFormat="1" ht="71" customHeight="1" spans="1:26">
      <c r="A48" s="156">
        <v>12</v>
      </c>
      <c r="B48" s="157" t="s">
        <v>116</v>
      </c>
      <c r="C48" s="158" t="s">
        <v>117</v>
      </c>
      <c r="D48" s="157" t="s">
        <v>113</v>
      </c>
      <c r="E48" s="145">
        <v>372000</v>
      </c>
      <c r="F48" s="145"/>
      <c r="G48" s="66" t="s">
        <v>118</v>
      </c>
      <c r="H48" s="66" t="s">
        <v>119</v>
      </c>
      <c r="I48" s="405">
        <v>350943.4</v>
      </c>
      <c r="J48" s="94">
        <v>21056.6</v>
      </c>
      <c r="K48" s="94">
        <f t="shared" si="10"/>
        <v>372000</v>
      </c>
      <c r="L48" s="94"/>
      <c r="M48" s="94"/>
      <c r="N48" s="94"/>
      <c r="O48" s="94"/>
      <c r="P48" s="94"/>
      <c r="Q48" s="94"/>
      <c r="R48" s="94">
        <f t="shared" si="9"/>
        <v>372000</v>
      </c>
      <c r="S48" s="94"/>
      <c r="T48" s="94">
        <f t="shared" si="13"/>
        <v>372000</v>
      </c>
      <c r="U48" s="94"/>
      <c r="V48" s="94">
        <f t="shared" si="14"/>
        <v>0</v>
      </c>
      <c r="W48" s="145">
        <f t="shared" si="11"/>
        <v>372000</v>
      </c>
      <c r="X48" s="145">
        <f t="shared" si="12"/>
        <v>372000</v>
      </c>
      <c r="Y48" s="145"/>
      <c r="Z48" s="145">
        <v>0</v>
      </c>
    </row>
    <row r="49" s="1" customFormat="1" ht="59" customHeight="1" spans="1:26">
      <c r="A49" s="156">
        <v>13</v>
      </c>
      <c r="B49" s="157" t="s">
        <v>120</v>
      </c>
      <c r="C49" s="157" t="s">
        <v>121</v>
      </c>
      <c r="D49" s="157" t="s">
        <v>122</v>
      </c>
      <c r="E49" s="145">
        <v>472680</v>
      </c>
      <c r="F49" s="145"/>
      <c r="G49" s="66" t="s">
        <v>123</v>
      </c>
      <c r="H49" s="66" t="s">
        <v>124</v>
      </c>
      <c r="I49" s="405">
        <v>472680</v>
      </c>
      <c r="J49" s="94">
        <v>0</v>
      </c>
      <c r="K49" s="94">
        <f t="shared" si="10"/>
        <v>472680</v>
      </c>
      <c r="L49" s="94"/>
      <c r="M49" s="94"/>
      <c r="N49" s="94"/>
      <c r="O49" s="94"/>
      <c r="P49" s="94"/>
      <c r="Q49" s="94"/>
      <c r="R49" s="94">
        <f t="shared" si="9"/>
        <v>472680</v>
      </c>
      <c r="S49" s="94"/>
      <c r="T49" s="94">
        <f t="shared" si="13"/>
        <v>472680</v>
      </c>
      <c r="U49" s="94"/>
      <c r="V49" s="94">
        <f t="shared" si="14"/>
        <v>0</v>
      </c>
      <c r="W49" s="145">
        <f t="shared" si="11"/>
        <v>472680</v>
      </c>
      <c r="X49" s="145">
        <f t="shared" si="12"/>
        <v>472680</v>
      </c>
      <c r="Y49" s="145"/>
      <c r="Z49" s="145">
        <v>0</v>
      </c>
    </row>
    <row r="50" s="1" customFormat="1" ht="36" customHeight="1" spans="1:26">
      <c r="A50" s="43">
        <v>14</v>
      </c>
      <c r="B50" s="44" t="s">
        <v>125</v>
      </c>
      <c r="C50" s="43" t="s">
        <v>126</v>
      </c>
      <c r="D50" s="44" t="s">
        <v>127</v>
      </c>
      <c r="E50" s="43">
        <v>20718782.9686351</v>
      </c>
      <c r="F50" s="43"/>
      <c r="G50" s="160" t="s">
        <v>128</v>
      </c>
      <c r="H50" s="160" t="s">
        <v>129</v>
      </c>
      <c r="I50" s="405">
        <v>10000000</v>
      </c>
      <c r="J50" s="94">
        <v>0</v>
      </c>
      <c r="K50" s="94">
        <f t="shared" si="10"/>
        <v>10000000</v>
      </c>
      <c r="L50" s="94">
        <v>0</v>
      </c>
      <c r="M50" s="94">
        <v>0</v>
      </c>
      <c r="N50" s="94">
        <v>0</v>
      </c>
      <c r="O50" s="94">
        <v>0</v>
      </c>
      <c r="P50" s="94"/>
      <c r="Q50" s="94">
        <v>0</v>
      </c>
      <c r="R50" s="94">
        <f t="shared" si="9"/>
        <v>10000000</v>
      </c>
      <c r="S50" s="94"/>
      <c r="T50" s="94">
        <f t="shared" si="13"/>
        <v>10000000</v>
      </c>
      <c r="U50" s="94"/>
      <c r="V50" s="94">
        <f t="shared" si="14"/>
        <v>0</v>
      </c>
      <c r="W50" s="145">
        <f t="shared" si="11"/>
        <v>10000000</v>
      </c>
      <c r="X50" s="145">
        <f t="shared" si="12"/>
        <v>10000000</v>
      </c>
      <c r="Y50" s="145">
        <v>10000000</v>
      </c>
      <c r="Z50" s="145">
        <v>10000000</v>
      </c>
    </row>
    <row r="51" s="17" customFormat="1" ht="36" customHeight="1" spans="1:26">
      <c r="A51" s="153"/>
      <c r="B51" s="153"/>
      <c r="C51" s="153"/>
      <c r="D51" s="153"/>
      <c r="E51" s="153"/>
      <c r="F51" s="153"/>
      <c r="G51" s="160" t="s">
        <v>130</v>
      </c>
      <c r="H51" s="161" t="s">
        <v>131</v>
      </c>
      <c r="I51" s="405">
        <v>8350000</v>
      </c>
      <c r="J51" s="94">
        <v>0</v>
      </c>
      <c r="K51" s="94">
        <f t="shared" si="10"/>
        <v>8350000</v>
      </c>
      <c r="L51" s="94">
        <v>0</v>
      </c>
      <c r="M51" s="94">
        <v>0</v>
      </c>
      <c r="N51" s="94">
        <v>0</v>
      </c>
      <c r="O51" s="94">
        <v>0</v>
      </c>
      <c r="P51" s="94"/>
      <c r="Q51" s="94">
        <v>0</v>
      </c>
      <c r="R51" s="94">
        <f t="shared" si="9"/>
        <v>8350000</v>
      </c>
      <c r="S51" s="94"/>
      <c r="T51" s="94">
        <v>8350000</v>
      </c>
      <c r="U51" s="94"/>
      <c r="V51" s="94">
        <f t="shared" si="14"/>
        <v>0</v>
      </c>
      <c r="W51" s="145">
        <f t="shared" si="11"/>
        <v>8350000</v>
      </c>
      <c r="X51" s="145">
        <f t="shared" si="12"/>
        <v>8350000</v>
      </c>
      <c r="Y51" s="145"/>
      <c r="Z51" s="145"/>
    </row>
    <row r="52" s="1" customFormat="1" ht="97" customHeight="1" spans="1:26">
      <c r="A52" s="156">
        <v>15</v>
      </c>
      <c r="B52" s="157" t="s">
        <v>132</v>
      </c>
      <c r="C52" s="157" t="s">
        <v>133</v>
      </c>
      <c r="D52" s="157" t="s">
        <v>134</v>
      </c>
      <c r="E52" s="145">
        <v>125290</v>
      </c>
      <c r="F52" s="145"/>
      <c r="G52" s="66" t="s">
        <v>135</v>
      </c>
      <c r="H52" s="66" t="s">
        <v>136</v>
      </c>
      <c r="I52" s="405">
        <v>125290</v>
      </c>
      <c r="J52" s="94"/>
      <c r="K52" s="94">
        <f t="shared" si="10"/>
        <v>125290</v>
      </c>
      <c r="L52" s="94"/>
      <c r="M52" s="94"/>
      <c r="N52" s="94"/>
      <c r="O52" s="94"/>
      <c r="P52" s="94"/>
      <c r="Q52" s="94"/>
      <c r="R52" s="94">
        <f t="shared" si="9"/>
        <v>125290</v>
      </c>
      <c r="S52" s="94"/>
      <c r="T52" s="94">
        <f t="shared" ref="T52:T63" si="15">K52+Q52</f>
        <v>125290</v>
      </c>
      <c r="U52" s="94"/>
      <c r="V52" s="94">
        <f t="shared" si="14"/>
        <v>0</v>
      </c>
      <c r="W52" s="145">
        <f t="shared" ref="W52:W63" si="16">K52+F52</f>
        <v>125290</v>
      </c>
      <c r="X52" s="145">
        <f t="shared" ref="X52:X62" si="17">T52+F52</f>
        <v>125290</v>
      </c>
      <c r="Y52" s="145"/>
      <c r="Z52" s="145">
        <v>0</v>
      </c>
    </row>
    <row r="53" s="1" customFormat="1" ht="36" customHeight="1" spans="1:26">
      <c r="A53" s="156">
        <v>16</v>
      </c>
      <c r="B53" s="157" t="s">
        <v>137</v>
      </c>
      <c r="C53" s="158" t="s">
        <v>138</v>
      </c>
      <c r="D53" s="157" t="s">
        <v>139</v>
      </c>
      <c r="E53" s="145">
        <v>750000</v>
      </c>
      <c r="F53" s="145">
        <v>300000</v>
      </c>
      <c r="G53" s="66" t="s">
        <v>140</v>
      </c>
      <c r="H53" s="66" t="s">
        <v>141</v>
      </c>
      <c r="I53" s="405">
        <v>424528.3</v>
      </c>
      <c r="J53" s="94">
        <v>25471.7</v>
      </c>
      <c r="K53" s="94">
        <f t="shared" si="10"/>
        <v>450000</v>
      </c>
      <c r="L53" s="94"/>
      <c r="M53" s="94"/>
      <c r="N53" s="94"/>
      <c r="O53" s="94"/>
      <c r="P53" s="94"/>
      <c r="Q53" s="94"/>
      <c r="R53" s="94">
        <f t="shared" si="9"/>
        <v>450000</v>
      </c>
      <c r="S53" s="94"/>
      <c r="T53" s="94">
        <f t="shared" si="15"/>
        <v>450000</v>
      </c>
      <c r="U53" s="94"/>
      <c r="V53" s="94">
        <f t="shared" si="14"/>
        <v>0</v>
      </c>
      <c r="W53" s="145">
        <f t="shared" si="16"/>
        <v>750000</v>
      </c>
      <c r="X53" s="145">
        <f t="shared" si="17"/>
        <v>750000</v>
      </c>
      <c r="Y53" s="145"/>
      <c r="Z53" s="145"/>
    </row>
    <row r="54" s="17" customFormat="1" ht="36" customHeight="1" spans="1:26">
      <c r="A54" s="156">
        <v>17</v>
      </c>
      <c r="B54" s="157" t="s">
        <v>142</v>
      </c>
      <c r="C54" s="158" t="s">
        <v>143</v>
      </c>
      <c r="D54" s="157" t="s">
        <v>144</v>
      </c>
      <c r="E54" s="145">
        <v>95000</v>
      </c>
      <c r="F54" s="145"/>
      <c r="G54" s="74" t="s">
        <v>145</v>
      </c>
      <c r="H54" s="74" t="s">
        <v>146</v>
      </c>
      <c r="I54" s="405">
        <f>K54-J54</f>
        <v>89622.64</v>
      </c>
      <c r="J54" s="94">
        <v>5377.36</v>
      </c>
      <c r="K54" s="94">
        <v>95000</v>
      </c>
      <c r="L54" s="94">
        <v>0</v>
      </c>
      <c r="M54" s="94">
        <v>0</v>
      </c>
      <c r="N54" s="94">
        <v>0</v>
      </c>
      <c r="O54" s="94">
        <v>0</v>
      </c>
      <c r="P54" s="94"/>
      <c r="Q54" s="94">
        <v>0</v>
      </c>
      <c r="R54" s="94">
        <f t="shared" si="9"/>
        <v>95000</v>
      </c>
      <c r="S54" s="94"/>
      <c r="T54" s="94">
        <f t="shared" si="15"/>
        <v>95000</v>
      </c>
      <c r="U54" s="94"/>
      <c r="V54" s="94">
        <f t="shared" si="14"/>
        <v>0</v>
      </c>
      <c r="W54" s="145">
        <f t="shared" si="16"/>
        <v>95000</v>
      </c>
      <c r="X54" s="145">
        <f t="shared" si="17"/>
        <v>95000</v>
      </c>
      <c r="Y54" s="145">
        <v>95000</v>
      </c>
      <c r="Z54" s="145">
        <v>95000</v>
      </c>
    </row>
    <row r="55" s="17" customFormat="1" ht="36" customHeight="1" spans="1:26">
      <c r="A55" s="156">
        <v>18</v>
      </c>
      <c r="B55" s="157" t="s">
        <v>147</v>
      </c>
      <c r="C55" s="157" t="s">
        <v>148</v>
      </c>
      <c r="D55" s="157" t="s">
        <v>149</v>
      </c>
      <c r="E55" s="145">
        <v>680000</v>
      </c>
      <c r="F55" s="145"/>
      <c r="G55" s="50" t="s">
        <v>150</v>
      </c>
      <c r="H55" s="66" t="s">
        <v>151</v>
      </c>
      <c r="I55" s="405">
        <f>K55-J55</f>
        <v>641509.43</v>
      </c>
      <c r="J55" s="94">
        <v>38490.57</v>
      </c>
      <c r="K55" s="94">
        <v>680000</v>
      </c>
      <c r="L55" s="94">
        <v>0</v>
      </c>
      <c r="M55" s="94">
        <v>0</v>
      </c>
      <c r="N55" s="94">
        <v>0</v>
      </c>
      <c r="O55" s="94">
        <v>0</v>
      </c>
      <c r="P55" s="94"/>
      <c r="Q55" s="94">
        <v>0</v>
      </c>
      <c r="R55" s="94">
        <f t="shared" si="9"/>
        <v>680000</v>
      </c>
      <c r="S55" s="94"/>
      <c r="T55" s="94">
        <f t="shared" si="15"/>
        <v>680000</v>
      </c>
      <c r="U55" s="94"/>
      <c r="V55" s="94">
        <f t="shared" si="14"/>
        <v>0</v>
      </c>
      <c r="W55" s="145">
        <f t="shared" si="16"/>
        <v>680000</v>
      </c>
      <c r="X55" s="145">
        <f t="shared" si="17"/>
        <v>680000</v>
      </c>
      <c r="Y55" s="145">
        <v>680000</v>
      </c>
      <c r="Z55" s="145">
        <v>680000</v>
      </c>
    </row>
    <row r="56" s="1" customFormat="1" ht="46" customHeight="1" spans="1:26">
      <c r="A56" s="156">
        <v>19</v>
      </c>
      <c r="B56" s="157" t="s">
        <v>152</v>
      </c>
      <c r="C56" s="158" t="s">
        <v>153</v>
      </c>
      <c r="D56" s="165" t="s">
        <v>154</v>
      </c>
      <c r="E56" s="145">
        <v>150000</v>
      </c>
      <c r="F56" s="145"/>
      <c r="G56" s="66" t="s">
        <v>155</v>
      </c>
      <c r="H56" s="66" t="s">
        <v>156</v>
      </c>
      <c r="I56" s="405">
        <v>141509.43</v>
      </c>
      <c r="J56" s="94">
        <v>8490.57000000001</v>
      </c>
      <c r="K56" s="94">
        <f t="shared" ref="K56:K59" si="18">I56+J56</f>
        <v>150000</v>
      </c>
      <c r="L56" s="94"/>
      <c r="M56" s="94"/>
      <c r="N56" s="94"/>
      <c r="O56" s="94"/>
      <c r="P56" s="94"/>
      <c r="Q56" s="94"/>
      <c r="R56" s="94">
        <f t="shared" si="9"/>
        <v>150000</v>
      </c>
      <c r="S56" s="94"/>
      <c r="T56" s="94">
        <f t="shared" si="15"/>
        <v>150000</v>
      </c>
      <c r="U56" s="94"/>
      <c r="V56" s="94">
        <f t="shared" si="14"/>
        <v>0</v>
      </c>
      <c r="W56" s="145">
        <f t="shared" si="16"/>
        <v>150000</v>
      </c>
      <c r="X56" s="145">
        <f t="shared" si="17"/>
        <v>150000</v>
      </c>
      <c r="Y56" s="145"/>
      <c r="Z56" s="145">
        <v>0</v>
      </c>
    </row>
    <row r="57" s="1" customFormat="1" ht="69" customHeight="1" spans="1:26">
      <c r="A57" s="156">
        <v>20</v>
      </c>
      <c r="B57" s="157" t="s">
        <v>157</v>
      </c>
      <c r="C57" s="158" t="s">
        <v>158</v>
      </c>
      <c r="D57" s="157" t="s">
        <v>159</v>
      </c>
      <c r="E57" s="145">
        <v>238000</v>
      </c>
      <c r="F57" s="145"/>
      <c r="G57" s="66" t="s">
        <v>160</v>
      </c>
      <c r="H57" s="66" t="s">
        <v>161</v>
      </c>
      <c r="I57" s="405">
        <v>231067.96</v>
      </c>
      <c r="J57" s="94">
        <v>6932.04000000001</v>
      </c>
      <c r="K57" s="94">
        <f t="shared" si="18"/>
        <v>238000</v>
      </c>
      <c r="L57" s="94"/>
      <c r="M57" s="94"/>
      <c r="N57" s="94"/>
      <c r="O57" s="94"/>
      <c r="P57" s="94"/>
      <c r="Q57" s="94"/>
      <c r="R57" s="94">
        <f t="shared" si="9"/>
        <v>238000</v>
      </c>
      <c r="S57" s="94"/>
      <c r="T57" s="94">
        <f t="shared" si="15"/>
        <v>238000</v>
      </c>
      <c r="U57" s="94"/>
      <c r="V57" s="94">
        <f t="shared" si="14"/>
        <v>0</v>
      </c>
      <c r="W57" s="145">
        <f t="shared" si="16"/>
        <v>238000</v>
      </c>
      <c r="X57" s="145">
        <f t="shared" si="17"/>
        <v>238000</v>
      </c>
      <c r="Y57" s="145"/>
      <c r="Z57" s="145">
        <v>0</v>
      </c>
    </row>
    <row r="58" s="1" customFormat="1" ht="60" customHeight="1" spans="1:26">
      <c r="A58" s="156">
        <v>21</v>
      </c>
      <c r="B58" s="157" t="s">
        <v>162</v>
      </c>
      <c r="C58" s="158" t="s">
        <v>163</v>
      </c>
      <c r="D58" s="157" t="s">
        <v>159</v>
      </c>
      <c r="E58" s="145">
        <v>180000</v>
      </c>
      <c r="F58" s="145"/>
      <c r="G58" s="66" t="s">
        <v>164</v>
      </c>
      <c r="H58" s="66" t="s">
        <v>165</v>
      </c>
      <c r="I58" s="405">
        <v>174757.28</v>
      </c>
      <c r="J58" s="94">
        <v>5242.72</v>
      </c>
      <c r="K58" s="94">
        <f t="shared" si="18"/>
        <v>180000</v>
      </c>
      <c r="L58" s="94"/>
      <c r="M58" s="94"/>
      <c r="N58" s="94"/>
      <c r="O58" s="94"/>
      <c r="P58" s="94"/>
      <c r="Q58" s="94"/>
      <c r="R58" s="94">
        <f t="shared" si="9"/>
        <v>180000</v>
      </c>
      <c r="S58" s="94"/>
      <c r="T58" s="94">
        <f t="shared" si="15"/>
        <v>180000</v>
      </c>
      <c r="U58" s="94"/>
      <c r="V58" s="94">
        <f t="shared" si="14"/>
        <v>0</v>
      </c>
      <c r="W58" s="145">
        <f t="shared" si="16"/>
        <v>180000</v>
      </c>
      <c r="X58" s="145">
        <f t="shared" si="17"/>
        <v>180000</v>
      </c>
      <c r="Y58" s="145"/>
      <c r="Z58" s="145">
        <v>0</v>
      </c>
    </row>
    <row r="59" s="1" customFormat="1" ht="53" customHeight="1" spans="1:26">
      <c r="A59" s="156">
        <v>22</v>
      </c>
      <c r="B59" s="157" t="s">
        <v>166</v>
      </c>
      <c r="C59" s="496" t="s">
        <v>167</v>
      </c>
      <c r="D59" s="157" t="s">
        <v>168</v>
      </c>
      <c r="E59" s="145">
        <v>168838.18</v>
      </c>
      <c r="F59" s="145"/>
      <c r="G59" s="66" t="s">
        <v>169</v>
      </c>
      <c r="H59" s="66" t="s">
        <v>170</v>
      </c>
      <c r="I59" s="405">
        <v>159281.3</v>
      </c>
      <c r="J59" s="94">
        <v>9556.88</v>
      </c>
      <c r="K59" s="94">
        <f t="shared" si="18"/>
        <v>168838.18</v>
      </c>
      <c r="L59" s="94"/>
      <c r="M59" s="94"/>
      <c r="N59" s="94"/>
      <c r="O59" s="94"/>
      <c r="P59" s="94"/>
      <c r="Q59" s="94"/>
      <c r="R59" s="94">
        <f t="shared" si="9"/>
        <v>168838.18</v>
      </c>
      <c r="S59" s="94"/>
      <c r="T59" s="94">
        <f t="shared" si="15"/>
        <v>168838.18</v>
      </c>
      <c r="U59" s="94"/>
      <c r="V59" s="94">
        <f t="shared" si="14"/>
        <v>0</v>
      </c>
      <c r="W59" s="145">
        <f t="shared" si="16"/>
        <v>168838.18</v>
      </c>
      <c r="X59" s="145">
        <f t="shared" si="17"/>
        <v>168838.18</v>
      </c>
      <c r="Y59" s="145"/>
      <c r="Z59" s="145">
        <v>0</v>
      </c>
    </row>
    <row r="60" s="17" customFormat="1" ht="47" customHeight="1" spans="1:26">
      <c r="A60" s="156">
        <v>23</v>
      </c>
      <c r="B60" s="157" t="s">
        <v>171</v>
      </c>
      <c r="C60" s="158" t="s">
        <v>172</v>
      </c>
      <c r="D60" s="157" t="s">
        <v>173</v>
      </c>
      <c r="E60" s="145">
        <v>533200</v>
      </c>
      <c r="F60" s="145"/>
      <c r="G60" s="50" t="s">
        <v>174</v>
      </c>
      <c r="H60" s="66" t="s">
        <v>175</v>
      </c>
      <c r="I60" s="405">
        <v>471858.4</v>
      </c>
      <c r="J60" s="94">
        <f>K60-I60</f>
        <v>61341.6</v>
      </c>
      <c r="K60" s="94">
        <v>533200</v>
      </c>
      <c r="L60" s="94">
        <v>0</v>
      </c>
      <c r="M60" s="94">
        <v>0</v>
      </c>
      <c r="N60" s="94">
        <v>0</v>
      </c>
      <c r="O60" s="94">
        <v>0</v>
      </c>
      <c r="P60" s="94"/>
      <c r="Q60" s="94">
        <v>0</v>
      </c>
      <c r="R60" s="94">
        <f t="shared" ref="R60:R64" si="19">K60-L60-M60-N60-O60+Q60</f>
        <v>533200</v>
      </c>
      <c r="S60" s="94"/>
      <c r="T60" s="94">
        <f t="shared" si="15"/>
        <v>533200</v>
      </c>
      <c r="U60" s="94"/>
      <c r="V60" s="94">
        <f t="shared" si="14"/>
        <v>0</v>
      </c>
      <c r="W60" s="145">
        <f t="shared" si="16"/>
        <v>533200</v>
      </c>
      <c r="X60" s="145">
        <f t="shared" si="17"/>
        <v>533200</v>
      </c>
      <c r="Y60" s="145">
        <v>533200</v>
      </c>
      <c r="Z60" s="145">
        <v>533200</v>
      </c>
    </row>
    <row r="61" s="1" customFormat="1" ht="59" customHeight="1" spans="1:26">
      <c r="A61" s="156">
        <v>24</v>
      </c>
      <c r="B61" s="166" t="s">
        <v>176</v>
      </c>
      <c r="C61" s="167" t="s">
        <v>177</v>
      </c>
      <c r="D61" s="166" t="s">
        <v>178</v>
      </c>
      <c r="E61" s="145">
        <v>87000</v>
      </c>
      <c r="F61" s="145">
        <v>87000</v>
      </c>
      <c r="G61" s="145"/>
      <c r="H61" s="145"/>
      <c r="I61" s="94"/>
      <c r="J61" s="94"/>
      <c r="K61" s="94"/>
      <c r="L61" s="94"/>
      <c r="M61" s="94"/>
      <c r="N61" s="94"/>
      <c r="O61" s="94"/>
      <c r="P61" s="94"/>
      <c r="Q61" s="94"/>
      <c r="R61" s="94">
        <f t="shared" si="19"/>
        <v>0</v>
      </c>
      <c r="S61" s="94"/>
      <c r="T61" s="94">
        <f t="shared" si="15"/>
        <v>0</v>
      </c>
      <c r="U61" s="94"/>
      <c r="V61" s="94">
        <f t="shared" si="14"/>
        <v>0</v>
      </c>
      <c r="W61" s="145">
        <f t="shared" si="16"/>
        <v>87000</v>
      </c>
      <c r="X61" s="145">
        <f t="shared" si="17"/>
        <v>87000</v>
      </c>
      <c r="Y61" s="145">
        <v>0</v>
      </c>
      <c r="Z61" s="145">
        <v>0</v>
      </c>
    </row>
    <row r="62" s="1" customFormat="1" ht="59" customHeight="1" spans="1:26">
      <c r="A62" s="156">
        <v>25</v>
      </c>
      <c r="B62" s="166" t="s">
        <v>179</v>
      </c>
      <c r="C62" s="167"/>
      <c r="D62" s="168" t="s">
        <v>180</v>
      </c>
      <c r="E62" s="145">
        <v>79600</v>
      </c>
      <c r="F62" s="145"/>
      <c r="G62" s="161" t="s">
        <v>181</v>
      </c>
      <c r="H62" s="161" t="s">
        <v>182</v>
      </c>
      <c r="I62" s="405">
        <v>22528.3</v>
      </c>
      <c r="J62" s="94">
        <v>1351.7</v>
      </c>
      <c r="K62" s="94">
        <f>J62+I62</f>
        <v>23880</v>
      </c>
      <c r="L62" s="94">
        <v>0</v>
      </c>
      <c r="M62" s="94">
        <v>0</v>
      </c>
      <c r="N62" s="94">
        <v>0</v>
      </c>
      <c r="O62" s="94">
        <v>0</v>
      </c>
      <c r="P62" s="94"/>
      <c r="Q62" s="94">
        <v>0</v>
      </c>
      <c r="R62" s="94">
        <f t="shared" si="19"/>
        <v>23880</v>
      </c>
      <c r="S62" s="94"/>
      <c r="T62" s="94">
        <f>R62</f>
        <v>23880</v>
      </c>
      <c r="U62" s="94"/>
      <c r="V62" s="94">
        <f t="shared" si="14"/>
        <v>0</v>
      </c>
      <c r="W62" s="145">
        <f>K62</f>
        <v>23880</v>
      </c>
      <c r="X62" s="145">
        <f>T62</f>
        <v>23880</v>
      </c>
      <c r="Y62" s="145"/>
      <c r="Z62" s="145"/>
    </row>
    <row r="63" s="1" customFormat="1" ht="59" customHeight="1" spans="1:26">
      <c r="A63" s="169">
        <v>26</v>
      </c>
      <c r="B63" s="166" t="s">
        <v>183</v>
      </c>
      <c r="C63" s="167"/>
      <c r="D63" s="166" t="s">
        <v>122</v>
      </c>
      <c r="E63" s="145"/>
      <c r="F63" s="145"/>
      <c r="G63" s="47" t="s">
        <v>184</v>
      </c>
      <c r="H63" s="47" t="s">
        <v>185</v>
      </c>
      <c r="I63" s="405">
        <v>48750</v>
      </c>
      <c r="J63" s="94">
        <v>0</v>
      </c>
      <c r="K63" s="94">
        <f>I63+J63</f>
        <v>48750</v>
      </c>
      <c r="L63" s="94">
        <v>0</v>
      </c>
      <c r="M63" s="94">
        <v>0</v>
      </c>
      <c r="N63" s="94">
        <v>0</v>
      </c>
      <c r="O63" s="94">
        <v>0</v>
      </c>
      <c r="P63" s="94"/>
      <c r="Q63" s="94">
        <v>0</v>
      </c>
      <c r="R63" s="94">
        <f t="shared" si="19"/>
        <v>48750</v>
      </c>
      <c r="S63" s="94">
        <v>0</v>
      </c>
      <c r="T63" s="94">
        <v>48750</v>
      </c>
      <c r="U63" s="405">
        <v>0</v>
      </c>
      <c r="V63" s="94">
        <f t="shared" si="14"/>
        <v>0</v>
      </c>
      <c r="W63" s="145">
        <f>K63</f>
        <v>48750</v>
      </c>
      <c r="X63" s="145">
        <f>T63</f>
        <v>48750</v>
      </c>
      <c r="Y63" s="145"/>
      <c r="Z63" s="145"/>
    </row>
    <row r="64" s="1" customFormat="1" ht="59" customHeight="1" spans="1:26">
      <c r="A64" s="170">
        <v>27</v>
      </c>
      <c r="B64" s="44" t="s">
        <v>186</v>
      </c>
      <c r="C64" s="43"/>
      <c r="D64" s="44" t="s">
        <v>187</v>
      </c>
      <c r="E64" s="145"/>
      <c r="F64" s="145"/>
      <c r="G64" s="47" t="s">
        <v>188</v>
      </c>
      <c r="H64" s="47" t="s">
        <v>189</v>
      </c>
      <c r="I64" s="99"/>
      <c r="J64" s="94"/>
      <c r="K64" s="94"/>
      <c r="L64" s="94">
        <v>0</v>
      </c>
      <c r="M64" s="94">
        <v>0</v>
      </c>
      <c r="N64" s="94">
        <v>0</v>
      </c>
      <c r="O64" s="94">
        <v>0</v>
      </c>
      <c r="P64" s="94"/>
      <c r="Q64" s="207">
        <v>755500</v>
      </c>
      <c r="R64" s="112">
        <f t="shared" si="19"/>
        <v>755500</v>
      </c>
      <c r="S64" s="112">
        <v>0</v>
      </c>
      <c r="T64" s="112">
        <f>R64</f>
        <v>755500</v>
      </c>
      <c r="U64" s="401">
        <v>0</v>
      </c>
      <c r="V64" s="45">
        <f t="shared" si="14"/>
        <v>0</v>
      </c>
      <c r="W64" s="45">
        <f>K65</f>
        <v>755500</v>
      </c>
      <c r="X64" s="45">
        <f>T64</f>
        <v>755500</v>
      </c>
      <c r="Y64" s="314"/>
      <c r="Z64" s="145"/>
    </row>
    <row r="65" s="1" customFormat="1" ht="59" customHeight="1" spans="1:26">
      <c r="A65" s="171"/>
      <c r="B65" s="153"/>
      <c r="C65" s="153"/>
      <c r="D65" s="153"/>
      <c r="E65" s="145"/>
      <c r="F65" s="145"/>
      <c r="G65" s="74" t="s">
        <v>190</v>
      </c>
      <c r="H65" s="47" t="s">
        <v>191</v>
      </c>
      <c r="I65" s="478">
        <v>755500</v>
      </c>
      <c r="J65" s="94"/>
      <c r="K65" s="94">
        <f>I65+J65</f>
        <v>755500</v>
      </c>
      <c r="L65" s="94"/>
      <c r="M65" s="94"/>
      <c r="N65" s="94"/>
      <c r="O65" s="94"/>
      <c r="P65" s="94"/>
      <c r="Q65" s="208">
        <f>-Q64</f>
        <v>-755500</v>
      </c>
      <c r="R65" s="114"/>
      <c r="S65" s="114"/>
      <c r="T65" s="114"/>
      <c r="U65" s="416"/>
      <c r="V65" s="81"/>
      <c r="W65" s="81"/>
      <c r="X65" s="81"/>
      <c r="Y65" s="314"/>
      <c r="Z65" s="145"/>
    </row>
    <row r="66" s="1" customFormat="1" ht="59" customHeight="1" spans="1:26">
      <c r="A66" s="171">
        <v>28</v>
      </c>
      <c r="B66" s="447" t="s">
        <v>192</v>
      </c>
      <c r="C66" s="255"/>
      <c r="D66" s="448" t="s">
        <v>193</v>
      </c>
      <c r="E66" s="145"/>
      <c r="F66" s="145"/>
      <c r="G66" s="73"/>
      <c r="H66" s="47" t="s">
        <v>194</v>
      </c>
      <c r="I66" s="487">
        <v>460890.63</v>
      </c>
      <c r="J66" s="94">
        <v>27653.44</v>
      </c>
      <c r="K66" s="94">
        <f>J66+I66</f>
        <v>488544.07</v>
      </c>
      <c r="L66" s="94"/>
      <c r="M66" s="94"/>
      <c r="N66" s="94"/>
      <c r="O66" s="94"/>
      <c r="P66" s="94"/>
      <c r="Q66" s="208"/>
      <c r="R66" s="94">
        <f>K66-L66-M66-N66-O66+Q66-P66</f>
        <v>488544.07</v>
      </c>
      <c r="S66" s="114"/>
      <c r="T66" s="114"/>
      <c r="U66" s="416"/>
      <c r="V66" s="94">
        <f>R66+S66-T66-U66</f>
        <v>488544.07</v>
      </c>
      <c r="W66" s="145">
        <f>K66+F66</f>
        <v>488544.07</v>
      </c>
      <c r="X66" s="145">
        <f>T66+U66</f>
        <v>0</v>
      </c>
      <c r="Y66" s="314"/>
      <c r="Z66" s="145"/>
    </row>
    <row r="67" s="1" customFormat="1" ht="59" customHeight="1" spans="1:26">
      <c r="A67" s="171">
        <v>29</v>
      </c>
      <c r="B67" s="447" t="s">
        <v>192</v>
      </c>
      <c r="C67" s="175"/>
      <c r="D67" s="448" t="s">
        <v>195</v>
      </c>
      <c r="E67" s="145"/>
      <c r="F67" s="145"/>
      <c r="G67" s="73"/>
      <c r="H67" s="47" t="s">
        <v>194</v>
      </c>
      <c r="I67" s="487">
        <v>1878069.73</v>
      </c>
      <c r="J67" s="94">
        <v>112684.18</v>
      </c>
      <c r="K67" s="94">
        <f>J67+I67</f>
        <v>1990753.91</v>
      </c>
      <c r="L67" s="94"/>
      <c r="M67" s="94"/>
      <c r="N67" s="94"/>
      <c r="O67" s="94"/>
      <c r="P67" s="94"/>
      <c r="Q67" s="208"/>
      <c r="R67" s="94">
        <f>K67-L67-M67-N67-O67+Q67-P67</f>
        <v>1990753.91</v>
      </c>
      <c r="S67" s="114"/>
      <c r="T67" s="114"/>
      <c r="U67" s="416"/>
      <c r="V67" s="94">
        <f>R67+S67-T67-U67</f>
        <v>1990753.91</v>
      </c>
      <c r="W67" s="145">
        <f>K67+F67</f>
        <v>1990753.91</v>
      </c>
      <c r="X67" s="145">
        <f>T67+U67</f>
        <v>0</v>
      </c>
      <c r="Y67" s="314"/>
      <c r="Z67" s="145"/>
    </row>
    <row r="68" s="1" customFormat="1" ht="36" customHeight="1" spans="1:26">
      <c r="A68" s="171">
        <v>31</v>
      </c>
      <c r="B68" s="216" t="s">
        <v>196</v>
      </c>
      <c r="C68" s="217"/>
      <c r="D68" s="218"/>
      <c r="E68" s="283">
        <v>98000</v>
      </c>
      <c r="F68" s="188"/>
      <c r="G68" s="50" t="s">
        <v>197</v>
      </c>
      <c r="H68" s="51" t="s">
        <v>198</v>
      </c>
      <c r="I68" s="425">
        <v>61468.44</v>
      </c>
      <c r="J68" s="108">
        <v>0</v>
      </c>
      <c r="K68" s="108">
        <f>I68+J68</f>
        <v>61468.44</v>
      </c>
      <c r="L68" s="108"/>
      <c r="M68" s="108"/>
      <c r="N68" s="108"/>
      <c r="O68" s="108"/>
      <c r="P68" s="108">
        <f>M68-O68</f>
        <v>0</v>
      </c>
      <c r="Q68" s="108"/>
      <c r="R68" s="94">
        <f>K68-L68-M68-N68-O68+Q68-P68</f>
        <v>61468.44</v>
      </c>
      <c r="S68" s="94">
        <v>0</v>
      </c>
      <c r="T68" s="94">
        <f>R68</f>
        <v>61468.44</v>
      </c>
      <c r="U68" s="405">
        <v>0</v>
      </c>
      <c r="V68" s="94">
        <f>R68+S68-T68-U68</f>
        <v>0</v>
      </c>
      <c r="W68" s="145">
        <f>K68+F68</f>
        <v>61468.44</v>
      </c>
      <c r="X68" s="145">
        <f>T68+F68</f>
        <v>61468.44</v>
      </c>
      <c r="Y68" s="145">
        <v>98000</v>
      </c>
      <c r="Z68" s="145">
        <v>98000</v>
      </c>
    </row>
    <row r="69" s="1" customFormat="1" ht="36" customHeight="1" spans="1:26">
      <c r="A69" s="43">
        <v>29</v>
      </c>
      <c r="B69" s="185" t="s">
        <v>199</v>
      </c>
      <c r="C69" s="186"/>
      <c r="D69" s="187"/>
      <c r="E69" s="399"/>
      <c r="F69" s="192"/>
      <c r="G69" s="192"/>
      <c r="H69" s="197" t="s">
        <v>200</v>
      </c>
      <c r="I69" s="488">
        <f>630506.8-220</f>
        <v>630286.8</v>
      </c>
      <c r="J69" s="108"/>
      <c r="K69" s="108">
        <f>J69+I69</f>
        <v>630286.8</v>
      </c>
      <c r="L69" s="108"/>
      <c r="M69" s="108"/>
      <c r="N69" s="108"/>
      <c r="O69" s="108"/>
      <c r="P69" s="108"/>
      <c r="Q69" s="108"/>
      <c r="R69" s="94">
        <v>630286.8</v>
      </c>
      <c r="S69" s="94"/>
      <c r="T69" s="211">
        <v>486986.81</v>
      </c>
      <c r="U69" s="211"/>
      <c r="V69" s="94">
        <f>R69+S69-T69-U69+R70-T70</f>
        <v>143299.99</v>
      </c>
      <c r="W69" s="145">
        <f>K69+F69</f>
        <v>630286.8</v>
      </c>
      <c r="X69" s="145">
        <v>342578.483333333</v>
      </c>
      <c r="Y69" s="145"/>
      <c r="Z69" s="145"/>
    </row>
    <row r="70" s="1" customFormat="1" ht="36" customHeight="1" spans="1:26">
      <c r="A70" s="153"/>
      <c r="B70" s="189"/>
      <c r="C70" s="190"/>
      <c r="D70" s="191"/>
      <c r="E70" s="412"/>
      <c r="F70" s="198"/>
      <c r="G70" s="198"/>
      <c r="H70" s="197" t="s">
        <v>201</v>
      </c>
      <c r="I70" s="488">
        <v>-6746.65</v>
      </c>
      <c r="J70" s="108"/>
      <c r="K70" s="108">
        <f>I70+J70</f>
        <v>-6746.65</v>
      </c>
      <c r="L70" s="108"/>
      <c r="M70" s="108"/>
      <c r="N70" s="108"/>
      <c r="O70" s="108"/>
      <c r="P70" s="108"/>
      <c r="Q70" s="108"/>
      <c r="R70" s="94">
        <v>-6746.65</v>
      </c>
      <c r="S70" s="94"/>
      <c r="T70" s="211">
        <v>-6746.65</v>
      </c>
      <c r="U70" s="211"/>
      <c r="V70" s="94">
        <f>R70+S70-T70-U70</f>
        <v>0</v>
      </c>
      <c r="W70" s="145">
        <f>K70+F70</f>
        <v>-6746.65</v>
      </c>
      <c r="X70" s="145">
        <f>W70</f>
        <v>-6746.65</v>
      </c>
      <c r="Y70" s="145"/>
      <c r="Z70" s="145"/>
    </row>
    <row r="71" s="1" customFormat="1" ht="36" customHeight="1" spans="1:26">
      <c r="A71" s="153"/>
      <c r="B71" s="213"/>
      <c r="C71" s="214"/>
      <c r="D71" s="215"/>
      <c r="E71" s="413"/>
      <c r="F71" s="199"/>
      <c r="G71" s="198"/>
      <c r="H71" s="197" t="s">
        <v>202</v>
      </c>
      <c r="I71" s="489">
        <f>1133+220</f>
        <v>1353</v>
      </c>
      <c r="J71" s="108"/>
      <c r="K71" s="108">
        <f>I71+J71</f>
        <v>1353</v>
      </c>
      <c r="L71" s="108"/>
      <c r="M71" s="108"/>
      <c r="N71" s="108"/>
      <c r="O71" s="108"/>
      <c r="P71" s="108"/>
      <c r="Q71" s="108"/>
      <c r="R71" s="94">
        <v>1353</v>
      </c>
      <c r="S71" s="94"/>
      <c r="T71" s="211">
        <f>R71</f>
        <v>1353</v>
      </c>
      <c r="U71" s="211"/>
      <c r="V71" s="94">
        <f>R71+S71-T71-U71</f>
        <v>0</v>
      </c>
      <c r="W71" s="145"/>
      <c r="X71" s="145"/>
      <c r="Y71" s="145"/>
      <c r="Z71" s="145"/>
    </row>
    <row r="72" s="1" customFormat="1" ht="36" customHeight="1" spans="1:26">
      <c r="A72" s="156">
        <v>30</v>
      </c>
      <c r="B72" s="216" t="s">
        <v>203</v>
      </c>
      <c r="C72" s="217"/>
      <c r="D72" s="218"/>
      <c r="E72" s="283"/>
      <c r="F72" s="188"/>
      <c r="G72" s="219" t="s">
        <v>204</v>
      </c>
      <c r="H72" s="188"/>
      <c r="I72" s="108">
        <f>SUM(I73:I79)</f>
        <v>312400.64</v>
      </c>
      <c r="J72" s="108">
        <f>SUM(J73:J79)</f>
        <v>5457.89000000049</v>
      </c>
      <c r="K72" s="108">
        <f>SUM(K73:K79)</f>
        <v>317858.53</v>
      </c>
      <c r="L72" s="108">
        <f>L73+L75+L76+L77+L79</f>
        <v>0</v>
      </c>
      <c r="M72" s="108">
        <f>M73+M75+M76+M77+M79</f>
        <v>0</v>
      </c>
      <c r="N72" s="108">
        <f>N73+N75+N76+N77+N79</f>
        <v>0</v>
      </c>
      <c r="O72" s="108">
        <f>O73+O75+O76+O77+O79</f>
        <v>0</v>
      </c>
      <c r="P72" s="108"/>
      <c r="Q72" s="108">
        <f>Q73+Q75+Q76+Q77+Q79</f>
        <v>0</v>
      </c>
      <c r="R72" s="108">
        <f>K72-L72-M72-N72-O72+Q72-P72</f>
        <v>317858.53</v>
      </c>
      <c r="S72" s="108"/>
      <c r="T72" s="108">
        <f t="shared" ref="T72:T79" si="20">R72</f>
        <v>317858.53</v>
      </c>
      <c r="U72" s="108"/>
      <c r="V72" s="108">
        <f t="shared" ref="V72:V78" si="21">R72+S72-T72-U72</f>
        <v>0</v>
      </c>
      <c r="W72" s="145">
        <f t="shared" ref="W72:W79" si="22">K72+F72</f>
        <v>317858.53</v>
      </c>
      <c r="X72" s="145">
        <f t="shared" ref="X72:X79" si="23">T72+F72</f>
        <v>317858.53</v>
      </c>
      <c r="Y72" s="145">
        <v>220000</v>
      </c>
      <c r="Z72" s="145">
        <v>220000</v>
      </c>
    </row>
    <row r="73" s="19" customFormat="1" ht="36" customHeight="1" spans="1:26">
      <c r="A73" s="43"/>
      <c r="B73" s="235" t="s">
        <v>205</v>
      </c>
      <c r="C73" s="235"/>
      <c r="D73" s="235"/>
      <c r="E73" s="237"/>
      <c r="F73" s="94"/>
      <c r="G73" s="94" t="s">
        <v>206</v>
      </c>
      <c r="H73" s="94"/>
      <c r="I73" s="405">
        <v>46517</v>
      </c>
      <c r="J73" s="94">
        <v>0</v>
      </c>
      <c r="K73" s="94">
        <f>J73+I73</f>
        <v>46517</v>
      </c>
      <c r="L73" s="235"/>
      <c r="M73" s="235"/>
      <c r="N73" s="235"/>
      <c r="O73" s="237"/>
      <c r="P73" s="237"/>
      <c r="Q73" s="94"/>
      <c r="R73" s="94">
        <f t="shared" ref="R72:R79" si="24">K73-L73-M73-N73-O73+Q73-P73</f>
        <v>46517</v>
      </c>
      <c r="S73" s="94"/>
      <c r="T73" s="94">
        <f t="shared" si="20"/>
        <v>46517</v>
      </c>
      <c r="U73" s="94"/>
      <c r="V73" s="94">
        <f t="shared" si="21"/>
        <v>0</v>
      </c>
      <c r="W73" s="145">
        <f t="shared" si="22"/>
        <v>46517</v>
      </c>
      <c r="X73" s="145">
        <f t="shared" si="23"/>
        <v>46517</v>
      </c>
      <c r="Y73" s="145"/>
      <c r="Z73" s="145"/>
    </row>
    <row r="74" s="19" customFormat="1" ht="36" customHeight="1" spans="1:26">
      <c r="A74" s="48"/>
      <c r="B74" s="235"/>
      <c r="C74" s="235"/>
      <c r="D74" s="235"/>
      <c r="E74" s="237"/>
      <c r="F74" s="94"/>
      <c r="G74" s="94" t="s">
        <v>207</v>
      </c>
      <c r="H74" s="94"/>
      <c r="I74" s="405">
        <v>30516</v>
      </c>
      <c r="J74" s="94">
        <v>0</v>
      </c>
      <c r="K74" s="94">
        <f>J74+I74</f>
        <v>30516</v>
      </c>
      <c r="L74" s="235"/>
      <c r="M74" s="235"/>
      <c r="N74" s="235"/>
      <c r="O74" s="237"/>
      <c r="P74" s="237"/>
      <c r="Q74" s="94"/>
      <c r="R74" s="94">
        <f t="shared" si="24"/>
        <v>30516</v>
      </c>
      <c r="S74" s="94"/>
      <c r="T74" s="94">
        <f t="shared" si="20"/>
        <v>30516</v>
      </c>
      <c r="U74" s="94"/>
      <c r="V74" s="94">
        <f t="shared" si="21"/>
        <v>0</v>
      </c>
      <c r="W74" s="145">
        <f t="shared" si="22"/>
        <v>30516</v>
      </c>
      <c r="X74" s="145">
        <f t="shared" si="23"/>
        <v>30516</v>
      </c>
      <c r="Y74" s="145"/>
      <c r="Z74" s="145"/>
    </row>
    <row r="75" s="19" customFormat="1" ht="36" customHeight="1" spans="1:26">
      <c r="A75" s="48"/>
      <c r="B75" s="235" t="s">
        <v>208</v>
      </c>
      <c r="C75" s="235"/>
      <c r="D75" s="235"/>
      <c r="E75" s="237"/>
      <c r="F75" s="94"/>
      <c r="G75" s="94" t="s">
        <v>206</v>
      </c>
      <c r="H75" s="94"/>
      <c r="I75" s="405">
        <f>287.12</f>
        <v>287.12</v>
      </c>
      <c r="J75" s="94">
        <v>2.88</v>
      </c>
      <c r="K75" s="94">
        <f>J75+I75</f>
        <v>290</v>
      </c>
      <c r="L75" s="94"/>
      <c r="M75" s="94"/>
      <c r="N75" s="94"/>
      <c r="O75" s="94"/>
      <c r="P75" s="94"/>
      <c r="Q75" s="94"/>
      <c r="R75" s="94">
        <f t="shared" si="24"/>
        <v>290</v>
      </c>
      <c r="S75" s="94"/>
      <c r="T75" s="94">
        <f t="shared" si="20"/>
        <v>290</v>
      </c>
      <c r="U75" s="94"/>
      <c r="V75" s="94">
        <f t="shared" si="21"/>
        <v>0</v>
      </c>
      <c r="W75" s="145">
        <f t="shared" si="22"/>
        <v>290</v>
      </c>
      <c r="X75" s="145">
        <f t="shared" si="23"/>
        <v>290</v>
      </c>
      <c r="Y75" s="188"/>
      <c r="Z75" s="188"/>
    </row>
    <row r="76" s="19" customFormat="1" ht="36" customHeight="1" spans="1:26">
      <c r="A76" s="48"/>
      <c r="B76" s="220" t="s">
        <v>209</v>
      </c>
      <c r="C76" s="221"/>
      <c r="D76" s="222"/>
      <c r="E76" s="237"/>
      <c r="F76" s="94"/>
      <c r="G76" s="94" t="s">
        <v>206</v>
      </c>
      <c r="H76" s="94"/>
      <c r="I76" s="405">
        <v>116605.74</v>
      </c>
      <c r="J76" s="94">
        <v>3317.86000000048</v>
      </c>
      <c r="K76" s="94">
        <f>J76+I76</f>
        <v>119923.6</v>
      </c>
      <c r="L76" s="94"/>
      <c r="M76" s="94"/>
      <c r="N76" s="94"/>
      <c r="O76" s="94"/>
      <c r="P76" s="94"/>
      <c r="Q76" s="94"/>
      <c r="R76" s="94">
        <f t="shared" si="24"/>
        <v>119923.6</v>
      </c>
      <c r="S76" s="94"/>
      <c r="T76" s="94">
        <f t="shared" si="20"/>
        <v>119923.6</v>
      </c>
      <c r="U76" s="94"/>
      <c r="V76" s="94">
        <f t="shared" si="21"/>
        <v>0</v>
      </c>
      <c r="W76" s="145">
        <f t="shared" si="22"/>
        <v>119923.6</v>
      </c>
      <c r="X76" s="145">
        <f t="shared" si="23"/>
        <v>119923.6</v>
      </c>
      <c r="Y76" s="188"/>
      <c r="Z76" s="188"/>
    </row>
    <row r="77" s="19" customFormat="1" ht="36" customHeight="1" spans="1:26">
      <c r="A77" s="48"/>
      <c r="B77" s="223"/>
      <c r="C77" s="224"/>
      <c r="D77" s="225"/>
      <c r="E77" s="237"/>
      <c r="F77" s="94"/>
      <c r="G77" s="112" t="s">
        <v>207</v>
      </c>
      <c r="H77" s="94"/>
      <c r="I77" s="425">
        <v>89025.62</v>
      </c>
      <c r="J77" s="108">
        <f>2148.43-100.78-401.06</f>
        <v>1646.59</v>
      </c>
      <c r="K77" s="94">
        <f>I77+J77</f>
        <v>90672.21</v>
      </c>
      <c r="L77" s="94"/>
      <c r="M77" s="94"/>
      <c r="N77" s="94"/>
      <c r="O77" s="94"/>
      <c r="P77" s="94"/>
      <c r="Q77" s="94"/>
      <c r="R77" s="94">
        <f t="shared" si="24"/>
        <v>90672.21</v>
      </c>
      <c r="S77" s="94"/>
      <c r="T77" s="94">
        <f t="shared" si="20"/>
        <v>90672.21</v>
      </c>
      <c r="U77" s="94"/>
      <c r="V77" s="94">
        <f t="shared" si="21"/>
        <v>0</v>
      </c>
      <c r="W77" s="145">
        <f t="shared" si="22"/>
        <v>90672.21</v>
      </c>
      <c r="X77" s="145">
        <f t="shared" si="23"/>
        <v>90672.21</v>
      </c>
      <c r="Y77" s="188"/>
      <c r="Z77" s="188"/>
    </row>
    <row r="78" s="19" customFormat="1" ht="36" customHeight="1" spans="1:26">
      <c r="A78" s="48"/>
      <c r="B78" s="452"/>
      <c r="C78" s="453"/>
      <c r="D78" s="454"/>
      <c r="E78" s="237"/>
      <c r="F78" s="94"/>
      <c r="G78" s="114"/>
      <c r="H78" s="233" t="s">
        <v>210</v>
      </c>
      <c r="I78" s="425">
        <v>6579.94</v>
      </c>
      <c r="J78" s="108">
        <f>3620-3408.78+3361-3171.16</f>
        <v>401.06</v>
      </c>
      <c r="K78" s="94">
        <f>J78+I78</f>
        <v>6981</v>
      </c>
      <c r="L78" s="94"/>
      <c r="M78" s="94"/>
      <c r="N78" s="94"/>
      <c r="O78" s="94"/>
      <c r="P78" s="94"/>
      <c r="Q78" s="94"/>
      <c r="R78" s="94">
        <f t="shared" si="24"/>
        <v>6981</v>
      </c>
      <c r="S78" s="94"/>
      <c r="T78" s="94">
        <f t="shared" si="20"/>
        <v>6981</v>
      </c>
      <c r="U78" s="94"/>
      <c r="V78" s="94"/>
      <c r="W78" s="145">
        <f t="shared" si="22"/>
        <v>6981</v>
      </c>
      <c r="X78" s="145">
        <f t="shared" si="23"/>
        <v>6981</v>
      </c>
      <c r="Y78" s="188"/>
      <c r="Z78" s="188"/>
    </row>
    <row r="79" s="19" customFormat="1" ht="36" customHeight="1" spans="1:26">
      <c r="A79" s="153"/>
      <c r="B79" s="235" t="s">
        <v>211</v>
      </c>
      <c r="C79" s="235"/>
      <c r="D79" s="235"/>
      <c r="E79" s="237"/>
      <c r="F79" s="94"/>
      <c r="G79" s="94" t="s">
        <v>207</v>
      </c>
      <c r="H79" s="94"/>
      <c r="I79" s="425">
        <f>22857.94+11.28</f>
        <v>22869.22</v>
      </c>
      <c r="J79" s="108">
        <f>11.28+29.7+24.26*2</f>
        <v>89.5</v>
      </c>
      <c r="K79" s="94">
        <f>I79+J79</f>
        <v>22958.72</v>
      </c>
      <c r="L79" s="94"/>
      <c r="M79" s="94"/>
      <c r="N79" s="94"/>
      <c r="O79" s="94"/>
      <c r="P79" s="94"/>
      <c r="Q79" s="94"/>
      <c r="R79" s="94">
        <f t="shared" si="24"/>
        <v>22958.72</v>
      </c>
      <c r="S79" s="108"/>
      <c r="T79" s="94">
        <f t="shared" si="20"/>
        <v>22958.72</v>
      </c>
      <c r="U79" s="94"/>
      <c r="V79" s="94">
        <f>R79+S79-T79-U79</f>
        <v>0</v>
      </c>
      <c r="W79" s="145">
        <f t="shared" si="22"/>
        <v>22958.72</v>
      </c>
      <c r="X79" s="145">
        <f t="shared" si="23"/>
        <v>22958.72</v>
      </c>
      <c r="Y79" s="188"/>
      <c r="Z79" s="188"/>
    </row>
    <row r="80" s="20" customFormat="1" ht="36" customHeight="1" spans="1:26">
      <c r="A80" s="279" t="s">
        <v>212</v>
      </c>
      <c r="B80" s="280"/>
      <c r="C80" s="280"/>
      <c r="D80" s="280"/>
      <c r="E80" s="280">
        <f>SUM(E5:E72)</f>
        <v>346480002.148635</v>
      </c>
      <c r="F80" s="280">
        <f>SUM(F5:F72)</f>
        <v>1033400</v>
      </c>
      <c r="G80" s="280"/>
      <c r="H80" s="482"/>
      <c r="I80" s="300">
        <f>SUM(I18,I22,I31,I35,I40,I42,I43:I72)</f>
        <v>260599572.29</v>
      </c>
      <c r="J80" s="300">
        <f t="shared" ref="I80:V80" si="25">SUM(J18,J22,J31,J35,J40,J42,J43:J72)</f>
        <v>25791352.63</v>
      </c>
      <c r="K80" s="300">
        <f t="shared" si="25"/>
        <v>286390924.92</v>
      </c>
      <c r="L80" s="300">
        <f t="shared" si="25"/>
        <v>1853618.97</v>
      </c>
      <c r="M80" s="300">
        <f t="shared" si="25"/>
        <v>0</v>
      </c>
      <c r="N80" s="300">
        <f t="shared" si="25"/>
        <v>0</v>
      </c>
      <c r="O80" s="300">
        <f t="shared" si="25"/>
        <v>968995.78</v>
      </c>
      <c r="P80" s="300">
        <f t="shared" si="25"/>
        <v>3100</v>
      </c>
      <c r="Q80" s="300">
        <f t="shared" si="25"/>
        <v>116593.5</v>
      </c>
      <c r="R80" s="300">
        <f t="shared" si="25"/>
        <v>281826803.67</v>
      </c>
      <c r="S80" s="300">
        <f t="shared" si="25"/>
        <v>1855000</v>
      </c>
      <c r="T80" s="300">
        <f t="shared" si="25"/>
        <v>250120580.13</v>
      </c>
      <c r="U80" s="300">
        <f t="shared" si="25"/>
        <v>1855000</v>
      </c>
      <c r="V80" s="300">
        <f t="shared" si="25"/>
        <v>31706223.54</v>
      </c>
      <c r="W80" s="433">
        <f>SUM(W4,W19,W23,W32,W36,W41,W43:W72)</f>
        <v>287422971.92</v>
      </c>
      <c r="X80" s="433">
        <f>SUM(X4,X19,X23,X32,X36,X41,X43:X72)</f>
        <v>252863218.803333</v>
      </c>
      <c r="Y80" s="433">
        <f>SUM(Y18,Y22,Y31,Y35,Y40,Y42,Y43:Y72)</f>
        <v>149370943.6</v>
      </c>
      <c r="Z80" s="433">
        <f>SUM(Z18,Z22,Z31,Z35,Z40,Z42,Z43:Z72)</f>
        <v>134692427.88</v>
      </c>
    </row>
    <row r="81" s="1" customFormat="1" ht="36" customHeight="1" spans="1:26">
      <c r="A81" s="250" t="s">
        <v>213</v>
      </c>
      <c r="B81" s="251" t="s">
        <v>214</v>
      </c>
      <c r="C81" s="252"/>
      <c r="D81" s="252"/>
      <c r="E81" s="217"/>
      <c r="F81" s="217"/>
      <c r="G81" s="217"/>
      <c r="H81" s="218"/>
      <c r="I81" s="94"/>
      <c r="J81" s="94"/>
      <c r="K81" s="94"/>
      <c r="L81" s="94"/>
      <c r="M81" s="94"/>
      <c r="N81" s="94"/>
      <c r="O81" s="94"/>
      <c r="P81" s="94"/>
      <c r="Q81" s="94"/>
      <c r="R81" s="94">
        <f>K81-L81-M81-N81-O81+Q81</f>
        <v>0</v>
      </c>
      <c r="S81" s="94"/>
      <c r="T81" s="94"/>
      <c r="U81" s="94"/>
      <c r="V81" s="94"/>
      <c r="W81" s="45"/>
      <c r="X81" s="45"/>
      <c r="Y81" s="145"/>
      <c r="Z81" s="145"/>
    </row>
    <row r="82" s="22" customFormat="1" ht="42" customHeight="1" spans="1:238">
      <c r="A82" s="43">
        <v>22</v>
      </c>
      <c r="B82" s="44" t="s">
        <v>215</v>
      </c>
      <c r="C82" s="43" t="s">
        <v>216</v>
      </c>
      <c r="D82" s="43" t="s">
        <v>217</v>
      </c>
      <c r="E82" s="43">
        <v>9968383.94</v>
      </c>
      <c r="F82" s="45"/>
      <c r="G82" s="66" t="s">
        <v>218</v>
      </c>
      <c r="H82" s="66" t="s">
        <v>219</v>
      </c>
      <c r="I82" s="94"/>
      <c r="J82" s="94"/>
      <c r="K82" s="94">
        <f>I82+J82</f>
        <v>0</v>
      </c>
      <c r="L82" s="94"/>
      <c r="M82" s="94"/>
      <c r="N82" s="94"/>
      <c r="O82" s="94"/>
      <c r="P82" s="94"/>
      <c r="Q82" s="94">
        <v>2990515.18</v>
      </c>
      <c r="R82" s="94">
        <f>K82-L82-M82-N82-O82+Q82</f>
        <v>2990515.18</v>
      </c>
      <c r="S82" s="94"/>
      <c r="T82" s="94">
        <v>2990515.18</v>
      </c>
      <c r="U82" s="94"/>
      <c r="V82" s="94">
        <f>R82+S82-T82-U82</f>
        <v>0</v>
      </c>
      <c r="W82" s="145">
        <f>K82+F82</f>
        <v>0</v>
      </c>
      <c r="X82" s="145">
        <f>T82+F82</f>
        <v>2990515.18</v>
      </c>
      <c r="Y82" s="426"/>
      <c r="Z82" s="145"/>
      <c r="AA82" s="311"/>
      <c r="AB82" s="311"/>
      <c r="AC82" s="311"/>
      <c r="AD82" s="311"/>
      <c r="AE82" s="311"/>
      <c r="AF82" s="311"/>
      <c r="AG82" s="311"/>
      <c r="AH82" s="311"/>
      <c r="AI82" s="311"/>
      <c r="AJ82" s="311"/>
      <c r="AK82" s="311"/>
      <c r="AL82" s="311"/>
      <c r="AM82" s="311"/>
      <c r="AN82" s="311"/>
      <c r="AO82" s="311"/>
      <c r="AP82" s="311"/>
      <c r="AQ82" s="311"/>
      <c r="AR82" s="311"/>
      <c r="AS82" s="311"/>
      <c r="AT82" s="311"/>
      <c r="AU82" s="311"/>
      <c r="AV82" s="311"/>
      <c r="AW82" s="311"/>
      <c r="AX82" s="311"/>
      <c r="AY82" s="311"/>
      <c r="AZ82" s="311"/>
      <c r="BA82" s="311"/>
      <c r="BB82" s="311"/>
      <c r="BC82" s="311"/>
      <c r="BD82" s="311"/>
      <c r="BE82" s="311"/>
      <c r="BF82" s="311"/>
      <c r="BG82" s="311"/>
      <c r="BH82" s="311"/>
      <c r="BI82" s="311"/>
      <c r="BJ82" s="311"/>
      <c r="BK82" s="311"/>
      <c r="BL82" s="311"/>
      <c r="BM82" s="311"/>
      <c r="BN82" s="311"/>
      <c r="BO82" s="311"/>
      <c r="BP82" s="311"/>
      <c r="BQ82" s="311"/>
      <c r="BR82" s="311"/>
      <c r="BS82" s="311"/>
      <c r="BT82" s="311"/>
      <c r="BU82" s="311"/>
      <c r="BV82" s="311"/>
      <c r="BW82" s="311"/>
      <c r="BX82" s="311"/>
      <c r="BY82" s="311"/>
      <c r="BZ82" s="311"/>
      <c r="CA82" s="311"/>
      <c r="CB82" s="311"/>
      <c r="CC82" s="311"/>
      <c r="CD82" s="311"/>
      <c r="CE82" s="311"/>
      <c r="CF82" s="311"/>
      <c r="CG82" s="311"/>
      <c r="CH82" s="311"/>
      <c r="CI82" s="311"/>
      <c r="CJ82" s="311"/>
      <c r="CK82" s="311"/>
      <c r="CL82" s="311"/>
      <c r="CM82" s="311"/>
      <c r="CN82" s="311"/>
      <c r="CO82" s="311"/>
      <c r="CP82" s="311"/>
      <c r="CQ82" s="311"/>
      <c r="CR82" s="311"/>
      <c r="CS82" s="311"/>
      <c r="CT82" s="311"/>
      <c r="CU82" s="311"/>
      <c r="CV82" s="311"/>
      <c r="CW82" s="311"/>
      <c r="CX82" s="311"/>
      <c r="CY82" s="311"/>
      <c r="CZ82" s="311"/>
      <c r="DA82" s="311"/>
      <c r="DB82" s="311"/>
      <c r="DC82" s="311"/>
      <c r="DD82" s="311"/>
      <c r="DE82" s="311"/>
      <c r="DF82" s="311"/>
      <c r="DG82" s="311"/>
      <c r="DH82" s="311"/>
      <c r="DI82" s="311"/>
      <c r="DJ82" s="311"/>
      <c r="DK82" s="311"/>
      <c r="DL82" s="311"/>
      <c r="DM82" s="311"/>
      <c r="DN82" s="311"/>
      <c r="DO82" s="311"/>
      <c r="DP82" s="311"/>
      <c r="DQ82" s="311"/>
      <c r="DR82" s="311"/>
      <c r="DS82" s="311"/>
      <c r="DT82" s="311"/>
      <c r="DU82" s="311"/>
      <c r="DV82" s="311"/>
      <c r="DW82" s="311"/>
      <c r="DX82" s="311"/>
      <c r="DY82" s="311"/>
      <c r="DZ82" s="311"/>
      <c r="EA82" s="311"/>
      <c r="EB82" s="311"/>
      <c r="EC82" s="311"/>
      <c r="ED82" s="311"/>
      <c r="EE82" s="311"/>
      <c r="EF82" s="311"/>
      <c r="EG82" s="311"/>
      <c r="EH82" s="311"/>
      <c r="EI82" s="311"/>
      <c r="EJ82" s="311"/>
      <c r="EK82" s="311"/>
      <c r="EL82" s="311"/>
      <c r="EM82" s="311"/>
      <c r="EN82" s="311"/>
      <c r="EO82" s="311"/>
      <c r="EP82" s="311"/>
      <c r="EQ82" s="311"/>
      <c r="ER82" s="311"/>
      <c r="ES82" s="311"/>
      <c r="ET82" s="311"/>
      <c r="EU82" s="311"/>
      <c r="EV82" s="311"/>
      <c r="EW82" s="311"/>
      <c r="EX82" s="311"/>
      <c r="EY82" s="311"/>
      <c r="EZ82" s="311"/>
      <c r="FA82" s="311"/>
      <c r="FB82" s="311"/>
      <c r="FC82" s="311"/>
      <c r="FD82" s="311"/>
      <c r="FE82" s="311"/>
      <c r="FF82" s="311"/>
      <c r="FG82" s="311"/>
      <c r="FH82" s="311"/>
      <c r="FI82" s="311"/>
      <c r="FJ82" s="311"/>
      <c r="FK82" s="311"/>
      <c r="FL82" s="311"/>
      <c r="FM82" s="311"/>
      <c r="FN82" s="311"/>
      <c r="FO82" s="311"/>
      <c r="FP82" s="311"/>
      <c r="FQ82" s="311"/>
      <c r="FR82" s="311"/>
      <c r="FS82" s="311"/>
      <c r="FT82" s="311"/>
      <c r="FU82" s="311"/>
      <c r="FV82" s="311"/>
      <c r="FW82" s="311"/>
      <c r="FX82" s="311"/>
      <c r="FY82" s="311"/>
      <c r="FZ82" s="311"/>
      <c r="GA82" s="311"/>
      <c r="GB82" s="311"/>
      <c r="GC82" s="311"/>
      <c r="GD82" s="311"/>
      <c r="GE82" s="311"/>
      <c r="GF82" s="311"/>
      <c r="GG82" s="311"/>
      <c r="GH82" s="311"/>
      <c r="GI82" s="311"/>
      <c r="GJ82" s="311"/>
      <c r="GK82" s="311"/>
      <c r="GL82" s="311"/>
      <c r="GM82" s="311"/>
      <c r="GN82" s="311"/>
      <c r="GO82" s="311"/>
      <c r="GP82" s="311"/>
      <c r="GQ82" s="311"/>
      <c r="GR82" s="311"/>
      <c r="GS82" s="311"/>
      <c r="GT82" s="311"/>
      <c r="GU82" s="311"/>
      <c r="GV82" s="311"/>
      <c r="GW82" s="311"/>
      <c r="GX82" s="311"/>
      <c r="GY82" s="311"/>
      <c r="GZ82" s="311"/>
      <c r="HA82" s="311"/>
      <c r="HB82" s="311"/>
      <c r="HC82" s="311"/>
      <c r="HD82" s="311"/>
      <c r="HE82" s="311"/>
      <c r="HF82" s="311"/>
      <c r="HG82" s="311"/>
      <c r="HH82" s="311"/>
      <c r="HI82" s="311"/>
      <c r="HJ82" s="311"/>
      <c r="HK82" s="311"/>
      <c r="HL82" s="311"/>
      <c r="HM82" s="311"/>
      <c r="HN82" s="311"/>
      <c r="HO82" s="311"/>
      <c r="HP82" s="311"/>
      <c r="HQ82" s="311"/>
      <c r="HR82" s="311"/>
      <c r="HS82" s="311"/>
      <c r="HT82" s="311"/>
      <c r="HU82" s="311"/>
      <c r="HV82" s="311"/>
      <c r="HW82" s="311"/>
      <c r="HX82" s="311"/>
      <c r="HY82" s="311"/>
      <c r="HZ82" s="311"/>
      <c r="IA82" s="311"/>
      <c r="IB82" s="311"/>
      <c r="IC82" s="311"/>
      <c r="ID82" s="311"/>
    </row>
    <row r="83" s="22" customFormat="1" ht="42" customHeight="1" spans="1:238">
      <c r="A83" s="48"/>
      <c r="B83" s="48"/>
      <c r="C83" s="48"/>
      <c r="D83" s="48"/>
      <c r="E83" s="153"/>
      <c r="F83" s="81"/>
      <c r="G83" s="159" t="s">
        <v>220</v>
      </c>
      <c r="H83" s="73" t="s">
        <v>221</v>
      </c>
      <c r="I83" s="99">
        <v>3814289</v>
      </c>
      <c r="J83" s="421">
        <v>495857.57</v>
      </c>
      <c r="K83" s="94">
        <f>J83+I83</f>
        <v>4310146.57</v>
      </c>
      <c r="L83" s="112"/>
      <c r="M83" s="112"/>
      <c r="N83" s="112"/>
      <c r="O83" s="112"/>
      <c r="P83" s="112"/>
      <c r="Q83" s="112">
        <v>-2990515.18</v>
      </c>
      <c r="R83" s="112">
        <f>K83-L83-M83-N83-O83+Q83+K84+K85+K86</f>
        <v>4984191.97</v>
      </c>
      <c r="S83" s="112">
        <v>0</v>
      </c>
      <c r="T83" s="112">
        <v>4984191.97</v>
      </c>
      <c r="U83" s="401">
        <v>0</v>
      </c>
      <c r="V83" s="401">
        <f>R83+S83-T83-U83</f>
        <v>0</v>
      </c>
      <c r="W83" s="45">
        <f>K83+F83+K84+K85+K86</f>
        <v>7974707.15</v>
      </c>
      <c r="X83" s="145">
        <f>T83+F83</f>
        <v>4984191.97</v>
      </c>
      <c r="Y83" s="314">
        <v>7974707.15</v>
      </c>
      <c r="Z83" s="145">
        <v>4984191.97</v>
      </c>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1"/>
      <c r="BC83" s="311"/>
      <c r="BD83" s="311"/>
      <c r="BE83" s="311"/>
      <c r="BF83" s="311"/>
      <c r="BG83" s="311"/>
      <c r="BH83" s="311"/>
      <c r="BI83" s="311"/>
      <c r="BJ83" s="311"/>
      <c r="BK83" s="311"/>
      <c r="BL83" s="311"/>
      <c r="BM83" s="311"/>
      <c r="BN83" s="311"/>
      <c r="BO83" s="311"/>
      <c r="BP83" s="311"/>
      <c r="BQ83" s="311"/>
      <c r="BR83" s="311"/>
      <c r="BS83" s="311"/>
      <c r="BT83" s="311"/>
      <c r="BU83" s="311"/>
      <c r="BV83" s="311"/>
      <c r="BW83" s="311"/>
      <c r="BX83" s="311"/>
      <c r="BY83" s="311"/>
      <c r="BZ83" s="311"/>
      <c r="CA83" s="311"/>
      <c r="CB83" s="311"/>
      <c r="CC83" s="311"/>
      <c r="CD83" s="311"/>
      <c r="CE83" s="311"/>
      <c r="CF83" s="311"/>
      <c r="CG83" s="311"/>
      <c r="CH83" s="311"/>
      <c r="CI83" s="311"/>
      <c r="CJ83" s="311"/>
      <c r="CK83" s="311"/>
      <c r="CL83" s="311"/>
      <c r="CM83" s="311"/>
      <c r="CN83" s="311"/>
      <c r="CO83" s="311"/>
      <c r="CP83" s="311"/>
      <c r="CQ83" s="311"/>
      <c r="CR83" s="311"/>
      <c r="CS83" s="311"/>
      <c r="CT83" s="311"/>
      <c r="CU83" s="311"/>
      <c r="CV83" s="311"/>
      <c r="CW83" s="311"/>
      <c r="CX83" s="311"/>
      <c r="CY83" s="311"/>
      <c r="CZ83" s="311"/>
      <c r="DA83" s="311"/>
      <c r="DB83" s="311"/>
      <c r="DC83" s="311"/>
      <c r="DD83" s="311"/>
      <c r="DE83" s="311"/>
      <c r="DF83" s="311"/>
      <c r="DG83" s="311"/>
      <c r="DH83" s="311"/>
      <c r="DI83" s="311"/>
      <c r="DJ83" s="311"/>
      <c r="DK83" s="311"/>
      <c r="DL83" s="311"/>
      <c r="DM83" s="311"/>
      <c r="DN83" s="311"/>
      <c r="DO83" s="311"/>
      <c r="DP83" s="311"/>
      <c r="DQ83" s="311"/>
      <c r="DR83" s="311"/>
      <c r="DS83" s="311"/>
      <c r="DT83" s="311"/>
      <c r="DU83" s="311"/>
      <c r="DV83" s="311"/>
      <c r="DW83" s="311"/>
      <c r="DX83" s="311"/>
      <c r="DY83" s="311"/>
      <c r="DZ83" s="311"/>
      <c r="EA83" s="311"/>
      <c r="EB83" s="311"/>
      <c r="EC83" s="311"/>
      <c r="ED83" s="311"/>
      <c r="EE83" s="311"/>
      <c r="EF83" s="311"/>
      <c r="EG83" s="311"/>
      <c r="EH83" s="311"/>
      <c r="EI83" s="311"/>
      <c r="EJ83" s="311"/>
      <c r="EK83" s="311"/>
      <c r="EL83" s="311"/>
      <c r="EM83" s="311"/>
      <c r="EN83" s="311"/>
      <c r="EO83" s="311"/>
      <c r="EP83" s="311"/>
      <c r="EQ83" s="311"/>
      <c r="ER83" s="311"/>
      <c r="ES83" s="311"/>
      <c r="ET83" s="311"/>
      <c r="EU83" s="311"/>
      <c r="EV83" s="311"/>
      <c r="EW83" s="311"/>
      <c r="EX83" s="311"/>
      <c r="EY83" s="311"/>
      <c r="EZ83" s="311"/>
      <c r="FA83" s="311"/>
      <c r="FB83" s="311"/>
      <c r="FC83" s="311"/>
      <c r="FD83" s="311"/>
      <c r="FE83" s="311"/>
      <c r="FF83" s="311"/>
      <c r="FG83" s="311"/>
      <c r="FH83" s="311"/>
      <c r="FI83" s="311"/>
      <c r="FJ83" s="311"/>
      <c r="FK83" s="311"/>
      <c r="FL83" s="311"/>
      <c r="FM83" s="311"/>
      <c r="FN83" s="311"/>
      <c r="FO83" s="311"/>
      <c r="FP83" s="311"/>
      <c r="FQ83" s="311"/>
      <c r="FR83" s="311"/>
      <c r="FS83" s="311"/>
      <c r="FT83" s="311"/>
      <c r="FU83" s="311"/>
      <c r="FV83" s="311"/>
      <c r="FW83" s="311"/>
      <c r="FX83" s="311"/>
      <c r="FY83" s="311"/>
      <c r="FZ83" s="311"/>
      <c r="GA83" s="311"/>
      <c r="GB83" s="311"/>
      <c r="GC83" s="311"/>
      <c r="GD83" s="311"/>
      <c r="GE83" s="311"/>
      <c r="GF83" s="311"/>
      <c r="GG83" s="311"/>
      <c r="GH83" s="311"/>
      <c r="GI83" s="311"/>
      <c r="GJ83" s="311"/>
      <c r="GK83" s="311"/>
      <c r="GL83" s="311"/>
      <c r="GM83" s="311"/>
      <c r="GN83" s="311"/>
      <c r="GO83" s="311"/>
      <c r="GP83" s="311"/>
      <c r="GQ83" s="311"/>
      <c r="GR83" s="311"/>
      <c r="GS83" s="311"/>
      <c r="GT83" s="311"/>
      <c r="GU83" s="311"/>
      <c r="GV83" s="311"/>
      <c r="GW83" s="311"/>
      <c r="GX83" s="311"/>
      <c r="GY83" s="311"/>
      <c r="GZ83" s="311"/>
      <c r="HA83" s="311"/>
      <c r="HB83" s="311"/>
      <c r="HC83" s="311"/>
      <c r="HD83" s="311"/>
      <c r="HE83" s="311"/>
      <c r="HF83" s="311"/>
      <c r="HG83" s="311"/>
      <c r="HH83" s="311"/>
      <c r="HI83" s="311"/>
      <c r="HJ83" s="311"/>
      <c r="HK83" s="311"/>
      <c r="HL83" s="311"/>
      <c r="HM83" s="311"/>
      <c r="HN83" s="311"/>
      <c r="HO83" s="311"/>
      <c r="HP83" s="311"/>
      <c r="HQ83" s="311"/>
      <c r="HR83" s="311"/>
      <c r="HS83" s="311"/>
      <c r="HT83" s="311"/>
      <c r="HU83" s="311"/>
      <c r="HV83" s="311"/>
      <c r="HW83" s="311"/>
      <c r="HX83" s="311"/>
      <c r="HY83" s="311"/>
      <c r="HZ83" s="311"/>
      <c r="IA83" s="311"/>
      <c r="IB83" s="311"/>
      <c r="IC83" s="311"/>
      <c r="ID83" s="311"/>
    </row>
    <row r="84" s="23" customFormat="1" ht="42" customHeight="1" spans="1:238">
      <c r="A84" s="48"/>
      <c r="B84" s="48"/>
      <c r="C84" s="48"/>
      <c r="D84" s="48"/>
      <c r="E84" s="153"/>
      <c r="F84" s="81"/>
      <c r="G84" s="175"/>
      <c r="H84" s="73"/>
      <c r="I84" s="99">
        <v>2581578.51</v>
      </c>
      <c r="J84" s="422">
        <v>269332.9</v>
      </c>
      <c r="K84" s="94">
        <f>J84+I84</f>
        <v>2850911.41</v>
      </c>
      <c r="L84" s="113"/>
      <c r="M84" s="113"/>
      <c r="N84" s="113"/>
      <c r="O84" s="113"/>
      <c r="P84" s="113"/>
      <c r="Q84" s="113"/>
      <c r="R84" s="113"/>
      <c r="S84" s="113"/>
      <c r="T84" s="113"/>
      <c r="U84" s="402"/>
      <c r="V84" s="402"/>
      <c r="W84" s="49"/>
      <c r="X84" s="145"/>
      <c r="Y84" s="314"/>
      <c r="Z84" s="145"/>
      <c r="AA84" s="312"/>
      <c r="AB84" s="312"/>
      <c r="AC84" s="312"/>
      <c r="AD84" s="312"/>
      <c r="AE84" s="312"/>
      <c r="AF84" s="312"/>
      <c r="AG84" s="312"/>
      <c r="AH84" s="312"/>
      <c r="AI84" s="312"/>
      <c r="AJ84" s="312"/>
      <c r="AK84" s="312"/>
      <c r="AL84" s="312"/>
      <c r="AM84" s="312"/>
      <c r="AN84" s="312"/>
      <c r="AO84" s="312"/>
      <c r="AP84" s="312"/>
      <c r="AQ84" s="312"/>
      <c r="AR84" s="312"/>
      <c r="AS84" s="312"/>
      <c r="AT84" s="312"/>
      <c r="AU84" s="312"/>
      <c r="AV84" s="312"/>
      <c r="AW84" s="312"/>
      <c r="AX84" s="312"/>
      <c r="AY84" s="312"/>
      <c r="AZ84" s="312"/>
      <c r="BA84" s="312"/>
      <c r="BB84" s="312"/>
      <c r="BC84" s="312"/>
      <c r="BD84" s="312"/>
      <c r="BE84" s="312"/>
      <c r="BF84" s="312"/>
      <c r="BG84" s="312"/>
      <c r="BH84" s="312"/>
      <c r="BI84" s="312"/>
      <c r="BJ84" s="312"/>
      <c r="BK84" s="312"/>
      <c r="BL84" s="312"/>
      <c r="BM84" s="312"/>
      <c r="BN84" s="312"/>
      <c r="BO84" s="312"/>
      <c r="BP84" s="312"/>
      <c r="BQ84" s="312"/>
      <c r="BR84" s="312"/>
      <c r="BS84" s="312"/>
      <c r="BT84" s="312"/>
      <c r="BU84" s="312"/>
      <c r="BV84" s="312"/>
      <c r="BW84" s="312"/>
      <c r="BX84" s="312"/>
      <c r="BY84" s="312"/>
      <c r="BZ84" s="312"/>
      <c r="CA84" s="312"/>
      <c r="CB84" s="312"/>
      <c r="CC84" s="312"/>
      <c r="CD84" s="312"/>
      <c r="CE84" s="312"/>
      <c r="CF84" s="312"/>
      <c r="CG84" s="312"/>
      <c r="CH84" s="312"/>
      <c r="CI84" s="312"/>
      <c r="CJ84" s="312"/>
      <c r="CK84" s="312"/>
      <c r="CL84" s="312"/>
      <c r="CM84" s="312"/>
      <c r="CN84" s="312"/>
      <c r="CO84" s="312"/>
      <c r="CP84" s="312"/>
      <c r="CQ84" s="312"/>
      <c r="CR84" s="312"/>
      <c r="CS84" s="312"/>
      <c r="CT84" s="312"/>
      <c r="CU84" s="312"/>
      <c r="CV84" s="312"/>
      <c r="CW84" s="312"/>
      <c r="CX84" s="312"/>
      <c r="CY84" s="312"/>
      <c r="CZ84" s="312"/>
      <c r="DA84" s="312"/>
      <c r="DB84" s="312"/>
      <c r="DC84" s="312"/>
      <c r="DD84" s="312"/>
      <c r="DE84" s="312"/>
      <c r="DF84" s="312"/>
      <c r="DG84" s="312"/>
      <c r="DH84" s="312"/>
      <c r="DI84" s="312"/>
      <c r="DJ84" s="312"/>
      <c r="DK84" s="312"/>
      <c r="DL84" s="312"/>
      <c r="DM84" s="312"/>
      <c r="DN84" s="312"/>
      <c r="DO84" s="312"/>
      <c r="DP84" s="312"/>
      <c r="DQ84" s="312"/>
      <c r="DR84" s="312"/>
      <c r="DS84" s="312"/>
      <c r="DT84" s="312"/>
      <c r="DU84" s="312"/>
      <c r="DV84" s="312"/>
      <c r="DW84" s="312"/>
      <c r="DX84" s="312"/>
      <c r="DY84" s="312"/>
      <c r="DZ84" s="312"/>
      <c r="EA84" s="312"/>
      <c r="EB84" s="312"/>
      <c r="EC84" s="312"/>
      <c r="ED84" s="312"/>
      <c r="EE84" s="312"/>
      <c r="EF84" s="312"/>
      <c r="EG84" s="312"/>
      <c r="EH84" s="312"/>
      <c r="EI84" s="312"/>
      <c r="EJ84" s="312"/>
      <c r="EK84" s="312"/>
      <c r="EL84" s="312"/>
      <c r="EM84" s="312"/>
      <c r="EN84" s="312"/>
      <c r="EO84" s="312"/>
      <c r="EP84" s="312"/>
      <c r="EQ84" s="312"/>
      <c r="ER84" s="312"/>
      <c r="ES84" s="312"/>
      <c r="ET84" s="312"/>
      <c r="EU84" s="312"/>
      <c r="EV84" s="312"/>
      <c r="EW84" s="312"/>
      <c r="EX84" s="312"/>
      <c r="EY84" s="312"/>
      <c r="EZ84" s="312"/>
      <c r="FA84" s="312"/>
      <c r="FB84" s="312"/>
      <c r="FC84" s="312"/>
      <c r="FD84" s="312"/>
      <c r="FE84" s="312"/>
      <c r="FF84" s="312"/>
      <c r="FG84" s="312"/>
      <c r="FH84" s="312"/>
      <c r="FI84" s="312"/>
      <c r="FJ84" s="312"/>
      <c r="FK84" s="312"/>
      <c r="FL84" s="312"/>
      <c r="FM84" s="312"/>
      <c r="FN84" s="312"/>
      <c r="FO84" s="312"/>
      <c r="FP84" s="312"/>
      <c r="FQ84" s="312"/>
      <c r="FR84" s="312"/>
      <c r="FS84" s="312"/>
      <c r="FT84" s="312"/>
      <c r="FU84" s="312"/>
      <c r="FV84" s="312"/>
      <c r="FW84" s="312"/>
      <c r="FX84" s="312"/>
      <c r="FY84" s="312"/>
      <c r="FZ84" s="312"/>
      <c r="GA84" s="312"/>
      <c r="GB84" s="312"/>
      <c r="GC84" s="312"/>
      <c r="GD84" s="312"/>
      <c r="GE84" s="312"/>
      <c r="GF84" s="312"/>
      <c r="GG84" s="312"/>
      <c r="GH84" s="312"/>
      <c r="GI84" s="312"/>
      <c r="GJ84" s="312"/>
      <c r="GK84" s="312"/>
      <c r="GL84" s="312"/>
      <c r="GM84" s="312"/>
      <c r="GN84" s="312"/>
      <c r="GO84" s="312"/>
      <c r="GP84" s="312"/>
      <c r="GQ84" s="312"/>
      <c r="GR84" s="312"/>
      <c r="GS84" s="312"/>
      <c r="GT84" s="312"/>
      <c r="GU84" s="312"/>
      <c r="GV84" s="312"/>
      <c r="GW84" s="312"/>
      <c r="GX84" s="312"/>
      <c r="GY84" s="312"/>
      <c r="GZ84" s="312"/>
      <c r="HA84" s="312"/>
      <c r="HB84" s="312"/>
      <c r="HC84" s="312"/>
      <c r="HD84" s="312"/>
      <c r="HE84" s="312"/>
      <c r="HF84" s="312"/>
      <c r="HG84" s="312"/>
      <c r="HH84" s="312"/>
      <c r="HI84" s="312"/>
      <c r="HJ84" s="312"/>
      <c r="HK84" s="312"/>
      <c r="HL84" s="312"/>
      <c r="HM84" s="312"/>
      <c r="HN84" s="312"/>
      <c r="HO84" s="312"/>
      <c r="HP84" s="312"/>
      <c r="HQ84" s="312"/>
      <c r="HR84" s="312"/>
      <c r="HS84" s="312"/>
      <c r="HT84" s="312"/>
      <c r="HU84" s="312"/>
      <c r="HV84" s="312"/>
      <c r="HW84" s="312"/>
      <c r="HX84" s="312"/>
      <c r="HY84" s="312"/>
      <c r="HZ84" s="312"/>
      <c r="IA84" s="312"/>
      <c r="IB84" s="312"/>
      <c r="IC84" s="312"/>
      <c r="ID84" s="312"/>
    </row>
    <row r="85" s="23" customFormat="1" ht="42" customHeight="1" spans="1:238">
      <c r="A85" s="48"/>
      <c r="B85" s="48"/>
      <c r="C85" s="48"/>
      <c r="D85" s="48"/>
      <c r="E85" s="153"/>
      <c r="F85" s="81"/>
      <c r="G85" s="175"/>
      <c r="H85" s="73"/>
      <c r="I85" s="99">
        <v>411009.17</v>
      </c>
      <c r="J85" s="423"/>
      <c r="K85" s="94">
        <f>J85+I85</f>
        <v>411009.17</v>
      </c>
      <c r="L85" s="113"/>
      <c r="M85" s="113"/>
      <c r="N85" s="113"/>
      <c r="O85" s="113"/>
      <c r="P85" s="113"/>
      <c r="Q85" s="113"/>
      <c r="R85" s="113"/>
      <c r="S85" s="113"/>
      <c r="T85" s="113"/>
      <c r="U85" s="402"/>
      <c r="V85" s="402"/>
      <c r="W85" s="49"/>
      <c r="X85" s="145"/>
      <c r="Y85" s="314"/>
      <c r="Z85" s="145"/>
      <c r="AA85" s="312"/>
      <c r="AB85" s="312"/>
      <c r="AC85" s="312"/>
      <c r="AD85" s="312"/>
      <c r="AE85" s="312"/>
      <c r="AF85" s="312"/>
      <c r="AG85" s="312"/>
      <c r="AH85" s="312"/>
      <c r="AI85" s="312"/>
      <c r="AJ85" s="312"/>
      <c r="AK85" s="312"/>
      <c r="AL85" s="312"/>
      <c r="AM85" s="312"/>
      <c r="AN85" s="312"/>
      <c r="AO85" s="312"/>
      <c r="AP85" s="312"/>
      <c r="AQ85" s="312"/>
      <c r="AR85" s="312"/>
      <c r="AS85" s="312"/>
      <c r="AT85" s="312"/>
      <c r="AU85" s="312"/>
      <c r="AV85" s="312"/>
      <c r="AW85" s="312"/>
      <c r="AX85" s="312"/>
      <c r="AY85" s="312"/>
      <c r="AZ85" s="312"/>
      <c r="BA85" s="312"/>
      <c r="BB85" s="312"/>
      <c r="BC85" s="312"/>
      <c r="BD85" s="312"/>
      <c r="BE85" s="312"/>
      <c r="BF85" s="312"/>
      <c r="BG85" s="312"/>
      <c r="BH85" s="312"/>
      <c r="BI85" s="312"/>
      <c r="BJ85" s="312"/>
      <c r="BK85" s="312"/>
      <c r="BL85" s="312"/>
      <c r="BM85" s="312"/>
      <c r="BN85" s="312"/>
      <c r="BO85" s="312"/>
      <c r="BP85" s="312"/>
      <c r="BQ85" s="312"/>
      <c r="BR85" s="312"/>
      <c r="BS85" s="312"/>
      <c r="BT85" s="312"/>
      <c r="BU85" s="312"/>
      <c r="BV85" s="312"/>
      <c r="BW85" s="312"/>
      <c r="BX85" s="312"/>
      <c r="BY85" s="312"/>
      <c r="BZ85" s="312"/>
      <c r="CA85" s="312"/>
      <c r="CB85" s="312"/>
      <c r="CC85" s="312"/>
      <c r="CD85" s="312"/>
      <c r="CE85" s="312"/>
      <c r="CF85" s="312"/>
      <c r="CG85" s="312"/>
      <c r="CH85" s="312"/>
      <c r="CI85" s="312"/>
      <c r="CJ85" s="312"/>
      <c r="CK85" s="312"/>
      <c r="CL85" s="312"/>
      <c r="CM85" s="312"/>
      <c r="CN85" s="312"/>
      <c r="CO85" s="312"/>
      <c r="CP85" s="312"/>
      <c r="CQ85" s="312"/>
      <c r="CR85" s="312"/>
      <c r="CS85" s="312"/>
      <c r="CT85" s="312"/>
      <c r="CU85" s="312"/>
      <c r="CV85" s="312"/>
      <c r="CW85" s="312"/>
      <c r="CX85" s="312"/>
      <c r="CY85" s="312"/>
      <c r="CZ85" s="312"/>
      <c r="DA85" s="312"/>
      <c r="DB85" s="312"/>
      <c r="DC85" s="312"/>
      <c r="DD85" s="312"/>
      <c r="DE85" s="312"/>
      <c r="DF85" s="312"/>
      <c r="DG85" s="312"/>
      <c r="DH85" s="312"/>
      <c r="DI85" s="312"/>
      <c r="DJ85" s="312"/>
      <c r="DK85" s="312"/>
      <c r="DL85" s="312"/>
      <c r="DM85" s="312"/>
      <c r="DN85" s="312"/>
      <c r="DO85" s="312"/>
      <c r="DP85" s="312"/>
      <c r="DQ85" s="312"/>
      <c r="DR85" s="312"/>
      <c r="DS85" s="312"/>
      <c r="DT85" s="312"/>
      <c r="DU85" s="312"/>
      <c r="DV85" s="312"/>
      <c r="DW85" s="312"/>
      <c r="DX85" s="312"/>
      <c r="DY85" s="312"/>
      <c r="DZ85" s="312"/>
      <c r="EA85" s="312"/>
      <c r="EB85" s="312"/>
      <c r="EC85" s="312"/>
      <c r="ED85" s="312"/>
      <c r="EE85" s="312"/>
      <c r="EF85" s="312"/>
      <c r="EG85" s="312"/>
      <c r="EH85" s="312"/>
      <c r="EI85" s="312"/>
      <c r="EJ85" s="312"/>
      <c r="EK85" s="312"/>
      <c r="EL85" s="312"/>
      <c r="EM85" s="312"/>
      <c r="EN85" s="312"/>
      <c r="EO85" s="312"/>
      <c r="EP85" s="312"/>
      <c r="EQ85" s="312"/>
      <c r="ER85" s="312"/>
      <c r="ES85" s="312"/>
      <c r="ET85" s="312"/>
      <c r="EU85" s="312"/>
      <c r="EV85" s="312"/>
      <c r="EW85" s="312"/>
      <c r="EX85" s="312"/>
      <c r="EY85" s="312"/>
      <c r="EZ85" s="312"/>
      <c r="FA85" s="312"/>
      <c r="FB85" s="312"/>
      <c r="FC85" s="312"/>
      <c r="FD85" s="312"/>
      <c r="FE85" s="312"/>
      <c r="FF85" s="312"/>
      <c r="FG85" s="312"/>
      <c r="FH85" s="312"/>
      <c r="FI85" s="312"/>
      <c r="FJ85" s="312"/>
      <c r="FK85" s="312"/>
      <c r="FL85" s="312"/>
      <c r="FM85" s="312"/>
      <c r="FN85" s="312"/>
      <c r="FO85" s="312"/>
      <c r="FP85" s="312"/>
      <c r="FQ85" s="312"/>
      <c r="FR85" s="312"/>
      <c r="FS85" s="312"/>
      <c r="FT85" s="312"/>
      <c r="FU85" s="312"/>
      <c r="FV85" s="312"/>
      <c r="FW85" s="312"/>
      <c r="FX85" s="312"/>
      <c r="FY85" s="312"/>
      <c r="FZ85" s="312"/>
      <c r="GA85" s="312"/>
      <c r="GB85" s="312"/>
      <c r="GC85" s="312"/>
      <c r="GD85" s="312"/>
      <c r="GE85" s="312"/>
      <c r="GF85" s="312"/>
      <c r="GG85" s="312"/>
      <c r="GH85" s="312"/>
      <c r="GI85" s="312"/>
      <c r="GJ85" s="312"/>
      <c r="GK85" s="312"/>
      <c r="GL85" s="312"/>
      <c r="GM85" s="312"/>
      <c r="GN85" s="312"/>
      <c r="GO85" s="312"/>
      <c r="GP85" s="312"/>
      <c r="GQ85" s="312"/>
      <c r="GR85" s="312"/>
      <c r="GS85" s="312"/>
      <c r="GT85" s="312"/>
      <c r="GU85" s="312"/>
      <c r="GV85" s="312"/>
      <c r="GW85" s="312"/>
      <c r="GX85" s="312"/>
      <c r="GY85" s="312"/>
      <c r="GZ85" s="312"/>
      <c r="HA85" s="312"/>
      <c r="HB85" s="312"/>
      <c r="HC85" s="312"/>
      <c r="HD85" s="312"/>
      <c r="HE85" s="312"/>
      <c r="HF85" s="312"/>
      <c r="HG85" s="312"/>
      <c r="HH85" s="312"/>
      <c r="HI85" s="312"/>
      <c r="HJ85" s="312"/>
      <c r="HK85" s="312"/>
      <c r="HL85" s="312"/>
      <c r="HM85" s="312"/>
      <c r="HN85" s="312"/>
      <c r="HO85" s="312"/>
      <c r="HP85" s="312"/>
      <c r="HQ85" s="312"/>
      <c r="HR85" s="312"/>
      <c r="HS85" s="312"/>
      <c r="HT85" s="312"/>
      <c r="HU85" s="312"/>
      <c r="HV85" s="312"/>
      <c r="HW85" s="312"/>
      <c r="HX85" s="312"/>
      <c r="HY85" s="312"/>
      <c r="HZ85" s="312"/>
      <c r="IA85" s="312"/>
      <c r="IB85" s="312"/>
      <c r="IC85" s="312"/>
      <c r="ID85" s="312"/>
    </row>
    <row r="86" s="23" customFormat="1" ht="42" customHeight="1" spans="1:238">
      <c r="A86" s="153"/>
      <c r="B86" s="153"/>
      <c r="C86" s="153"/>
      <c r="D86" s="153"/>
      <c r="E86" s="153"/>
      <c r="F86" s="81"/>
      <c r="G86" s="175"/>
      <c r="H86" s="73"/>
      <c r="I86" s="99">
        <v>379849.06</v>
      </c>
      <c r="J86" s="421">
        <v>22790.94</v>
      </c>
      <c r="K86" s="94">
        <f>J86+I86</f>
        <v>402640</v>
      </c>
      <c r="L86" s="114"/>
      <c r="M86" s="114"/>
      <c r="N86" s="114"/>
      <c r="O86" s="114"/>
      <c r="P86" s="114"/>
      <c r="Q86" s="114"/>
      <c r="R86" s="114"/>
      <c r="S86" s="114"/>
      <c r="T86" s="114"/>
      <c r="U86" s="416"/>
      <c r="V86" s="416"/>
      <c r="W86" s="81"/>
      <c r="X86" s="145"/>
      <c r="Y86" s="314"/>
      <c r="Z86" s="145"/>
      <c r="AA86" s="312"/>
      <c r="AB86" s="312"/>
      <c r="AC86" s="312"/>
      <c r="AD86" s="312"/>
      <c r="AE86" s="312"/>
      <c r="AF86" s="312"/>
      <c r="AG86" s="312"/>
      <c r="AH86" s="312"/>
      <c r="AI86" s="312"/>
      <c r="AJ86" s="312"/>
      <c r="AK86" s="312"/>
      <c r="AL86" s="312"/>
      <c r="AM86" s="312"/>
      <c r="AN86" s="312"/>
      <c r="AO86" s="312"/>
      <c r="AP86" s="312"/>
      <c r="AQ86" s="312"/>
      <c r="AR86" s="312"/>
      <c r="AS86" s="312"/>
      <c r="AT86" s="312"/>
      <c r="AU86" s="312"/>
      <c r="AV86" s="312"/>
      <c r="AW86" s="312"/>
      <c r="AX86" s="312"/>
      <c r="AY86" s="312"/>
      <c r="AZ86" s="312"/>
      <c r="BA86" s="312"/>
      <c r="BB86" s="312"/>
      <c r="BC86" s="312"/>
      <c r="BD86" s="312"/>
      <c r="BE86" s="312"/>
      <c r="BF86" s="312"/>
      <c r="BG86" s="312"/>
      <c r="BH86" s="312"/>
      <c r="BI86" s="312"/>
      <c r="BJ86" s="312"/>
      <c r="BK86" s="312"/>
      <c r="BL86" s="312"/>
      <c r="BM86" s="312"/>
      <c r="BN86" s="312"/>
      <c r="BO86" s="312"/>
      <c r="BP86" s="312"/>
      <c r="BQ86" s="312"/>
      <c r="BR86" s="312"/>
      <c r="BS86" s="312"/>
      <c r="BT86" s="312"/>
      <c r="BU86" s="312"/>
      <c r="BV86" s="312"/>
      <c r="BW86" s="312"/>
      <c r="BX86" s="312"/>
      <c r="BY86" s="312"/>
      <c r="BZ86" s="312"/>
      <c r="CA86" s="312"/>
      <c r="CB86" s="312"/>
      <c r="CC86" s="312"/>
      <c r="CD86" s="312"/>
      <c r="CE86" s="312"/>
      <c r="CF86" s="312"/>
      <c r="CG86" s="312"/>
      <c r="CH86" s="312"/>
      <c r="CI86" s="312"/>
      <c r="CJ86" s="312"/>
      <c r="CK86" s="312"/>
      <c r="CL86" s="312"/>
      <c r="CM86" s="312"/>
      <c r="CN86" s="312"/>
      <c r="CO86" s="312"/>
      <c r="CP86" s="312"/>
      <c r="CQ86" s="312"/>
      <c r="CR86" s="312"/>
      <c r="CS86" s="312"/>
      <c r="CT86" s="312"/>
      <c r="CU86" s="312"/>
      <c r="CV86" s="312"/>
      <c r="CW86" s="312"/>
      <c r="CX86" s="312"/>
      <c r="CY86" s="312"/>
      <c r="CZ86" s="312"/>
      <c r="DA86" s="312"/>
      <c r="DB86" s="312"/>
      <c r="DC86" s="312"/>
      <c r="DD86" s="312"/>
      <c r="DE86" s="312"/>
      <c r="DF86" s="312"/>
      <c r="DG86" s="312"/>
      <c r="DH86" s="312"/>
      <c r="DI86" s="312"/>
      <c r="DJ86" s="312"/>
      <c r="DK86" s="312"/>
      <c r="DL86" s="312"/>
      <c r="DM86" s="312"/>
      <c r="DN86" s="312"/>
      <c r="DO86" s="312"/>
      <c r="DP86" s="312"/>
      <c r="DQ86" s="312"/>
      <c r="DR86" s="312"/>
      <c r="DS86" s="312"/>
      <c r="DT86" s="312"/>
      <c r="DU86" s="312"/>
      <c r="DV86" s="312"/>
      <c r="DW86" s="312"/>
      <c r="DX86" s="312"/>
      <c r="DY86" s="312"/>
      <c r="DZ86" s="312"/>
      <c r="EA86" s="312"/>
      <c r="EB86" s="312"/>
      <c r="EC86" s="312"/>
      <c r="ED86" s="312"/>
      <c r="EE86" s="312"/>
      <c r="EF86" s="312"/>
      <c r="EG86" s="312"/>
      <c r="EH86" s="312"/>
      <c r="EI86" s="312"/>
      <c r="EJ86" s="312"/>
      <c r="EK86" s="312"/>
      <c r="EL86" s="312"/>
      <c r="EM86" s="312"/>
      <c r="EN86" s="312"/>
      <c r="EO86" s="312"/>
      <c r="EP86" s="312"/>
      <c r="EQ86" s="312"/>
      <c r="ER86" s="312"/>
      <c r="ES86" s="312"/>
      <c r="ET86" s="312"/>
      <c r="EU86" s="312"/>
      <c r="EV86" s="312"/>
      <c r="EW86" s="312"/>
      <c r="EX86" s="312"/>
      <c r="EY86" s="312"/>
      <c r="EZ86" s="312"/>
      <c r="FA86" s="312"/>
      <c r="FB86" s="312"/>
      <c r="FC86" s="312"/>
      <c r="FD86" s="312"/>
      <c r="FE86" s="312"/>
      <c r="FF86" s="312"/>
      <c r="FG86" s="312"/>
      <c r="FH86" s="312"/>
      <c r="FI86" s="312"/>
      <c r="FJ86" s="312"/>
      <c r="FK86" s="312"/>
      <c r="FL86" s="312"/>
      <c r="FM86" s="312"/>
      <c r="FN86" s="312"/>
      <c r="FO86" s="312"/>
      <c r="FP86" s="312"/>
      <c r="FQ86" s="312"/>
      <c r="FR86" s="312"/>
      <c r="FS86" s="312"/>
      <c r="FT86" s="312"/>
      <c r="FU86" s="312"/>
      <c r="FV86" s="312"/>
      <c r="FW86" s="312"/>
      <c r="FX86" s="312"/>
      <c r="FY86" s="312"/>
      <c r="FZ86" s="312"/>
      <c r="GA86" s="312"/>
      <c r="GB86" s="312"/>
      <c r="GC86" s="312"/>
      <c r="GD86" s="312"/>
      <c r="GE86" s="312"/>
      <c r="GF86" s="312"/>
      <c r="GG86" s="312"/>
      <c r="GH86" s="312"/>
      <c r="GI86" s="312"/>
      <c r="GJ86" s="312"/>
      <c r="GK86" s="312"/>
      <c r="GL86" s="312"/>
      <c r="GM86" s="312"/>
      <c r="GN86" s="312"/>
      <c r="GO86" s="312"/>
      <c r="GP86" s="312"/>
      <c r="GQ86" s="312"/>
      <c r="GR86" s="312"/>
      <c r="GS86" s="312"/>
      <c r="GT86" s="312"/>
      <c r="GU86" s="312"/>
      <c r="GV86" s="312"/>
      <c r="GW86" s="312"/>
      <c r="GX86" s="312"/>
      <c r="GY86" s="312"/>
      <c r="GZ86" s="312"/>
      <c r="HA86" s="312"/>
      <c r="HB86" s="312"/>
      <c r="HC86" s="312"/>
      <c r="HD86" s="312"/>
      <c r="HE86" s="312"/>
      <c r="HF86" s="312"/>
      <c r="HG86" s="312"/>
      <c r="HH86" s="312"/>
      <c r="HI86" s="312"/>
      <c r="HJ86" s="312"/>
      <c r="HK86" s="312"/>
      <c r="HL86" s="312"/>
      <c r="HM86" s="312"/>
      <c r="HN86" s="312"/>
      <c r="HO86" s="312"/>
      <c r="HP86" s="312"/>
      <c r="HQ86" s="312"/>
      <c r="HR86" s="312"/>
      <c r="HS86" s="312"/>
      <c r="HT86" s="312"/>
      <c r="HU86" s="312"/>
      <c r="HV86" s="312"/>
      <c r="HW86" s="312"/>
      <c r="HX86" s="312"/>
      <c r="HY86" s="312"/>
      <c r="HZ86" s="312"/>
      <c r="IA86" s="312"/>
      <c r="IB86" s="312"/>
      <c r="IC86" s="312"/>
      <c r="ID86" s="312"/>
    </row>
    <row r="87" s="23" customFormat="1" ht="45" customHeight="1" spans="1:26">
      <c r="A87" s="156">
        <v>26</v>
      </c>
      <c r="B87" s="157" t="s">
        <v>222</v>
      </c>
      <c r="C87" s="158"/>
      <c r="D87" s="157" t="s">
        <v>223</v>
      </c>
      <c r="E87" s="158">
        <v>104523.9</v>
      </c>
      <c r="F87" s="145"/>
      <c r="G87" s="66" t="s">
        <v>224</v>
      </c>
      <c r="H87" s="66" t="s">
        <v>225</v>
      </c>
      <c r="I87" s="94">
        <v>104523.9</v>
      </c>
      <c r="J87" s="94">
        <v>0</v>
      </c>
      <c r="K87" s="94">
        <f>I87+J87</f>
        <v>104523.9</v>
      </c>
      <c r="L87" s="94"/>
      <c r="M87" s="94"/>
      <c r="N87" s="94"/>
      <c r="O87" s="94"/>
      <c r="P87" s="94"/>
      <c r="Q87" s="94"/>
      <c r="R87" s="94">
        <f t="shared" ref="R87:R95" si="26">K87-L87-M87-N87-O87+Q87</f>
        <v>104523.9</v>
      </c>
      <c r="S87" s="108">
        <v>0</v>
      </c>
      <c r="T87" s="94">
        <f>K87</f>
        <v>104523.9</v>
      </c>
      <c r="U87" s="94"/>
      <c r="V87" s="94">
        <f>R87+S87-T87-U87</f>
        <v>0</v>
      </c>
      <c r="W87" s="145">
        <f>K87+F87</f>
        <v>104523.9</v>
      </c>
      <c r="X87" s="145">
        <f>T87+F87</f>
        <v>104523.9</v>
      </c>
      <c r="Y87" s="145"/>
      <c r="Z87" s="145"/>
    </row>
    <row r="88" s="22" customFormat="1" ht="54.4" spans="1:238">
      <c r="A88" s="156">
        <v>23</v>
      </c>
      <c r="B88" s="157" t="s">
        <v>226</v>
      </c>
      <c r="C88" s="158" t="s">
        <v>227</v>
      </c>
      <c r="D88" s="157" t="s">
        <v>228</v>
      </c>
      <c r="E88" s="420">
        <v>7588343.88</v>
      </c>
      <c r="F88" s="256"/>
      <c r="G88" s="74" t="s">
        <v>229</v>
      </c>
      <c r="H88" s="74" t="s">
        <v>230</v>
      </c>
      <c r="I88" s="99">
        <v>6715348.57</v>
      </c>
      <c r="J88" s="99">
        <v>872995.31</v>
      </c>
      <c r="K88" s="94">
        <f>J88+I88</f>
        <v>7588343.88</v>
      </c>
      <c r="L88" s="94"/>
      <c r="M88" s="94">
        <v>379417.19</v>
      </c>
      <c r="N88" s="94"/>
      <c r="O88" s="94"/>
      <c r="P88" s="94"/>
      <c r="Q88" s="94"/>
      <c r="R88" s="94">
        <f t="shared" si="26"/>
        <v>7208926.69</v>
      </c>
      <c r="S88" s="108">
        <v>0</v>
      </c>
      <c r="T88" s="302">
        <v>7208926.69</v>
      </c>
      <c r="U88" s="302"/>
      <c r="V88" s="94">
        <f>R88+S88-T88-U88</f>
        <v>0</v>
      </c>
      <c r="W88" s="145">
        <f>K88+F88</f>
        <v>7588343.88</v>
      </c>
      <c r="X88" s="145">
        <f>T88+F88</f>
        <v>7208926.69</v>
      </c>
      <c r="Y88" s="145">
        <v>7588343.88</v>
      </c>
      <c r="Z88" s="145">
        <f>Y8</f>
        <v>0</v>
      </c>
      <c r="AA88" s="313"/>
      <c r="AB88" s="313"/>
      <c r="AC88" s="313"/>
      <c r="AD88" s="313"/>
      <c r="AE88" s="313"/>
      <c r="AF88" s="313"/>
      <c r="AG88" s="313"/>
      <c r="AH88" s="313"/>
      <c r="AI88" s="313"/>
      <c r="AJ88" s="313"/>
      <c r="AK88" s="313"/>
      <c r="AL88" s="313"/>
      <c r="AM88" s="313"/>
      <c r="AN88" s="313"/>
      <c r="AO88" s="313"/>
      <c r="AP88" s="313"/>
      <c r="AQ88" s="313"/>
      <c r="AR88" s="313"/>
      <c r="AS88" s="313"/>
      <c r="AT88" s="313"/>
      <c r="AU88" s="313"/>
      <c r="AV88" s="313"/>
      <c r="AW88" s="313"/>
      <c r="AX88" s="313"/>
      <c r="AY88" s="313"/>
      <c r="AZ88" s="313"/>
      <c r="BA88" s="313"/>
      <c r="BB88" s="313"/>
      <c r="BC88" s="313"/>
      <c r="BD88" s="313"/>
      <c r="BE88" s="313"/>
      <c r="BF88" s="313"/>
      <c r="BG88" s="313"/>
      <c r="BH88" s="313"/>
      <c r="BI88" s="313"/>
      <c r="BJ88" s="313"/>
      <c r="BK88" s="313"/>
      <c r="BL88" s="313"/>
      <c r="BM88" s="313"/>
      <c r="BN88" s="313"/>
      <c r="BO88" s="313"/>
      <c r="BP88" s="313"/>
      <c r="BQ88" s="313"/>
      <c r="BR88" s="313"/>
      <c r="BS88" s="313"/>
      <c r="BT88" s="313"/>
      <c r="BU88" s="313"/>
      <c r="BV88" s="313"/>
      <c r="BW88" s="313"/>
      <c r="BX88" s="313"/>
      <c r="BY88" s="313"/>
      <c r="BZ88" s="313"/>
      <c r="CA88" s="313"/>
      <c r="CB88" s="313"/>
      <c r="CC88" s="313"/>
      <c r="CD88" s="313"/>
      <c r="CE88" s="313"/>
      <c r="CF88" s="313"/>
      <c r="CG88" s="313"/>
      <c r="CH88" s="313"/>
      <c r="CI88" s="313"/>
      <c r="CJ88" s="313"/>
      <c r="CK88" s="313"/>
      <c r="CL88" s="313"/>
      <c r="CM88" s="313"/>
      <c r="CN88" s="313"/>
      <c r="CO88" s="313"/>
      <c r="CP88" s="313"/>
      <c r="CQ88" s="313"/>
      <c r="CR88" s="313"/>
      <c r="CS88" s="313"/>
      <c r="CT88" s="313"/>
      <c r="CU88" s="313"/>
      <c r="CV88" s="313"/>
      <c r="CW88" s="313"/>
      <c r="CX88" s="313"/>
      <c r="CY88" s="313"/>
      <c r="CZ88" s="313"/>
      <c r="DA88" s="313"/>
      <c r="DB88" s="313"/>
      <c r="DC88" s="313"/>
      <c r="DD88" s="313"/>
      <c r="DE88" s="313"/>
      <c r="DF88" s="313"/>
      <c r="DG88" s="313"/>
      <c r="DH88" s="313"/>
      <c r="DI88" s="313"/>
      <c r="DJ88" s="313"/>
      <c r="DK88" s="313"/>
      <c r="DL88" s="313"/>
      <c r="DM88" s="313"/>
      <c r="DN88" s="313"/>
      <c r="DO88" s="313"/>
      <c r="DP88" s="313"/>
      <c r="DQ88" s="313"/>
      <c r="DR88" s="313"/>
      <c r="DS88" s="313"/>
      <c r="DT88" s="313"/>
      <c r="DU88" s="313"/>
      <c r="DV88" s="313"/>
      <c r="DW88" s="313"/>
      <c r="DX88" s="313"/>
      <c r="DY88" s="313"/>
      <c r="DZ88" s="313"/>
      <c r="EA88" s="313"/>
      <c r="EB88" s="313"/>
      <c r="EC88" s="313"/>
      <c r="ED88" s="313"/>
      <c r="EE88" s="313"/>
      <c r="EF88" s="313"/>
      <c r="EG88" s="313"/>
      <c r="EH88" s="313"/>
      <c r="EI88" s="313"/>
      <c r="EJ88" s="313"/>
      <c r="EK88" s="313"/>
      <c r="EL88" s="313"/>
      <c r="EM88" s="313"/>
      <c r="EN88" s="313"/>
      <c r="EO88" s="313"/>
      <c r="EP88" s="313"/>
      <c r="EQ88" s="313"/>
      <c r="ER88" s="313"/>
      <c r="ES88" s="313"/>
      <c r="ET88" s="313"/>
      <c r="EU88" s="313"/>
      <c r="EV88" s="313"/>
      <c r="EW88" s="313"/>
      <c r="EX88" s="313"/>
      <c r="EY88" s="313"/>
      <c r="EZ88" s="313"/>
      <c r="FA88" s="313"/>
      <c r="FB88" s="313"/>
      <c r="FC88" s="313"/>
      <c r="FD88" s="313"/>
      <c r="FE88" s="313"/>
      <c r="FF88" s="313"/>
      <c r="FG88" s="313"/>
      <c r="FH88" s="313"/>
      <c r="FI88" s="313"/>
      <c r="FJ88" s="313"/>
      <c r="FK88" s="313"/>
      <c r="FL88" s="313"/>
      <c r="FM88" s="313"/>
      <c r="FN88" s="313"/>
      <c r="FO88" s="313"/>
      <c r="FP88" s="313"/>
      <c r="FQ88" s="313"/>
      <c r="FR88" s="313"/>
      <c r="FS88" s="313"/>
      <c r="FT88" s="313"/>
      <c r="FU88" s="313"/>
      <c r="FV88" s="313"/>
      <c r="FW88" s="313"/>
      <c r="FX88" s="313"/>
      <c r="FY88" s="313"/>
      <c r="FZ88" s="313"/>
      <c r="GA88" s="313"/>
      <c r="GB88" s="313"/>
      <c r="GC88" s="313"/>
      <c r="GD88" s="313"/>
      <c r="GE88" s="313"/>
      <c r="GF88" s="313"/>
      <c r="GG88" s="313"/>
      <c r="GH88" s="313"/>
      <c r="GI88" s="313"/>
      <c r="GJ88" s="313"/>
      <c r="GK88" s="313"/>
      <c r="GL88" s="313"/>
      <c r="GM88" s="313"/>
      <c r="GN88" s="313"/>
      <c r="GO88" s="313"/>
      <c r="GP88" s="313"/>
      <c r="GQ88" s="313"/>
      <c r="GR88" s="313"/>
      <c r="GS88" s="313"/>
      <c r="GT88" s="313"/>
      <c r="GU88" s="313"/>
      <c r="GV88" s="313"/>
      <c r="GW88" s="313"/>
      <c r="GX88" s="313"/>
      <c r="GY88" s="313"/>
      <c r="GZ88" s="313"/>
      <c r="HA88" s="313"/>
      <c r="HB88" s="313"/>
      <c r="HC88" s="313"/>
      <c r="HD88" s="313"/>
      <c r="HE88" s="313"/>
      <c r="HF88" s="313"/>
      <c r="HG88" s="313"/>
      <c r="HH88" s="313"/>
      <c r="HI88" s="313"/>
      <c r="HJ88" s="313"/>
      <c r="HK88" s="313"/>
      <c r="HL88" s="313"/>
      <c r="HM88" s="313"/>
      <c r="HN88" s="313"/>
      <c r="HO88" s="313"/>
      <c r="HP88" s="313"/>
      <c r="HQ88" s="313"/>
      <c r="HR88" s="313"/>
      <c r="HS88" s="313"/>
      <c r="HT88" s="313"/>
      <c r="HU88" s="313"/>
      <c r="HV88" s="313"/>
      <c r="HW88" s="313"/>
      <c r="HX88" s="313"/>
      <c r="HY88" s="313"/>
      <c r="HZ88" s="313"/>
      <c r="IA88" s="313"/>
      <c r="IB88" s="313"/>
      <c r="IC88" s="313"/>
      <c r="ID88" s="313"/>
    </row>
    <row r="89" s="22" customFormat="1" ht="54" spans="1:26">
      <c r="A89" s="156">
        <v>24</v>
      </c>
      <c r="B89" s="157" t="s">
        <v>231</v>
      </c>
      <c r="C89" s="158" t="s">
        <v>232</v>
      </c>
      <c r="D89" s="157" t="s">
        <v>233</v>
      </c>
      <c r="E89" s="158">
        <v>371000</v>
      </c>
      <c r="F89" s="145"/>
      <c r="G89" s="72" t="s">
        <v>234</v>
      </c>
      <c r="H89" s="66" t="s">
        <v>235</v>
      </c>
      <c r="I89" s="94">
        <f>K89-J89</f>
        <v>349999.99</v>
      </c>
      <c r="J89" s="94">
        <v>21000.01</v>
      </c>
      <c r="K89" s="94">
        <v>371000</v>
      </c>
      <c r="L89" s="94">
        <v>0</v>
      </c>
      <c r="M89" s="94">
        <v>0</v>
      </c>
      <c r="N89" s="94">
        <v>0</v>
      </c>
      <c r="O89" s="94">
        <v>0</v>
      </c>
      <c r="P89" s="94"/>
      <c r="Q89" s="94">
        <v>0</v>
      </c>
      <c r="R89" s="94">
        <f t="shared" si="26"/>
        <v>371000</v>
      </c>
      <c r="S89" s="108">
        <v>0</v>
      </c>
      <c r="T89" s="94">
        <v>371000</v>
      </c>
      <c r="U89" s="405"/>
      <c r="V89" s="94">
        <f>R89+S89-T89-U89</f>
        <v>0</v>
      </c>
      <c r="W89" s="145">
        <f>K89+F89</f>
        <v>371000</v>
      </c>
      <c r="X89" s="145">
        <f>T89+F89</f>
        <v>371000</v>
      </c>
      <c r="Y89" s="145">
        <v>371000</v>
      </c>
      <c r="Z89" s="145">
        <v>371000</v>
      </c>
    </row>
    <row r="90" s="22" customFormat="1" ht="61" customHeight="1" spans="1:26">
      <c r="A90" s="156">
        <v>25</v>
      </c>
      <c r="B90" s="157" t="s">
        <v>236</v>
      </c>
      <c r="C90" s="158" t="s">
        <v>237</v>
      </c>
      <c r="D90" s="165" t="s">
        <v>154</v>
      </c>
      <c r="E90" s="158">
        <v>98000</v>
      </c>
      <c r="F90" s="145"/>
      <c r="G90" s="72" t="s">
        <v>238</v>
      </c>
      <c r="H90" s="66" t="s">
        <v>239</v>
      </c>
      <c r="I90" s="94">
        <f>98000-J90</f>
        <v>92452.83</v>
      </c>
      <c r="J90" s="94">
        <v>5547.17</v>
      </c>
      <c r="K90" s="94">
        <f>I90+J90</f>
        <v>98000</v>
      </c>
      <c r="L90" s="94"/>
      <c r="M90" s="94"/>
      <c r="N90" s="94"/>
      <c r="O90" s="94"/>
      <c r="P90" s="94"/>
      <c r="Q90" s="94"/>
      <c r="R90" s="94">
        <f t="shared" si="26"/>
        <v>98000</v>
      </c>
      <c r="S90" s="108">
        <v>0</v>
      </c>
      <c r="T90" s="94">
        <f>K90+Q90</f>
        <v>98000</v>
      </c>
      <c r="U90" s="405"/>
      <c r="V90" s="94">
        <f>R90+S90-T90-U90</f>
        <v>0</v>
      </c>
      <c r="W90" s="145">
        <f>K90+F90</f>
        <v>98000</v>
      </c>
      <c r="X90" s="145">
        <f>T90+F90</f>
        <v>98000</v>
      </c>
      <c r="Y90" s="145">
        <v>98000</v>
      </c>
      <c r="Z90" s="145">
        <v>98000</v>
      </c>
    </row>
    <row r="91" s="23" customFormat="1" ht="45" customHeight="1" spans="1:26">
      <c r="A91" s="156">
        <v>26</v>
      </c>
      <c r="B91" s="157" t="s">
        <v>166</v>
      </c>
      <c r="C91" s="257" t="s">
        <v>240</v>
      </c>
      <c r="D91" s="157" t="s">
        <v>168</v>
      </c>
      <c r="E91" s="258">
        <v>9654.85</v>
      </c>
      <c r="F91" s="258"/>
      <c r="G91" s="50" t="s">
        <v>241</v>
      </c>
      <c r="H91" s="50" t="s">
        <v>242</v>
      </c>
      <c r="I91" s="108">
        <v>9108.34905660377</v>
      </c>
      <c r="J91" s="108">
        <v>546.500943396226</v>
      </c>
      <c r="K91" s="94">
        <f>I91+J91</f>
        <v>9654.85</v>
      </c>
      <c r="L91" s="94">
        <v>0</v>
      </c>
      <c r="M91" s="94">
        <v>0</v>
      </c>
      <c r="N91" s="94">
        <v>0</v>
      </c>
      <c r="O91" s="94">
        <v>0</v>
      </c>
      <c r="P91" s="94"/>
      <c r="Q91" s="94">
        <v>0</v>
      </c>
      <c r="R91" s="94">
        <f t="shared" si="26"/>
        <v>9654.85</v>
      </c>
      <c r="S91" s="108">
        <v>0</v>
      </c>
      <c r="T91" s="108">
        <v>9654.85</v>
      </c>
      <c r="U91" s="108"/>
      <c r="V91" s="94">
        <f>R91+S91-T91-U91</f>
        <v>0</v>
      </c>
      <c r="W91" s="145">
        <f>K91+F91</f>
        <v>9654.85</v>
      </c>
      <c r="X91" s="145">
        <f>T91+F91</f>
        <v>9654.85</v>
      </c>
      <c r="Y91" s="145">
        <v>9654.85</v>
      </c>
      <c r="Z91" s="145">
        <v>9654.85</v>
      </c>
    </row>
    <row r="92" s="23" customFormat="1" ht="45" customHeight="1" spans="1:26">
      <c r="A92" s="156">
        <v>27</v>
      </c>
      <c r="B92" s="393" t="s">
        <v>243</v>
      </c>
      <c r="C92" s="483"/>
      <c r="D92" s="166" t="s">
        <v>244</v>
      </c>
      <c r="E92" s="258"/>
      <c r="F92" s="258"/>
      <c r="G92" s="74" t="s">
        <v>245</v>
      </c>
      <c r="H92" s="74" t="s">
        <v>246</v>
      </c>
      <c r="I92" s="94">
        <v>575745.13</v>
      </c>
      <c r="J92" s="94">
        <f>K92-I92</f>
        <v>74846.87</v>
      </c>
      <c r="K92" s="94">
        <v>650592</v>
      </c>
      <c r="L92" s="94">
        <v>0</v>
      </c>
      <c r="M92" s="94">
        <v>0</v>
      </c>
      <c r="N92" s="94">
        <v>0</v>
      </c>
      <c r="O92" s="94">
        <v>72288</v>
      </c>
      <c r="P92" s="94"/>
      <c r="Q92" s="108">
        <v>0</v>
      </c>
      <c r="R92" s="94">
        <f t="shared" si="26"/>
        <v>578304</v>
      </c>
      <c r="S92" s="108">
        <v>0</v>
      </c>
      <c r="T92" s="108">
        <v>379417.19</v>
      </c>
      <c r="U92" s="425"/>
      <c r="V92" s="94">
        <f t="shared" ref="V92:V99" si="27">R92+S92-T92-U92</f>
        <v>198886.81</v>
      </c>
      <c r="W92" s="145">
        <f>K92</f>
        <v>650592</v>
      </c>
      <c r="X92" s="145">
        <f>T92+U92</f>
        <v>379417.19</v>
      </c>
      <c r="Y92" s="145"/>
      <c r="Z92" s="145"/>
    </row>
    <row r="93" s="23" customFormat="1" ht="45" customHeight="1" spans="1:26">
      <c r="A93" s="156">
        <v>28</v>
      </c>
      <c r="B93" s="216" t="s">
        <v>196</v>
      </c>
      <c r="C93" s="217"/>
      <c r="D93" s="218"/>
      <c r="E93" s="258">
        <v>10000</v>
      </c>
      <c r="F93" s="258"/>
      <c r="G93" s="50" t="s">
        <v>197</v>
      </c>
      <c r="H93" s="51" t="s">
        <v>198</v>
      </c>
      <c r="I93" s="108">
        <v>3952.44</v>
      </c>
      <c r="J93" s="108"/>
      <c r="K93" s="94">
        <f t="shared" ref="K93:K99" si="28">I93+J93</f>
        <v>3952.44</v>
      </c>
      <c r="L93" s="94">
        <v>0</v>
      </c>
      <c r="M93" s="94">
        <v>0</v>
      </c>
      <c r="N93" s="94">
        <v>0</v>
      </c>
      <c r="O93" s="94">
        <v>0</v>
      </c>
      <c r="P93" s="94"/>
      <c r="Q93" s="94">
        <v>0</v>
      </c>
      <c r="R93" s="94">
        <f t="shared" si="26"/>
        <v>3952.44</v>
      </c>
      <c r="S93" s="108">
        <v>0</v>
      </c>
      <c r="T93" s="108">
        <v>3952.44</v>
      </c>
      <c r="U93" s="108"/>
      <c r="V93" s="94">
        <f t="shared" si="27"/>
        <v>0</v>
      </c>
      <c r="W93" s="145">
        <f>K93+F93</f>
        <v>3952.44</v>
      </c>
      <c r="X93" s="145">
        <f t="shared" ref="X93:X98" si="29">T93+F93</f>
        <v>3952.44</v>
      </c>
      <c r="Y93" s="145">
        <v>10000</v>
      </c>
      <c r="Z93" s="145">
        <v>10000</v>
      </c>
    </row>
    <row r="94" s="23" customFormat="1" ht="45" customHeight="1" spans="1:26">
      <c r="A94" s="156">
        <v>29</v>
      </c>
      <c r="B94" s="216" t="s">
        <v>247</v>
      </c>
      <c r="C94" s="217"/>
      <c r="D94" s="218"/>
      <c r="E94" s="258"/>
      <c r="F94" s="258"/>
      <c r="G94" s="188" t="s">
        <v>248</v>
      </c>
      <c r="H94" s="258"/>
      <c r="I94" s="108">
        <f>SUM(I95:I99)</f>
        <v>12013</v>
      </c>
      <c r="J94" s="108">
        <f>J95+J97+J98</f>
        <v>0</v>
      </c>
      <c r="K94" s="108">
        <f t="shared" si="28"/>
        <v>12013</v>
      </c>
      <c r="L94" s="94"/>
      <c r="M94" s="94"/>
      <c r="N94" s="94"/>
      <c r="O94" s="94"/>
      <c r="P94" s="94"/>
      <c r="Q94" s="108"/>
      <c r="R94" s="94">
        <f t="shared" si="26"/>
        <v>12013</v>
      </c>
      <c r="S94" s="108">
        <v>0</v>
      </c>
      <c r="T94" s="94">
        <f>K94+Q94</f>
        <v>12013</v>
      </c>
      <c r="U94" s="94"/>
      <c r="V94" s="94">
        <f t="shared" si="27"/>
        <v>0</v>
      </c>
      <c r="W94" s="145">
        <f>K94+F94</f>
        <v>12013</v>
      </c>
      <c r="X94" s="145">
        <f t="shared" si="29"/>
        <v>12013</v>
      </c>
      <c r="Y94" s="258"/>
      <c r="Z94" s="145"/>
    </row>
    <row r="95" s="23" customFormat="1" ht="45" customHeight="1" spans="1:26">
      <c r="A95" s="175"/>
      <c r="B95" s="263" t="s">
        <v>249</v>
      </c>
      <c r="C95" s="264"/>
      <c r="D95" s="265"/>
      <c r="E95" s="258"/>
      <c r="F95" s="258"/>
      <c r="G95" s="188" t="s">
        <v>250</v>
      </c>
      <c r="H95" s="258"/>
      <c r="I95" s="108">
        <v>3770</v>
      </c>
      <c r="J95" s="108"/>
      <c r="K95" s="94">
        <f t="shared" si="28"/>
        <v>3770</v>
      </c>
      <c r="L95" s="94"/>
      <c r="M95" s="94"/>
      <c r="N95" s="94"/>
      <c r="O95" s="94"/>
      <c r="P95" s="94"/>
      <c r="Q95" s="108"/>
      <c r="R95" s="94">
        <f t="shared" si="26"/>
        <v>3770</v>
      </c>
      <c r="S95" s="108">
        <v>0</v>
      </c>
      <c r="T95" s="94">
        <f>K95+Q95</f>
        <v>3770</v>
      </c>
      <c r="U95" s="94"/>
      <c r="V95" s="94">
        <f t="shared" si="27"/>
        <v>0</v>
      </c>
      <c r="W95" s="145">
        <f>K95+F95</f>
        <v>3770</v>
      </c>
      <c r="X95" s="145">
        <f t="shared" si="29"/>
        <v>3770</v>
      </c>
      <c r="Y95" s="258"/>
      <c r="Z95" s="145"/>
    </row>
    <row r="96" s="23" customFormat="1" ht="45" customHeight="1" spans="1:26">
      <c r="A96" s="175"/>
      <c r="B96" s="271"/>
      <c r="C96" s="272"/>
      <c r="D96" s="273"/>
      <c r="E96" s="258"/>
      <c r="F96" s="258"/>
      <c r="G96" s="188" t="s">
        <v>251</v>
      </c>
      <c r="H96" s="258"/>
      <c r="I96" s="108">
        <v>8043</v>
      </c>
      <c r="J96" s="108"/>
      <c r="K96" s="94">
        <f t="shared" si="28"/>
        <v>8043</v>
      </c>
      <c r="L96" s="94"/>
      <c r="M96" s="94"/>
      <c r="N96" s="94"/>
      <c r="O96" s="94"/>
      <c r="P96" s="94"/>
      <c r="Q96" s="108"/>
      <c r="R96" s="94">
        <v>8043</v>
      </c>
      <c r="S96" s="108"/>
      <c r="T96" s="94">
        <v>8043</v>
      </c>
      <c r="U96" s="94"/>
      <c r="V96" s="94">
        <f t="shared" si="27"/>
        <v>0</v>
      </c>
      <c r="W96" s="145">
        <f>K96</f>
        <v>8043</v>
      </c>
      <c r="X96" s="145">
        <f t="shared" si="29"/>
        <v>8043</v>
      </c>
      <c r="Y96" s="258"/>
      <c r="Z96" s="145"/>
    </row>
    <row r="97" s="23" customFormat="1" ht="45" customHeight="1" spans="1:26">
      <c r="A97" s="175"/>
      <c r="B97" s="274" t="s">
        <v>252</v>
      </c>
      <c r="C97" s="275"/>
      <c r="D97" s="276"/>
      <c r="E97" s="258"/>
      <c r="F97" s="258"/>
      <c r="G97" s="188" t="s">
        <v>250</v>
      </c>
      <c r="H97" s="258"/>
      <c r="I97" s="108"/>
      <c r="J97" s="108"/>
      <c r="K97" s="94">
        <f t="shared" si="28"/>
        <v>0</v>
      </c>
      <c r="L97" s="94"/>
      <c r="M97" s="94"/>
      <c r="N97" s="94"/>
      <c r="O97" s="94"/>
      <c r="P97" s="94"/>
      <c r="Q97" s="108"/>
      <c r="R97" s="94">
        <f>K97-L97-M97-N97-O97+Q97</f>
        <v>0</v>
      </c>
      <c r="S97" s="94"/>
      <c r="T97" s="94">
        <f>K97+Q97</f>
        <v>0</v>
      </c>
      <c r="U97" s="94"/>
      <c r="V97" s="94">
        <f t="shared" si="27"/>
        <v>0</v>
      </c>
      <c r="W97" s="145">
        <f>K97+F97</f>
        <v>0</v>
      </c>
      <c r="X97" s="145">
        <f t="shared" si="29"/>
        <v>0</v>
      </c>
      <c r="Y97" s="258"/>
      <c r="Z97" s="145"/>
    </row>
    <row r="98" s="23" customFormat="1" ht="45" customHeight="1" spans="1:26">
      <c r="A98" s="175"/>
      <c r="B98" s="274" t="s">
        <v>253</v>
      </c>
      <c r="C98" s="275"/>
      <c r="D98" s="276"/>
      <c r="E98" s="258"/>
      <c r="F98" s="258"/>
      <c r="G98" s="188" t="s">
        <v>251</v>
      </c>
      <c r="H98" s="258"/>
      <c r="I98" s="108">
        <v>200</v>
      </c>
      <c r="J98" s="108">
        <v>0</v>
      </c>
      <c r="K98" s="94">
        <f t="shared" si="28"/>
        <v>200</v>
      </c>
      <c r="L98" s="94"/>
      <c r="M98" s="94"/>
      <c r="N98" s="94"/>
      <c r="O98" s="94"/>
      <c r="P98" s="94"/>
      <c r="Q98" s="108"/>
      <c r="R98" s="94">
        <f>K98-L98-M98-N98-O98+Q98</f>
        <v>200</v>
      </c>
      <c r="S98" s="94"/>
      <c r="T98" s="94">
        <f>K98+Q98</f>
        <v>200</v>
      </c>
      <c r="U98" s="94"/>
      <c r="V98" s="94">
        <f t="shared" si="27"/>
        <v>0</v>
      </c>
      <c r="W98" s="145">
        <f>K98+F98</f>
        <v>200</v>
      </c>
      <c r="X98" s="145">
        <f t="shared" si="29"/>
        <v>200</v>
      </c>
      <c r="Y98" s="258"/>
      <c r="Z98" s="145"/>
    </row>
    <row r="99" s="23" customFormat="1" ht="45" customHeight="1" spans="1:26">
      <c r="A99" s="175"/>
      <c r="B99" s="274" t="s">
        <v>254</v>
      </c>
      <c r="C99" s="275"/>
      <c r="D99" s="276"/>
      <c r="E99" s="258"/>
      <c r="F99" s="258"/>
      <c r="G99" s="188" t="s">
        <v>250</v>
      </c>
      <c r="H99" s="258"/>
      <c r="I99" s="108"/>
      <c r="J99" s="108"/>
      <c r="K99" s="94">
        <f t="shared" si="28"/>
        <v>0</v>
      </c>
      <c r="L99" s="94"/>
      <c r="M99" s="94"/>
      <c r="N99" s="94"/>
      <c r="O99" s="94"/>
      <c r="P99" s="94"/>
      <c r="Q99" s="108"/>
      <c r="R99" s="94">
        <f>K99</f>
        <v>0</v>
      </c>
      <c r="S99" s="94"/>
      <c r="T99" s="94">
        <f>R99</f>
        <v>0</v>
      </c>
      <c r="U99" s="94"/>
      <c r="V99" s="94">
        <f t="shared" si="27"/>
        <v>0</v>
      </c>
      <c r="W99" s="145"/>
      <c r="X99" s="145"/>
      <c r="Y99" s="258"/>
      <c r="Z99" s="145"/>
    </row>
    <row r="100" s="20" customFormat="1" ht="36" customHeight="1" spans="1:26">
      <c r="A100" s="279" t="s">
        <v>255</v>
      </c>
      <c r="B100" s="280"/>
      <c r="C100" s="280"/>
      <c r="D100" s="280"/>
      <c r="E100" s="280">
        <f t="shared" ref="E100:L100" si="30">SUM(E82:E94)</f>
        <v>18149906.57</v>
      </c>
      <c r="F100" s="280">
        <f t="shared" si="30"/>
        <v>0</v>
      </c>
      <c r="G100" s="280">
        <f t="shared" si="30"/>
        <v>0</v>
      </c>
      <c r="H100" s="482">
        <f t="shared" si="30"/>
        <v>0</v>
      </c>
      <c r="I100" s="300">
        <f t="shared" si="30"/>
        <v>15049869.9490566</v>
      </c>
      <c r="J100" s="300">
        <f t="shared" si="30"/>
        <v>1762917.2709434</v>
      </c>
      <c r="K100" s="300">
        <f t="shared" si="30"/>
        <v>16812787.22</v>
      </c>
      <c r="L100" s="300">
        <f t="shared" si="30"/>
        <v>0</v>
      </c>
      <c r="M100" s="300">
        <f t="shared" ref="L100:Z100" si="31">SUM(M82:M94)</f>
        <v>379417.19</v>
      </c>
      <c r="N100" s="300">
        <f t="shared" si="31"/>
        <v>0</v>
      </c>
      <c r="O100" s="300">
        <f t="shared" si="31"/>
        <v>72288</v>
      </c>
      <c r="P100" s="300">
        <f t="shared" si="31"/>
        <v>0</v>
      </c>
      <c r="Q100" s="300">
        <f t="shared" si="31"/>
        <v>0</v>
      </c>
      <c r="R100" s="300">
        <f t="shared" si="31"/>
        <v>16361082.03</v>
      </c>
      <c r="S100" s="300">
        <f t="shared" si="31"/>
        <v>0</v>
      </c>
      <c r="T100" s="300">
        <f t="shared" si="31"/>
        <v>16162195.22</v>
      </c>
      <c r="U100" s="300">
        <f t="shared" si="31"/>
        <v>0</v>
      </c>
      <c r="V100" s="300">
        <f t="shared" si="31"/>
        <v>198886.81</v>
      </c>
      <c r="W100" s="433">
        <f t="shared" si="31"/>
        <v>16812787.22</v>
      </c>
      <c r="X100" s="433">
        <f t="shared" si="31"/>
        <v>16162195.22</v>
      </c>
      <c r="Y100" s="433">
        <f t="shared" si="31"/>
        <v>16051705.88</v>
      </c>
      <c r="Z100" s="433">
        <f t="shared" si="31"/>
        <v>5472846.82</v>
      </c>
    </row>
    <row r="101" s="1" customFormat="1" ht="36" customHeight="1" spans="1:26">
      <c r="A101" s="283"/>
      <c r="B101" s="216" t="s">
        <v>256</v>
      </c>
      <c r="C101" s="217"/>
      <c r="D101" s="217"/>
      <c r="E101" s="217"/>
      <c r="F101" s="217"/>
      <c r="G101" s="217"/>
      <c r="H101" s="218"/>
      <c r="I101" s="94"/>
      <c r="J101" s="94"/>
      <c r="K101" s="94"/>
      <c r="L101" s="94"/>
      <c r="M101" s="94"/>
      <c r="N101" s="94"/>
      <c r="O101" s="94"/>
      <c r="P101" s="94"/>
      <c r="Q101" s="94"/>
      <c r="R101" s="94">
        <f t="shared" ref="R100:R111" si="32">K101-L101-M101-N101-O101+Q101</f>
        <v>0</v>
      </c>
      <c r="S101" s="94"/>
      <c r="T101" s="94"/>
      <c r="U101" s="94"/>
      <c r="V101" s="94"/>
      <c r="W101" s="45"/>
      <c r="X101" s="45"/>
      <c r="Y101" s="145"/>
      <c r="Z101" s="145"/>
    </row>
    <row r="102" s="22" customFormat="1" ht="42" customHeight="1" spans="1:238">
      <c r="A102" s="156">
        <v>29</v>
      </c>
      <c r="B102" s="157" t="s">
        <v>257</v>
      </c>
      <c r="C102" s="158"/>
      <c r="D102" s="157" t="s">
        <v>98</v>
      </c>
      <c r="E102" s="158">
        <v>58000</v>
      </c>
      <c r="F102" s="158"/>
      <c r="G102" s="157" t="s">
        <v>258</v>
      </c>
      <c r="H102" s="157" t="s">
        <v>259</v>
      </c>
      <c r="I102" s="94">
        <v>54716.98</v>
      </c>
      <c r="J102" s="94">
        <v>3283.02</v>
      </c>
      <c r="K102" s="94">
        <f t="shared" ref="K102:K105" si="33">J102+I102</f>
        <v>58000</v>
      </c>
      <c r="L102" s="237"/>
      <c r="M102" s="237"/>
      <c r="N102" s="237"/>
      <c r="O102" s="237"/>
      <c r="P102" s="237"/>
      <c r="Q102" s="237"/>
      <c r="R102" s="94">
        <f t="shared" si="32"/>
        <v>58000</v>
      </c>
      <c r="S102" s="94"/>
      <c r="T102" s="237">
        <v>58000</v>
      </c>
      <c r="U102" s="237"/>
      <c r="V102" s="237">
        <f>R102+S102-T102-U102</f>
        <v>0</v>
      </c>
      <c r="W102" s="145">
        <f t="shared" ref="W102:W107" si="34">K102+F102</f>
        <v>58000</v>
      </c>
      <c r="X102" s="145">
        <f t="shared" ref="X102:X107" si="35">T102+F102</f>
        <v>58000</v>
      </c>
      <c r="Y102" s="158"/>
      <c r="Z102" s="145">
        <v>0</v>
      </c>
      <c r="AA102" s="311"/>
      <c r="AB102" s="311"/>
      <c r="AC102" s="311"/>
      <c r="AD102" s="311"/>
      <c r="AE102" s="311"/>
      <c r="AF102" s="311"/>
      <c r="AG102" s="311"/>
      <c r="AH102" s="311"/>
      <c r="AI102" s="311"/>
      <c r="AJ102" s="311"/>
      <c r="AK102" s="311"/>
      <c r="AL102" s="311"/>
      <c r="AM102" s="311"/>
      <c r="AN102" s="311"/>
      <c r="AO102" s="311"/>
      <c r="AP102" s="311"/>
      <c r="AQ102" s="311"/>
      <c r="AR102" s="311"/>
      <c r="AS102" s="311"/>
      <c r="AT102" s="311"/>
      <c r="AU102" s="311"/>
      <c r="AV102" s="311"/>
      <c r="AW102" s="311"/>
      <c r="AX102" s="311"/>
      <c r="AY102" s="311"/>
      <c r="AZ102" s="311"/>
      <c r="BA102" s="311"/>
      <c r="BB102" s="311"/>
      <c r="BC102" s="311"/>
      <c r="BD102" s="311"/>
      <c r="BE102" s="311"/>
      <c r="BF102" s="311"/>
      <c r="BG102" s="311"/>
      <c r="BH102" s="311"/>
      <c r="BI102" s="311"/>
      <c r="BJ102" s="311"/>
      <c r="BK102" s="311"/>
      <c r="BL102" s="311"/>
      <c r="BM102" s="311"/>
      <c r="BN102" s="311"/>
      <c r="BO102" s="311"/>
      <c r="BP102" s="311"/>
      <c r="BQ102" s="311"/>
      <c r="BR102" s="311"/>
      <c r="BS102" s="311"/>
      <c r="BT102" s="311"/>
      <c r="BU102" s="311"/>
      <c r="BV102" s="311"/>
      <c r="BW102" s="311"/>
      <c r="BX102" s="311"/>
      <c r="BY102" s="311"/>
      <c r="BZ102" s="311"/>
      <c r="CA102" s="311"/>
      <c r="CB102" s="311"/>
      <c r="CC102" s="311"/>
      <c r="CD102" s="311"/>
      <c r="CE102" s="311"/>
      <c r="CF102" s="311"/>
      <c r="CG102" s="311"/>
      <c r="CH102" s="311"/>
      <c r="CI102" s="311"/>
      <c r="CJ102" s="311"/>
      <c r="CK102" s="311"/>
      <c r="CL102" s="311"/>
      <c r="CM102" s="311"/>
      <c r="CN102" s="311"/>
      <c r="CO102" s="311"/>
      <c r="CP102" s="311"/>
      <c r="CQ102" s="311"/>
      <c r="CR102" s="311"/>
      <c r="CS102" s="311"/>
      <c r="CT102" s="311"/>
      <c r="CU102" s="311"/>
      <c r="CV102" s="311"/>
      <c r="CW102" s="311"/>
      <c r="CX102" s="311"/>
      <c r="CY102" s="311"/>
      <c r="CZ102" s="311"/>
      <c r="DA102" s="311"/>
      <c r="DB102" s="311"/>
      <c r="DC102" s="311"/>
      <c r="DD102" s="311"/>
      <c r="DE102" s="311"/>
      <c r="DF102" s="311"/>
      <c r="DG102" s="311"/>
      <c r="DH102" s="311"/>
      <c r="DI102" s="311"/>
      <c r="DJ102" s="311"/>
      <c r="DK102" s="311"/>
      <c r="DL102" s="311"/>
      <c r="DM102" s="311"/>
      <c r="DN102" s="311"/>
      <c r="DO102" s="311"/>
      <c r="DP102" s="311"/>
      <c r="DQ102" s="311"/>
      <c r="DR102" s="311"/>
      <c r="DS102" s="311"/>
      <c r="DT102" s="311"/>
      <c r="DU102" s="311"/>
      <c r="DV102" s="311"/>
      <c r="DW102" s="311"/>
      <c r="DX102" s="311"/>
      <c r="DY102" s="311"/>
      <c r="DZ102" s="311"/>
      <c r="EA102" s="311"/>
      <c r="EB102" s="311"/>
      <c r="EC102" s="311"/>
      <c r="ED102" s="311"/>
      <c r="EE102" s="311"/>
      <c r="EF102" s="311"/>
      <c r="EG102" s="311"/>
      <c r="EH102" s="311"/>
      <c r="EI102" s="311"/>
      <c r="EJ102" s="311"/>
      <c r="EK102" s="311"/>
      <c r="EL102" s="311"/>
      <c r="EM102" s="311"/>
      <c r="EN102" s="311"/>
      <c r="EO102" s="311"/>
      <c r="EP102" s="311"/>
      <c r="EQ102" s="311"/>
      <c r="ER102" s="311"/>
      <c r="ES102" s="311"/>
      <c r="ET102" s="311"/>
      <c r="EU102" s="311"/>
      <c r="EV102" s="311"/>
      <c r="EW102" s="311"/>
      <c r="EX102" s="311"/>
      <c r="EY102" s="311"/>
      <c r="EZ102" s="311"/>
      <c r="FA102" s="311"/>
      <c r="FB102" s="311"/>
      <c r="FC102" s="311"/>
      <c r="FD102" s="311"/>
      <c r="FE102" s="311"/>
      <c r="FF102" s="311"/>
      <c r="FG102" s="311"/>
      <c r="FH102" s="311"/>
      <c r="FI102" s="311"/>
      <c r="FJ102" s="311"/>
      <c r="FK102" s="311"/>
      <c r="FL102" s="311"/>
      <c r="FM102" s="311"/>
      <c r="FN102" s="311"/>
      <c r="FO102" s="311"/>
      <c r="FP102" s="311"/>
      <c r="FQ102" s="311"/>
      <c r="FR102" s="311"/>
      <c r="FS102" s="311"/>
      <c r="FT102" s="311"/>
      <c r="FU102" s="311"/>
      <c r="FV102" s="311"/>
      <c r="FW102" s="311"/>
      <c r="FX102" s="311"/>
      <c r="FY102" s="311"/>
      <c r="FZ102" s="311"/>
      <c r="GA102" s="311"/>
      <c r="GB102" s="311"/>
      <c r="GC102" s="311"/>
      <c r="GD102" s="311"/>
      <c r="GE102" s="311"/>
      <c r="GF102" s="311"/>
      <c r="GG102" s="311"/>
      <c r="GH102" s="311"/>
      <c r="GI102" s="311"/>
      <c r="GJ102" s="311"/>
      <c r="GK102" s="311"/>
      <c r="GL102" s="311"/>
      <c r="GM102" s="311"/>
      <c r="GN102" s="311"/>
      <c r="GO102" s="311"/>
      <c r="GP102" s="311"/>
      <c r="GQ102" s="311"/>
      <c r="GR102" s="311"/>
      <c r="GS102" s="311"/>
      <c r="GT102" s="311"/>
      <c r="GU102" s="311"/>
      <c r="GV102" s="311"/>
      <c r="GW102" s="311"/>
      <c r="GX102" s="311"/>
      <c r="GY102" s="311"/>
      <c r="GZ102" s="311"/>
      <c r="HA102" s="311"/>
      <c r="HB102" s="311"/>
      <c r="HC102" s="311"/>
      <c r="HD102" s="311"/>
      <c r="HE102" s="311"/>
      <c r="HF102" s="311"/>
      <c r="HG102" s="311"/>
      <c r="HH102" s="311"/>
      <c r="HI102" s="311"/>
      <c r="HJ102" s="311"/>
      <c r="HK102" s="311"/>
      <c r="HL102" s="311"/>
      <c r="HM102" s="311"/>
      <c r="HN102" s="311"/>
      <c r="HO102" s="311"/>
      <c r="HP102" s="311"/>
      <c r="HQ102" s="311"/>
      <c r="HR102" s="311"/>
      <c r="HS102" s="311"/>
      <c r="HT102" s="311"/>
      <c r="HU102" s="311"/>
      <c r="HV102" s="311"/>
      <c r="HW102" s="311"/>
      <c r="HX102" s="311"/>
      <c r="HY102" s="311"/>
      <c r="HZ102" s="311"/>
      <c r="IA102" s="311"/>
      <c r="IB102" s="311"/>
      <c r="IC102" s="311"/>
      <c r="ID102" s="311"/>
    </row>
    <row r="103" s="22" customFormat="1" ht="38" customHeight="1" spans="1:238">
      <c r="A103" s="156">
        <v>30</v>
      </c>
      <c r="B103" s="157" t="s">
        <v>260</v>
      </c>
      <c r="C103" s="158"/>
      <c r="D103" s="157" t="s">
        <v>261</v>
      </c>
      <c r="E103" s="420">
        <v>300000</v>
      </c>
      <c r="F103" s="420"/>
      <c r="G103" s="284" t="s">
        <v>262</v>
      </c>
      <c r="H103" s="461" t="s">
        <v>263</v>
      </c>
      <c r="I103" s="302">
        <v>283018.87</v>
      </c>
      <c r="J103" s="302">
        <v>16981.13</v>
      </c>
      <c r="K103" s="94">
        <f t="shared" si="33"/>
        <v>300000</v>
      </c>
      <c r="L103" s="237"/>
      <c r="M103" s="237"/>
      <c r="N103" s="237"/>
      <c r="O103" s="237"/>
      <c r="P103" s="237"/>
      <c r="Q103" s="310"/>
      <c r="R103" s="94">
        <f t="shared" si="32"/>
        <v>300000</v>
      </c>
      <c r="S103" s="94"/>
      <c r="T103" s="310">
        <v>300000</v>
      </c>
      <c r="U103" s="310"/>
      <c r="V103" s="237">
        <f t="shared" ref="V103:V109" si="36">R103+S103-T103-U103</f>
        <v>0</v>
      </c>
      <c r="W103" s="145">
        <f t="shared" si="34"/>
        <v>300000</v>
      </c>
      <c r="X103" s="145">
        <f t="shared" si="35"/>
        <v>300000</v>
      </c>
      <c r="Y103" s="420"/>
      <c r="Z103" s="145">
        <v>0</v>
      </c>
      <c r="AA103" s="313"/>
      <c r="AB103" s="313"/>
      <c r="AC103" s="313"/>
      <c r="AD103" s="313"/>
      <c r="AE103" s="313"/>
      <c r="AF103" s="313"/>
      <c r="AG103" s="313"/>
      <c r="AH103" s="313"/>
      <c r="AI103" s="313"/>
      <c r="AJ103" s="313"/>
      <c r="AK103" s="313"/>
      <c r="AL103" s="313"/>
      <c r="AM103" s="313"/>
      <c r="AN103" s="313"/>
      <c r="AO103" s="313"/>
      <c r="AP103" s="313"/>
      <c r="AQ103" s="313"/>
      <c r="AR103" s="313"/>
      <c r="AS103" s="313"/>
      <c r="AT103" s="313"/>
      <c r="AU103" s="313"/>
      <c r="AV103" s="313"/>
      <c r="AW103" s="313"/>
      <c r="AX103" s="313"/>
      <c r="AY103" s="313"/>
      <c r="AZ103" s="313"/>
      <c r="BA103" s="313"/>
      <c r="BB103" s="313"/>
      <c r="BC103" s="313"/>
      <c r="BD103" s="313"/>
      <c r="BE103" s="313"/>
      <c r="BF103" s="313"/>
      <c r="BG103" s="313"/>
      <c r="BH103" s="313"/>
      <c r="BI103" s="313"/>
      <c r="BJ103" s="313"/>
      <c r="BK103" s="313"/>
      <c r="BL103" s="313"/>
      <c r="BM103" s="313"/>
      <c r="BN103" s="313"/>
      <c r="BO103" s="313"/>
      <c r="BP103" s="313"/>
      <c r="BQ103" s="313"/>
      <c r="BR103" s="313"/>
      <c r="BS103" s="313"/>
      <c r="BT103" s="313"/>
      <c r="BU103" s="313"/>
      <c r="BV103" s="313"/>
      <c r="BW103" s="313"/>
      <c r="BX103" s="313"/>
      <c r="BY103" s="313"/>
      <c r="BZ103" s="313"/>
      <c r="CA103" s="313"/>
      <c r="CB103" s="313"/>
      <c r="CC103" s="313"/>
      <c r="CD103" s="313"/>
      <c r="CE103" s="313"/>
      <c r="CF103" s="313"/>
      <c r="CG103" s="313"/>
      <c r="CH103" s="313"/>
      <c r="CI103" s="313"/>
      <c r="CJ103" s="313"/>
      <c r="CK103" s="313"/>
      <c r="CL103" s="313"/>
      <c r="CM103" s="313"/>
      <c r="CN103" s="313"/>
      <c r="CO103" s="313"/>
      <c r="CP103" s="313"/>
      <c r="CQ103" s="313"/>
      <c r="CR103" s="313"/>
      <c r="CS103" s="313"/>
      <c r="CT103" s="313"/>
      <c r="CU103" s="313"/>
      <c r="CV103" s="313"/>
      <c r="CW103" s="313"/>
      <c r="CX103" s="313"/>
      <c r="CY103" s="313"/>
      <c r="CZ103" s="313"/>
      <c r="DA103" s="313"/>
      <c r="DB103" s="313"/>
      <c r="DC103" s="313"/>
      <c r="DD103" s="313"/>
      <c r="DE103" s="313"/>
      <c r="DF103" s="313"/>
      <c r="DG103" s="313"/>
      <c r="DH103" s="313"/>
      <c r="DI103" s="313"/>
      <c r="DJ103" s="313"/>
      <c r="DK103" s="313"/>
      <c r="DL103" s="313"/>
      <c r="DM103" s="313"/>
      <c r="DN103" s="313"/>
      <c r="DO103" s="313"/>
      <c r="DP103" s="313"/>
      <c r="DQ103" s="313"/>
      <c r="DR103" s="313"/>
      <c r="DS103" s="313"/>
      <c r="DT103" s="313"/>
      <c r="DU103" s="313"/>
      <c r="DV103" s="313"/>
      <c r="DW103" s="313"/>
      <c r="DX103" s="313"/>
      <c r="DY103" s="313"/>
      <c r="DZ103" s="313"/>
      <c r="EA103" s="313"/>
      <c r="EB103" s="313"/>
      <c r="EC103" s="313"/>
      <c r="ED103" s="313"/>
      <c r="EE103" s="313"/>
      <c r="EF103" s="313"/>
      <c r="EG103" s="313"/>
      <c r="EH103" s="313"/>
      <c r="EI103" s="313"/>
      <c r="EJ103" s="313"/>
      <c r="EK103" s="313"/>
      <c r="EL103" s="313"/>
      <c r="EM103" s="313"/>
      <c r="EN103" s="313"/>
      <c r="EO103" s="313"/>
      <c r="EP103" s="313"/>
      <c r="EQ103" s="313"/>
      <c r="ER103" s="313"/>
      <c r="ES103" s="313"/>
      <c r="ET103" s="313"/>
      <c r="EU103" s="313"/>
      <c r="EV103" s="313"/>
      <c r="EW103" s="313"/>
      <c r="EX103" s="313"/>
      <c r="EY103" s="313"/>
      <c r="EZ103" s="313"/>
      <c r="FA103" s="313"/>
      <c r="FB103" s="313"/>
      <c r="FC103" s="313"/>
      <c r="FD103" s="313"/>
      <c r="FE103" s="313"/>
      <c r="FF103" s="313"/>
      <c r="FG103" s="313"/>
      <c r="FH103" s="313"/>
      <c r="FI103" s="313"/>
      <c r="FJ103" s="313"/>
      <c r="FK103" s="313"/>
      <c r="FL103" s="313"/>
      <c r="FM103" s="313"/>
      <c r="FN103" s="313"/>
      <c r="FO103" s="313"/>
      <c r="FP103" s="313"/>
      <c r="FQ103" s="313"/>
      <c r="FR103" s="313"/>
      <c r="FS103" s="313"/>
      <c r="FT103" s="313"/>
      <c r="FU103" s="313"/>
      <c r="FV103" s="313"/>
      <c r="FW103" s="313"/>
      <c r="FX103" s="313"/>
      <c r="FY103" s="313"/>
      <c r="FZ103" s="313"/>
      <c r="GA103" s="313"/>
      <c r="GB103" s="313"/>
      <c r="GC103" s="313"/>
      <c r="GD103" s="313"/>
      <c r="GE103" s="313"/>
      <c r="GF103" s="313"/>
      <c r="GG103" s="313"/>
      <c r="GH103" s="313"/>
      <c r="GI103" s="313"/>
      <c r="GJ103" s="313"/>
      <c r="GK103" s="313"/>
      <c r="GL103" s="313"/>
      <c r="GM103" s="313"/>
      <c r="GN103" s="313"/>
      <c r="GO103" s="313"/>
      <c r="GP103" s="313"/>
      <c r="GQ103" s="313"/>
      <c r="GR103" s="313"/>
      <c r="GS103" s="313"/>
      <c r="GT103" s="313"/>
      <c r="GU103" s="313"/>
      <c r="GV103" s="313"/>
      <c r="GW103" s="313"/>
      <c r="GX103" s="313"/>
      <c r="GY103" s="313"/>
      <c r="GZ103" s="313"/>
      <c r="HA103" s="313"/>
      <c r="HB103" s="313"/>
      <c r="HC103" s="313"/>
      <c r="HD103" s="313"/>
      <c r="HE103" s="313"/>
      <c r="HF103" s="313"/>
      <c r="HG103" s="313"/>
      <c r="HH103" s="313"/>
      <c r="HI103" s="313"/>
      <c r="HJ103" s="313"/>
      <c r="HK103" s="313"/>
      <c r="HL103" s="313"/>
      <c r="HM103" s="313"/>
      <c r="HN103" s="313"/>
      <c r="HO103" s="313"/>
      <c r="HP103" s="313"/>
      <c r="HQ103" s="313"/>
      <c r="HR103" s="313"/>
      <c r="HS103" s="313"/>
      <c r="HT103" s="313"/>
      <c r="HU103" s="313"/>
      <c r="HV103" s="313"/>
      <c r="HW103" s="313"/>
      <c r="HX103" s="313"/>
      <c r="HY103" s="313"/>
      <c r="HZ103" s="313"/>
      <c r="IA103" s="313"/>
      <c r="IB103" s="313"/>
      <c r="IC103" s="313"/>
      <c r="ID103" s="313"/>
    </row>
    <row r="104" s="22" customFormat="1" ht="53" customHeight="1" spans="1:26">
      <c r="A104" s="156">
        <v>31</v>
      </c>
      <c r="B104" s="157" t="s">
        <v>264</v>
      </c>
      <c r="C104" s="158"/>
      <c r="D104" s="157" t="s">
        <v>265</v>
      </c>
      <c r="E104" s="158">
        <v>140000</v>
      </c>
      <c r="F104" s="158"/>
      <c r="G104" s="157" t="s">
        <v>266</v>
      </c>
      <c r="H104" s="157" t="s">
        <v>267</v>
      </c>
      <c r="I104" s="94">
        <v>132075.47</v>
      </c>
      <c r="J104" s="94">
        <v>7924.53</v>
      </c>
      <c r="K104" s="94">
        <f t="shared" si="33"/>
        <v>140000</v>
      </c>
      <c r="L104" s="237"/>
      <c r="M104" s="237"/>
      <c r="N104" s="237"/>
      <c r="O104" s="237"/>
      <c r="P104" s="237"/>
      <c r="Q104" s="237"/>
      <c r="R104" s="94">
        <f t="shared" si="32"/>
        <v>140000</v>
      </c>
      <c r="S104" s="94"/>
      <c r="T104" s="237">
        <v>140000</v>
      </c>
      <c r="U104" s="237"/>
      <c r="V104" s="237">
        <f t="shared" si="36"/>
        <v>0</v>
      </c>
      <c r="W104" s="145">
        <f t="shared" si="34"/>
        <v>140000</v>
      </c>
      <c r="X104" s="145">
        <f t="shared" si="35"/>
        <v>140000</v>
      </c>
      <c r="Y104" s="158"/>
      <c r="Z104" s="145">
        <v>0</v>
      </c>
    </row>
    <row r="105" s="22" customFormat="1" ht="45" customHeight="1" spans="1:26">
      <c r="A105" s="156">
        <v>32</v>
      </c>
      <c r="B105" s="157" t="s">
        <v>268</v>
      </c>
      <c r="C105" s="158"/>
      <c r="D105" s="157" t="s">
        <v>178</v>
      </c>
      <c r="E105" s="158">
        <v>48000</v>
      </c>
      <c r="F105" s="158"/>
      <c r="G105" s="157" t="s">
        <v>269</v>
      </c>
      <c r="H105" s="157" t="s">
        <v>270</v>
      </c>
      <c r="I105" s="94">
        <v>45283.02</v>
      </c>
      <c r="J105" s="94">
        <v>2716.98</v>
      </c>
      <c r="K105" s="94">
        <f t="shared" si="33"/>
        <v>48000</v>
      </c>
      <c r="L105" s="237"/>
      <c r="M105" s="237"/>
      <c r="N105" s="237"/>
      <c r="O105" s="237"/>
      <c r="P105" s="237"/>
      <c r="Q105" s="237"/>
      <c r="R105" s="94">
        <f t="shared" si="32"/>
        <v>48000</v>
      </c>
      <c r="S105" s="94"/>
      <c r="T105" s="237">
        <v>48000</v>
      </c>
      <c r="U105" s="237"/>
      <c r="V105" s="237">
        <f t="shared" si="36"/>
        <v>0</v>
      </c>
      <c r="W105" s="145">
        <f t="shared" si="34"/>
        <v>48000</v>
      </c>
      <c r="X105" s="145">
        <f t="shared" si="35"/>
        <v>48000</v>
      </c>
      <c r="Y105" s="158"/>
      <c r="Z105" s="145">
        <v>0</v>
      </c>
    </row>
    <row r="106" s="22" customFormat="1" ht="45" customHeight="1" spans="1:26">
      <c r="A106" s="156">
        <v>33</v>
      </c>
      <c r="B106" s="157" t="s">
        <v>271</v>
      </c>
      <c r="C106" s="158"/>
      <c r="D106" s="157" t="s">
        <v>272</v>
      </c>
      <c r="E106" s="158">
        <v>23800</v>
      </c>
      <c r="F106" s="158"/>
      <c r="G106" s="145"/>
      <c r="H106" s="145"/>
      <c r="I106" s="94"/>
      <c r="J106" s="94"/>
      <c r="K106" s="94">
        <f>I106+J106</f>
        <v>0</v>
      </c>
      <c r="L106" s="94"/>
      <c r="M106" s="94"/>
      <c r="N106" s="94"/>
      <c r="O106" s="94"/>
      <c r="P106" s="94"/>
      <c r="Q106" s="94"/>
      <c r="R106" s="94">
        <f t="shared" si="32"/>
        <v>0</v>
      </c>
      <c r="S106" s="94"/>
      <c r="T106" s="94"/>
      <c r="U106" s="94"/>
      <c r="V106" s="237">
        <f t="shared" si="36"/>
        <v>0</v>
      </c>
      <c r="W106" s="145">
        <f t="shared" si="34"/>
        <v>0</v>
      </c>
      <c r="X106" s="145">
        <f t="shared" si="35"/>
        <v>0</v>
      </c>
      <c r="Y106" s="145"/>
      <c r="Z106" s="145"/>
    </row>
    <row r="107" s="22" customFormat="1" ht="45" customHeight="1" spans="1:26">
      <c r="A107" s="156">
        <v>34</v>
      </c>
      <c r="B107" s="157" t="s">
        <v>273</v>
      </c>
      <c r="C107" s="158" t="s">
        <v>274</v>
      </c>
      <c r="D107" s="157" t="s">
        <v>275</v>
      </c>
      <c r="E107" s="158">
        <v>29800</v>
      </c>
      <c r="F107" s="158"/>
      <c r="G107" s="66" t="s">
        <v>276</v>
      </c>
      <c r="H107" s="66" t="s">
        <v>277</v>
      </c>
      <c r="I107" s="94">
        <v>28113.21</v>
      </c>
      <c r="J107" s="94">
        <v>1686.79</v>
      </c>
      <c r="K107" s="94">
        <v>29800</v>
      </c>
      <c r="L107" s="94">
        <v>0</v>
      </c>
      <c r="M107" s="94">
        <v>0</v>
      </c>
      <c r="N107" s="94">
        <v>0</v>
      </c>
      <c r="O107" s="94">
        <v>0</v>
      </c>
      <c r="P107" s="94"/>
      <c r="Q107" s="94">
        <v>0</v>
      </c>
      <c r="R107" s="94">
        <f t="shared" si="32"/>
        <v>29800</v>
      </c>
      <c r="S107" s="94"/>
      <c r="T107" s="94">
        <v>29800</v>
      </c>
      <c r="U107" s="94"/>
      <c r="V107" s="237">
        <f t="shared" si="36"/>
        <v>0</v>
      </c>
      <c r="W107" s="145">
        <f t="shared" si="34"/>
        <v>29800</v>
      </c>
      <c r="X107" s="145">
        <f t="shared" si="35"/>
        <v>29800</v>
      </c>
      <c r="Y107" s="145">
        <v>29800</v>
      </c>
      <c r="Z107" s="145">
        <v>29800</v>
      </c>
    </row>
    <row r="108" s="23" customFormat="1" ht="45" customHeight="1" spans="1:26">
      <c r="A108" s="289">
        <v>35</v>
      </c>
      <c r="B108" s="274" t="s">
        <v>249</v>
      </c>
      <c r="C108" s="275"/>
      <c r="D108" s="276"/>
      <c r="E108" s="428"/>
      <c r="F108" s="428"/>
      <c r="G108" s="145" t="s">
        <v>207</v>
      </c>
      <c r="H108" s="66"/>
      <c r="I108" s="94">
        <v>5480</v>
      </c>
      <c r="J108" s="94">
        <v>0</v>
      </c>
      <c r="K108" s="94">
        <f>J108+I108</f>
        <v>5480</v>
      </c>
      <c r="L108" s="94"/>
      <c r="M108" s="94"/>
      <c r="N108" s="94"/>
      <c r="O108" s="94"/>
      <c r="P108" s="94"/>
      <c r="Q108" s="94"/>
      <c r="R108" s="94">
        <f t="shared" si="32"/>
        <v>5480</v>
      </c>
      <c r="S108" s="94"/>
      <c r="T108" s="94">
        <v>5480</v>
      </c>
      <c r="U108" s="94"/>
      <c r="V108" s="237">
        <f t="shared" si="36"/>
        <v>0</v>
      </c>
      <c r="W108" s="145"/>
      <c r="X108" s="145"/>
      <c r="Y108" s="145">
        <f>837+1273+1170+1100</f>
        <v>4380</v>
      </c>
      <c r="Z108" s="145">
        <f>Y108</f>
        <v>4380</v>
      </c>
    </row>
    <row r="109" s="23" customFormat="1" ht="45" customHeight="1" spans="1:26">
      <c r="A109" s="317"/>
      <c r="B109" s="274" t="s">
        <v>254</v>
      </c>
      <c r="C109" s="275"/>
      <c r="D109" s="276"/>
      <c r="E109" s="158"/>
      <c r="F109" s="158"/>
      <c r="G109" s="66" t="s">
        <v>278</v>
      </c>
      <c r="H109" s="145"/>
      <c r="I109" s="94">
        <v>13509.5</v>
      </c>
      <c r="J109" s="94">
        <f>55.45+15.05</f>
        <v>70.5</v>
      </c>
      <c r="K109" s="94">
        <f>J109+I109</f>
        <v>13580</v>
      </c>
      <c r="L109" s="94"/>
      <c r="M109" s="94"/>
      <c r="N109" s="94"/>
      <c r="O109" s="94"/>
      <c r="P109" s="94"/>
      <c r="Q109" s="94"/>
      <c r="R109" s="94">
        <f t="shared" si="32"/>
        <v>13580</v>
      </c>
      <c r="S109" s="94"/>
      <c r="T109" s="94">
        <v>13580</v>
      </c>
      <c r="U109" s="94"/>
      <c r="V109" s="237">
        <f t="shared" si="36"/>
        <v>0</v>
      </c>
      <c r="W109" s="145">
        <f>K109+F109</f>
        <v>13580</v>
      </c>
      <c r="X109" s="145">
        <f>T109+F109</f>
        <v>13580</v>
      </c>
      <c r="Y109" s="145">
        <v>12000</v>
      </c>
      <c r="Z109" s="145">
        <v>12000</v>
      </c>
    </row>
    <row r="110" s="20" customFormat="1" ht="36" customHeight="1" spans="1:26">
      <c r="A110" s="279" t="s">
        <v>279</v>
      </c>
      <c r="B110" s="280"/>
      <c r="C110" s="280"/>
      <c r="D110" s="280"/>
      <c r="E110" s="280"/>
      <c r="F110" s="280"/>
      <c r="G110" s="280"/>
      <c r="H110" s="482"/>
      <c r="I110" s="300">
        <f>SUM(I101:I109)</f>
        <v>562197.05</v>
      </c>
      <c r="J110" s="300">
        <f t="shared" ref="J110:Z110" si="37">SUM(J101:J109)</f>
        <v>32662.95</v>
      </c>
      <c r="K110" s="300">
        <f t="shared" si="37"/>
        <v>594860</v>
      </c>
      <c r="L110" s="300">
        <f t="shared" si="37"/>
        <v>0</v>
      </c>
      <c r="M110" s="300">
        <f t="shared" si="37"/>
        <v>0</v>
      </c>
      <c r="N110" s="300">
        <f t="shared" si="37"/>
        <v>0</v>
      </c>
      <c r="O110" s="300">
        <f t="shared" si="37"/>
        <v>0</v>
      </c>
      <c r="P110" s="300">
        <f t="shared" si="37"/>
        <v>0</v>
      </c>
      <c r="Q110" s="300">
        <f t="shared" si="37"/>
        <v>0</v>
      </c>
      <c r="R110" s="300">
        <f t="shared" si="37"/>
        <v>594860</v>
      </c>
      <c r="S110" s="300">
        <f t="shared" si="37"/>
        <v>0</v>
      </c>
      <c r="T110" s="300">
        <f t="shared" si="37"/>
        <v>594860</v>
      </c>
      <c r="U110" s="300">
        <f t="shared" si="37"/>
        <v>0</v>
      </c>
      <c r="V110" s="300">
        <f t="shared" si="37"/>
        <v>0</v>
      </c>
      <c r="W110" s="300">
        <f t="shared" si="37"/>
        <v>589380</v>
      </c>
      <c r="X110" s="433">
        <f t="shared" si="37"/>
        <v>589380</v>
      </c>
      <c r="Y110" s="300">
        <f t="shared" si="37"/>
        <v>46180</v>
      </c>
      <c r="Z110" s="300">
        <f t="shared" si="37"/>
        <v>46180</v>
      </c>
    </row>
    <row r="111" s="20" customFormat="1" ht="36" customHeight="1" spans="1:26">
      <c r="A111" s="279" t="s">
        <v>280</v>
      </c>
      <c r="B111" s="280"/>
      <c r="C111" s="280"/>
      <c r="D111" s="280"/>
      <c r="E111" s="280"/>
      <c r="F111" s="484"/>
      <c r="G111" s="346">
        <f>287000000+17000000</f>
        <v>304000000</v>
      </c>
      <c r="H111" s="485">
        <f>K111/G111</f>
        <v>0.999337408355263</v>
      </c>
      <c r="I111" s="346">
        <f>I110+I100+I80</f>
        <v>276211639.289057</v>
      </c>
      <c r="J111" s="346">
        <f t="shared" ref="J111:V111" si="38">J110+J100+J80</f>
        <v>27586932.8509434</v>
      </c>
      <c r="K111" s="346">
        <f t="shared" si="38"/>
        <v>303798572.14</v>
      </c>
      <c r="L111" s="346">
        <f t="shared" si="38"/>
        <v>1853618.97</v>
      </c>
      <c r="M111" s="346">
        <f t="shared" si="38"/>
        <v>379417.19</v>
      </c>
      <c r="N111" s="346">
        <f t="shared" si="38"/>
        <v>0</v>
      </c>
      <c r="O111" s="346">
        <f t="shared" si="38"/>
        <v>1041283.78</v>
      </c>
      <c r="P111" s="346">
        <f t="shared" si="38"/>
        <v>3100</v>
      </c>
      <c r="Q111" s="346">
        <f t="shared" si="38"/>
        <v>116593.5</v>
      </c>
      <c r="R111" s="346">
        <f t="shared" si="38"/>
        <v>298782745.7</v>
      </c>
      <c r="S111" s="346">
        <f t="shared" si="38"/>
        <v>1855000</v>
      </c>
      <c r="T111" s="346">
        <f t="shared" si="38"/>
        <v>266877635.35</v>
      </c>
      <c r="U111" s="346">
        <f t="shared" si="38"/>
        <v>1855000</v>
      </c>
      <c r="V111" s="346">
        <f t="shared" si="38"/>
        <v>31905110.35</v>
      </c>
      <c r="W111" s="433">
        <f>W100+W80+W110</f>
        <v>304825139.14</v>
      </c>
      <c r="X111" s="433">
        <f>X100+X80+X110</f>
        <v>269614794.023333</v>
      </c>
      <c r="Y111" s="434">
        <f>Y110+Y100+Y80</f>
        <v>165468829.48</v>
      </c>
      <c r="Z111" s="433">
        <f>Z100+Z80+Z110</f>
        <v>140211454.7</v>
      </c>
    </row>
    <row r="113" spans="20:22">
      <c r="T113" s="29">
        <f>T111+U111</f>
        <v>268732635.35</v>
      </c>
      <c r="V113" s="493">
        <f>V111+L111+M111+N111+O111+P111</f>
        <v>35182530.29</v>
      </c>
    </row>
    <row r="115" spans="7:22">
      <c r="G115" s="486">
        <f>G111+599600</f>
        <v>304599600</v>
      </c>
      <c r="V115" s="494">
        <v>31761810.36</v>
      </c>
    </row>
    <row r="116" spans="9:23">
      <c r="I116" s="29">
        <f>I111-I110</f>
        <v>275649442.239057</v>
      </c>
      <c r="J116" s="29">
        <f>J111-J110</f>
        <v>27554269.9009434</v>
      </c>
      <c r="K116" s="29">
        <f>K111-K110</f>
        <v>303203712.14</v>
      </c>
      <c r="W116" s="25"/>
    </row>
    <row r="118" ht="15.75" spans="9:12">
      <c r="I118" s="490">
        <f>K110/599600</f>
        <v>0.99209472981988</v>
      </c>
      <c r="L118" s="29"/>
    </row>
    <row r="120" spans="16:19">
      <c r="P120" s="29"/>
      <c r="R120" s="30"/>
      <c r="S120" s="30"/>
    </row>
    <row r="121" spans="16:19">
      <c r="P121" s="29"/>
      <c r="R121" s="30"/>
      <c r="S121" s="30"/>
    </row>
    <row r="122" spans="16:19">
      <c r="P122" s="29"/>
      <c r="R122" s="30"/>
      <c r="S122" s="30"/>
    </row>
    <row r="123" spans="16:19">
      <c r="P123" s="491" t="s">
        <v>281</v>
      </c>
      <c r="Q123" s="495" t="s">
        <v>282</v>
      </c>
      <c r="R123" s="30"/>
      <c r="S123" s="30"/>
    </row>
    <row r="124" ht="15.75" spans="8:19">
      <c r="H124" s="28">
        <f>28700</f>
        <v>28700</v>
      </c>
      <c r="I124" s="29">
        <f>K80/10000</f>
        <v>28639.092492</v>
      </c>
      <c r="J124" s="490">
        <f t="shared" ref="J124:J128" si="39">I124/H124</f>
        <v>0.9978777871777</v>
      </c>
      <c r="K124" s="29">
        <f>(T80+U80)/10000</f>
        <v>25197.558013</v>
      </c>
      <c r="L124" s="490">
        <f>K124/H124</f>
        <v>0.877963693832753</v>
      </c>
      <c r="P124" s="29">
        <f>180000000+75750000</f>
        <v>255750000</v>
      </c>
      <c r="Q124" s="29">
        <v>75750000</v>
      </c>
      <c r="R124" s="30"/>
      <c r="S124" s="30"/>
    </row>
    <row r="125" ht="15.75" spans="8:19">
      <c r="H125" s="28">
        <v>1700</v>
      </c>
      <c r="I125" s="29">
        <f>K100/10000</f>
        <v>1681.278722</v>
      </c>
      <c r="J125" s="490">
        <f t="shared" si="39"/>
        <v>0.988987483529412</v>
      </c>
      <c r="K125" s="29">
        <f>T100/10000</f>
        <v>1616.219522</v>
      </c>
      <c r="L125" s="490">
        <f>K125/H125</f>
        <v>0.950717365882353</v>
      </c>
      <c r="P125" s="29">
        <v>89490000</v>
      </c>
      <c r="Q125" s="29"/>
      <c r="R125" s="30"/>
      <c r="S125" s="30"/>
    </row>
    <row r="126" ht="15.75" spans="8:19">
      <c r="H126" s="28">
        <v>59.96</v>
      </c>
      <c r="I126" s="29">
        <f>K110/10000</f>
        <v>59.486</v>
      </c>
      <c r="J126" s="490">
        <f t="shared" si="39"/>
        <v>0.99209472981988</v>
      </c>
      <c r="K126" s="29">
        <f>T110/10000</f>
        <v>59.486</v>
      </c>
      <c r="L126" s="490">
        <f>K126/H126</f>
        <v>0.99209472981988</v>
      </c>
      <c r="P126" s="29"/>
      <c r="Q126" s="29">
        <f>T111+U111</f>
        <v>268732635.35</v>
      </c>
      <c r="R126" s="30"/>
      <c r="S126" s="30">
        <f>Q126</f>
        <v>268732635.35</v>
      </c>
    </row>
    <row r="127" ht="15.75" spans="12:19">
      <c r="L127" s="490"/>
      <c r="P127" s="492">
        <f>P125+P124</f>
        <v>345240000</v>
      </c>
      <c r="Q127" s="492">
        <f>Q126+Q124</f>
        <v>344482635.35</v>
      </c>
      <c r="R127" s="30"/>
      <c r="S127" s="29">
        <f>P127-Q127</f>
        <v>757364.649999976</v>
      </c>
    </row>
    <row r="128" ht="15.75" spans="8:19">
      <c r="H128" s="28">
        <f>H126+H125+H124</f>
        <v>30459.96</v>
      </c>
      <c r="I128" s="28">
        <f>I126+I125+I124</f>
        <v>30379.857214</v>
      </c>
      <c r="J128" s="490">
        <f>I128/H128</f>
        <v>0.997370226815794</v>
      </c>
      <c r="K128" s="29">
        <f>SUM(K124:K127)</f>
        <v>26873.263535</v>
      </c>
      <c r="L128" s="490">
        <f>K128/H128</f>
        <v>0.882248812375328</v>
      </c>
      <c r="P128" s="29"/>
      <c r="R128" s="30"/>
      <c r="S128" s="30"/>
    </row>
    <row r="129" spans="16:19">
      <c r="P129" s="29"/>
      <c r="R129" s="30"/>
      <c r="S129" s="30">
        <v>757364.65</v>
      </c>
    </row>
  </sheetData>
  <mergeCells count="245">
    <mergeCell ref="A1:Z1"/>
    <mergeCell ref="I2:K2"/>
    <mergeCell ref="L2:P2"/>
    <mergeCell ref="R2:S2"/>
    <mergeCell ref="T2:U2"/>
    <mergeCell ref="Y2:Z2"/>
    <mergeCell ref="B4:H4"/>
    <mergeCell ref="G18:H18"/>
    <mergeCell ref="G22:H22"/>
    <mergeCell ref="G31:H31"/>
    <mergeCell ref="G35:H35"/>
    <mergeCell ref="G40:H40"/>
    <mergeCell ref="G42:H42"/>
    <mergeCell ref="B68:D68"/>
    <mergeCell ref="B72:D72"/>
    <mergeCell ref="B75:D75"/>
    <mergeCell ref="B79:D79"/>
    <mergeCell ref="A80:H80"/>
    <mergeCell ref="B81:H81"/>
    <mergeCell ref="B92:C92"/>
    <mergeCell ref="B93:D93"/>
    <mergeCell ref="B94:D94"/>
    <mergeCell ref="B97:D97"/>
    <mergeCell ref="B98:D98"/>
    <mergeCell ref="B99:D99"/>
    <mergeCell ref="A100:H100"/>
    <mergeCell ref="B101:H101"/>
    <mergeCell ref="B108:D108"/>
    <mergeCell ref="B109:D109"/>
    <mergeCell ref="A110:H110"/>
    <mergeCell ref="A111:E111"/>
    <mergeCell ref="A2:A3"/>
    <mergeCell ref="A5:A18"/>
    <mergeCell ref="A19:A22"/>
    <mergeCell ref="A23:A31"/>
    <mergeCell ref="A32:A35"/>
    <mergeCell ref="A36:A40"/>
    <mergeCell ref="A41:A42"/>
    <mergeCell ref="A50:A51"/>
    <mergeCell ref="A64:A65"/>
    <mergeCell ref="A69:A70"/>
    <mergeCell ref="A73:A79"/>
    <mergeCell ref="A82:A86"/>
    <mergeCell ref="A108:A109"/>
    <mergeCell ref="B2:B3"/>
    <mergeCell ref="B5:B18"/>
    <mergeCell ref="B19:B22"/>
    <mergeCell ref="B23:B31"/>
    <mergeCell ref="B32:B35"/>
    <mergeCell ref="B36:B40"/>
    <mergeCell ref="B41:B42"/>
    <mergeCell ref="B50:B51"/>
    <mergeCell ref="B64:B65"/>
    <mergeCell ref="B82:B86"/>
    <mergeCell ref="C2:C3"/>
    <mergeCell ref="C5:C18"/>
    <mergeCell ref="C19:C22"/>
    <mergeCell ref="C23:C31"/>
    <mergeCell ref="C32:C35"/>
    <mergeCell ref="C36:C40"/>
    <mergeCell ref="C41:C42"/>
    <mergeCell ref="C50:C51"/>
    <mergeCell ref="C64:C65"/>
    <mergeCell ref="C82:C86"/>
    <mergeCell ref="D2:D3"/>
    <mergeCell ref="D5:D18"/>
    <mergeCell ref="D19:D22"/>
    <mergeCell ref="D23:D31"/>
    <mergeCell ref="D32:D35"/>
    <mergeCell ref="D36:D40"/>
    <mergeCell ref="D41:D42"/>
    <mergeCell ref="D50:D51"/>
    <mergeCell ref="D64:D65"/>
    <mergeCell ref="D82:D86"/>
    <mergeCell ref="E2:E3"/>
    <mergeCell ref="E5:E18"/>
    <mergeCell ref="E19:E22"/>
    <mergeCell ref="E23:E31"/>
    <mergeCell ref="E32:E35"/>
    <mergeCell ref="E36:E40"/>
    <mergeCell ref="E41:E42"/>
    <mergeCell ref="E50:E51"/>
    <mergeCell ref="E69:E71"/>
    <mergeCell ref="E82:E83"/>
    <mergeCell ref="F2:F3"/>
    <mergeCell ref="F5:F18"/>
    <mergeCell ref="F19:F22"/>
    <mergeCell ref="F23:F31"/>
    <mergeCell ref="F32:F35"/>
    <mergeCell ref="F36:F40"/>
    <mergeCell ref="F41:F42"/>
    <mergeCell ref="F50:F51"/>
    <mergeCell ref="F69:F71"/>
    <mergeCell ref="F82:F83"/>
    <mergeCell ref="G2:G3"/>
    <mergeCell ref="G5:G6"/>
    <mergeCell ref="G7:G9"/>
    <mergeCell ref="G11:G13"/>
    <mergeCell ref="G14:G17"/>
    <mergeCell ref="G24:G26"/>
    <mergeCell ref="G28:G29"/>
    <mergeCell ref="G69:G71"/>
    <mergeCell ref="G77:G78"/>
    <mergeCell ref="G83:G86"/>
    <mergeCell ref="H2:H3"/>
    <mergeCell ref="H5:H6"/>
    <mergeCell ref="H7:H9"/>
    <mergeCell ref="H11:H13"/>
    <mergeCell ref="H14:H17"/>
    <mergeCell ref="H24:H26"/>
    <mergeCell ref="H28:H29"/>
    <mergeCell ref="H83:H86"/>
    <mergeCell ref="I37:I39"/>
    <mergeCell ref="J5:J6"/>
    <mergeCell ref="J7:J9"/>
    <mergeCell ref="J15:J16"/>
    <mergeCell ref="J24:J26"/>
    <mergeCell ref="J37:J39"/>
    <mergeCell ref="J84:J85"/>
    <mergeCell ref="K5:K6"/>
    <mergeCell ref="K7:K9"/>
    <mergeCell ref="K11:K13"/>
    <mergeCell ref="K15:K16"/>
    <mergeCell ref="K24:K26"/>
    <mergeCell ref="K37:K39"/>
    <mergeCell ref="L5:L6"/>
    <mergeCell ref="L7:L9"/>
    <mergeCell ref="L11:L13"/>
    <mergeCell ref="L14:L17"/>
    <mergeCell ref="L24:L26"/>
    <mergeCell ref="L28:L29"/>
    <mergeCell ref="L37:L39"/>
    <mergeCell ref="L83:L86"/>
    <mergeCell ref="M5:M6"/>
    <mergeCell ref="M7:M9"/>
    <mergeCell ref="M11:M13"/>
    <mergeCell ref="M14:M17"/>
    <mergeCell ref="M24:M26"/>
    <mergeCell ref="M28:M29"/>
    <mergeCell ref="M37:M39"/>
    <mergeCell ref="M83:M86"/>
    <mergeCell ref="N5:N6"/>
    <mergeCell ref="N7:N9"/>
    <mergeCell ref="N11:N13"/>
    <mergeCell ref="N14:N17"/>
    <mergeCell ref="N24:N26"/>
    <mergeCell ref="N28:N29"/>
    <mergeCell ref="N37:N39"/>
    <mergeCell ref="N83:N86"/>
    <mergeCell ref="O5:O6"/>
    <mergeCell ref="O7:O9"/>
    <mergeCell ref="O11:O13"/>
    <mergeCell ref="O14:O17"/>
    <mergeCell ref="O24:O26"/>
    <mergeCell ref="O28:O29"/>
    <mergeCell ref="O37:O39"/>
    <mergeCell ref="O83:O86"/>
    <mergeCell ref="P5:P6"/>
    <mergeCell ref="P7:P9"/>
    <mergeCell ref="P11:P13"/>
    <mergeCell ref="P14:P17"/>
    <mergeCell ref="P24:P26"/>
    <mergeCell ref="P28:P29"/>
    <mergeCell ref="P37:P39"/>
    <mergeCell ref="P83:P86"/>
    <mergeCell ref="Q2:Q3"/>
    <mergeCell ref="Q5:Q6"/>
    <mergeCell ref="Q7:Q9"/>
    <mergeCell ref="Q11:Q13"/>
    <mergeCell ref="Q14:Q17"/>
    <mergeCell ref="Q24:Q26"/>
    <mergeCell ref="Q28:Q29"/>
    <mergeCell ref="Q37:Q39"/>
    <mergeCell ref="Q83:Q86"/>
    <mergeCell ref="R5:R6"/>
    <mergeCell ref="R7:R9"/>
    <mergeCell ref="R11:R13"/>
    <mergeCell ref="R14:R17"/>
    <mergeCell ref="R24:R26"/>
    <mergeCell ref="R28:R29"/>
    <mergeCell ref="R37:R39"/>
    <mergeCell ref="R64:R65"/>
    <mergeCell ref="R83:R86"/>
    <mergeCell ref="S5:S6"/>
    <mergeCell ref="S7:S9"/>
    <mergeCell ref="S11:S13"/>
    <mergeCell ref="S14:S17"/>
    <mergeCell ref="S24:S26"/>
    <mergeCell ref="S28:S29"/>
    <mergeCell ref="S37:S39"/>
    <mergeCell ref="S64:S65"/>
    <mergeCell ref="S83:S86"/>
    <mergeCell ref="T5:T6"/>
    <mergeCell ref="T7:T9"/>
    <mergeCell ref="T11:T13"/>
    <mergeCell ref="T14:T17"/>
    <mergeCell ref="T24:T26"/>
    <mergeCell ref="T28:T29"/>
    <mergeCell ref="T37:T38"/>
    <mergeCell ref="T64:T65"/>
    <mergeCell ref="T83:T86"/>
    <mergeCell ref="U5:U6"/>
    <mergeCell ref="U7:U9"/>
    <mergeCell ref="U11:U13"/>
    <mergeCell ref="U14:U17"/>
    <mergeCell ref="U24:U26"/>
    <mergeCell ref="U28:U29"/>
    <mergeCell ref="U37:U39"/>
    <mergeCell ref="U64:U65"/>
    <mergeCell ref="U83:U86"/>
    <mergeCell ref="V2:V3"/>
    <mergeCell ref="V5:V6"/>
    <mergeCell ref="V7:V9"/>
    <mergeCell ref="V11:V13"/>
    <mergeCell ref="V14:V17"/>
    <mergeCell ref="V24:V26"/>
    <mergeCell ref="V28:V29"/>
    <mergeCell ref="V37:V39"/>
    <mergeCell ref="V64:V65"/>
    <mergeCell ref="V83:V86"/>
    <mergeCell ref="W2:W3"/>
    <mergeCell ref="W4:W18"/>
    <mergeCell ref="W19:W22"/>
    <mergeCell ref="W23:W31"/>
    <mergeCell ref="W32:W35"/>
    <mergeCell ref="W36:W40"/>
    <mergeCell ref="W41:W42"/>
    <mergeCell ref="W64:W65"/>
    <mergeCell ref="W83:W86"/>
    <mergeCell ref="X2:X3"/>
    <mergeCell ref="X4:X18"/>
    <mergeCell ref="X19:X22"/>
    <mergeCell ref="X23:X31"/>
    <mergeCell ref="X32:X35"/>
    <mergeCell ref="X36:X40"/>
    <mergeCell ref="X41:X42"/>
    <mergeCell ref="X64:X65"/>
    <mergeCell ref="Y11:Y13"/>
    <mergeCell ref="Y14:Y16"/>
    <mergeCell ref="Z11:Z13"/>
    <mergeCell ref="Z14:Z16"/>
    <mergeCell ref="B73:D74"/>
    <mergeCell ref="B69:D71"/>
    <mergeCell ref="B95:D96"/>
    <mergeCell ref="B76:D78"/>
  </mergeCells>
  <pageMargins left="0.75" right="0.75" top="1" bottom="1" header="0.5" footer="0.5"/>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4"/>
  <sheetViews>
    <sheetView topLeftCell="D418" workbookViewId="0">
      <selection activeCell="I456" sqref="I456"/>
    </sheetView>
  </sheetViews>
  <sheetFormatPr defaultColWidth="9" defaultRowHeight="13.5"/>
  <cols>
    <col min="1" max="1" width="5.375" style="1" customWidth="1"/>
    <col min="2" max="2" width="4.375" style="1" customWidth="1"/>
    <col min="3" max="3" width="21.25" style="1" customWidth="1"/>
    <col min="4" max="4" width="11.5" style="1" customWidth="1"/>
    <col min="5" max="5" width="11.875" style="1" customWidth="1"/>
    <col min="6" max="6" width="44.375" style="1" customWidth="1"/>
    <col min="7" max="7" width="26.875" style="1" customWidth="1"/>
    <col min="8" max="8" width="45.25" style="1" customWidth="1"/>
    <col min="9" max="9" width="27.5" style="1" customWidth="1"/>
    <col min="10" max="11" width="11.5" style="1" customWidth="1"/>
    <col min="12" max="12" width="18.25" style="1" customWidth="1"/>
    <col min="13" max="16384" width="9" style="1"/>
  </cols>
  <sheetData>
    <row r="1" s="1" customFormat="1" spans="1:12">
      <c r="A1" s="2" t="s">
        <v>284</v>
      </c>
      <c r="B1" s="2" t="s">
        <v>498</v>
      </c>
      <c r="C1" s="2" t="s">
        <v>499</v>
      </c>
      <c r="D1" s="2" t="s">
        <v>7</v>
      </c>
      <c r="E1" s="2" t="s">
        <v>500</v>
      </c>
      <c r="F1" s="2" t="s">
        <v>501</v>
      </c>
      <c r="G1" s="2" t="s">
        <v>502</v>
      </c>
      <c r="H1" s="2" t="s">
        <v>503</v>
      </c>
      <c r="I1" s="2" t="s">
        <v>504</v>
      </c>
      <c r="J1" s="4" t="s">
        <v>505</v>
      </c>
      <c r="K1" s="4" t="s">
        <v>506</v>
      </c>
      <c r="L1" s="4" t="s">
        <v>507</v>
      </c>
    </row>
    <row r="2" s="1" customFormat="1" spans="1:12">
      <c r="A2" s="3" t="s">
        <v>508</v>
      </c>
      <c r="B2" s="3" t="s">
        <v>518</v>
      </c>
      <c r="C2" s="3" t="s">
        <v>591</v>
      </c>
      <c r="D2" s="3" t="s">
        <v>592</v>
      </c>
      <c r="E2" s="3" t="s">
        <v>584</v>
      </c>
      <c r="F2" s="3" t="s">
        <v>585</v>
      </c>
      <c r="G2" s="3" t="s">
        <v>82</v>
      </c>
      <c r="H2" s="3" t="s">
        <v>82</v>
      </c>
      <c r="I2" s="3" t="s">
        <v>550</v>
      </c>
      <c r="J2" s="5">
        <v>45265</v>
      </c>
      <c r="K2" s="5">
        <v>45265</v>
      </c>
      <c r="L2" s="6">
        <v>70003539.82</v>
      </c>
    </row>
    <row r="3" s="1" customFormat="1" spans="1:12">
      <c r="A3" s="3" t="s">
        <v>508</v>
      </c>
      <c r="B3" s="3" t="s">
        <v>509</v>
      </c>
      <c r="C3" s="3" t="s">
        <v>510</v>
      </c>
      <c r="D3" s="3" t="s">
        <v>511</v>
      </c>
      <c r="E3" s="3" t="s">
        <v>512</v>
      </c>
      <c r="F3" s="3" t="s">
        <v>513</v>
      </c>
      <c r="G3" s="3" t="s">
        <v>514</v>
      </c>
      <c r="H3" s="3" t="s">
        <v>514</v>
      </c>
      <c r="I3" s="3" t="s">
        <v>515</v>
      </c>
      <c r="J3" s="5">
        <v>45207</v>
      </c>
      <c r="K3" s="5">
        <v>45207</v>
      </c>
      <c r="L3" s="6">
        <v>26478900.92</v>
      </c>
    </row>
    <row r="4" s="1" customFormat="1" spans="1:12">
      <c r="A4" s="3" t="s">
        <v>521</v>
      </c>
      <c r="B4" s="3" t="s">
        <v>597</v>
      </c>
      <c r="C4" s="3" t="s">
        <v>358</v>
      </c>
      <c r="D4" s="3" t="s">
        <v>598</v>
      </c>
      <c r="E4" s="3" t="s">
        <v>599</v>
      </c>
      <c r="F4" s="3" t="s">
        <v>600</v>
      </c>
      <c r="G4" s="3" t="s">
        <v>359</v>
      </c>
      <c r="H4" s="3" t="s">
        <v>359</v>
      </c>
      <c r="I4" s="3" t="s">
        <v>550</v>
      </c>
      <c r="J4" s="5">
        <v>45379</v>
      </c>
      <c r="K4" s="5">
        <v>45379</v>
      </c>
      <c r="L4" s="6">
        <v>17500884.96</v>
      </c>
    </row>
    <row r="5" s="1" customFormat="1" spans="1:12">
      <c r="A5" s="3" t="s">
        <v>508</v>
      </c>
      <c r="B5" s="3" t="s">
        <v>518</v>
      </c>
      <c r="C5" s="3" t="s">
        <v>519</v>
      </c>
      <c r="D5" s="3" t="s">
        <v>520</v>
      </c>
      <c r="E5" s="3" t="s">
        <v>512</v>
      </c>
      <c r="F5" s="3" t="s">
        <v>513</v>
      </c>
      <c r="G5" s="3" t="s">
        <v>64</v>
      </c>
      <c r="H5" s="3" t="s">
        <v>64</v>
      </c>
      <c r="I5" s="3" t="s">
        <v>515</v>
      </c>
      <c r="J5" s="5">
        <v>45279</v>
      </c>
      <c r="K5" s="5">
        <v>45279</v>
      </c>
      <c r="L5" s="6">
        <v>12612310.83</v>
      </c>
    </row>
    <row r="6" s="1" customFormat="1" spans="1:12">
      <c r="A6" s="3" t="s">
        <v>508</v>
      </c>
      <c r="B6" s="3" t="s">
        <v>542</v>
      </c>
      <c r="C6" s="3" t="s">
        <v>568</v>
      </c>
      <c r="D6" s="3" t="s">
        <v>569</v>
      </c>
      <c r="E6" s="3" t="s">
        <v>566</v>
      </c>
      <c r="F6" s="3" t="s">
        <v>567</v>
      </c>
      <c r="G6" s="3" t="s">
        <v>570</v>
      </c>
      <c r="H6" s="3" t="s">
        <v>570</v>
      </c>
      <c r="I6" s="3" t="s">
        <v>550</v>
      </c>
      <c r="J6" s="5">
        <v>45250</v>
      </c>
      <c r="K6" s="5">
        <v>45250</v>
      </c>
      <c r="L6" s="6">
        <v>12303071.5</v>
      </c>
    </row>
    <row r="7" s="1" customFormat="1" spans="1:12">
      <c r="A7" s="3" t="s">
        <v>508</v>
      </c>
      <c r="B7" s="3" t="s">
        <v>542</v>
      </c>
      <c r="C7" s="3" t="s">
        <v>559</v>
      </c>
      <c r="D7" s="3" t="s">
        <v>560</v>
      </c>
      <c r="E7" s="3" t="s">
        <v>545</v>
      </c>
      <c r="F7" s="3" t="s">
        <v>546</v>
      </c>
      <c r="G7" s="3" t="s">
        <v>561</v>
      </c>
      <c r="H7" s="3" t="s">
        <v>561</v>
      </c>
      <c r="I7" s="3" t="s">
        <v>550</v>
      </c>
      <c r="J7" s="5">
        <v>45246</v>
      </c>
      <c r="K7" s="5">
        <v>45246</v>
      </c>
      <c r="L7" s="6">
        <v>11222091.93</v>
      </c>
    </row>
    <row r="8" s="1" customFormat="1" spans="1:12">
      <c r="A8" s="3" t="s">
        <v>508</v>
      </c>
      <c r="B8" s="3" t="s">
        <v>542</v>
      </c>
      <c r="C8" s="3" t="s">
        <v>543</v>
      </c>
      <c r="D8" s="3" t="s">
        <v>544</v>
      </c>
      <c r="E8" s="3" t="s">
        <v>545</v>
      </c>
      <c r="F8" s="3" t="s">
        <v>546</v>
      </c>
      <c r="G8" s="3" t="s">
        <v>547</v>
      </c>
      <c r="H8" s="3" t="s">
        <v>547</v>
      </c>
      <c r="I8" s="3" t="s">
        <v>515</v>
      </c>
      <c r="J8" s="5">
        <v>45238</v>
      </c>
      <c r="K8" s="5">
        <v>45238</v>
      </c>
      <c r="L8" s="6">
        <v>9999999</v>
      </c>
    </row>
    <row r="9" s="1" customFormat="1" spans="1:12">
      <c r="A9" s="3" t="s">
        <v>508</v>
      </c>
      <c r="B9" s="3" t="s">
        <v>542</v>
      </c>
      <c r="C9" s="3" t="s">
        <v>543</v>
      </c>
      <c r="D9" s="3" t="s">
        <v>544</v>
      </c>
      <c r="E9" s="3" t="s">
        <v>545</v>
      </c>
      <c r="F9" s="3" t="s">
        <v>546</v>
      </c>
      <c r="G9" s="3" t="s">
        <v>547</v>
      </c>
      <c r="H9" s="3" t="s">
        <v>547</v>
      </c>
      <c r="I9" s="3" t="s">
        <v>515</v>
      </c>
      <c r="J9" s="5">
        <v>45238</v>
      </c>
      <c r="K9" s="5">
        <v>45238</v>
      </c>
      <c r="L9" s="6">
        <v>9999999</v>
      </c>
    </row>
    <row r="10" s="1" customFormat="1" spans="1:12">
      <c r="A10" s="3" t="s">
        <v>508</v>
      </c>
      <c r="B10" s="3" t="s">
        <v>518</v>
      </c>
      <c r="C10" s="3" t="s">
        <v>548</v>
      </c>
      <c r="D10" s="3" t="s">
        <v>549</v>
      </c>
      <c r="E10" s="3" t="s">
        <v>545</v>
      </c>
      <c r="F10" s="3" t="s">
        <v>546</v>
      </c>
      <c r="G10" s="3" t="s">
        <v>43</v>
      </c>
      <c r="H10" s="3" t="s">
        <v>43</v>
      </c>
      <c r="I10" s="3" t="s">
        <v>550</v>
      </c>
      <c r="J10" s="5">
        <v>45265</v>
      </c>
      <c r="K10" s="5">
        <v>45265</v>
      </c>
      <c r="L10" s="6">
        <v>9877809.73</v>
      </c>
    </row>
    <row r="11" s="1" customFormat="1" spans="1:12">
      <c r="A11" s="3" t="s">
        <v>508</v>
      </c>
      <c r="B11" s="3" t="s">
        <v>509</v>
      </c>
      <c r="C11" s="3" t="s">
        <v>622</v>
      </c>
      <c r="D11" s="3" t="s">
        <v>623</v>
      </c>
      <c r="E11" s="3" t="s">
        <v>624</v>
      </c>
      <c r="F11" s="3" t="s">
        <v>625</v>
      </c>
      <c r="G11" s="3" t="s">
        <v>129</v>
      </c>
      <c r="H11" s="3" t="s">
        <v>626</v>
      </c>
      <c r="I11" s="3" t="s">
        <v>627</v>
      </c>
      <c r="J11" s="5">
        <v>45224</v>
      </c>
      <c r="K11" s="5">
        <v>45224</v>
      </c>
      <c r="L11" s="6">
        <v>9700000</v>
      </c>
    </row>
    <row r="12" s="1" customFormat="1" spans="1:12">
      <c r="A12" s="3" t="s">
        <v>508</v>
      </c>
      <c r="B12" s="3" t="s">
        <v>518</v>
      </c>
      <c r="C12" s="3" t="s">
        <v>65</v>
      </c>
      <c r="D12" s="3" t="s">
        <v>538</v>
      </c>
      <c r="E12" s="3" t="s">
        <v>512</v>
      </c>
      <c r="F12" s="3" t="s">
        <v>513</v>
      </c>
      <c r="G12" s="3" t="s">
        <v>539</v>
      </c>
      <c r="H12" s="3" t="s">
        <v>539</v>
      </c>
      <c r="I12" s="3" t="s">
        <v>533</v>
      </c>
      <c r="J12" s="5">
        <v>45281</v>
      </c>
      <c r="K12" s="5">
        <v>45281</v>
      </c>
      <c r="L12" s="6">
        <v>9272888.15</v>
      </c>
    </row>
    <row r="13" s="1" customFormat="1" spans="1:12">
      <c r="A13" s="3" t="s">
        <v>508</v>
      </c>
      <c r="B13" s="3" t="s">
        <v>518</v>
      </c>
      <c r="C13" s="3" t="s">
        <v>586</v>
      </c>
      <c r="D13" s="3" t="s">
        <v>587</v>
      </c>
      <c r="E13" s="3" t="s">
        <v>584</v>
      </c>
      <c r="F13" s="3" t="s">
        <v>585</v>
      </c>
      <c r="G13" s="3" t="s">
        <v>75</v>
      </c>
      <c r="H13" s="3" t="s">
        <v>75</v>
      </c>
      <c r="I13" s="3" t="s">
        <v>550</v>
      </c>
      <c r="J13" s="5">
        <v>45274</v>
      </c>
      <c r="K13" s="5">
        <v>45274</v>
      </c>
      <c r="L13" s="6">
        <v>9253740.7</v>
      </c>
    </row>
    <row r="14" s="1" customFormat="1" spans="1:12">
      <c r="A14" s="3" t="s">
        <v>508</v>
      </c>
      <c r="B14" s="3" t="s">
        <v>518</v>
      </c>
      <c r="C14" s="3" t="s">
        <v>551</v>
      </c>
      <c r="D14" s="3" t="s">
        <v>552</v>
      </c>
      <c r="E14" s="3" t="s">
        <v>545</v>
      </c>
      <c r="F14" s="3" t="s">
        <v>546</v>
      </c>
      <c r="G14" s="3" t="s">
        <v>553</v>
      </c>
      <c r="H14" s="3" t="s">
        <v>553</v>
      </c>
      <c r="I14" s="3" t="s">
        <v>515</v>
      </c>
      <c r="J14" s="5">
        <v>45280</v>
      </c>
      <c r="K14" s="5">
        <v>45280</v>
      </c>
      <c r="L14" s="6">
        <v>9174311.93</v>
      </c>
    </row>
    <row r="15" s="1" customFormat="1" spans="1:12">
      <c r="A15" s="3" t="s">
        <v>521</v>
      </c>
      <c r="B15" s="3" t="s">
        <v>530</v>
      </c>
      <c r="C15" s="3" t="s">
        <v>474</v>
      </c>
      <c r="D15" s="3" t="s">
        <v>532</v>
      </c>
      <c r="E15" s="3" t="s">
        <v>512</v>
      </c>
      <c r="F15" s="3" t="s">
        <v>513</v>
      </c>
      <c r="G15" s="3" t="s">
        <v>475</v>
      </c>
      <c r="H15" s="3" t="s">
        <v>475</v>
      </c>
      <c r="I15" s="3" t="s">
        <v>533</v>
      </c>
      <c r="J15" s="5">
        <v>45460</v>
      </c>
      <c r="K15" s="5">
        <v>45460</v>
      </c>
      <c r="L15" s="6">
        <v>8577309.74</v>
      </c>
    </row>
    <row r="16" s="1" customFormat="1" spans="1:12">
      <c r="A16" s="3" t="s">
        <v>508</v>
      </c>
      <c r="B16" s="3" t="s">
        <v>518</v>
      </c>
      <c r="C16" s="3" t="s">
        <v>628</v>
      </c>
      <c r="D16" s="3" t="s">
        <v>629</v>
      </c>
      <c r="E16" s="3" t="s">
        <v>624</v>
      </c>
      <c r="F16" s="3" t="s">
        <v>625</v>
      </c>
      <c r="G16" s="3" t="s">
        <v>630</v>
      </c>
      <c r="H16" s="3" t="s">
        <v>131</v>
      </c>
      <c r="I16" s="3" t="s">
        <v>627</v>
      </c>
      <c r="J16" s="5">
        <v>45281</v>
      </c>
      <c r="K16" s="5">
        <v>45281</v>
      </c>
      <c r="L16" s="6">
        <v>8350000</v>
      </c>
    </row>
    <row r="17" s="1" customFormat="1" spans="1:12">
      <c r="A17" s="3" t="s">
        <v>521</v>
      </c>
      <c r="B17" s="3" t="s">
        <v>522</v>
      </c>
      <c r="C17" s="3" t="s">
        <v>330</v>
      </c>
      <c r="D17" s="3" t="s">
        <v>535</v>
      </c>
      <c r="E17" s="3" t="s">
        <v>512</v>
      </c>
      <c r="F17" s="3" t="s">
        <v>513</v>
      </c>
      <c r="G17" s="3" t="s">
        <v>331</v>
      </c>
      <c r="H17" s="3" t="s">
        <v>331</v>
      </c>
      <c r="I17" s="3" t="s">
        <v>515</v>
      </c>
      <c r="J17" s="5">
        <v>45327</v>
      </c>
      <c r="K17" s="5">
        <v>45327</v>
      </c>
      <c r="L17" s="6">
        <v>8318111.97</v>
      </c>
    </row>
    <row r="18" s="1" customFormat="1" spans="1:12">
      <c r="A18" s="3" t="s">
        <v>508</v>
      </c>
      <c r="B18" s="3" t="s">
        <v>542</v>
      </c>
      <c r="C18" s="3" t="s">
        <v>543</v>
      </c>
      <c r="D18" s="3" t="s">
        <v>544</v>
      </c>
      <c r="E18" s="3" t="s">
        <v>545</v>
      </c>
      <c r="F18" s="3" t="s">
        <v>546</v>
      </c>
      <c r="G18" s="3" t="s">
        <v>547</v>
      </c>
      <c r="H18" s="3" t="s">
        <v>547</v>
      </c>
      <c r="I18" s="3" t="s">
        <v>515</v>
      </c>
      <c r="J18" s="5">
        <v>45238</v>
      </c>
      <c r="K18" s="5">
        <v>45238</v>
      </c>
      <c r="L18" s="6">
        <v>7013045.58</v>
      </c>
    </row>
    <row r="19" s="1" customFormat="1" spans="1:12">
      <c r="A19" s="3" t="s">
        <v>521</v>
      </c>
      <c r="B19" s="3" t="s">
        <v>530</v>
      </c>
      <c r="C19" s="3" t="s">
        <v>470</v>
      </c>
      <c r="D19" s="3" t="s">
        <v>534</v>
      </c>
      <c r="E19" s="3" t="s">
        <v>512</v>
      </c>
      <c r="F19" s="3" t="s">
        <v>513</v>
      </c>
      <c r="G19" s="3" t="s">
        <v>471</v>
      </c>
      <c r="H19" s="3" t="s">
        <v>471</v>
      </c>
      <c r="I19" s="3" t="s">
        <v>533</v>
      </c>
      <c r="J19" s="5">
        <v>45461</v>
      </c>
      <c r="K19" s="5">
        <v>45461</v>
      </c>
      <c r="L19" s="6">
        <v>4702774.53</v>
      </c>
    </row>
    <row r="20" s="1" customFormat="1" spans="1:12">
      <c r="A20" s="3" t="s">
        <v>521</v>
      </c>
      <c r="B20" s="3" t="s">
        <v>530</v>
      </c>
      <c r="C20" s="3" t="s">
        <v>474</v>
      </c>
      <c r="D20" s="3" t="s">
        <v>532</v>
      </c>
      <c r="E20" s="3" t="s">
        <v>595</v>
      </c>
      <c r="F20" s="3" t="s">
        <v>596</v>
      </c>
      <c r="G20" s="3" t="s">
        <v>475</v>
      </c>
      <c r="H20" s="3" t="s">
        <v>475</v>
      </c>
      <c r="I20" s="3" t="s">
        <v>533</v>
      </c>
      <c r="J20" s="5">
        <v>45460</v>
      </c>
      <c r="K20" s="5">
        <v>45460</v>
      </c>
      <c r="L20" s="6">
        <v>4583416.01</v>
      </c>
    </row>
    <row r="21" s="1" customFormat="1" spans="1:12">
      <c r="A21" s="3" t="s">
        <v>521</v>
      </c>
      <c r="B21" s="3" t="s">
        <v>530</v>
      </c>
      <c r="C21" s="3" t="s">
        <v>481</v>
      </c>
      <c r="D21" s="3" t="s">
        <v>1277</v>
      </c>
      <c r="E21" s="3" t="s">
        <v>1259</v>
      </c>
      <c r="F21" s="3" t="s">
        <v>1260</v>
      </c>
      <c r="G21" s="3" t="s">
        <v>482</v>
      </c>
      <c r="H21" s="3" t="s">
        <v>482</v>
      </c>
      <c r="I21" s="3" t="s">
        <v>574</v>
      </c>
      <c r="J21" s="5">
        <v>45450</v>
      </c>
      <c r="K21" s="5">
        <v>45450</v>
      </c>
      <c r="L21" s="6">
        <v>4294080.42</v>
      </c>
    </row>
    <row r="22" s="1" customFormat="1" spans="1:12">
      <c r="A22" s="3" t="s">
        <v>521</v>
      </c>
      <c r="B22" s="3" t="s">
        <v>562</v>
      </c>
      <c r="C22" s="3" t="s">
        <v>421</v>
      </c>
      <c r="D22" s="3" t="s">
        <v>1286</v>
      </c>
      <c r="E22" s="3" t="s">
        <v>1259</v>
      </c>
      <c r="F22" s="3" t="s">
        <v>1260</v>
      </c>
      <c r="G22" s="3" t="s">
        <v>420</v>
      </c>
      <c r="H22" s="3" t="s">
        <v>420</v>
      </c>
      <c r="I22" s="3" t="s">
        <v>533</v>
      </c>
      <c r="J22" s="5">
        <v>45436</v>
      </c>
      <c r="K22" s="5">
        <v>45436</v>
      </c>
      <c r="L22" s="6">
        <v>4117077.53</v>
      </c>
    </row>
    <row r="23" s="1" customFormat="1" spans="1:12">
      <c r="A23" s="3" t="s">
        <v>508</v>
      </c>
      <c r="B23" s="3" t="s">
        <v>518</v>
      </c>
      <c r="C23" s="3" t="s">
        <v>548</v>
      </c>
      <c r="D23" s="3" t="s">
        <v>549</v>
      </c>
      <c r="E23" s="3" t="s">
        <v>545</v>
      </c>
      <c r="F23" s="3" t="s">
        <v>546</v>
      </c>
      <c r="G23" s="3" t="s">
        <v>43</v>
      </c>
      <c r="H23" s="3" t="s">
        <v>43</v>
      </c>
      <c r="I23" s="3" t="s">
        <v>515</v>
      </c>
      <c r="J23" s="5">
        <v>45265</v>
      </c>
      <c r="K23" s="5">
        <v>45265</v>
      </c>
      <c r="L23" s="6">
        <v>3193650.73</v>
      </c>
    </row>
    <row r="24" s="1" customFormat="1" spans="1:12">
      <c r="A24" s="3" t="s">
        <v>508</v>
      </c>
      <c r="B24" s="3" t="s">
        <v>518</v>
      </c>
      <c r="C24" s="3" t="s">
        <v>551</v>
      </c>
      <c r="D24" s="3" t="s">
        <v>552</v>
      </c>
      <c r="E24" s="3" t="s">
        <v>545</v>
      </c>
      <c r="F24" s="3" t="s">
        <v>546</v>
      </c>
      <c r="G24" s="3" t="s">
        <v>553</v>
      </c>
      <c r="H24" s="3" t="s">
        <v>553</v>
      </c>
      <c r="I24" s="3" t="s">
        <v>550</v>
      </c>
      <c r="J24" s="5">
        <v>45280</v>
      </c>
      <c r="K24" s="5">
        <v>45280</v>
      </c>
      <c r="L24" s="6">
        <v>3170698.41</v>
      </c>
    </row>
    <row r="25" s="1" customFormat="1" spans="1:12">
      <c r="A25" s="3" t="s">
        <v>508</v>
      </c>
      <c r="B25" s="3" t="s">
        <v>509</v>
      </c>
      <c r="C25" s="3" t="s">
        <v>516</v>
      </c>
      <c r="D25" s="3" t="s">
        <v>517</v>
      </c>
      <c r="E25" s="3" t="s">
        <v>512</v>
      </c>
      <c r="F25" s="3" t="s">
        <v>513</v>
      </c>
      <c r="G25" s="3" t="s">
        <v>60</v>
      </c>
      <c r="H25" s="3" t="s">
        <v>60</v>
      </c>
      <c r="I25" s="3" t="s">
        <v>515</v>
      </c>
      <c r="J25" s="5">
        <v>45224</v>
      </c>
      <c r="K25" s="5">
        <v>45224</v>
      </c>
      <c r="L25" s="6">
        <v>3153077.71</v>
      </c>
    </row>
    <row r="26" s="1" customFormat="1" spans="1:12">
      <c r="A26" s="3" t="s">
        <v>521</v>
      </c>
      <c r="B26" s="3" t="s">
        <v>562</v>
      </c>
      <c r="C26" s="3" t="s">
        <v>406</v>
      </c>
      <c r="D26" s="3" t="s">
        <v>563</v>
      </c>
      <c r="E26" s="3" t="s">
        <v>604</v>
      </c>
      <c r="F26" s="3" t="s">
        <v>605</v>
      </c>
      <c r="G26" s="3" t="s">
        <v>407</v>
      </c>
      <c r="H26" s="3" t="s">
        <v>407</v>
      </c>
      <c r="I26" s="3" t="s">
        <v>550</v>
      </c>
      <c r="J26" s="5">
        <v>45433</v>
      </c>
      <c r="K26" s="5">
        <v>45433</v>
      </c>
      <c r="L26" s="6">
        <v>2909931.2</v>
      </c>
    </row>
    <row r="27" s="1" customFormat="1" spans="1:12">
      <c r="A27" s="3" t="s">
        <v>508</v>
      </c>
      <c r="B27" s="3" t="s">
        <v>518</v>
      </c>
      <c r="C27" s="3" t="s">
        <v>519</v>
      </c>
      <c r="D27" s="3" t="s">
        <v>520</v>
      </c>
      <c r="E27" s="3" t="s">
        <v>512</v>
      </c>
      <c r="F27" s="3" t="s">
        <v>513</v>
      </c>
      <c r="G27" s="3" t="s">
        <v>64</v>
      </c>
      <c r="H27" s="3" t="s">
        <v>64</v>
      </c>
      <c r="I27" s="3" t="s">
        <v>515</v>
      </c>
      <c r="J27" s="5">
        <v>45279</v>
      </c>
      <c r="K27" s="5">
        <v>45279</v>
      </c>
      <c r="L27" s="6">
        <v>2877914.34</v>
      </c>
    </row>
    <row r="28" s="1" customFormat="1" spans="1:12">
      <c r="A28" s="3" t="s">
        <v>521</v>
      </c>
      <c r="B28" s="3" t="s">
        <v>530</v>
      </c>
      <c r="C28" s="3" t="s">
        <v>474</v>
      </c>
      <c r="D28" s="3" t="s">
        <v>532</v>
      </c>
      <c r="E28" s="3" t="s">
        <v>1440</v>
      </c>
      <c r="F28" s="3" t="s">
        <v>1441</v>
      </c>
      <c r="G28" s="3" t="s">
        <v>475</v>
      </c>
      <c r="H28" s="3" t="s">
        <v>475</v>
      </c>
      <c r="I28" s="3" t="s">
        <v>533</v>
      </c>
      <c r="J28" s="5">
        <v>45460</v>
      </c>
      <c r="K28" s="5">
        <v>45460</v>
      </c>
      <c r="L28" s="6">
        <v>2839362.78</v>
      </c>
    </row>
    <row r="29" s="1" customFormat="1" spans="1:12">
      <c r="A29" s="3" t="s">
        <v>521</v>
      </c>
      <c r="B29" s="3" t="s">
        <v>530</v>
      </c>
      <c r="C29" s="3" t="s">
        <v>470</v>
      </c>
      <c r="D29" s="3" t="s">
        <v>534</v>
      </c>
      <c r="E29" s="3" t="s">
        <v>1440</v>
      </c>
      <c r="F29" s="3" t="s">
        <v>1441</v>
      </c>
      <c r="G29" s="3" t="s">
        <v>471</v>
      </c>
      <c r="H29" s="3" t="s">
        <v>471</v>
      </c>
      <c r="I29" s="3" t="s">
        <v>533</v>
      </c>
      <c r="J29" s="5">
        <v>45461</v>
      </c>
      <c r="K29" s="5">
        <v>45461</v>
      </c>
      <c r="L29" s="6">
        <v>2806453.33</v>
      </c>
    </row>
    <row r="30" s="1" customFormat="1" spans="1:12">
      <c r="A30" s="3" t="s">
        <v>521</v>
      </c>
      <c r="B30" s="3" t="s">
        <v>530</v>
      </c>
      <c r="C30" s="3" t="s">
        <v>472</v>
      </c>
      <c r="D30" s="3" t="s">
        <v>531</v>
      </c>
      <c r="E30" s="3" t="s">
        <v>512</v>
      </c>
      <c r="F30" s="3" t="s">
        <v>513</v>
      </c>
      <c r="G30" s="3" t="s">
        <v>473</v>
      </c>
      <c r="H30" s="3" t="s">
        <v>473</v>
      </c>
      <c r="I30" s="3" t="s">
        <v>515</v>
      </c>
      <c r="J30" s="5">
        <v>45460</v>
      </c>
      <c r="K30" s="5">
        <v>45460</v>
      </c>
      <c r="L30" s="6">
        <v>2752293.58</v>
      </c>
    </row>
    <row r="31" s="1" customFormat="1" spans="1:12">
      <c r="A31" s="3" t="s">
        <v>521</v>
      </c>
      <c r="B31" s="3" t="s">
        <v>562</v>
      </c>
      <c r="C31" s="3" t="s">
        <v>406</v>
      </c>
      <c r="D31" s="3" t="s">
        <v>563</v>
      </c>
      <c r="E31" s="3" t="s">
        <v>545</v>
      </c>
      <c r="F31" s="3" t="s">
        <v>546</v>
      </c>
      <c r="G31" s="3" t="s">
        <v>407</v>
      </c>
      <c r="H31" s="3" t="s">
        <v>407</v>
      </c>
      <c r="I31" s="3" t="s">
        <v>515</v>
      </c>
      <c r="J31" s="5">
        <v>45433</v>
      </c>
      <c r="K31" s="5">
        <v>45433</v>
      </c>
      <c r="L31" s="6">
        <v>2720001.87</v>
      </c>
    </row>
    <row r="32" s="1" customFormat="1" spans="1:12">
      <c r="A32" s="3" t="s">
        <v>508</v>
      </c>
      <c r="B32" s="3" t="s">
        <v>509</v>
      </c>
      <c r="C32" s="3" t="s">
        <v>516</v>
      </c>
      <c r="D32" s="3" t="s">
        <v>517</v>
      </c>
      <c r="E32" s="3" t="s">
        <v>609</v>
      </c>
      <c r="F32" s="3" t="s">
        <v>610</v>
      </c>
      <c r="G32" s="3" t="s">
        <v>60</v>
      </c>
      <c r="H32" s="3" t="s">
        <v>60</v>
      </c>
      <c r="I32" s="3" t="s">
        <v>550</v>
      </c>
      <c r="J32" s="5">
        <v>45224</v>
      </c>
      <c r="K32" s="5">
        <v>45224</v>
      </c>
      <c r="L32" s="6">
        <v>2307646.02</v>
      </c>
    </row>
    <row r="33" s="1" customFormat="1" spans="1:12">
      <c r="A33" s="3" t="s">
        <v>508</v>
      </c>
      <c r="B33" s="3" t="s">
        <v>518</v>
      </c>
      <c r="C33" s="3" t="s">
        <v>413</v>
      </c>
      <c r="D33" s="3" t="s">
        <v>1282</v>
      </c>
      <c r="E33" s="3" t="s">
        <v>1259</v>
      </c>
      <c r="F33" s="3" t="s">
        <v>1260</v>
      </c>
      <c r="G33" s="3" t="s">
        <v>194</v>
      </c>
      <c r="H33" s="3" t="s">
        <v>194</v>
      </c>
      <c r="I33" s="3" t="s">
        <v>647</v>
      </c>
      <c r="J33" s="5">
        <v>45289</v>
      </c>
      <c r="K33" s="5">
        <v>45289</v>
      </c>
      <c r="L33" s="6">
        <v>1878069.73</v>
      </c>
    </row>
    <row r="34" s="1" customFormat="1" spans="1:12">
      <c r="A34" s="3" t="s">
        <v>521</v>
      </c>
      <c r="B34" s="3" t="s">
        <v>530</v>
      </c>
      <c r="C34" s="3" t="s">
        <v>476</v>
      </c>
      <c r="D34" s="3" t="s">
        <v>579</v>
      </c>
      <c r="E34" s="3" t="s">
        <v>580</v>
      </c>
      <c r="F34" s="3" t="s">
        <v>581</v>
      </c>
      <c r="G34" s="3" t="s">
        <v>477</v>
      </c>
      <c r="H34" s="3" t="s">
        <v>477</v>
      </c>
      <c r="I34" s="3" t="s">
        <v>550</v>
      </c>
      <c r="J34" s="5">
        <v>45461</v>
      </c>
      <c r="K34" s="5">
        <v>45461</v>
      </c>
      <c r="L34" s="6">
        <v>1850748.14</v>
      </c>
    </row>
    <row r="35" s="1" customFormat="1" spans="1:12">
      <c r="A35" s="3" t="s">
        <v>508</v>
      </c>
      <c r="B35" s="3" t="s">
        <v>518</v>
      </c>
      <c r="C35" s="3" t="s">
        <v>551</v>
      </c>
      <c r="D35" s="3" t="s">
        <v>552</v>
      </c>
      <c r="E35" s="3" t="s">
        <v>545</v>
      </c>
      <c r="F35" s="3" t="s">
        <v>546</v>
      </c>
      <c r="G35" s="3" t="s">
        <v>553</v>
      </c>
      <c r="H35" s="3" t="s">
        <v>553</v>
      </c>
      <c r="I35" s="3" t="s">
        <v>515</v>
      </c>
      <c r="J35" s="5">
        <v>45280</v>
      </c>
      <c r="K35" s="5">
        <v>45280</v>
      </c>
      <c r="L35" s="6">
        <v>1684264.97</v>
      </c>
    </row>
    <row r="36" s="1" customFormat="1" spans="1:12">
      <c r="A36" s="3" t="s">
        <v>521</v>
      </c>
      <c r="B36" s="3" t="s">
        <v>562</v>
      </c>
      <c r="C36" s="3" t="s">
        <v>417</v>
      </c>
      <c r="D36" s="3" t="s">
        <v>614</v>
      </c>
      <c r="E36" s="3" t="s">
        <v>609</v>
      </c>
      <c r="F36" s="3" t="s">
        <v>610</v>
      </c>
      <c r="G36" s="3" t="s">
        <v>416</v>
      </c>
      <c r="H36" s="3" t="s">
        <v>416</v>
      </c>
      <c r="I36" s="3" t="s">
        <v>533</v>
      </c>
      <c r="J36" s="5">
        <v>45435</v>
      </c>
      <c r="K36" s="5">
        <v>45435</v>
      </c>
      <c r="L36" s="6">
        <v>1538584.07</v>
      </c>
    </row>
    <row r="37" s="1" customFormat="1" spans="1:12">
      <c r="A37" s="3" t="s">
        <v>521</v>
      </c>
      <c r="B37" s="3" t="s">
        <v>530</v>
      </c>
      <c r="C37" s="3" t="s">
        <v>470</v>
      </c>
      <c r="D37" s="3" t="s">
        <v>534</v>
      </c>
      <c r="E37" s="3" t="s">
        <v>580</v>
      </c>
      <c r="F37" s="3" t="s">
        <v>581</v>
      </c>
      <c r="G37" s="3" t="s">
        <v>471</v>
      </c>
      <c r="H37" s="3" t="s">
        <v>471</v>
      </c>
      <c r="I37" s="3" t="s">
        <v>533</v>
      </c>
      <c r="J37" s="5">
        <v>45461</v>
      </c>
      <c r="K37" s="5">
        <v>45461</v>
      </c>
      <c r="L37" s="6">
        <v>1114016.8</v>
      </c>
    </row>
    <row r="38" s="1" customFormat="1" spans="1:12">
      <c r="A38" s="3" t="s">
        <v>521</v>
      </c>
      <c r="B38" s="3" t="s">
        <v>562</v>
      </c>
      <c r="C38" s="3" t="s">
        <v>438</v>
      </c>
      <c r="D38" s="3" t="s">
        <v>1405</v>
      </c>
      <c r="E38" s="3" t="s">
        <v>1389</v>
      </c>
      <c r="F38" s="3" t="s">
        <v>1390</v>
      </c>
      <c r="G38" s="3" t="s">
        <v>439</v>
      </c>
      <c r="H38" s="3" t="s">
        <v>439</v>
      </c>
      <c r="I38" s="3" t="s">
        <v>985</v>
      </c>
      <c r="J38" s="5">
        <v>45435</v>
      </c>
      <c r="K38" s="5">
        <v>45435</v>
      </c>
      <c r="L38" s="6">
        <v>1078587.67</v>
      </c>
    </row>
    <row r="39" s="1" customFormat="1" spans="1:12">
      <c r="A39" s="3" t="s">
        <v>521</v>
      </c>
      <c r="B39" s="3" t="s">
        <v>562</v>
      </c>
      <c r="C39" s="3" t="s">
        <v>410</v>
      </c>
      <c r="D39" s="3" t="s">
        <v>636</v>
      </c>
      <c r="E39" s="3" t="s">
        <v>624</v>
      </c>
      <c r="F39" s="3" t="s">
        <v>625</v>
      </c>
      <c r="G39" s="3" t="s">
        <v>411</v>
      </c>
      <c r="H39" s="3" t="s">
        <v>411</v>
      </c>
      <c r="I39" s="3" t="s">
        <v>533</v>
      </c>
      <c r="J39" s="5">
        <v>45436</v>
      </c>
      <c r="K39" s="5">
        <v>45436</v>
      </c>
      <c r="L39" s="6">
        <v>1011228</v>
      </c>
    </row>
    <row r="40" s="1" customFormat="1" spans="1:12">
      <c r="A40" s="3" t="s">
        <v>508</v>
      </c>
      <c r="B40" s="3" t="s">
        <v>542</v>
      </c>
      <c r="C40" s="3" t="s">
        <v>582</v>
      </c>
      <c r="D40" s="3" t="s">
        <v>583</v>
      </c>
      <c r="E40" s="3" t="s">
        <v>584</v>
      </c>
      <c r="F40" s="3" t="s">
        <v>585</v>
      </c>
      <c r="G40" s="3" t="s">
        <v>73</v>
      </c>
      <c r="H40" s="3" t="s">
        <v>73</v>
      </c>
      <c r="I40" s="3" t="s">
        <v>550</v>
      </c>
      <c r="J40" s="5">
        <v>45239</v>
      </c>
      <c r="K40" s="5">
        <v>45239</v>
      </c>
      <c r="L40" s="6">
        <v>994777.12</v>
      </c>
    </row>
    <row r="41" s="1" customFormat="1" spans="1:12">
      <c r="A41" s="3" t="s">
        <v>508</v>
      </c>
      <c r="B41" s="3" t="s">
        <v>542</v>
      </c>
      <c r="C41" s="3" t="s">
        <v>582</v>
      </c>
      <c r="D41" s="3" t="s">
        <v>583</v>
      </c>
      <c r="E41" s="3" t="s">
        <v>584</v>
      </c>
      <c r="F41" s="3" t="s">
        <v>585</v>
      </c>
      <c r="G41" s="3" t="s">
        <v>73</v>
      </c>
      <c r="H41" s="3" t="s">
        <v>73</v>
      </c>
      <c r="I41" s="3" t="s">
        <v>550</v>
      </c>
      <c r="J41" s="5">
        <v>45239</v>
      </c>
      <c r="K41" s="5">
        <v>45239</v>
      </c>
      <c r="L41" s="6">
        <v>994777.12</v>
      </c>
    </row>
    <row r="42" s="1" customFormat="1" spans="1:12">
      <c r="A42" s="3" t="s">
        <v>508</v>
      </c>
      <c r="B42" s="3" t="s">
        <v>542</v>
      </c>
      <c r="C42" s="3" t="s">
        <v>582</v>
      </c>
      <c r="D42" s="3" t="s">
        <v>583</v>
      </c>
      <c r="E42" s="3" t="s">
        <v>584</v>
      </c>
      <c r="F42" s="3" t="s">
        <v>585</v>
      </c>
      <c r="G42" s="3" t="s">
        <v>73</v>
      </c>
      <c r="H42" s="3" t="s">
        <v>73</v>
      </c>
      <c r="I42" s="3" t="s">
        <v>550</v>
      </c>
      <c r="J42" s="5">
        <v>45239</v>
      </c>
      <c r="K42" s="5">
        <v>45239</v>
      </c>
      <c r="L42" s="6">
        <v>994777.12</v>
      </c>
    </row>
    <row r="43" s="1" customFormat="1" spans="1:12">
      <c r="A43" s="3" t="s">
        <v>508</v>
      </c>
      <c r="B43" s="3" t="s">
        <v>542</v>
      </c>
      <c r="C43" s="3" t="s">
        <v>582</v>
      </c>
      <c r="D43" s="3" t="s">
        <v>583</v>
      </c>
      <c r="E43" s="3" t="s">
        <v>584</v>
      </c>
      <c r="F43" s="3" t="s">
        <v>585</v>
      </c>
      <c r="G43" s="3" t="s">
        <v>73</v>
      </c>
      <c r="H43" s="3" t="s">
        <v>73</v>
      </c>
      <c r="I43" s="3" t="s">
        <v>550</v>
      </c>
      <c r="J43" s="5">
        <v>45239</v>
      </c>
      <c r="K43" s="5">
        <v>45239</v>
      </c>
      <c r="L43" s="6">
        <v>994777.12</v>
      </c>
    </row>
    <row r="44" s="1" customFormat="1" spans="1:12">
      <c r="A44" s="3" t="s">
        <v>508</v>
      </c>
      <c r="B44" s="3" t="s">
        <v>542</v>
      </c>
      <c r="C44" s="3" t="s">
        <v>582</v>
      </c>
      <c r="D44" s="3" t="s">
        <v>583</v>
      </c>
      <c r="E44" s="3" t="s">
        <v>584</v>
      </c>
      <c r="F44" s="3" t="s">
        <v>585</v>
      </c>
      <c r="G44" s="3" t="s">
        <v>73</v>
      </c>
      <c r="H44" s="3" t="s">
        <v>73</v>
      </c>
      <c r="I44" s="3" t="s">
        <v>550</v>
      </c>
      <c r="J44" s="5">
        <v>45239</v>
      </c>
      <c r="K44" s="5">
        <v>45239</v>
      </c>
      <c r="L44" s="6">
        <v>994777.12</v>
      </c>
    </row>
    <row r="45" s="1" customFormat="1" spans="1:12">
      <c r="A45" s="3" t="s">
        <v>508</v>
      </c>
      <c r="B45" s="3" t="s">
        <v>542</v>
      </c>
      <c r="C45" s="3" t="s">
        <v>582</v>
      </c>
      <c r="D45" s="3" t="s">
        <v>583</v>
      </c>
      <c r="E45" s="3" t="s">
        <v>584</v>
      </c>
      <c r="F45" s="3" t="s">
        <v>585</v>
      </c>
      <c r="G45" s="3" t="s">
        <v>73</v>
      </c>
      <c r="H45" s="3" t="s">
        <v>73</v>
      </c>
      <c r="I45" s="3" t="s">
        <v>550</v>
      </c>
      <c r="J45" s="5">
        <v>45239</v>
      </c>
      <c r="K45" s="5">
        <v>45239</v>
      </c>
      <c r="L45" s="6">
        <v>994777.12</v>
      </c>
    </row>
    <row r="46" s="1" customFormat="1" spans="1:12">
      <c r="A46" s="3" t="s">
        <v>508</v>
      </c>
      <c r="B46" s="3" t="s">
        <v>542</v>
      </c>
      <c r="C46" s="3" t="s">
        <v>582</v>
      </c>
      <c r="D46" s="3" t="s">
        <v>583</v>
      </c>
      <c r="E46" s="3" t="s">
        <v>584</v>
      </c>
      <c r="F46" s="3" t="s">
        <v>585</v>
      </c>
      <c r="G46" s="3" t="s">
        <v>73</v>
      </c>
      <c r="H46" s="3" t="s">
        <v>73</v>
      </c>
      <c r="I46" s="3" t="s">
        <v>550</v>
      </c>
      <c r="J46" s="5">
        <v>45239</v>
      </c>
      <c r="K46" s="5">
        <v>45239</v>
      </c>
      <c r="L46" s="6">
        <v>994777.12</v>
      </c>
    </row>
    <row r="47" s="1" customFormat="1" spans="1:12">
      <c r="A47" s="3" t="s">
        <v>508</v>
      </c>
      <c r="B47" s="3" t="s">
        <v>542</v>
      </c>
      <c r="C47" s="3" t="s">
        <v>582</v>
      </c>
      <c r="D47" s="3" t="s">
        <v>583</v>
      </c>
      <c r="E47" s="3" t="s">
        <v>584</v>
      </c>
      <c r="F47" s="3" t="s">
        <v>585</v>
      </c>
      <c r="G47" s="3" t="s">
        <v>73</v>
      </c>
      <c r="H47" s="3" t="s">
        <v>73</v>
      </c>
      <c r="I47" s="3" t="s">
        <v>550</v>
      </c>
      <c r="J47" s="5">
        <v>45239</v>
      </c>
      <c r="K47" s="5">
        <v>45239</v>
      </c>
      <c r="L47" s="6">
        <v>994777.12</v>
      </c>
    </row>
    <row r="48" s="1" customFormat="1" spans="1:12">
      <c r="A48" s="3" t="s">
        <v>508</v>
      </c>
      <c r="B48" s="3" t="s">
        <v>542</v>
      </c>
      <c r="C48" s="3" t="s">
        <v>582</v>
      </c>
      <c r="D48" s="3" t="s">
        <v>583</v>
      </c>
      <c r="E48" s="3" t="s">
        <v>584</v>
      </c>
      <c r="F48" s="3" t="s">
        <v>585</v>
      </c>
      <c r="G48" s="3" t="s">
        <v>73</v>
      </c>
      <c r="H48" s="3" t="s">
        <v>73</v>
      </c>
      <c r="I48" s="3" t="s">
        <v>550</v>
      </c>
      <c r="J48" s="5">
        <v>45239</v>
      </c>
      <c r="K48" s="5">
        <v>45239</v>
      </c>
      <c r="L48" s="6">
        <v>994777.12</v>
      </c>
    </row>
    <row r="49" s="1" customFormat="1" spans="1:12">
      <c r="A49" s="3" t="s">
        <v>508</v>
      </c>
      <c r="B49" s="3" t="s">
        <v>542</v>
      </c>
      <c r="C49" s="3" t="s">
        <v>582</v>
      </c>
      <c r="D49" s="3" t="s">
        <v>583</v>
      </c>
      <c r="E49" s="3" t="s">
        <v>584</v>
      </c>
      <c r="F49" s="3" t="s">
        <v>585</v>
      </c>
      <c r="G49" s="3" t="s">
        <v>73</v>
      </c>
      <c r="H49" s="3" t="s">
        <v>73</v>
      </c>
      <c r="I49" s="3" t="s">
        <v>550</v>
      </c>
      <c r="J49" s="5">
        <v>45239</v>
      </c>
      <c r="K49" s="5">
        <v>45239</v>
      </c>
      <c r="L49" s="6">
        <v>994777.12</v>
      </c>
    </row>
    <row r="50" s="1" customFormat="1" spans="1:12">
      <c r="A50" s="3" t="s">
        <v>508</v>
      </c>
      <c r="B50" s="3" t="s">
        <v>542</v>
      </c>
      <c r="C50" s="3" t="s">
        <v>582</v>
      </c>
      <c r="D50" s="3" t="s">
        <v>583</v>
      </c>
      <c r="E50" s="3" t="s">
        <v>584</v>
      </c>
      <c r="F50" s="3" t="s">
        <v>585</v>
      </c>
      <c r="G50" s="3" t="s">
        <v>73</v>
      </c>
      <c r="H50" s="3" t="s">
        <v>73</v>
      </c>
      <c r="I50" s="3" t="s">
        <v>550</v>
      </c>
      <c r="J50" s="5">
        <v>45239</v>
      </c>
      <c r="K50" s="5">
        <v>45239</v>
      </c>
      <c r="L50" s="6">
        <v>994777.12</v>
      </c>
    </row>
    <row r="51" s="1" customFormat="1" spans="1:12">
      <c r="A51" s="3" t="s">
        <v>508</v>
      </c>
      <c r="B51" s="3" t="s">
        <v>542</v>
      </c>
      <c r="C51" s="3" t="s">
        <v>582</v>
      </c>
      <c r="D51" s="3" t="s">
        <v>583</v>
      </c>
      <c r="E51" s="3" t="s">
        <v>584</v>
      </c>
      <c r="F51" s="3" t="s">
        <v>585</v>
      </c>
      <c r="G51" s="3" t="s">
        <v>73</v>
      </c>
      <c r="H51" s="3" t="s">
        <v>73</v>
      </c>
      <c r="I51" s="3" t="s">
        <v>550</v>
      </c>
      <c r="J51" s="5">
        <v>45239</v>
      </c>
      <c r="K51" s="5">
        <v>45239</v>
      </c>
      <c r="L51" s="6">
        <v>994777.12</v>
      </c>
    </row>
    <row r="52" s="1" customFormat="1" spans="1:12">
      <c r="A52" s="3" t="s">
        <v>508</v>
      </c>
      <c r="B52" s="3" t="s">
        <v>542</v>
      </c>
      <c r="C52" s="3" t="s">
        <v>582</v>
      </c>
      <c r="D52" s="3" t="s">
        <v>583</v>
      </c>
      <c r="E52" s="3" t="s">
        <v>584</v>
      </c>
      <c r="F52" s="3" t="s">
        <v>585</v>
      </c>
      <c r="G52" s="3" t="s">
        <v>73</v>
      </c>
      <c r="H52" s="3" t="s">
        <v>73</v>
      </c>
      <c r="I52" s="3" t="s">
        <v>550</v>
      </c>
      <c r="J52" s="5">
        <v>45239</v>
      </c>
      <c r="K52" s="5">
        <v>45239</v>
      </c>
      <c r="L52" s="6">
        <v>994777.12</v>
      </c>
    </row>
    <row r="53" s="1" customFormat="1" spans="1:12">
      <c r="A53" s="3" t="s">
        <v>508</v>
      </c>
      <c r="B53" s="3" t="s">
        <v>542</v>
      </c>
      <c r="C53" s="3" t="s">
        <v>582</v>
      </c>
      <c r="D53" s="3" t="s">
        <v>583</v>
      </c>
      <c r="E53" s="3" t="s">
        <v>584</v>
      </c>
      <c r="F53" s="3" t="s">
        <v>585</v>
      </c>
      <c r="G53" s="3" t="s">
        <v>73</v>
      </c>
      <c r="H53" s="3" t="s">
        <v>73</v>
      </c>
      <c r="I53" s="3" t="s">
        <v>550</v>
      </c>
      <c r="J53" s="5">
        <v>45239</v>
      </c>
      <c r="K53" s="5">
        <v>45239</v>
      </c>
      <c r="L53" s="6">
        <v>994777.12</v>
      </c>
    </row>
    <row r="54" s="1" customFormat="1" spans="1:12">
      <c r="A54" s="3" t="s">
        <v>508</v>
      </c>
      <c r="B54" s="3" t="s">
        <v>542</v>
      </c>
      <c r="C54" s="3" t="s">
        <v>582</v>
      </c>
      <c r="D54" s="3" t="s">
        <v>583</v>
      </c>
      <c r="E54" s="3" t="s">
        <v>584</v>
      </c>
      <c r="F54" s="3" t="s">
        <v>585</v>
      </c>
      <c r="G54" s="3" t="s">
        <v>73</v>
      </c>
      <c r="H54" s="3" t="s">
        <v>73</v>
      </c>
      <c r="I54" s="3" t="s">
        <v>550</v>
      </c>
      <c r="J54" s="5">
        <v>45239</v>
      </c>
      <c r="K54" s="5">
        <v>45239</v>
      </c>
      <c r="L54" s="6">
        <v>994777.12</v>
      </c>
    </row>
    <row r="55" s="1" customFormat="1" spans="1:12">
      <c r="A55" s="3" t="s">
        <v>508</v>
      </c>
      <c r="B55" s="3" t="s">
        <v>542</v>
      </c>
      <c r="C55" s="3" t="s">
        <v>582</v>
      </c>
      <c r="D55" s="3" t="s">
        <v>583</v>
      </c>
      <c r="E55" s="3" t="s">
        <v>584</v>
      </c>
      <c r="F55" s="3" t="s">
        <v>585</v>
      </c>
      <c r="G55" s="3" t="s">
        <v>73</v>
      </c>
      <c r="H55" s="3" t="s">
        <v>73</v>
      </c>
      <c r="I55" s="3" t="s">
        <v>550</v>
      </c>
      <c r="J55" s="5">
        <v>45239</v>
      </c>
      <c r="K55" s="5">
        <v>45239</v>
      </c>
      <c r="L55" s="6">
        <v>994777.12</v>
      </c>
    </row>
    <row r="56" s="1" customFormat="1" spans="1:12">
      <c r="A56" s="3" t="s">
        <v>508</v>
      </c>
      <c r="B56" s="3" t="s">
        <v>518</v>
      </c>
      <c r="C56" s="3" t="s">
        <v>548</v>
      </c>
      <c r="D56" s="3" t="s">
        <v>549</v>
      </c>
      <c r="E56" s="3" t="s">
        <v>545</v>
      </c>
      <c r="F56" s="3" t="s">
        <v>546</v>
      </c>
      <c r="G56" s="3" t="s">
        <v>43</v>
      </c>
      <c r="H56" s="3" t="s">
        <v>43</v>
      </c>
      <c r="I56" s="3" t="s">
        <v>515</v>
      </c>
      <c r="J56" s="5">
        <v>45265</v>
      </c>
      <c r="K56" s="5">
        <v>45265</v>
      </c>
      <c r="L56" s="6">
        <v>990566.04</v>
      </c>
    </row>
    <row r="57" s="1" customFormat="1" spans="1:12">
      <c r="A57" s="3" t="s">
        <v>521</v>
      </c>
      <c r="B57" s="3" t="s">
        <v>562</v>
      </c>
      <c r="C57" s="3" t="s">
        <v>1593</v>
      </c>
      <c r="D57" s="3" t="s">
        <v>1594</v>
      </c>
      <c r="E57" s="3" t="s">
        <v>1483</v>
      </c>
      <c r="F57" s="3" t="s">
        <v>1484</v>
      </c>
      <c r="G57" s="3" t="s">
        <v>1595</v>
      </c>
      <c r="H57" s="3" t="s">
        <v>1595</v>
      </c>
      <c r="I57" s="3" t="s">
        <v>1486</v>
      </c>
      <c r="J57" s="5">
        <v>45437</v>
      </c>
      <c r="K57" s="5">
        <v>45433</v>
      </c>
      <c r="L57" s="11">
        <v>958852.22</v>
      </c>
    </row>
    <row r="58" s="1" customFormat="1" spans="1:12">
      <c r="A58" s="3" t="s">
        <v>521</v>
      </c>
      <c r="B58" s="3" t="s">
        <v>522</v>
      </c>
      <c r="C58" s="3" t="s">
        <v>330</v>
      </c>
      <c r="D58" s="3" t="s">
        <v>535</v>
      </c>
      <c r="E58" s="3" t="s">
        <v>566</v>
      </c>
      <c r="F58" s="3" t="s">
        <v>567</v>
      </c>
      <c r="G58" s="3" t="s">
        <v>331</v>
      </c>
      <c r="H58" s="3" t="s">
        <v>331</v>
      </c>
      <c r="I58" s="3" t="s">
        <v>574</v>
      </c>
      <c r="J58" s="5">
        <v>45327</v>
      </c>
      <c r="K58" s="5">
        <v>45327</v>
      </c>
      <c r="L58" s="6">
        <v>954776.18</v>
      </c>
    </row>
    <row r="59" s="1" customFormat="1" spans="1:12">
      <c r="A59" s="10" t="s">
        <v>521</v>
      </c>
      <c r="B59" s="10" t="s">
        <v>530</v>
      </c>
      <c r="C59" s="10" t="s">
        <v>1616</v>
      </c>
      <c r="D59" s="10" t="s">
        <v>1622</v>
      </c>
      <c r="E59" s="10" t="s">
        <v>1483</v>
      </c>
      <c r="F59" s="10" t="s">
        <v>1484</v>
      </c>
      <c r="G59" s="10" t="s">
        <v>1618</v>
      </c>
      <c r="H59" s="10" t="s">
        <v>1618</v>
      </c>
      <c r="I59" s="10" t="s">
        <v>1486</v>
      </c>
      <c r="J59" s="12">
        <v>45473</v>
      </c>
      <c r="K59" s="12">
        <v>45473</v>
      </c>
      <c r="L59" s="13">
        <v>941800</v>
      </c>
    </row>
    <row r="60" s="1" customFormat="1" spans="1:12">
      <c r="A60" s="3" t="s">
        <v>521</v>
      </c>
      <c r="B60" s="3" t="s">
        <v>597</v>
      </c>
      <c r="C60" s="3" t="s">
        <v>352</v>
      </c>
      <c r="D60" s="3" t="s">
        <v>1449</v>
      </c>
      <c r="E60" s="3" t="s">
        <v>1444</v>
      </c>
      <c r="F60" s="3" t="s">
        <v>1445</v>
      </c>
      <c r="G60" s="3" t="s">
        <v>353</v>
      </c>
      <c r="H60" s="3" t="s">
        <v>353</v>
      </c>
      <c r="I60" s="3" t="s">
        <v>1247</v>
      </c>
      <c r="J60" s="5">
        <v>45362</v>
      </c>
      <c r="K60" s="5">
        <v>45362</v>
      </c>
      <c r="L60" s="6">
        <v>914728.77</v>
      </c>
    </row>
    <row r="61" s="1" customFormat="1" spans="1:12">
      <c r="A61" s="3" t="s">
        <v>521</v>
      </c>
      <c r="B61" s="3" t="s">
        <v>530</v>
      </c>
      <c r="C61" s="3" t="s">
        <v>1559</v>
      </c>
      <c r="D61" s="3" t="s">
        <v>1608</v>
      </c>
      <c r="E61" s="3" t="s">
        <v>1483</v>
      </c>
      <c r="F61" s="3" t="s">
        <v>1484</v>
      </c>
      <c r="G61" s="3" t="s">
        <v>1606</v>
      </c>
      <c r="H61" s="3" t="s">
        <v>1606</v>
      </c>
      <c r="I61" s="3" t="s">
        <v>1486</v>
      </c>
      <c r="J61" s="5">
        <v>45464</v>
      </c>
      <c r="K61" s="5">
        <v>45464</v>
      </c>
      <c r="L61" s="11">
        <v>849466.67</v>
      </c>
    </row>
    <row r="62" s="1" customFormat="1" spans="1:12">
      <c r="A62" s="3" t="s">
        <v>521</v>
      </c>
      <c r="B62" s="3" t="s">
        <v>597</v>
      </c>
      <c r="C62" s="3" t="s">
        <v>1555</v>
      </c>
      <c r="D62" s="3" t="s">
        <v>1557</v>
      </c>
      <c r="E62" s="3" t="s">
        <v>1483</v>
      </c>
      <c r="F62" s="3" t="s">
        <v>1484</v>
      </c>
      <c r="G62" s="3" t="s">
        <v>1558</v>
      </c>
      <c r="H62" s="3" t="s">
        <v>1558</v>
      </c>
      <c r="I62" s="3" t="s">
        <v>1486</v>
      </c>
      <c r="J62" s="5">
        <v>45372</v>
      </c>
      <c r="K62" s="5">
        <v>45372</v>
      </c>
      <c r="L62" s="11">
        <v>831000</v>
      </c>
    </row>
    <row r="63" s="1" customFormat="1" spans="1:12">
      <c r="A63" s="3" t="s">
        <v>508</v>
      </c>
      <c r="B63" s="3" t="s">
        <v>509</v>
      </c>
      <c r="C63" s="3" t="s">
        <v>510</v>
      </c>
      <c r="D63" s="3" t="s">
        <v>511</v>
      </c>
      <c r="E63" s="3" t="s">
        <v>1455</v>
      </c>
      <c r="F63" s="3" t="s">
        <v>1456</v>
      </c>
      <c r="G63" s="3" t="s">
        <v>514</v>
      </c>
      <c r="H63" s="3" t="s">
        <v>514</v>
      </c>
      <c r="I63" s="3" t="s">
        <v>647</v>
      </c>
      <c r="J63" s="5">
        <v>45207</v>
      </c>
      <c r="K63" s="5">
        <v>45207</v>
      </c>
      <c r="L63" s="6">
        <v>764150.94</v>
      </c>
    </row>
    <row r="64" s="9" customFormat="1" spans="1:12">
      <c r="A64" s="3" t="s">
        <v>508</v>
      </c>
      <c r="B64" s="3" t="s">
        <v>542</v>
      </c>
      <c r="C64" s="3" t="s">
        <v>582</v>
      </c>
      <c r="D64" s="3" t="s">
        <v>583</v>
      </c>
      <c r="E64" s="3" t="s">
        <v>584</v>
      </c>
      <c r="F64" s="3" t="s">
        <v>585</v>
      </c>
      <c r="G64" s="3" t="s">
        <v>73</v>
      </c>
      <c r="H64" s="3" t="s">
        <v>73</v>
      </c>
      <c r="I64" s="3" t="s">
        <v>550</v>
      </c>
      <c r="J64" s="5">
        <v>45239</v>
      </c>
      <c r="K64" s="5">
        <v>45239</v>
      </c>
      <c r="L64" s="6">
        <v>740299.29</v>
      </c>
    </row>
    <row r="65" s="9" customFormat="1" spans="1:12">
      <c r="A65" s="3" t="s">
        <v>508</v>
      </c>
      <c r="B65" s="3" t="s">
        <v>518</v>
      </c>
      <c r="C65" s="3" t="s">
        <v>190</v>
      </c>
      <c r="D65" s="3" t="s">
        <v>639</v>
      </c>
      <c r="E65" s="3" t="s">
        <v>640</v>
      </c>
      <c r="F65" s="3" t="s">
        <v>641</v>
      </c>
      <c r="G65" s="3" t="s">
        <v>642</v>
      </c>
      <c r="H65" s="3" t="s">
        <v>643</v>
      </c>
      <c r="I65" s="3" t="s">
        <v>515</v>
      </c>
      <c r="J65" s="5">
        <v>45287</v>
      </c>
      <c r="K65" s="5">
        <v>45287</v>
      </c>
      <c r="L65" s="6">
        <v>733495</v>
      </c>
    </row>
    <row r="66" s="9" customFormat="1" spans="1:12">
      <c r="A66" s="3" t="s">
        <v>521</v>
      </c>
      <c r="B66" s="3" t="s">
        <v>562</v>
      </c>
      <c r="C66" s="3" t="s">
        <v>1587</v>
      </c>
      <c r="D66" s="3" t="s">
        <v>1596</v>
      </c>
      <c r="E66" s="3" t="s">
        <v>1483</v>
      </c>
      <c r="F66" s="3" t="s">
        <v>1484</v>
      </c>
      <c r="G66" s="3" t="s">
        <v>1589</v>
      </c>
      <c r="H66" s="3" t="s">
        <v>1589</v>
      </c>
      <c r="I66" s="3" t="s">
        <v>1486</v>
      </c>
      <c r="J66" s="5">
        <v>45443</v>
      </c>
      <c r="K66" s="5">
        <v>45443</v>
      </c>
      <c r="L66" s="11">
        <v>664800</v>
      </c>
    </row>
    <row r="67" s="9" customFormat="1" spans="1:12">
      <c r="A67" s="3" t="s">
        <v>521</v>
      </c>
      <c r="B67" s="3" t="s">
        <v>522</v>
      </c>
      <c r="C67" s="3" t="s">
        <v>1524</v>
      </c>
      <c r="D67" s="3" t="s">
        <v>1531</v>
      </c>
      <c r="E67" s="3" t="s">
        <v>1483</v>
      </c>
      <c r="F67" s="3" t="s">
        <v>1484</v>
      </c>
      <c r="G67" s="3" t="s">
        <v>1526</v>
      </c>
      <c r="H67" s="3" t="s">
        <v>1526</v>
      </c>
      <c r="I67" s="3" t="s">
        <v>1486</v>
      </c>
      <c r="J67" s="5">
        <v>45351</v>
      </c>
      <c r="K67" s="5">
        <v>45351</v>
      </c>
      <c r="L67" s="11">
        <v>646333.33</v>
      </c>
    </row>
    <row r="68" s="9" customFormat="1" spans="1:12">
      <c r="A68" s="3" t="s">
        <v>508</v>
      </c>
      <c r="B68" s="3" t="s">
        <v>518</v>
      </c>
      <c r="C68" s="3" t="s">
        <v>1280</v>
      </c>
      <c r="D68" s="3" t="s">
        <v>1281</v>
      </c>
      <c r="E68" s="3" t="s">
        <v>1259</v>
      </c>
      <c r="F68" s="3" t="s">
        <v>1260</v>
      </c>
      <c r="G68" s="3" t="s">
        <v>151</v>
      </c>
      <c r="H68" s="3" t="s">
        <v>151</v>
      </c>
      <c r="I68" s="3" t="s">
        <v>647</v>
      </c>
      <c r="J68" s="5">
        <v>45272</v>
      </c>
      <c r="K68" s="5">
        <v>45272</v>
      </c>
      <c r="L68" s="6">
        <v>641509.43</v>
      </c>
    </row>
    <row r="69" s="9" customFormat="1" spans="1:12">
      <c r="A69" s="3" t="s">
        <v>508</v>
      </c>
      <c r="B69" s="3" t="s">
        <v>509</v>
      </c>
      <c r="C69" s="3" t="s">
        <v>516</v>
      </c>
      <c r="D69" s="3" t="s">
        <v>517</v>
      </c>
      <c r="E69" s="3" t="s">
        <v>617</v>
      </c>
      <c r="F69" s="3" t="s">
        <v>618</v>
      </c>
      <c r="G69" s="3" t="s">
        <v>60</v>
      </c>
      <c r="H69" s="3" t="s">
        <v>60</v>
      </c>
      <c r="I69" s="3" t="s">
        <v>574</v>
      </c>
      <c r="J69" s="5">
        <v>45224</v>
      </c>
      <c r="K69" s="5">
        <v>45224</v>
      </c>
      <c r="L69" s="6">
        <v>636517.45</v>
      </c>
    </row>
    <row r="70" s="1" customFormat="1" spans="1:12">
      <c r="A70" s="3" t="s">
        <v>508</v>
      </c>
      <c r="B70" s="3" t="s">
        <v>509</v>
      </c>
      <c r="C70" s="3" t="s">
        <v>1308</v>
      </c>
      <c r="D70" s="3" t="s">
        <v>1309</v>
      </c>
      <c r="E70" s="3" t="s">
        <v>1310</v>
      </c>
      <c r="F70" s="3" t="s">
        <v>1311</v>
      </c>
      <c r="G70" s="3" t="s">
        <v>90</v>
      </c>
      <c r="H70" s="3" t="s">
        <v>90</v>
      </c>
      <c r="I70" s="3" t="s">
        <v>647</v>
      </c>
      <c r="J70" s="5">
        <v>45223</v>
      </c>
      <c r="K70" s="5">
        <v>45223</v>
      </c>
      <c r="L70" s="6">
        <v>627358.49</v>
      </c>
    </row>
    <row r="71" s="1" customFormat="1" spans="1:12">
      <c r="A71" s="3" t="s">
        <v>508</v>
      </c>
      <c r="B71" s="3" t="s">
        <v>518</v>
      </c>
      <c r="C71" s="3" t="s">
        <v>551</v>
      </c>
      <c r="D71" s="3" t="s">
        <v>552</v>
      </c>
      <c r="E71" s="3" t="s">
        <v>566</v>
      </c>
      <c r="F71" s="3" t="s">
        <v>567</v>
      </c>
      <c r="G71" s="3" t="s">
        <v>553</v>
      </c>
      <c r="H71" s="3" t="s">
        <v>553</v>
      </c>
      <c r="I71" s="3" t="s">
        <v>515</v>
      </c>
      <c r="J71" s="5">
        <v>45280</v>
      </c>
      <c r="K71" s="5">
        <v>45280</v>
      </c>
      <c r="L71" s="6">
        <v>594339.62</v>
      </c>
    </row>
    <row r="72" s="1" customFormat="1" spans="1:12">
      <c r="A72" s="3" t="s">
        <v>508</v>
      </c>
      <c r="B72" s="3" t="s">
        <v>509</v>
      </c>
      <c r="C72" s="3" t="s">
        <v>1469</v>
      </c>
      <c r="D72" s="3" t="s">
        <v>1470</v>
      </c>
      <c r="E72" s="3" t="s">
        <v>1471</v>
      </c>
      <c r="F72" s="3" t="s">
        <v>1472</v>
      </c>
      <c r="G72" s="3" t="s">
        <v>124</v>
      </c>
      <c r="H72" s="3" t="s">
        <v>124</v>
      </c>
      <c r="I72" s="3" t="s">
        <v>647</v>
      </c>
      <c r="J72" s="5">
        <v>45223</v>
      </c>
      <c r="K72" s="5">
        <v>45223</v>
      </c>
      <c r="L72" s="6">
        <v>472680</v>
      </c>
    </row>
    <row r="73" s="1" customFormat="1" spans="1:12">
      <c r="A73" s="3" t="s">
        <v>508</v>
      </c>
      <c r="B73" s="3" t="s">
        <v>518</v>
      </c>
      <c r="C73" s="3" t="s">
        <v>1237</v>
      </c>
      <c r="D73" s="3" t="s">
        <v>1238</v>
      </c>
      <c r="E73" s="3" t="s">
        <v>1239</v>
      </c>
      <c r="F73" s="3" t="s">
        <v>1240</v>
      </c>
      <c r="G73" s="3" t="s">
        <v>175</v>
      </c>
      <c r="H73" s="3" t="s">
        <v>175</v>
      </c>
      <c r="I73" s="3" t="s">
        <v>647</v>
      </c>
      <c r="J73" s="5">
        <v>45273</v>
      </c>
      <c r="K73" s="5">
        <v>45273</v>
      </c>
      <c r="L73" s="6">
        <v>471858.4</v>
      </c>
    </row>
    <row r="74" s="1" customFormat="1" spans="1:12">
      <c r="A74" s="3" t="s">
        <v>508</v>
      </c>
      <c r="B74" s="3" t="s">
        <v>518</v>
      </c>
      <c r="C74" s="3" t="s">
        <v>412</v>
      </c>
      <c r="D74" s="3" t="s">
        <v>1283</v>
      </c>
      <c r="E74" s="3" t="s">
        <v>1259</v>
      </c>
      <c r="F74" s="3" t="s">
        <v>1260</v>
      </c>
      <c r="G74" s="3" t="s">
        <v>194</v>
      </c>
      <c r="H74" s="3" t="s">
        <v>194</v>
      </c>
      <c r="I74" s="3" t="s">
        <v>647</v>
      </c>
      <c r="J74" s="5">
        <v>45289</v>
      </c>
      <c r="K74" s="5">
        <v>45289</v>
      </c>
      <c r="L74" s="6">
        <v>460890.63</v>
      </c>
    </row>
    <row r="75" s="1" customFormat="1" spans="1:12">
      <c r="A75" s="3" t="s">
        <v>508</v>
      </c>
      <c r="B75" s="3" t="s">
        <v>542</v>
      </c>
      <c r="C75" s="3" t="s">
        <v>1270</v>
      </c>
      <c r="D75" s="3" t="s">
        <v>1271</v>
      </c>
      <c r="E75" s="3" t="s">
        <v>1259</v>
      </c>
      <c r="F75" s="3" t="s">
        <v>1260</v>
      </c>
      <c r="G75" s="3" t="s">
        <v>141</v>
      </c>
      <c r="H75" s="3" t="s">
        <v>141</v>
      </c>
      <c r="I75" s="3" t="s">
        <v>647</v>
      </c>
      <c r="J75" s="5">
        <v>45239</v>
      </c>
      <c r="K75" s="5">
        <v>45239</v>
      </c>
      <c r="L75" s="6">
        <v>424528.3</v>
      </c>
    </row>
    <row r="76" s="1" customFormat="1" spans="1:12">
      <c r="A76" s="10" t="s">
        <v>521</v>
      </c>
      <c r="B76" s="10" t="s">
        <v>530</v>
      </c>
      <c r="C76" s="10" t="s">
        <v>1616</v>
      </c>
      <c r="D76" s="10" t="s">
        <v>1620</v>
      </c>
      <c r="E76" s="10" t="s">
        <v>1483</v>
      </c>
      <c r="F76" s="10" t="s">
        <v>1484</v>
      </c>
      <c r="G76" s="10" t="s">
        <v>1618</v>
      </c>
      <c r="H76" s="10" t="s">
        <v>1618</v>
      </c>
      <c r="I76" s="10" t="s">
        <v>1486</v>
      </c>
      <c r="J76" s="12">
        <v>45473</v>
      </c>
      <c r="K76" s="12">
        <v>45473</v>
      </c>
      <c r="L76" s="13">
        <v>393833.33</v>
      </c>
    </row>
    <row r="77" s="1" customFormat="1" spans="1:12">
      <c r="A77" s="3" t="s">
        <v>521</v>
      </c>
      <c r="B77" s="3" t="s">
        <v>823</v>
      </c>
      <c r="C77" s="3" t="s">
        <v>1509</v>
      </c>
      <c r="D77" s="3" t="s">
        <v>1518</v>
      </c>
      <c r="E77" s="3" t="s">
        <v>1483</v>
      </c>
      <c r="F77" s="3" t="s">
        <v>1484</v>
      </c>
      <c r="G77" s="3" t="s">
        <v>1511</v>
      </c>
      <c r="H77" s="3" t="s">
        <v>1511</v>
      </c>
      <c r="I77" s="3" t="s">
        <v>1486</v>
      </c>
      <c r="J77" s="5">
        <v>45322</v>
      </c>
      <c r="K77" s="5">
        <v>45322</v>
      </c>
      <c r="L77" s="11">
        <v>378566.67</v>
      </c>
    </row>
    <row r="78" s="1" customFormat="1" spans="1:12">
      <c r="A78" s="3" t="s">
        <v>521</v>
      </c>
      <c r="B78" s="3" t="s">
        <v>895</v>
      </c>
      <c r="C78" s="3" t="s">
        <v>1565</v>
      </c>
      <c r="D78" s="3" t="s">
        <v>1574</v>
      </c>
      <c r="E78" s="3" t="s">
        <v>1483</v>
      </c>
      <c r="F78" s="3" t="s">
        <v>1484</v>
      </c>
      <c r="G78" s="3" t="s">
        <v>1564</v>
      </c>
      <c r="H78" s="3" t="s">
        <v>1564</v>
      </c>
      <c r="I78" s="3" t="s">
        <v>1486</v>
      </c>
      <c r="J78" s="5">
        <v>45412</v>
      </c>
      <c r="K78" s="5">
        <v>45412</v>
      </c>
      <c r="L78" s="11">
        <v>378566.67</v>
      </c>
    </row>
    <row r="79" s="1" customFormat="1" spans="1:12">
      <c r="A79" s="3" t="s">
        <v>521</v>
      </c>
      <c r="B79" s="3" t="s">
        <v>530</v>
      </c>
      <c r="C79" s="3" t="s">
        <v>1344</v>
      </c>
      <c r="D79" s="3" t="s">
        <v>1345</v>
      </c>
      <c r="E79" s="3" t="s">
        <v>1346</v>
      </c>
      <c r="F79" s="3" t="s">
        <v>1347</v>
      </c>
      <c r="G79" s="3" t="s">
        <v>1348</v>
      </c>
      <c r="H79" s="3" t="s">
        <v>1348</v>
      </c>
      <c r="I79" s="3" t="s">
        <v>1247</v>
      </c>
      <c r="J79" s="5">
        <v>45455</v>
      </c>
      <c r="K79" s="5">
        <v>45455</v>
      </c>
      <c r="L79" s="6">
        <v>376226.42</v>
      </c>
    </row>
    <row r="80" s="1" customFormat="1" spans="1:12">
      <c r="A80" s="3" t="s">
        <v>521</v>
      </c>
      <c r="B80" s="3" t="s">
        <v>530</v>
      </c>
      <c r="C80" s="3" t="s">
        <v>1559</v>
      </c>
      <c r="D80" s="3" t="s">
        <v>1607</v>
      </c>
      <c r="E80" s="3" t="s">
        <v>1483</v>
      </c>
      <c r="F80" s="3" t="s">
        <v>1484</v>
      </c>
      <c r="G80" s="3" t="s">
        <v>1561</v>
      </c>
      <c r="H80" s="3" t="s">
        <v>1561</v>
      </c>
      <c r="I80" s="3" t="s">
        <v>1486</v>
      </c>
      <c r="J80" s="5">
        <v>45463</v>
      </c>
      <c r="K80" s="5">
        <v>45463</v>
      </c>
      <c r="L80" s="11">
        <v>355222.22</v>
      </c>
    </row>
    <row r="81" s="1" customFormat="1" spans="1:12">
      <c r="A81" s="3" t="s">
        <v>521</v>
      </c>
      <c r="B81" s="3" t="s">
        <v>597</v>
      </c>
      <c r="C81" s="3" t="s">
        <v>1533</v>
      </c>
      <c r="D81" s="3" t="s">
        <v>1534</v>
      </c>
      <c r="E81" s="3" t="s">
        <v>1483</v>
      </c>
      <c r="F81" s="3" t="s">
        <v>1484</v>
      </c>
      <c r="G81" s="3" t="s">
        <v>1535</v>
      </c>
      <c r="H81" s="3" t="s">
        <v>1535</v>
      </c>
      <c r="I81" s="3" t="s">
        <v>1486</v>
      </c>
      <c r="J81" s="5">
        <v>45382</v>
      </c>
      <c r="K81" s="5">
        <v>45382</v>
      </c>
      <c r="L81" s="11">
        <v>351361.11</v>
      </c>
    </row>
    <row r="82" s="1" customFormat="1" spans="1:12">
      <c r="A82" s="3" t="s">
        <v>508</v>
      </c>
      <c r="B82" s="3" t="s">
        <v>509</v>
      </c>
      <c r="C82" s="3" t="s">
        <v>1257</v>
      </c>
      <c r="D82" s="3" t="s">
        <v>1258</v>
      </c>
      <c r="E82" s="3" t="s">
        <v>1259</v>
      </c>
      <c r="F82" s="3" t="s">
        <v>1260</v>
      </c>
      <c r="G82" s="3" t="s">
        <v>119</v>
      </c>
      <c r="H82" s="3" t="s">
        <v>119</v>
      </c>
      <c r="I82" s="3" t="s">
        <v>647</v>
      </c>
      <c r="J82" s="5">
        <v>45223</v>
      </c>
      <c r="K82" s="5">
        <v>45223</v>
      </c>
      <c r="L82" s="6">
        <v>350943.4</v>
      </c>
    </row>
    <row r="83" s="1" customFormat="1" spans="1:12">
      <c r="A83" s="3" t="s">
        <v>508</v>
      </c>
      <c r="B83" s="3" t="s">
        <v>509</v>
      </c>
      <c r="C83" s="3" t="s">
        <v>1442</v>
      </c>
      <c r="D83" s="3" t="s">
        <v>1443</v>
      </c>
      <c r="E83" s="3" t="s">
        <v>1444</v>
      </c>
      <c r="F83" s="3" t="s">
        <v>1445</v>
      </c>
      <c r="G83" s="3" t="s">
        <v>53</v>
      </c>
      <c r="H83" s="3" t="s">
        <v>53</v>
      </c>
      <c r="I83" s="3" t="s">
        <v>1247</v>
      </c>
      <c r="J83" s="5">
        <v>45223</v>
      </c>
      <c r="K83" s="5">
        <v>45223</v>
      </c>
      <c r="L83" s="6">
        <v>320754.72</v>
      </c>
    </row>
    <row r="84" s="1" customFormat="1" spans="1:12">
      <c r="A84" s="3" t="s">
        <v>508</v>
      </c>
      <c r="B84" s="3" t="s">
        <v>509</v>
      </c>
      <c r="C84" s="3" t="s">
        <v>622</v>
      </c>
      <c r="D84" s="3" t="s">
        <v>623</v>
      </c>
      <c r="E84" s="3" t="s">
        <v>624</v>
      </c>
      <c r="F84" s="3" t="s">
        <v>625</v>
      </c>
      <c r="G84" s="3" t="s">
        <v>129</v>
      </c>
      <c r="H84" s="3" t="s">
        <v>626</v>
      </c>
      <c r="I84" s="3" t="s">
        <v>627</v>
      </c>
      <c r="J84" s="5">
        <v>45224</v>
      </c>
      <c r="K84" s="5">
        <v>45224</v>
      </c>
      <c r="L84" s="6">
        <v>300000</v>
      </c>
    </row>
    <row r="85" s="1" customFormat="1" spans="1:12">
      <c r="A85" s="3" t="s">
        <v>521</v>
      </c>
      <c r="B85" s="3" t="s">
        <v>562</v>
      </c>
      <c r="C85" s="3" t="s">
        <v>1587</v>
      </c>
      <c r="D85" s="3" t="s">
        <v>1591</v>
      </c>
      <c r="E85" s="3" t="s">
        <v>1483</v>
      </c>
      <c r="F85" s="3" t="s">
        <v>1484</v>
      </c>
      <c r="G85" s="3" t="s">
        <v>1589</v>
      </c>
      <c r="H85" s="3" t="s">
        <v>1589</v>
      </c>
      <c r="I85" s="3" t="s">
        <v>1486</v>
      </c>
      <c r="J85" s="5">
        <v>45443</v>
      </c>
      <c r="K85" s="5">
        <v>45443</v>
      </c>
      <c r="L85" s="11">
        <v>278000</v>
      </c>
    </row>
    <row r="86" s="1" customFormat="1" spans="1:12">
      <c r="A86" s="3" t="s">
        <v>521</v>
      </c>
      <c r="B86" s="3" t="s">
        <v>522</v>
      </c>
      <c r="C86" s="3" t="s">
        <v>1524</v>
      </c>
      <c r="D86" s="3" t="s">
        <v>1529</v>
      </c>
      <c r="E86" s="3" t="s">
        <v>1483</v>
      </c>
      <c r="F86" s="3" t="s">
        <v>1484</v>
      </c>
      <c r="G86" s="3" t="s">
        <v>1526</v>
      </c>
      <c r="H86" s="3" t="s">
        <v>1526</v>
      </c>
      <c r="I86" s="3" t="s">
        <v>1486</v>
      </c>
      <c r="J86" s="5">
        <v>45351</v>
      </c>
      <c r="K86" s="5">
        <v>45351</v>
      </c>
      <c r="L86" s="11">
        <v>274138.89</v>
      </c>
    </row>
    <row r="87" s="1" customFormat="1" spans="1:12">
      <c r="A87" s="3" t="s">
        <v>521</v>
      </c>
      <c r="B87" s="3" t="s">
        <v>562</v>
      </c>
      <c r="C87" s="3" t="s">
        <v>410</v>
      </c>
      <c r="D87" s="3" t="s">
        <v>636</v>
      </c>
      <c r="E87" s="3" t="s">
        <v>653</v>
      </c>
      <c r="F87" s="3" t="s">
        <v>654</v>
      </c>
      <c r="G87" s="3" t="s">
        <v>411</v>
      </c>
      <c r="H87" s="3" t="s">
        <v>411</v>
      </c>
      <c r="I87" s="3" t="s">
        <v>533</v>
      </c>
      <c r="J87" s="5">
        <v>45436</v>
      </c>
      <c r="K87" s="5">
        <v>45436</v>
      </c>
      <c r="L87" s="6">
        <v>247850</v>
      </c>
    </row>
    <row r="88" s="1" customFormat="1" spans="1:12">
      <c r="A88" s="3" t="s">
        <v>521</v>
      </c>
      <c r="B88" s="3" t="s">
        <v>562</v>
      </c>
      <c r="C88" s="3" t="s">
        <v>419</v>
      </c>
      <c r="D88" s="3" t="s">
        <v>1256</v>
      </c>
      <c r="E88" s="3" t="s">
        <v>1245</v>
      </c>
      <c r="F88" s="3" t="s">
        <v>1246</v>
      </c>
      <c r="G88" s="3" t="s">
        <v>418</v>
      </c>
      <c r="H88" s="3" t="s">
        <v>418</v>
      </c>
      <c r="I88" s="3" t="s">
        <v>574</v>
      </c>
      <c r="J88" s="5">
        <v>45435</v>
      </c>
      <c r="K88" s="5">
        <v>45435</v>
      </c>
      <c r="L88" s="6">
        <v>245283.02</v>
      </c>
    </row>
    <row r="89" s="1" customFormat="1" spans="1:12">
      <c r="A89" s="3" t="s">
        <v>521</v>
      </c>
      <c r="B89" s="3" t="s">
        <v>895</v>
      </c>
      <c r="C89" s="3" t="s">
        <v>371</v>
      </c>
      <c r="D89" s="3" t="s">
        <v>1450</v>
      </c>
      <c r="E89" s="3" t="s">
        <v>1444</v>
      </c>
      <c r="F89" s="3" t="s">
        <v>1445</v>
      </c>
      <c r="G89" s="3" t="s">
        <v>372</v>
      </c>
      <c r="H89" s="3" t="s">
        <v>372</v>
      </c>
      <c r="I89" s="3" t="s">
        <v>1247</v>
      </c>
      <c r="J89" s="5">
        <v>45405</v>
      </c>
      <c r="K89" s="5">
        <v>45405</v>
      </c>
      <c r="L89" s="6">
        <v>241813.68</v>
      </c>
    </row>
    <row r="90" s="1" customFormat="1" spans="1:12">
      <c r="A90" s="3" t="s">
        <v>508</v>
      </c>
      <c r="B90" s="3" t="s">
        <v>542</v>
      </c>
      <c r="C90" s="3" t="s">
        <v>1268</v>
      </c>
      <c r="D90" s="3" t="s">
        <v>1269</v>
      </c>
      <c r="E90" s="3" t="s">
        <v>1259</v>
      </c>
      <c r="F90" s="3" t="s">
        <v>1260</v>
      </c>
      <c r="G90" s="3" t="s">
        <v>161</v>
      </c>
      <c r="H90" s="3" t="s">
        <v>161</v>
      </c>
      <c r="I90" s="3" t="s">
        <v>647</v>
      </c>
      <c r="J90" s="5">
        <v>45244</v>
      </c>
      <c r="K90" s="5">
        <v>45244</v>
      </c>
      <c r="L90" s="6">
        <v>231067.96</v>
      </c>
    </row>
    <row r="91" s="1" customFormat="1" spans="1:12">
      <c r="A91" s="3" t="s">
        <v>521</v>
      </c>
      <c r="B91" s="3" t="s">
        <v>562</v>
      </c>
      <c r="C91" s="3" t="s">
        <v>414</v>
      </c>
      <c r="D91" s="3" t="s">
        <v>1324</v>
      </c>
      <c r="E91" s="3" t="s">
        <v>1322</v>
      </c>
      <c r="F91" s="3" t="s">
        <v>1323</v>
      </c>
      <c r="G91" s="3" t="s">
        <v>415</v>
      </c>
      <c r="H91" s="3" t="s">
        <v>415</v>
      </c>
      <c r="I91" s="3" t="s">
        <v>647</v>
      </c>
      <c r="J91" s="5">
        <v>45429</v>
      </c>
      <c r="K91" s="5">
        <v>45429</v>
      </c>
      <c r="L91" s="6">
        <v>229950.5</v>
      </c>
    </row>
    <row r="92" s="1" customFormat="1" spans="1:12">
      <c r="A92" s="3" t="s">
        <v>521</v>
      </c>
      <c r="B92" s="3" t="s">
        <v>597</v>
      </c>
      <c r="C92" s="3" t="s">
        <v>1437</v>
      </c>
      <c r="D92" s="3" t="s">
        <v>1438</v>
      </c>
      <c r="E92" s="3" t="s">
        <v>1414</v>
      </c>
      <c r="F92" s="3" t="s">
        <v>1415</v>
      </c>
      <c r="G92" s="3" t="s">
        <v>1439</v>
      </c>
      <c r="H92" s="3" t="s">
        <v>1439</v>
      </c>
      <c r="I92" s="3" t="s">
        <v>985</v>
      </c>
      <c r="J92" s="5">
        <v>45380</v>
      </c>
      <c r="K92" s="5">
        <v>45380</v>
      </c>
      <c r="L92" s="6">
        <v>220361.54</v>
      </c>
    </row>
    <row r="93" s="1" customFormat="1" spans="1:12">
      <c r="A93" s="3" t="s">
        <v>521</v>
      </c>
      <c r="B93" s="3" t="s">
        <v>562</v>
      </c>
      <c r="C93" s="3" t="s">
        <v>406</v>
      </c>
      <c r="D93" s="3" t="s">
        <v>563</v>
      </c>
      <c r="E93" s="3" t="s">
        <v>1455</v>
      </c>
      <c r="F93" s="3" t="s">
        <v>1456</v>
      </c>
      <c r="G93" s="3" t="s">
        <v>407</v>
      </c>
      <c r="H93" s="3" t="s">
        <v>407</v>
      </c>
      <c r="I93" s="3" t="s">
        <v>1247</v>
      </c>
      <c r="J93" s="5">
        <v>45433</v>
      </c>
      <c r="K93" s="5">
        <v>45433</v>
      </c>
      <c r="L93" s="6">
        <v>198113.21</v>
      </c>
    </row>
    <row r="94" s="1" customFormat="1" spans="1:12">
      <c r="A94" s="3" t="s">
        <v>508</v>
      </c>
      <c r="B94" s="3" t="s">
        <v>509</v>
      </c>
      <c r="C94" s="3" t="s">
        <v>1301</v>
      </c>
      <c r="D94" s="3" t="s">
        <v>1302</v>
      </c>
      <c r="E94" s="3" t="s">
        <v>1303</v>
      </c>
      <c r="F94" s="3" t="s">
        <v>1304</v>
      </c>
      <c r="G94" s="3" t="s">
        <v>95</v>
      </c>
      <c r="H94" s="3" t="s">
        <v>95</v>
      </c>
      <c r="I94" s="3" t="s">
        <v>1247</v>
      </c>
      <c r="J94" s="5">
        <v>45223</v>
      </c>
      <c r="K94" s="5">
        <v>45223</v>
      </c>
      <c r="L94" s="6">
        <v>197452.83</v>
      </c>
    </row>
    <row r="95" s="1" customFormat="1" spans="1:12">
      <c r="A95" s="3" t="s">
        <v>508</v>
      </c>
      <c r="B95" s="3" t="s">
        <v>542</v>
      </c>
      <c r="C95" s="3" t="s">
        <v>1261</v>
      </c>
      <c r="D95" s="3" t="s">
        <v>1262</v>
      </c>
      <c r="E95" s="3" t="s">
        <v>1259</v>
      </c>
      <c r="F95" s="3" t="s">
        <v>1260</v>
      </c>
      <c r="G95" s="3" t="s">
        <v>165</v>
      </c>
      <c r="H95" s="3" t="s">
        <v>165</v>
      </c>
      <c r="I95" s="3" t="s">
        <v>647</v>
      </c>
      <c r="J95" s="5">
        <v>45244</v>
      </c>
      <c r="K95" s="5">
        <v>45244</v>
      </c>
      <c r="L95" s="6">
        <v>174757.28</v>
      </c>
    </row>
    <row r="96" s="1" customFormat="1" spans="1:12">
      <c r="A96" s="3" t="s">
        <v>508</v>
      </c>
      <c r="B96" s="3" t="s">
        <v>509</v>
      </c>
      <c r="C96" s="3" t="s">
        <v>1287</v>
      </c>
      <c r="D96" s="3" t="s">
        <v>1288</v>
      </c>
      <c r="E96" s="3" t="s">
        <v>1289</v>
      </c>
      <c r="F96" s="3" t="s">
        <v>1290</v>
      </c>
      <c r="G96" s="3" t="s">
        <v>115</v>
      </c>
      <c r="H96" s="3" t="s">
        <v>115</v>
      </c>
      <c r="I96" s="3" t="s">
        <v>647</v>
      </c>
      <c r="J96" s="5">
        <v>45222</v>
      </c>
      <c r="K96" s="5">
        <v>45222</v>
      </c>
      <c r="L96" s="6">
        <v>165094.34</v>
      </c>
    </row>
    <row r="97" s="1" customFormat="1" spans="1:12">
      <c r="A97" s="3" t="s">
        <v>521</v>
      </c>
      <c r="B97" s="3" t="s">
        <v>823</v>
      </c>
      <c r="C97" s="3" t="s">
        <v>1509</v>
      </c>
      <c r="D97" s="3" t="s">
        <v>1512</v>
      </c>
      <c r="E97" s="3" t="s">
        <v>1483</v>
      </c>
      <c r="F97" s="3" t="s">
        <v>1484</v>
      </c>
      <c r="G97" s="3" t="s">
        <v>1511</v>
      </c>
      <c r="H97" s="3" t="s">
        <v>1511</v>
      </c>
      <c r="I97" s="3" t="s">
        <v>1486</v>
      </c>
      <c r="J97" s="5">
        <v>45322</v>
      </c>
      <c r="K97" s="5">
        <v>45322</v>
      </c>
      <c r="L97" s="11">
        <v>162166.67</v>
      </c>
    </row>
    <row r="98" s="1" customFormat="1" spans="1:12">
      <c r="A98" s="3" t="s">
        <v>508</v>
      </c>
      <c r="B98" s="3" t="s">
        <v>509</v>
      </c>
      <c r="C98" s="3" t="s">
        <v>1230</v>
      </c>
      <c r="D98" s="3" t="s">
        <v>1231</v>
      </c>
      <c r="E98" s="3" t="s">
        <v>1232</v>
      </c>
      <c r="F98" s="3" t="s">
        <v>1233</v>
      </c>
      <c r="G98" s="3" t="s">
        <v>170</v>
      </c>
      <c r="H98" s="3" t="s">
        <v>170</v>
      </c>
      <c r="I98" s="3" t="s">
        <v>647</v>
      </c>
      <c r="J98" s="5">
        <v>45216</v>
      </c>
      <c r="K98" s="5">
        <v>45216</v>
      </c>
      <c r="L98" s="6">
        <v>159281.3</v>
      </c>
    </row>
    <row r="99" s="1" customFormat="1" spans="1:12">
      <c r="A99" s="3" t="s">
        <v>508</v>
      </c>
      <c r="B99" s="3" t="s">
        <v>518</v>
      </c>
      <c r="C99" s="3" t="s">
        <v>1490</v>
      </c>
      <c r="D99" s="3" t="s">
        <v>1491</v>
      </c>
      <c r="E99" s="3" t="s">
        <v>1483</v>
      </c>
      <c r="F99" s="3" t="s">
        <v>1484</v>
      </c>
      <c r="G99" s="3" t="s">
        <v>1492</v>
      </c>
      <c r="H99" s="3" t="s">
        <v>1492</v>
      </c>
      <c r="I99" s="3" t="s">
        <v>1486</v>
      </c>
      <c r="J99" s="5">
        <v>45281</v>
      </c>
      <c r="K99" s="5">
        <v>45281</v>
      </c>
      <c r="L99" s="11">
        <v>158305.56</v>
      </c>
    </row>
    <row r="100" s="1" customFormat="1" spans="1:12">
      <c r="A100" s="3" t="s">
        <v>521</v>
      </c>
      <c r="B100" s="3" t="s">
        <v>895</v>
      </c>
      <c r="C100" s="3" t="s">
        <v>1565</v>
      </c>
      <c r="D100" s="3" t="s">
        <v>1570</v>
      </c>
      <c r="E100" s="3" t="s">
        <v>1483</v>
      </c>
      <c r="F100" s="3" t="s">
        <v>1484</v>
      </c>
      <c r="G100" s="3" t="s">
        <v>1564</v>
      </c>
      <c r="H100" s="3" t="s">
        <v>1564</v>
      </c>
      <c r="I100" s="3" t="s">
        <v>1486</v>
      </c>
      <c r="J100" s="5">
        <v>45412</v>
      </c>
      <c r="K100" s="5">
        <v>45412</v>
      </c>
      <c r="L100" s="11">
        <v>158305.55</v>
      </c>
    </row>
    <row r="101" s="1" customFormat="1" spans="1:12">
      <c r="A101" s="10" t="s">
        <v>521</v>
      </c>
      <c r="B101" s="10" t="s">
        <v>530</v>
      </c>
      <c r="C101" s="10" t="s">
        <v>1616</v>
      </c>
      <c r="D101" s="10" t="s">
        <v>1617</v>
      </c>
      <c r="E101" s="10" t="s">
        <v>1483</v>
      </c>
      <c r="F101" s="10" t="s">
        <v>1484</v>
      </c>
      <c r="G101" s="10" t="s">
        <v>1618</v>
      </c>
      <c r="H101" s="10" t="s">
        <v>1618</v>
      </c>
      <c r="I101" s="10" t="s">
        <v>1486</v>
      </c>
      <c r="J101" s="12">
        <v>45473</v>
      </c>
      <c r="K101" s="12">
        <v>45473</v>
      </c>
      <c r="L101" s="13">
        <v>157533.33</v>
      </c>
    </row>
    <row r="102" s="1" customFormat="1" spans="1:12">
      <c r="A102" s="3" t="s">
        <v>521</v>
      </c>
      <c r="B102" s="3" t="s">
        <v>895</v>
      </c>
      <c r="C102" s="3" t="s">
        <v>1462</v>
      </c>
      <c r="D102" s="3" t="s">
        <v>1463</v>
      </c>
      <c r="E102" s="3" t="s">
        <v>1464</v>
      </c>
      <c r="F102" s="3" t="s">
        <v>1465</v>
      </c>
      <c r="G102" s="3" t="s">
        <v>382</v>
      </c>
      <c r="H102" s="3" t="s">
        <v>382</v>
      </c>
      <c r="I102" s="3" t="s">
        <v>1247</v>
      </c>
      <c r="J102" s="5">
        <v>45405</v>
      </c>
      <c r="K102" s="5">
        <v>45405</v>
      </c>
      <c r="L102" s="6">
        <v>149900.94</v>
      </c>
    </row>
    <row r="103" s="1" customFormat="1" spans="1:12">
      <c r="A103" s="3" t="s">
        <v>508</v>
      </c>
      <c r="B103" s="3" t="s">
        <v>542</v>
      </c>
      <c r="C103" s="3" t="s">
        <v>1481</v>
      </c>
      <c r="D103" s="3" t="s">
        <v>1659</v>
      </c>
      <c r="E103" s="3" t="s">
        <v>1636</v>
      </c>
      <c r="F103" s="3" t="s">
        <v>1637</v>
      </c>
      <c r="G103" s="3" t="s">
        <v>1485</v>
      </c>
      <c r="H103" s="3" t="s">
        <v>1485</v>
      </c>
      <c r="I103" s="3" t="s">
        <v>1486</v>
      </c>
      <c r="J103" s="5">
        <v>45260</v>
      </c>
      <c r="K103" s="5">
        <v>45260</v>
      </c>
      <c r="L103" s="11">
        <v>144408.33</v>
      </c>
    </row>
    <row r="104" s="1" customFormat="1" spans="1:12">
      <c r="A104" s="3" t="s">
        <v>508</v>
      </c>
      <c r="B104" s="3" t="s">
        <v>518</v>
      </c>
      <c r="C104" s="3" t="s">
        <v>1663</v>
      </c>
      <c r="D104" s="3" t="s">
        <v>1676</v>
      </c>
      <c r="E104" s="3" t="s">
        <v>1636</v>
      </c>
      <c r="F104" s="3" t="s">
        <v>1637</v>
      </c>
      <c r="G104" s="3" t="s">
        <v>1658</v>
      </c>
      <c r="H104" s="3" t="s">
        <v>1658</v>
      </c>
      <c r="I104" s="3" t="s">
        <v>1486</v>
      </c>
      <c r="J104" s="5">
        <v>45291</v>
      </c>
      <c r="K104" s="5">
        <v>45291</v>
      </c>
      <c r="L104" s="11">
        <v>144408.33</v>
      </c>
    </row>
    <row r="105" s="1" customFormat="1" spans="1:12">
      <c r="A105" s="3" t="s">
        <v>521</v>
      </c>
      <c r="B105" s="3" t="s">
        <v>530</v>
      </c>
      <c r="C105" s="3" t="s">
        <v>1559</v>
      </c>
      <c r="D105" s="3" t="s">
        <v>1560</v>
      </c>
      <c r="E105" s="3" t="s">
        <v>1483</v>
      </c>
      <c r="F105" s="3" t="s">
        <v>1484</v>
      </c>
      <c r="G105" s="3" t="s">
        <v>1561</v>
      </c>
      <c r="H105" s="3" t="s">
        <v>1561</v>
      </c>
      <c r="I105" s="3" t="s">
        <v>1486</v>
      </c>
      <c r="J105" s="5">
        <v>45463</v>
      </c>
      <c r="K105" s="5">
        <v>45463</v>
      </c>
      <c r="L105" s="11">
        <v>142088.89</v>
      </c>
    </row>
    <row r="106" s="1" customFormat="1" spans="1:12">
      <c r="A106" s="3" t="s">
        <v>508</v>
      </c>
      <c r="B106" s="3" t="s">
        <v>542</v>
      </c>
      <c r="C106" s="3" t="s">
        <v>1312</v>
      </c>
      <c r="D106" s="3" t="s">
        <v>1313</v>
      </c>
      <c r="E106" s="3" t="s">
        <v>1310</v>
      </c>
      <c r="F106" s="3" t="s">
        <v>1311</v>
      </c>
      <c r="G106" s="3" t="s">
        <v>1314</v>
      </c>
      <c r="H106" s="3" t="s">
        <v>1315</v>
      </c>
      <c r="I106" s="3" t="s">
        <v>647</v>
      </c>
      <c r="J106" s="5">
        <v>45246</v>
      </c>
      <c r="K106" s="5">
        <v>45246</v>
      </c>
      <c r="L106" s="6">
        <v>141509.43</v>
      </c>
    </row>
    <row r="107" s="1" customFormat="1" spans="1:12">
      <c r="A107" s="3" t="s">
        <v>508</v>
      </c>
      <c r="B107" s="3" t="s">
        <v>509</v>
      </c>
      <c r="C107" s="3" t="s">
        <v>1337</v>
      </c>
      <c r="D107" s="3" t="s">
        <v>1338</v>
      </c>
      <c r="E107" s="3" t="s">
        <v>1339</v>
      </c>
      <c r="F107" s="3" t="s">
        <v>1340</v>
      </c>
      <c r="G107" s="3" t="s">
        <v>105</v>
      </c>
      <c r="H107" s="3" t="s">
        <v>105</v>
      </c>
      <c r="I107" s="3" t="s">
        <v>647</v>
      </c>
      <c r="J107" s="5">
        <v>45222</v>
      </c>
      <c r="K107" s="5">
        <v>45222</v>
      </c>
      <c r="L107" s="6">
        <v>131132.08</v>
      </c>
    </row>
    <row r="108" s="1" customFormat="1" spans="1:12">
      <c r="A108" s="3" t="s">
        <v>521</v>
      </c>
      <c r="B108" s="3" t="s">
        <v>895</v>
      </c>
      <c r="C108" s="3" t="s">
        <v>377</v>
      </c>
      <c r="D108" s="3" t="s">
        <v>1251</v>
      </c>
      <c r="E108" s="3" t="s">
        <v>1245</v>
      </c>
      <c r="F108" s="3" t="s">
        <v>1246</v>
      </c>
      <c r="G108" s="3" t="s">
        <v>378</v>
      </c>
      <c r="H108" s="3" t="s">
        <v>378</v>
      </c>
      <c r="I108" s="3" t="s">
        <v>1247</v>
      </c>
      <c r="J108" s="5">
        <v>45405</v>
      </c>
      <c r="K108" s="5">
        <v>45405</v>
      </c>
      <c r="L108" s="6">
        <v>127358.49</v>
      </c>
    </row>
    <row r="109" s="1" customFormat="1" spans="1:12">
      <c r="A109" s="3" t="s">
        <v>508</v>
      </c>
      <c r="B109" s="3" t="s">
        <v>644</v>
      </c>
      <c r="C109" s="3" t="s">
        <v>645</v>
      </c>
      <c r="D109" s="3" t="s">
        <v>646</v>
      </c>
      <c r="E109" s="3" t="s">
        <v>640</v>
      </c>
      <c r="F109" s="3" t="s">
        <v>641</v>
      </c>
      <c r="G109" s="3" t="s">
        <v>136</v>
      </c>
      <c r="H109" s="3" t="s">
        <v>136</v>
      </c>
      <c r="I109" s="3" t="s">
        <v>647</v>
      </c>
      <c r="J109" s="5">
        <v>45190</v>
      </c>
      <c r="K109" s="5">
        <v>45190</v>
      </c>
      <c r="L109" s="6">
        <v>125290</v>
      </c>
    </row>
    <row r="110" s="1" customFormat="1" spans="1:12">
      <c r="A110" s="3" t="s">
        <v>521</v>
      </c>
      <c r="B110" s="3" t="s">
        <v>597</v>
      </c>
      <c r="C110" s="3" t="s">
        <v>1533</v>
      </c>
      <c r="D110" s="3" t="s">
        <v>1545</v>
      </c>
      <c r="E110" s="3" t="s">
        <v>1483</v>
      </c>
      <c r="F110" s="3" t="s">
        <v>1484</v>
      </c>
      <c r="G110" s="3" t="s">
        <v>1535</v>
      </c>
      <c r="H110" s="3" t="s">
        <v>1535</v>
      </c>
      <c r="I110" s="3" t="s">
        <v>1486</v>
      </c>
      <c r="J110" s="5">
        <v>45382</v>
      </c>
      <c r="K110" s="5">
        <v>45382</v>
      </c>
      <c r="L110" s="11">
        <v>122011.13</v>
      </c>
    </row>
    <row r="111" s="1" customFormat="1" spans="1:12">
      <c r="A111" s="3" t="s">
        <v>521</v>
      </c>
      <c r="B111" s="3" t="s">
        <v>597</v>
      </c>
      <c r="C111" s="3" t="s">
        <v>1533</v>
      </c>
      <c r="D111" s="3" t="s">
        <v>1546</v>
      </c>
      <c r="E111" s="3" t="s">
        <v>1483</v>
      </c>
      <c r="F111" s="3" t="s">
        <v>1484</v>
      </c>
      <c r="G111" s="3" t="s">
        <v>1535</v>
      </c>
      <c r="H111" s="3" t="s">
        <v>1535</v>
      </c>
      <c r="I111" s="3" t="s">
        <v>1486</v>
      </c>
      <c r="J111" s="5">
        <v>45382</v>
      </c>
      <c r="K111" s="5">
        <v>45382</v>
      </c>
      <c r="L111" s="11">
        <v>122011.11</v>
      </c>
    </row>
    <row r="112" s="1" customFormat="1" spans="1:12">
      <c r="A112" s="3" t="s">
        <v>521</v>
      </c>
      <c r="B112" s="3" t="s">
        <v>597</v>
      </c>
      <c r="C112" s="3" t="s">
        <v>1555</v>
      </c>
      <c r="D112" s="3" t="s">
        <v>1556</v>
      </c>
      <c r="E112" s="3" t="s">
        <v>1483</v>
      </c>
      <c r="F112" s="3" t="s">
        <v>1484</v>
      </c>
      <c r="G112" s="3" t="s">
        <v>1535</v>
      </c>
      <c r="H112" s="3" t="s">
        <v>1535</v>
      </c>
      <c r="I112" s="3" t="s">
        <v>1486</v>
      </c>
      <c r="J112" s="5">
        <v>45372</v>
      </c>
      <c r="K112" s="5">
        <v>45372</v>
      </c>
      <c r="L112" s="11">
        <v>122011.11</v>
      </c>
    </row>
    <row r="113" s="1" customFormat="1" spans="1:12">
      <c r="A113" s="3" t="s">
        <v>521</v>
      </c>
      <c r="B113" s="3" t="s">
        <v>562</v>
      </c>
      <c r="C113" s="3" t="s">
        <v>1587</v>
      </c>
      <c r="D113" s="3" t="s">
        <v>1598</v>
      </c>
      <c r="E113" s="3" t="s">
        <v>1483</v>
      </c>
      <c r="F113" s="3" t="s">
        <v>1484</v>
      </c>
      <c r="G113" s="3" t="s">
        <v>1589</v>
      </c>
      <c r="H113" s="3" t="s">
        <v>1589</v>
      </c>
      <c r="I113" s="3" t="s">
        <v>1486</v>
      </c>
      <c r="J113" s="5">
        <v>45443</v>
      </c>
      <c r="K113" s="5">
        <v>45443</v>
      </c>
      <c r="L113" s="11">
        <v>111200</v>
      </c>
    </row>
    <row r="114" s="1" customFormat="1" spans="1:12">
      <c r="A114" s="3" t="s">
        <v>521</v>
      </c>
      <c r="B114" s="3" t="s">
        <v>597</v>
      </c>
      <c r="C114" s="3" t="s">
        <v>1533</v>
      </c>
      <c r="D114" s="3" t="s">
        <v>1549</v>
      </c>
      <c r="E114" s="3" t="s">
        <v>1483</v>
      </c>
      <c r="F114" s="3" t="s">
        <v>1484</v>
      </c>
      <c r="G114" s="3" t="s">
        <v>1540</v>
      </c>
      <c r="H114" s="3" t="s">
        <v>1540</v>
      </c>
      <c r="I114" s="3" t="s">
        <v>1486</v>
      </c>
      <c r="J114" s="5">
        <v>45382</v>
      </c>
      <c r="K114" s="5">
        <v>45382</v>
      </c>
      <c r="L114" s="11">
        <v>101566.67</v>
      </c>
    </row>
    <row r="115" s="1" customFormat="1" spans="1:12">
      <c r="A115" s="3" t="s">
        <v>508</v>
      </c>
      <c r="B115" s="3" t="s">
        <v>518</v>
      </c>
      <c r="C115" s="3" t="s">
        <v>1671</v>
      </c>
      <c r="D115" s="3" t="s">
        <v>1672</v>
      </c>
      <c r="E115" s="3" t="s">
        <v>1636</v>
      </c>
      <c r="F115" s="3" t="s">
        <v>1637</v>
      </c>
      <c r="G115" s="3" t="s">
        <v>1673</v>
      </c>
      <c r="H115" s="3" t="s">
        <v>1673</v>
      </c>
      <c r="I115" s="3" t="s">
        <v>1486</v>
      </c>
      <c r="J115" s="5">
        <v>45279</v>
      </c>
      <c r="K115" s="5">
        <v>45279</v>
      </c>
      <c r="L115" s="11">
        <v>96800</v>
      </c>
    </row>
    <row r="116" s="1" customFormat="1" spans="1:12">
      <c r="A116" s="3" t="s">
        <v>521</v>
      </c>
      <c r="B116" s="3" t="s">
        <v>597</v>
      </c>
      <c r="C116" s="3" t="s">
        <v>360</v>
      </c>
      <c r="D116" s="3" t="s">
        <v>1321</v>
      </c>
      <c r="E116" s="3" t="s">
        <v>1322</v>
      </c>
      <c r="F116" s="3" t="s">
        <v>1323</v>
      </c>
      <c r="G116" s="3" t="s">
        <v>361</v>
      </c>
      <c r="H116" s="3" t="s">
        <v>361</v>
      </c>
      <c r="I116" s="3" t="s">
        <v>647</v>
      </c>
      <c r="J116" s="5">
        <v>45362</v>
      </c>
      <c r="K116" s="5">
        <v>45362</v>
      </c>
      <c r="L116" s="6">
        <v>94339.62</v>
      </c>
    </row>
    <row r="117" s="1" customFormat="1" spans="1:12">
      <c r="A117" s="3" t="s">
        <v>508</v>
      </c>
      <c r="B117" s="3" t="s">
        <v>518</v>
      </c>
      <c r="C117" s="3" t="s">
        <v>1497</v>
      </c>
      <c r="D117" s="3" t="s">
        <v>1498</v>
      </c>
      <c r="E117" s="3" t="s">
        <v>1483</v>
      </c>
      <c r="F117" s="3" t="s">
        <v>1484</v>
      </c>
      <c r="G117" s="3" t="s">
        <v>1499</v>
      </c>
      <c r="H117" s="3" t="s">
        <v>1499</v>
      </c>
      <c r="I117" s="3" t="s">
        <v>1486</v>
      </c>
      <c r="J117" s="5">
        <v>45287</v>
      </c>
      <c r="K117" s="5">
        <v>45287</v>
      </c>
      <c r="L117" s="11">
        <v>92333.33</v>
      </c>
    </row>
    <row r="118" s="1" customFormat="1" spans="1:12">
      <c r="A118" s="3" t="s">
        <v>521</v>
      </c>
      <c r="B118" s="3" t="s">
        <v>522</v>
      </c>
      <c r="C118" s="3" t="s">
        <v>1524</v>
      </c>
      <c r="D118" s="3" t="s">
        <v>1527</v>
      </c>
      <c r="E118" s="3" t="s">
        <v>1483</v>
      </c>
      <c r="F118" s="3" t="s">
        <v>1484</v>
      </c>
      <c r="G118" s="3" t="s">
        <v>1526</v>
      </c>
      <c r="H118" s="3" t="s">
        <v>1526</v>
      </c>
      <c r="I118" s="3" t="s">
        <v>1486</v>
      </c>
      <c r="J118" s="5">
        <v>45351</v>
      </c>
      <c r="K118" s="5">
        <v>45351</v>
      </c>
      <c r="L118" s="11">
        <v>91122.22</v>
      </c>
    </row>
    <row r="119" s="1" customFormat="1" spans="1:12">
      <c r="A119" s="3" t="s">
        <v>508</v>
      </c>
      <c r="B119" s="3" t="s">
        <v>518</v>
      </c>
      <c r="C119" s="3" t="s">
        <v>1278</v>
      </c>
      <c r="D119" s="3" t="s">
        <v>1279</v>
      </c>
      <c r="E119" s="3" t="s">
        <v>1259</v>
      </c>
      <c r="F119" s="3" t="s">
        <v>1260</v>
      </c>
      <c r="G119" s="3" t="s">
        <v>146</v>
      </c>
      <c r="H119" s="3" t="s">
        <v>146</v>
      </c>
      <c r="I119" s="3" t="s">
        <v>647</v>
      </c>
      <c r="J119" s="5">
        <v>45279</v>
      </c>
      <c r="K119" s="5">
        <v>45279</v>
      </c>
      <c r="L119" s="6">
        <v>89622.64</v>
      </c>
    </row>
    <row r="120" s="1" customFormat="1" spans="1:12">
      <c r="A120" s="3" t="s">
        <v>508</v>
      </c>
      <c r="B120" s="3" t="s">
        <v>509</v>
      </c>
      <c r="C120" s="3" t="s">
        <v>1330</v>
      </c>
      <c r="D120" s="3" t="s">
        <v>1331</v>
      </c>
      <c r="E120" s="3" t="s">
        <v>1332</v>
      </c>
      <c r="F120" s="3" t="s">
        <v>1333</v>
      </c>
      <c r="G120" s="3" t="s">
        <v>110</v>
      </c>
      <c r="H120" s="3" t="s">
        <v>110</v>
      </c>
      <c r="I120" s="3" t="s">
        <v>647</v>
      </c>
      <c r="J120" s="5">
        <v>45223</v>
      </c>
      <c r="K120" s="5">
        <v>45223</v>
      </c>
      <c r="L120" s="6">
        <v>83207.55</v>
      </c>
    </row>
    <row r="121" s="1" customFormat="1" spans="1:12">
      <c r="A121" s="3" t="s">
        <v>521</v>
      </c>
      <c r="B121" s="3" t="s">
        <v>823</v>
      </c>
      <c r="C121" s="3" t="s">
        <v>1434</v>
      </c>
      <c r="D121" s="3" t="s">
        <v>1435</v>
      </c>
      <c r="E121" s="3" t="s">
        <v>1414</v>
      </c>
      <c r="F121" s="3" t="s">
        <v>1415</v>
      </c>
      <c r="G121" s="3" t="s">
        <v>1436</v>
      </c>
      <c r="H121" s="3" t="s">
        <v>1436</v>
      </c>
      <c r="I121" s="3" t="s">
        <v>985</v>
      </c>
      <c r="J121" s="5">
        <v>45316</v>
      </c>
      <c r="K121" s="5">
        <v>45316</v>
      </c>
      <c r="L121" s="6">
        <v>81109.69</v>
      </c>
    </row>
    <row r="122" s="1" customFormat="1" spans="1:12">
      <c r="A122" s="3" t="s">
        <v>508</v>
      </c>
      <c r="B122" s="3" t="s">
        <v>542</v>
      </c>
      <c r="C122" s="3" t="s">
        <v>1481</v>
      </c>
      <c r="D122" s="3" t="s">
        <v>1482</v>
      </c>
      <c r="E122" s="3" t="s">
        <v>1483</v>
      </c>
      <c r="F122" s="3" t="s">
        <v>1484</v>
      </c>
      <c r="G122" s="3" t="s">
        <v>1485</v>
      </c>
      <c r="H122" s="3" t="s">
        <v>1485</v>
      </c>
      <c r="I122" s="3" t="s">
        <v>1486</v>
      </c>
      <c r="J122" s="5">
        <v>45260</v>
      </c>
      <c r="K122" s="5">
        <v>45260</v>
      </c>
      <c r="L122" s="11">
        <v>81083.33</v>
      </c>
    </row>
    <row r="123" s="1" customFormat="1" spans="1:12">
      <c r="A123" s="10" t="s">
        <v>521</v>
      </c>
      <c r="B123" s="10" t="s">
        <v>530</v>
      </c>
      <c r="C123" s="10" t="s">
        <v>1616</v>
      </c>
      <c r="D123" s="10" t="s">
        <v>1619</v>
      </c>
      <c r="E123" s="10" t="s">
        <v>1483</v>
      </c>
      <c r="F123" s="10" t="s">
        <v>1484</v>
      </c>
      <c r="G123" s="10" t="s">
        <v>1618</v>
      </c>
      <c r="H123" s="10" t="s">
        <v>1618</v>
      </c>
      <c r="I123" s="10" t="s">
        <v>1486</v>
      </c>
      <c r="J123" s="12">
        <v>45473</v>
      </c>
      <c r="K123" s="12">
        <v>45473</v>
      </c>
      <c r="L123" s="13">
        <v>78766.66</v>
      </c>
    </row>
    <row r="124" s="1" customFormat="1" spans="1:12">
      <c r="A124" s="3" t="s">
        <v>521</v>
      </c>
      <c r="B124" s="3" t="s">
        <v>530</v>
      </c>
      <c r="C124" s="3" t="s">
        <v>1559</v>
      </c>
      <c r="D124" s="3" t="s">
        <v>1560</v>
      </c>
      <c r="E124" s="3" t="s">
        <v>1483</v>
      </c>
      <c r="F124" s="3" t="s">
        <v>1484</v>
      </c>
      <c r="G124" s="3" t="s">
        <v>1561</v>
      </c>
      <c r="H124" s="3" t="s">
        <v>1561</v>
      </c>
      <c r="I124" s="3" t="s">
        <v>1486</v>
      </c>
      <c r="J124" s="5">
        <v>45463</v>
      </c>
      <c r="K124" s="5">
        <v>45463</v>
      </c>
      <c r="L124" s="11">
        <v>71044.44</v>
      </c>
    </row>
    <row r="125" s="1" customFormat="1" spans="1:12">
      <c r="A125" s="3" t="s">
        <v>508</v>
      </c>
      <c r="B125" s="3" t="s">
        <v>509</v>
      </c>
      <c r="C125" s="3" t="s">
        <v>1642</v>
      </c>
      <c r="D125" s="3" t="s">
        <v>1643</v>
      </c>
      <c r="E125" s="3" t="s">
        <v>1636</v>
      </c>
      <c r="F125" s="3" t="s">
        <v>1637</v>
      </c>
      <c r="G125" s="3" t="s">
        <v>1638</v>
      </c>
      <c r="H125" s="3" t="s">
        <v>1638</v>
      </c>
      <c r="I125" s="3" t="s">
        <v>1486</v>
      </c>
      <c r="J125" s="5">
        <v>45230</v>
      </c>
      <c r="K125" s="5">
        <v>45230</v>
      </c>
      <c r="L125" s="11">
        <v>70525</v>
      </c>
    </row>
    <row r="126" s="1" customFormat="1" spans="1:12">
      <c r="A126" s="3" t="s">
        <v>521</v>
      </c>
      <c r="B126" s="3" t="s">
        <v>597</v>
      </c>
      <c r="C126" s="3" t="s">
        <v>1533</v>
      </c>
      <c r="D126" s="3" t="s">
        <v>1546</v>
      </c>
      <c r="E126" s="3" t="s">
        <v>1483</v>
      </c>
      <c r="F126" s="3" t="s">
        <v>1484</v>
      </c>
      <c r="G126" s="3" t="s">
        <v>1535</v>
      </c>
      <c r="H126" s="3" t="s">
        <v>1535</v>
      </c>
      <c r="I126" s="3" t="s">
        <v>1486</v>
      </c>
      <c r="J126" s="5">
        <v>45382</v>
      </c>
      <c r="K126" s="5">
        <v>45382</v>
      </c>
      <c r="L126" s="11">
        <v>70272.22</v>
      </c>
    </row>
    <row r="127" s="1" customFormat="1" spans="1:12">
      <c r="A127" s="10" t="s">
        <v>521</v>
      </c>
      <c r="B127" s="10" t="s">
        <v>530</v>
      </c>
      <c r="C127" s="10" t="s">
        <v>1616</v>
      </c>
      <c r="D127" s="10" t="s">
        <v>1623</v>
      </c>
      <c r="E127" s="10" t="s">
        <v>1483</v>
      </c>
      <c r="F127" s="10" t="s">
        <v>1484</v>
      </c>
      <c r="G127" s="10" t="s">
        <v>1618</v>
      </c>
      <c r="H127" s="10" t="s">
        <v>1618</v>
      </c>
      <c r="I127" s="10" t="s">
        <v>1486</v>
      </c>
      <c r="J127" s="12">
        <v>45473</v>
      </c>
      <c r="K127" s="12">
        <v>45473</v>
      </c>
      <c r="L127" s="13">
        <v>64017.78</v>
      </c>
    </row>
    <row r="128" s="1" customFormat="1" spans="1:12">
      <c r="A128" s="3" t="s">
        <v>521</v>
      </c>
      <c r="B128" s="3" t="s">
        <v>895</v>
      </c>
      <c r="C128" s="3" t="s">
        <v>1565</v>
      </c>
      <c r="D128" s="3" t="s">
        <v>1566</v>
      </c>
      <c r="E128" s="3" t="s">
        <v>1483</v>
      </c>
      <c r="F128" s="3" t="s">
        <v>1484</v>
      </c>
      <c r="G128" s="3" t="s">
        <v>1564</v>
      </c>
      <c r="H128" s="3" t="s">
        <v>1564</v>
      </c>
      <c r="I128" s="3" t="s">
        <v>1486</v>
      </c>
      <c r="J128" s="5">
        <v>45412</v>
      </c>
      <c r="K128" s="5">
        <v>45412</v>
      </c>
      <c r="L128" s="11">
        <v>63322.22</v>
      </c>
    </row>
    <row r="129" s="1" customFormat="1" spans="1:12">
      <c r="A129" s="3" t="s">
        <v>508</v>
      </c>
      <c r="B129" s="3" t="s">
        <v>518</v>
      </c>
      <c r="C129" s="3" t="s">
        <v>1221</v>
      </c>
      <c r="D129" s="3" t="s">
        <v>1222</v>
      </c>
      <c r="E129" s="3" t="s">
        <v>1223</v>
      </c>
      <c r="F129" s="3" t="s">
        <v>1224</v>
      </c>
      <c r="G129" s="3" t="s">
        <v>1225</v>
      </c>
      <c r="H129" s="3" t="s">
        <v>198</v>
      </c>
      <c r="I129" s="3" t="s">
        <v>1226</v>
      </c>
      <c r="J129" s="5">
        <v>45271</v>
      </c>
      <c r="K129" s="5">
        <v>45271</v>
      </c>
      <c r="L129" s="6">
        <v>61468.44</v>
      </c>
    </row>
    <row r="130" s="1" customFormat="1" spans="1:12">
      <c r="A130" s="3" t="s">
        <v>521</v>
      </c>
      <c r="B130" s="3" t="s">
        <v>562</v>
      </c>
      <c r="C130" s="3" t="s">
        <v>1587</v>
      </c>
      <c r="D130" s="3" t="s">
        <v>1588</v>
      </c>
      <c r="E130" s="3" t="s">
        <v>1483</v>
      </c>
      <c r="F130" s="3" t="s">
        <v>1484</v>
      </c>
      <c r="G130" s="3" t="s">
        <v>1589</v>
      </c>
      <c r="H130" s="3" t="s">
        <v>1589</v>
      </c>
      <c r="I130" s="3" t="s">
        <v>1486</v>
      </c>
      <c r="J130" s="5">
        <v>45443</v>
      </c>
      <c r="K130" s="5">
        <v>45443</v>
      </c>
      <c r="L130" s="11">
        <v>55600</v>
      </c>
    </row>
    <row r="131" s="1" customFormat="1" spans="1:12">
      <c r="A131" s="3" t="s">
        <v>521</v>
      </c>
      <c r="B131" s="3" t="s">
        <v>522</v>
      </c>
      <c r="C131" s="3" t="s">
        <v>1524</v>
      </c>
      <c r="D131" s="3" t="s">
        <v>1525</v>
      </c>
      <c r="E131" s="3" t="s">
        <v>1483</v>
      </c>
      <c r="F131" s="3" t="s">
        <v>1484</v>
      </c>
      <c r="G131" s="3" t="s">
        <v>1526</v>
      </c>
      <c r="H131" s="3" t="s">
        <v>1526</v>
      </c>
      <c r="I131" s="3" t="s">
        <v>1486</v>
      </c>
      <c r="J131" s="5">
        <v>45351</v>
      </c>
      <c r="K131" s="5">
        <v>45351</v>
      </c>
      <c r="L131" s="11">
        <v>54827.78</v>
      </c>
    </row>
    <row r="132" s="1" customFormat="1" spans="1:12">
      <c r="A132" s="3" t="s">
        <v>521</v>
      </c>
      <c r="B132" s="3" t="s">
        <v>530</v>
      </c>
      <c r="C132" s="3" t="s">
        <v>1559</v>
      </c>
      <c r="D132" s="3" t="s">
        <v>1609</v>
      </c>
      <c r="E132" s="3" t="s">
        <v>1483</v>
      </c>
      <c r="F132" s="3" t="s">
        <v>1484</v>
      </c>
      <c r="G132" s="3" t="s">
        <v>1606</v>
      </c>
      <c r="H132" s="3" t="s">
        <v>1606</v>
      </c>
      <c r="I132" s="3" t="s">
        <v>1486</v>
      </c>
      <c r="J132" s="5">
        <v>45464</v>
      </c>
      <c r="K132" s="5">
        <v>45464</v>
      </c>
      <c r="L132" s="11">
        <v>51706.67</v>
      </c>
    </row>
    <row r="133" s="1" customFormat="1" spans="1:12">
      <c r="A133" s="3" t="s">
        <v>508</v>
      </c>
      <c r="B133" s="3" t="s">
        <v>518</v>
      </c>
      <c r="C133" s="3" t="s">
        <v>1473</v>
      </c>
      <c r="D133" s="3" t="s">
        <v>1474</v>
      </c>
      <c r="E133" s="3" t="s">
        <v>1471</v>
      </c>
      <c r="F133" s="3" t="s">
        <v>1472</v>
      </c>
      <c r="G133" s="3" t="s">
        <v>1475</v>
      </c>
      <c r="H133" s="3" t="s">
        <v>1475</v>
      </c>
      <c r="I133" s="3" t="s">
        <v>647</v>
      </c>
      <c r="J133" s="5">
        <v>45279</v>
      </c>
      <c r="K133" s="5">
        <v>45279</v>
      </c>
      <c r="L133" s="6">
        <v>48750</v>
      </c>
    </row>
    <row r="134" s="1" customFormat="1" spans="1:12">
      <c r="A134" s="3" t="s">
        <v>521</v>
      </c>
      <c r="B134" s="3" t="s">
        <v>823</v>
      </c>
      <c r="C134" s="3" t="s">
        <v>1509</v>
      </c>
      <c r="D134" s="3" t="s">
        <v>1516</v>
      </c>
      <c r="E134" s="3" t="s">
        <v>1483</v>
      </c>
      <c r="F134" s="3" t="s">
        <v>1484</v>
      </c>
      <c r="G134" s="3" t="s">
        <v>1511</v>
      </c>
      <c r="H134" s="3" t="s">
        <v>1511</v>
      </c>
      <c r="I134" s="3" t="s">
        <v>1486</v>
      </c>
      <c r="J134" s="5">
        <v>45322</v>
      </c>
      <c r="K134" s="5">
        <v>45322</v>
      </c>
      <c r="L134" s="11">
        <v>46333.33</v>
      </c>
    </row>
    <row r="135" s="1" customFormat="1" spans="1:12">
      <c r="A135" s="3" t="s">
        <v>508</v>
      </c>
      <c r="B135" s="3" t="s">
        <v>542</v>
      </c>
      <c r="C135" s="3" t="s">
        <v>1481</v>
      </c>
      <c r="D135" s="3" t="s">
        <v>1661</v>
      </c>
      <c r="E135" s="3" t="s">
        <v>1636</v>
      </c>
      <c r="F135" s="3" t="s">
        <v>1637</v>
      </c>
      <c r="G135" s="3" t="s">
        <v>1485</v>
      </c>
      <c r="H135" s="3" t="s">
        <v>1485</v>
      </c>
      <c r="I135" s="3" t="s">
        <v>1486</v>
      </c>
      <c r="J135" s="5">
        <v>45260</v>
      </c>
      <c r="K135" s="5">
        <v>45260</v>
      </c>
      <c r="L135" s="11">
        <v>44000</v>
      </c>
    </row>
    <row r="136" s="1" customFormat="1" spans="1:12">
      <c r="A136" s="3" t="s">
        <v>508</v>
      </c>
      <c r="B136" s="3" t="s">
        <v>518</v>
      </c>
      <c r="C136" s="3" t="s">
        <v>1666</v>
      </c>
      <c r="D136" s="3" t="s">
        <v>1667</v>
      </c>
      <c r="E136" s="3" t="s">
        <v>1636</v>
      </c>
      <c r="F136" s="3" t="s">
        <v>1637</v>
      </c>
      <c r="G136" s="3" t="s">
        <v>1668</v>
      </c>
      <c r="H136" s="3" t="s">
        <v>1668</v>
      </c>
      <c r="I136" s="3" t="s">
        <v>1486</v>
      </c>
      <c r="J136" s="5">
        <v>45275</v>
      </c>
      <c r="K136" s="5">
        <v>45275</v>
      </c>
      <c r="L136" s="11">
        <v>43098.62</v>
      </c>
    </row>
    <row r="137" s="1" customFormat="1" spans="1:12">
      <c r="A137" s="3" t="s">
        <v>508</v>
      </c>
      <c r="B137" s="3" t="s">
        <v>518</v>
      </c>
      <c r="C137" s="3" t="s">
        <v>1663</v>
      </c>
      <c r="D137" s="3" t="s">
        <v>1676</v>
      </c>
      <c r="E137" s="3" t="s">
        <v>1636</v>
      </c>
      <c r="F137" s="3" t="s">
        <v>1637</v>
      </c>
      <c r="G137" s="3" t="s">
        <v>1658</v>
      </c>
      <c r="H137" s="3" t="s">
        <v>1658</v>
      </c>
      <c r="I137" s="3" t="s">
        <v>1486</v>
      </c>
      <c r="J137" s="5">
        <v>45291</v>
      </c>
      <c r="K137" s="5">
        <v>45291</v>
      </c>
      <c r="L137" s="11">
        <v>43098.61</v>
      </c>
    </row>
    <row r="138" s="1" customFormat="1" spans="1:12">
      <c r="A138" s="3" t="s">
        <v>508</v>
      </c>
      <c r="B138" s="3" t="s">
        <v>518</v>
      </c>
      <c r="C138" s="3" t="s">
        <v>1497</v>
      </c>
      <c r="D138" s="3" t="s">
        <v>1503</v>
      </c>
      <c r="E138" s="3" t="s">
        <v>1483</v>
      </c>
      <c r="F138" s="3" t="s">
        <v>1484</v>
      </c>
      <c r="G138" s="3" t="s">
        <v>1499</v>
      </c>
      <c r="H138" s="3" t="s">
        <v>1499</v>
      </c>
      <c r="I138" s="3" t="s">
        <v>1486</v>
      </c>
      <c r="J138" s="5">
        <v>45287</v>
      </c>
      <c r="K138" s="5">
        <v>45287</v>
      </c>
      <c r="L138" s="11">
        <v>42472.22</v>
      </c>
    </row>
    <row r="139" s="1" customFormat="1" spans="1:12">
      <c r="A139" s="3" t="s">
        <v>521</v>
      </c>
      <c r="B139" s="3" t="s">
        <v>597</v>
      </c>
      <c r="C139" s="3" t="s">
        <v>1533</v>
      </c>
      <c r="D139" s="3" t="s">
        <v>1539</v>
      </c>
      <c r="E139" s="3" t="s">
        <v>1483</v>
      </c>
      <c r="F139" s="3" t="s">
        <v>1484</v>
      </c>
      <c r="G139" s="3" t="s">
        <v>1540</v>
      </c>
      <c r="H139" s="3" t="s">
        <v>1540</v>
      </c>
      <c r="I139" s="3" t="s">
        <v>1486</v>
      </c>
      <c r="J139" s="5">
        <v>45382</v>
      </c>
      <c r="K139" s="5">
        <v>45382</v>
      </c>
      <c r="L139" s="11">
        <v>42472.22</v>
      </c>
    </row>
    <row r="140" s="1" customFormat="1" spans="1:12">
      <c r="A140" s="3" t="s">
        <v>521</v>
      </c>
      <c r="B140" s="3" t="s">
        <v>597</v>
      </c>
      <c r="C140" s="3" t="s">
        <v>1417</v>
      </c>
      <c r="D140" s="3" t="s">
        <v>1418</v>
      </c>
      <c r="E140" s="3" t="s">
        <v>1414</v>
      </c>
      <c r="F140" s="3" t="s">
        <v>1415</v>
      </c>
      <c r="G140" s="3" t="s">
        <v>1419</v>
      </c>
      <c r="H140" s="3" t="s">
        <v>1419</v>
      </c>
      <c r="I140" s="3" t="s">
        <v>647</v>
      </c>
      <c r="J140" s="5">
        <v>45371</v>
      </c>
      <c r="K140" s="5">
        <v>45371</v>
      </c>
      <c r="L140" s="6">
        <v>41592.92</v>
      </c>
    </row>
    <row r="141" s="1" customFormat="1" spans="1:12">
      <c r="A141" s="3" t="s">
        <v>508</v>
      </c>
      <c r="B141" s="3" t="s">
        <v>509</v>
      </c>
      <c r="C141" s="3" t="s">
        <v>1294</v>
      </c>
      <c r="D141" s="3" t="s">
        <v>1295</v>
      </c>
      <c r="E141" s="3" t="s">
        <v>1296</v>
      </c>
      <c r="F141" s="3" t="s">
        <v>1297</v>
      </c>
      <c r="G141" s="3" t="s">
        <v>100</v>
      </c>
      <c r="H141" s="3" t="s">
        <v>100</v>
      </c>
      <c r="I141" s="3" t="s">
        <v>647</v>
      </c>
      <c r="J141" s="5">
        <v>45222</v>
      </c>
      <c r="K141" s="5">
        <v>45222</v>
      </c>
      <c r="L141" s="6">
        <v>35754.72</v>
      </c>
    </row>
    <row r="142" s="1" customFormat="1" spans="1:12">
      <c r="A142" s="3" t="s">
        <v>521</v>
      </c>
      <c r="B142" s="3" t="s">
        <v>823</v>
      </c>
      <c r="C142" s="3" t="s">
        <v>1509</v>
      </c>
      <c r="D142" s="3" t="s">
        <v>1510</v>
      </c>
      <c r="E142" s="3" t="s">
        <v>1483</v>
      </c>
      <c r="F142" s="3" t="s">
        <v>1484</v>
      </c>
      <c r="G142" s="3" t="s">
        <v>1511</v>
      </c>
      <c r="H142" s="3" t="s">
        <v>1511</v>
      </c>
      <c r="I142" s="3" t="s">
        <v>1486</v>
      </c>
      <c r="J142" s="5">
        <v>45322</v>
      </c>
      <c r="K142" s="5">
        <v>45322</v>
      </c>
      <c r="L142" s="11">
        <v>32433.33</v>
      </c>
    </row>
    <row r="143" s="1" customFormat="1" spans="1:12">
      <c r="A143" s="3" t="s">
        <v>521</v>
      </c>
      <c r="B143" s="3" t="s">
        <v>895</v>
      </c>
      <c r="C143" s="3" t="s">
        <v>1565</v>
      </c>
      <c r="D143" s="3" t="s">
        <v>1572</v>
      </c>
      <c r="E143" s="3" t="s">
        <v>1483</v>
      </c>
      <c r="F143" s="3" t="s">
        <v>1484</v>
      </c>
      <c r="G143" s="3" t="s">
        <v>1564</v>
      </c>
      <c r="H143" s="3" t="s">
        <v>1564</v>
      </c>
      <c r="I143" s="3" t="s">
        <v>1486</v>
      </c>
      <c r="J143" s="5">
        <v>45412</v>
      </c>
      <c r="K143" s="5">
        <v>45412</v>
      </c>
      <c r="L143" s="11">
        <v>31661.11</v>
      </c>
    </row>
    <row r="144" s="1" customFormat="1" spans="1:12">
      <c r="A144" s="3" t="s">
        <v>521</v>
      </c>
      <c r="B144" s="3" t="s">
        <v>522</v>
      </c>
      <c r="C144" s="3" t="s">
        <v>1379</v>
      </c>
      <c r="D144" s="3" t="s">
        <v>1380</v>
      </c>
      <c r="E144" s="3" t="s">
        <v>1381</v>
      </c>
      <c r="F144" s="3" t="s">
        <v>1382</v>
      </c>
      <c r="G144" s="3" t="s">
        <v>970</v>
      </c>
      <c r="H144" s="3" t="s">
        <v>970</v>
      </c>
      <c r="I144" s="3" t="s">
        <v>1383</v>
      </c>
      <c r="J144" s="5">
        <v>45345</v>
      </c>
      <c r="K144" s="5">
        <v>45345</v>
      </c>
      <c r="L144" s="6">
        <v>31416.34</v>
      </c>
    </row>
    <row r="145" s="1" customFormat="1" spans="1:12">
      <c r="A145" s="10" t="s">
        <v>521</v>
      </c>
      <c r="B145" s="10" t="s">
        <v>530</v>
      </c>
      <c r="C145" s="10" t="s">
        <v>1616</v>
      </c>
      <c r="D145" s="10" t="s">
        <v>1621</v>
      </c>
      <c r="E145" s="10" t="s">
        <v>1483</v>
      </c>
      <c r="F145" s="10" t="s">
        <v>1484</v>
      </c>
      <c r="G145" s="10" t="s">
        <v>1618</v>
      </c>
      <c r="H145" s="10" t="s">
        <v>1618</v>
      </c>
      <c r="I145" s="10" t="s">
        <v>1486</v>
      </c>
      <c r="J145" s="12">
        <v>45473</v>
      </c>
      <c r="K145" s="12">
        <v>45473</v>
      </c>
      <c r="L145" s="13">
        <v>31085.56</v>
      </c>
    </row>
    <row r="146" s="1" customFormat="1" spans="1:12">
      <c r="A146" s="3" t="s">
        <v>521</v>
      </c>
      <c r="B146" s="3" t="s">
        <v>530</v>
      </c>
      <c r="C146" s="3" t="s">
        <v>1559</v>
      </c>
      <c r="D146" s="3" t="s">
        <v>1605</v>
      </c>
      <c r="E146" s="3" t="s">
        <v>1483</v>
      </c>
      <c r="F146" s="3" t="s">
        <v>1484</v>
      </c>
      <c r="G146" s="3" t="s">
        <v>1606</v>
      </c>
      <c r="H146" s="3" t="s">
        <v>1606</v>
      </c>
      <c r="I146" s="3" t="s">
        <v>1486</v>
      </c>
      <c r="J146" s="5">
        <v>45464</v>
      </c>
      <c r="K146" s="5">
        <v>45464</v>
      </c>
      <c r="L146" s="11">
        <v>28007.78</v>
      </c>
    </row>
    <row r="147" s="1" customFormat="1" spans="1:12">
      <c r="A147" s="3" t="s">
        <v>521</v>
      </c>
      <c r="B147" s="3" t="s">
        <v>562</v>
      </c>
      <c r="C147" s="3" t="s">
        <v>1602</v>
      </c>
      <c r="D147" s="3" t="s">
        <v>1603</v>
      </c>
      <c r="E147" s="3" t="s">
        <v>1483</v>
      </c>
      <c r="F147" s="3" t="s">
        <v>1484</v>
      </c>
      <c r="G147" s="3" t="s">
        <v>1604</v>
      </c>
      <c r="H147" s="3" t="s">
        <v>1604</v>
      </c>
      <c r="I147" s="3" t="s">
        <v>1486</v>
      </c>
      <c r="J147" s="5">
        <v>45437</v>
      </c>
      <c r="K147" s="5">
        <v>45437</v>
      </c>
      <c r="L147" s="11">
        <v>27084.45</v>
      </c>
    </row>
    <row r="148" s="1" customFormat="1" spans="1:12">
      <c r="A148" s="3" t="s">
        <v>521</v>
      </c>
      <c r="B148" s="3" t="s">
        <v>530</v>
      </c>
      <c r="C148" s="3"/>
      <c r="D148" s="3" t="s">
        <v>1578</v>
      </c>
      <c r="E148" s="3" t="s">
        <v>1483</v>
      </c>
      <c r="F148" s="3" t="s">
        <v>1484</v>
      </c>
      <c r="G148" s="3" t="s">
        <v>1579</v>
      </c>
      <c r="H148" s="3" t="s">
        <v>1579</v>
      </c>
      <c r="I148" s="3" t="s">
        <v>1486</v>
      </c>
      <c r="J148" s="5">
        <v>45444</v>
      </c>
      <c r="K148" s="5">
        <v>45443</v>
      </c>
      <c r="L148" s="11">
        <v>27084.45</v>
      </c>
    </row>
    <row r="149" s="1" customFormat="1" spans="1:12">
      <c r="A149" s="3" t="s">
        <v>508</v>
      </c>
      <c r="B149" s="3" t="s">
        <v>518</v>
      </c>
      <c r="C149" s="3" t="s">
        <v>181</v>
      </c>
      <c r="D149" s="3" t="s">
        <v>1244</v>
      </c>
      <c r="E149" s="3" t="s">
        <v>1245</v>
      </c>
      <c r="F149" s="3" t="s">
        <v>1246</v>
      </c>
      <c r="G149" s="3" t="s">
        <v>182</v>
      </c>
      <c r="H149" s="3" t="s">
        <v>182</v>
      </c>
      <c r="I149" s="3" t="s">
        <v>1247</v>
      </c>
      <c r="J149" s="5">
        <v>45273</v>
      </c>
      <c r="K149" s="5">
        <v>45273</v>
      </c>
      <c r="L149" s="6">
        <v>22528.3</v>
      </c>
    </row>
    <row r="150" s="1" customFormat="1" spans="1:12">
      <c r="A150" s="3" t="s">
        <v>508</v>
      </c>
      <c r="B150" s="3" t="s">
        <v>518</v>
      </c>
      <c r="C150" s="3" t="s">
        <v>190</v>
      </c>
      <c r="D150" s="3" t="s">
        <v>639</v>
      </c>
      <c r="E150" s="3" t="s">
        <v>640</v>
      </c>
      <c r="F150" s="3" t="s">
        <v>641</v>
      </c>
      <c r="G150" s="3" t="s">
        <v>642</v>
      </c>
      <c r="H150" s="3" t="s">
        <v>643</v>
      </c>
      <c r="I150" s="3" t="s">
        <v>515</v>
      </c>
      <c r="J150" s="5">
        <v>45287</v>
      </c>
      <c r="K150" s="5">
        <v>45287</v>
      </c>
      <c r="L150" s="6">
        <v>22005</v>
      </c>
    </row>
    <row r="151" s="1" customFormat="1" spans="1:12">
      <c r="A151" s="3" t="s">
        <v>521</v>
      </c>
      <c r="B151" s="3" t="s">
        <v>562</v>
      </c>
      <c r="C151" s="3" t="s">
        <v>1587</v>
      </c>
      <c r="D151" s="3" t="s">
        <v>1600</v>
      </c>
      <c r="E151" s="3" t="s">
        <v>1483</v>
      </c>
      <c r="F151" s="3" t="s">
        <v>1484</v>
      </c>
      <c r="G151" s="3" t="s">
        <v>1589</v>
      </c>
      <c r="H151" s="3" t="s">
        <v>1589</v>
      </c>
      <c r="I151" s="3" t="s">
        <v>1486</v>
      </c>
      <c r="J151" s="5">
        <v>45443</v>
      </c>
      <c r="K151" s="5">
        <v>45443</v>
      </c>
      <c r="L151" s="11">
        <v>21852.22</v>
      </c>
    </row>
    <row r="152" s="1" customFormat="1" spans="1:12">
      <c r="A152" s="3" t="s">
        <v>521</v>
      </c>
      <c r="B152" s="3" t="s">
        <v>562</v>
      </c>
      <c r="C152" s="3" t="s">
        <v>440</v>
      </c>
      <c r="D152" s="3" t="s">
        <v>1406</v>
      </c>
      <c r="E152" s="3" t="s">
        <v>1389</v>
      </c>
      <c r="F152" s="3" t="s">
        <v>1390</v>
      </c>
      <c r="G152" s="3" t="s">
        <v>429</v>
      </c>
      <c r="H152" s="3" t="s">
        <v>429</v>
      </c>
      <c r="I152" s="3" t="s">
        <v>985</v>
      </c>
      <c r="J152" s="5">
        <v>45429</v>
      </c>
      <c r="K152" s="5">
        <v>45429</v>
      </c>
      <c r="L152" s="6">
        <v>20121.04</v>
      </c>
    </row>
    <row r="153" s="1" customFormat="1" spans="1:12">
      <c r="A153" s="3" t="s">
        <v>521</v>
      </c>
      <c r="B153" s="3" t="s">
        <v>562</v>
      </c>
      <c r="C153" s="3" t="s">
        <v>436</v>
      </c>
      <c r="D153" s="3" t="s">
        <v>1396</v>
      </c>
      <c r="E153" s="3" t="s">
        <v>1389</v>
      </c>
      <c r="F153" s="3" t="s">
        <v>1390</v>
      </c>
      <c r="G153" s="3" t="s">
        <v>1397</v>
      </c>
      <c r="H153" s="3" t="s">
        <v>437</v>
      </c>
      <c r="I153" s="3" t="s">
        <v>985</v>
      </c>
      <c r="J153" s="5">
        <v>45429</v>
      </c>
      <c r="K153" s="5">
        <v>45429</v>
      </c>
      <c r="L153" s="6">
        <v>19400.34</v>
      </c>
    </row>
    <row r="154" s="1" customFormat="1" spans="1:12">
      <c r="A154" s="3" t="s">
        <v>508</v>
      </c>
      <c r="B154" s="3" t="s">
        <v>542</v>
      </c>
      <c r="C154" s="3" t="s">
        <v>1656</v>
      </c>
      <c r="D154" s="3" t="s">
        <v>1657</v>
      </c>
      <c r="E154" s="3" t="s">
        <v>1636</v>
      </c>
      <c r="F154" s="3" t="s">
        <v>1637</v>
      </c>
      <c r="G154" s="3" t="s">
        <v>1658</v>
      </c>
      <c r="H154" s="3" t="s">
        <v>1658</v>
      </c>
      <c r="I154" s="3" t="s">
        <v>1486</v>
      </c>
      <c r="J154" s="5">
        <v>45253</v>
      </c>
      <c r="K154" s="5">
        <v>45253</v>
      </c>
      <c r="L154" s="11">
        <v>19052.08</v>
      </c>
    </row>
    <row r="155" s="1" customFormat="1" spans="1:12">
      <c r="A155" s="3" t="s">
        <v>521</v>
      </c>
      <c r="B155" s="3" t="s">
        <v>530</v>
      </c>
      <c r="C155" s="3" t="s">
        <v>483</v>
      </c>
      <c r="D155" s="3" t="s">
        <v>1218</v>
      </c>
      <c r="E155" s="3" t="s">
        <v>1219</v>
      </c>
      <c r="F155" s="3" t="s">
        <v>1220</v>
      </c>
      <c r="G155" s="3" t="s">
        <v>484</v>
      </c>
      <c r="H155" s="3" t="s">
        <v>484</v>
      </c>
      <c r="I155" s="3" t="s">
        <v>515</v>
      </c>
      <c r="J155" s="5">
        <v>45455</v>
      </c>
      <c r="K155" s="5">
        <v>45455</v>
      </c>
      <c r="L155" s="6">
        <v>18867.92</v>
      </c>
    </row>
    <row r="156" s="1" customFormat="1" spans="1:12">
      <c r="A156" s="3" t="s">
        <v>521</v>
      </c>
      <c r="B156" s="3" t="s">
        <v>562</v>
      </c>
      <c r="C156" s="3" t="s">
        <v>445</v>
      </c>
      <c r="D156" s="3" t="s">
        <v>1408</v>
      </c>
      <c r="E156" s="3" t="s">
        <v>1389</v>
      </c>
      <c r="F156" s="3" t="s">
        <v>1390</v>
      </c>
      <c r="G156" s="3" t="s">
        <v>446</v>
      </c>
      <c r="H156" s="3" t="s">
        <v>446</v>
      </c>
      <c r="I156" s="3" t="s">
        <v>985</v>
      </c>
      <c r="J156" s="5">
        <v>45429</v>
      </c>
      <c r="K156" s="5">
        <v>45429</v>
      </c>
      <c r="L156" s="6">
        <v>18304.91</v>
      </c>
    </row>
    <row r="157" s="1" customFormat="1" spans="1:12">
      <c r="A157" s="3" t="s">
        <v>508</v>
      </c>
      <c r="B157" s="3" t="s">
        <v>518</v>
      </c>
      <c r="C157" s="3"/>
      <c r="D157" s="3" t="s">
        <v>1674</v>
      </c>
      <c r="E157" s="3" t="s">
        <v>1636</v>
      </c>
      <c r="F157" s="3" t="s">
        <v>1637</v>
      </c>
      <c r="G157" s="3" t="s">
        <v>1675</v>
      </c>
      <c r="H157" s="3" t="s">
        <v>1675</v>
      </c>
      <c r="I157" s="3" t="s">
        <v>1486</v>
      </c>
      <c r="J157" s="5">
        <v>45285</v>
      </c>
      <c r="K157" s="5">
        <v>45285</v>
      </c>
      <c r="L157" s="11">
        <v>17600</v>
      </c>
    </row>
    <row r="158" s="1" customFormat="1" spans="1:12">
      <c r="A158" s="3" t="s">
        <v>521</v>
      </c>
      <c r="B158" s="3" t="s">
        <v>597</v>
      </c>
      <c r="C158" s="3" t="s">
        <v>1533</v>
      </c>
      <c r="D158" s="3" t="s">
        <v>1551</v>
      </c>
      <c r="E158" s="3" t="s">
        <v>1483</v>
      </c>
      <c r="F158" s="3" t="s">
        <v>1484</v>
      </c>
      <c r="G158" s="3" t="s">
        <v>1540</v>
      </c>
      <c r="H158" s="3" t="s">
        <v>1540</v>
      </c>
      <c r="I158" s="3" t="s">
        <v>1486</v>
      </c>
      <c r="J158" s="5">
        <v>45382</v>
      </c>
      <c r="K158" s="5">
        <v>45382</v>
      </c>
      <c r="L158" s="11">
        <v>16988.89</v>
      </c>
    </row>
    <row r="159" s="1" customFormat="1" spans="1:12">
      <c r="A159" s="3" t="s">
        <v>508</v>
      </c>
      <c r="B159" s="3" t="s">
        <v>542</v>
      </c>
      <c r="C159" s="3" t="s">
        <v>1481</v>
      </c>
      <c r="D159" s="3" t="s">
        <v>1659</v>
      </c>
      <c r="E159" s="3" t="s">
        <v>1636</v>
      </c>
      <c r="F159" s="3" t="s">
        <v>1637</v>
      </c>
      <c r="G159" s="3" t="s">
        <v>1485</v>
      </c>
      <c r="H159" s="3" t="s">
        <v>1485</v>
      </c>
      <c r="I159" s="3" t="s">
        <v>1486</v>
      </c>
      <c r="J159" s="5">
        <v>45260</v>
      </c>
      <c r="K159" s="5">
        <v>45260</v>
      </c>
      <c r="L159" s="11">
        <v>15672.22</v>
      </c>
    </row>
    <row r="160" s="1" customFormat="1" spans="1:12">
      <c r="A160" s="3" t="s">
        <v>521</v>
      </c>
      <c r="B160" s="3" t="s">
        <v>823</v>
      </c>
      <c r="C160" s="3" t="s">
        <v>827</v>
      </c>
      <c r="D160" s="3" t="s">
        <v>828</v>
      </c>
      <c r="E160" s="3" t="s">
        <v>660</v>
      </c>
      <c r="F160" s="3" t="s">
        <v>661</v>
      </c>
      <c r="G160" s="3" t="s">
        <v>829</v>
      </c>
      <c r="H160" s="3" t="s">
        <v>829</v>
      </c>
      <c r="I160" s="3" t="s">
        <v>670</v>
      </c>
      <c r="J160" s="5">
        <v>45310</v>
      </c>
      <c r="K160" s="5">
        <v>45310</v>
      </c>
      <c r="L160" s="6">
        <v>14600</v>
      </c>
    </row>
    <row r="161" s="1" customFormat="1" spans="1:12">
      <c r="A161" s="3" t="s">
        <v>521</v>
      </c>
      <c r="B161" s="3" t="s">
        <v>823</v>
      </c>
      <c r="C161" s="3" t="s">
        <v>830</v>
      </c>
      <c r="D161" s="3" t="s">
        <v>831</v>
      </c>
      <c r="E161" s="3" t="s">
        <v>660</v>
      </c>
      <c r="F161" s="3" t="s">
        <v>661</v>
      </c>
      <c r="G161" s="3" t="s">
        <v>810</v>
      </c>
      <c r="H161" s="3" t="s">
        <v>810</v>
      </c>
      <c r="I161" s="3" t="s">
        <v>670</v>
      </c>
      <c r="J161" s="5">
        <v>45310</v>
      </c>
      <c r="K161" s="5">
        <v>45310</v>
      </c>
      <c r="L161" s="6">
        <v>13500</v>
      </c>
    </row>
    <row r="162" s="1" customFormat="1" spans="1:12">
      <c r="A162" s="3" t="s">
        <v>508</v>
      </c>
      <c r="B162" s="3" t="s">
        <v>518</v>
      </c>
      <c r="C162" s="3" t="s">
        <v>956</v>
      </c>
      <c r="D162" s="3" t="s">
        <v>957</v>
      </c>
      <c r="E162" s="3" t="s">
        <v>946</v>
      </c>
      <c r="F162" s="3" t="s">
        <v>947</v>
      </c>
      <c r="G162" s="3" t="s">
        <v>958</v>
      </c>
      <c r="H162" s="3" t="s">
        <v>958</v>
      </c>
      <c r="I162" s="3" t="s">
        <v>949</v>
      </c>
      <c r="J162" s="5">
        <v>45275</v>
      </c>
      <c r="K162" s="5">
        <v>45275</v>
      </c>
      <c r="L162" s="6">
        <v>13411.78</v>
      </c>
    </row>
    <row r="163" s="1" customFormat="1" spans="1:12">
      <c r="A163" s="3" t="s">
        <v>521</v>
      </c>
      <c r="B163" s="3" t="s">
        <v>562</v>
      </c>
      <c r="C163" s="3" t="s">
        <v>424</v>
      </c>
      <c r="D163" s="3" t="s">
        <v>1349</v>
      </c>
      <c r="E163" s="3" t="s">
        <v>1346</v>
      </c>
      <c r="F163" s="3" t="s">
        <v>1347</v>
      </c>
      <c r="G163" s="3" t="s">
        <v>425</v>
      </c>
      <c r="H163" s="3" t="s">
        <v>425</v>
      </c>
      <c r="I163" s="3" t="s">
        <v>574</v>
      </c>
      <c r="J163" s="5">
        <v>45427</v>
      </c>
      <c r="K163" s="5">
        <v>45427</v>
      </c>
      <c r="L163" s="6">
        <v>13396.23</v>
      </c>
    </row>
    <row r="164" s="1" customFormat="1" spans="1:12">
      <c r="A164" s="3" t="s">
        <v>521</v>
      </c>
      <c r="B164" s="3" t="s">
        <v>895</v>
      </c>
      <c r="C164" s="3" t="s">
        <v>1565</v>
      </c>
      <c r="D164" s="3" t="s">
        <v>1576</v>
      </c>
      <c r="E164" s="3" t="s">
        <v>1483</v>
      </c>
      <c r="F164" s="3" t="s">
        <v>1484</v>
      </c>
      <c r="G164" s="3" t="s">
        <v>1564</v>
      </c>
      <c r="H164" s="3" t="s">
        <v>1564</v>
      </c>
      <c r="I164" s="3" t="s">
        <v>1486</v>
      </c>
      <c r="J164" s="5">
        <v>45412</v>
      </c>
      <c r="K164" s="5">
        <v>45412</v>
      </c>
      <c r="L164" s="11">
        <v>12311.11</v>
      </c>
    </row>
    <row r="165" s="1" customFormat="1" spans="1:12">
      <c r="A165" s="3" t="s">
        <v>508</v>
      </c>
      <c r="B165" s="3" t="s">
        <v>518</v>
      </c>
      <c r="C165" s="3" t="s">
        <v>755</v>
      </c>
      <c r="D165" s="3" t="s">
        <v>756</v>
      </c>
      <c r="E165" s="3" t="s">
        <v>660</v>
      </c>
      <c r="F165" s="3" t="s">
        <v>661</v>
      </c>
      <c r="G165" s="3" t="s">
        <v>757</v>
      </c>
      <c r="H165" s="3" t="s">
        <v>757</v>
      </c>
      <c r="I165" s="3" t="s">
        <v>670</v>
      </c>
      <c r="J165" s="5">
        <v>45275</v>
      </c>
      <c r="K165" s="5">
        <v>45275</v>
      </c>
      <c r="L165" s="6">
        <v>12163.76</v>
      </c>
    </row>
    <row r="166" s="1" customFormat="1" spans="1:12">
      <c r="A166" s="3" t="s">
        <v>508</v>
      </c>
      <c r="B166" s="3" t="s">
        <v>509</v>
      </c>
      <c r="C166" s="3" t="s">
        <v>1642</v>
      </c>
      <c r="D166" s="3" t="s">
        <v>1654</v>
      </c>
      <c r="E166" s="3" t="s">
        <v>1636</v>
      </c>
      <c r="F166" s="3" t="s">
        <v>1637</v>
      </c>
      <c r="G166" s="3" t="s">
        <v>1638</v>
      </c>
      <c r="H166" s="3" t="s">
        <v>1638</v>
      </c>
      <c r="I166" s="3" t="s">
        <v>1486</v>
      </c>
      <c r="J166" s="5">
        <v>45230</v>
      </c>
      <c r="K166" s="5">
        <v>45230</v>
      </c>
      <c r="L166" s="11">
        <v>11947.92</v>
      </c>
    </row>
    <row r="167" s="1" customFormat="1" spans="1:12">
      <c r="A167" s="3" t="s">
        <v>521</v>
      </c>
      <c r="B167" s="3" t="s">
        <v>823</v>
      </c>
      <c r="C167" s="3" t="s">
        <v>963</v>
      </c>
      <c r="D167" s="3" t="s">
        <v>964</v>
      </c>
      <c r="E167" s="3" t="s">
        <v>946</v>
      </c>
      <c r="F167" s="3" t="s">
        <v>947</v>
      </c>
      <c r="G167" s="3" t="s">
        <v>314</v>
      </c>
      <c r="H167" s="3" t="s">
        <v>314</v>
      </c>
      <c r="I167" s="3" t="s">
        <v>949</v>
      </c>
      <c r="J167" s="5">
        <v>45314</v>
      </c>
      <c r="K167" s="5">
        <v>45314</v>
      </c>
      <c r="L167" s="6">
        <v>11785.05</v>
      </c>
    </row>
    <row r="168" s="1" customFormat="1" spans="1:12">
      <c r="A168" s="3" t="s">
        <v>508</v>
      </c>
      <c r="B168" s="3" t="s">
        <v>518</v>
      </c>
      <c r="C168" s="3" t="s">
        <v>811</v>
      </c>
      <c r="D168" s="3" t="s">
        <v>812</v>
      </c>
      <c r="E168" s="3" t="s">
        <v>660</v>
      </c>
      <c r="F168" s="3" t="s">
        <v>661</v>
      </c>
      <c r="G168" s="3" t="s">
        <v>813</v>
      </c>
      <c r="H168" s="3" t="s">
        <v>813</v>
      </c>
      <c r="I168" s="3" t="s">
        <v>670</v>
      </c>
      <c r="J168" s="5">
        <v>45278</v>
      </c>
      <c r="K168" s="5">
        <v>45278</v>
      </c>
      <c r="L168" s="6">
        <v>10600</v>
      </c>
    </row>
    <row r="169" s="1" customFormat="1" spans="1:12">
      <c r="A169" s="3" t="s">
        <v>521</v>
      </c>
      <c r="B169" s="3" t="s">
        <v>895</v>
      </c>
      <c r="C169" s="3" t="s">
        <v>925</v>
      </c>
      <c r="D169" s="3" t="s">
        <v>926</v>
      </c>
      <c r="E169" s="3" t="s">
        <v>660</v>
      </c>
      <c r="F169" s="3" t="s">
        <v>661</v>
      </c>
      <c r="G169" s="3" t="s">
        <v>754</v>
      </c>
      <c r="H169" s="3" t="s">
        <v>754</v>
      </c>
      <c r="I169" s="3" t="s">
        <v>670</v>
      </c>
      <c r="J169" s="5">
        <v>45385</v>
      </c>
      <c r="K169" s="5">
        <v>45385</v>
      </c>
      <c r="L169" s="6">
        <v>10272.17</v>
      </c>
    </row>
    <row r="170" s="1" customFormat="1" spans="1:12">
      <c r="A170" s="3" t="s">
        <v>508</v>
      </c>
      <c r="B170" s="3" t="s">
        <v>518</v>
      </c>
      <c r="C170" s="3" t="s">
        <v>803</v>
      </c>
      <c r="D170" s="3" t="s">
        <v>804</v>
      </c>
      <c r="E170" s="3" t="s">
        <v>660</v>
      </c>
      <c r="F170" s="3" t="s">
        <v>661</v>
      </c>
      <c r="G170" s="3" t="s">
        <v>805</v>
      </c>
      <c r="H170" s="3" t="s">
        <v>805</v>
      </c>
      <c r="I170" s="3" t="s">
        <v>670</v>
      </c>
      <c r="J170" s="5">
        <v>45270</v>
      </c>
      <c r="K170" s="5">
        <v>45270</v>
      </c>
      <c r="L170" s="6">
        <v>10238.88</v>
      </c>
    </row>
    <row r="171" s="1" customFormat="1" spans="1:12">
      <c r="A171" s="3" t="s">
        <v>521</v>
      </c>
      <c r="B171" s="3" t="s">
        <v>562</v>
      </c>
      <c r="C171" s="3" t="s">
        <v>430</v>
      </c>
      <c r="D171" s="3" t="s">
        <v>1392</v>
      </c>
      <c r="E171" s="3" t="s">
        <v>1389</v>
      </c>
      <c r="F171" s="3" t="s">
        <v>1390</v>
      </c>
      <c r="G171" s="3" t="s">
        <v>1393</v>
      </c>
      <c r="H171" s="3" t="s">
        <v>431</v>
      </c>
      <c r="I171" s="3" t="s">
        <v>985</v>
      </c>
      <c r="J171" s="5">
        <v>45429</v>
      </c>
      <c r="K171" s="5">
        <v>45429</v>
      </c>
      <c r="L171" s="6">
        <v>10045.06</v>
      </c>
    </row>
    <row r="172" s="1" customFormat="1" spans="1:12">
      <c r="A172" s="3" t="s">
        <v>521</v>
      </c>
      <c r="B172" s="3" t="s">
        <v>562</v>
      </c>
      <c r="C172" s="3" t="s">
        <v>434</v>
      </c>
      <c r="D172" s="3" t="s">
        <v>1395</v>
      </c>
      <c r="E172" s="3" t="s">
        <v>1389</v>
      </c>
      <c r="F172" s="3" t="s">
        <v>1390</v>
      </c>
      <c r="G172" s="3" t="s">
        <v>435</v>
      </c>
      <c r="H172" s="3" t="s">
        <v>435</v>
      </c>
      <c r="I172" s="3" t="s">
        <v>985</v>
      </c>
      <c r="J172" s="5">
        <v>45429</v>
      </c>
      <c r="K172" s="5">
        <v>45429</v>
      </c>
      <c r="L172" s="6">
        <v>9551.14</v>
      </c>
    </row>
    <row r="173" s="1" customFormat="1" spans="1:12">
      <c r="A173" s="3" t="s">
        <v>521</v>
      </c>
      <c r="B173" s="3" t="s">
        <v>562</v>
      </c>
      <c r="C173" s="3" t="s">
        <v>443</v>
      </c>
      <c r="D173" s="3" t="s">
        <v>1407</v>
      </c>
      <c r="E173" s="3" t="s">
        <v>1389</v>
      </c>
      <c r="F173" s="3" t="s">
        <v>1390</v>
      </c>
      <c r="G173" s="3" t="s">
        <v>444</v>
      </c>
      <c r="H173" s="3" t="s">
        <v>444</v>
      </c>
      <c r="I173" s="3" t="s">
        <v>985</v>
      </c>
      <c r="J173" s="5">
        <v>45429</v>
      </c>
      <c r="K173" s="5">
        <v>45429</v>
      </c>
      <c r="L173" s="6">
        <v>9327.44</v>
      </c>
    </row>
    <row r="174" s="1" customFormat="1" spans="1:12">
      <c r="A174" s="3" t="s">
        <v>521</v>
      </c>
      <c r="B174" s="3" t="s">
        <v>597</v>
      </c>
      <c r="C174" s="3" t="s">
        <v>1425</v>
      </c>
      <c r="D174" s="3" t="s">
        <v>1426</v>
      </c>
      <c r="E174" s="3" t="s">
        <v>1414</v>
      </c>
      <c r="F174" s="3" t="s">
        <v>1415</v>
      </c>
      <c r="G174" s="3" t="s">
        <v>1427</v>
      </c>
      <c r="H174" s="3" t="s">
        <v>1427</v>
      </c>
      <c r="I174" s="3" t="s">
        <v>647</v>
      </c>
      <c r="J174" s="5">
        <v>45371</v>
      </c>
      <c r="K174" s="5">
        <v>45371</v>
      </c>
      <c r="L174" s="6">
        <v>9150.44</v>
      </c>
    </row>
    <row r="175" s="1" customFormat="1" spans="1:12">
      <c r="A175" s="3" t="s">
        <v>508</v>
      </c>
      <c r="B175" s="3" t="s">
        <v>542</v>
      </c>
      <c r="C175" s="3" t="s">
        <v>701</v>
      </c>
      <c r="D175" s="3" t="s">
        <v>702</v>
      </c>
      <c r="E175" s="3" t="s">
        <v>660</v>
      </c>
      <c r="F175" s="3" t="s">
        <v>661</v>
      </c>
      <c r="G175" s="3" t="s">
        <v>703</v>
      </c>
      <c r="H175" s="3" t="s">
        <v>703</v>
      </c>
      <c r="I175" s="3" t="s">
        <v>670</v>
      </c>
      <c r="J175" s="5">
        <v>45238</v>
      </c>
      <c r="K175" s="5">
        <v>45238</v>
      </c>
      <c r="L175" s="6">
        <v>8873.98</v>
      </c>
    </row>
    <row r="176" s="1" customFormat="1" spans="1:12">
      <c r="A176" s="3" t="s">
        <v>508</v>
      </c>
      <c r="B176" s="3" t="s">
        <v>518</v>
      </c>
      <c r="C176" s="3" t="s">
        <v>749</v>
      </c>
      <c r="D176" s="3" t="s">
        <v>750</v>
      </c>
      <c r="E176" s="3" t="s">
        <v>660</v>
      </c>
      <c r="F176" s="3" t="s">
        <v>661</v>
      </c>
      <c r="G176" s="3" t="s">
        <v>751</v>
      </c>
      <c r="H176" s="3" t="s">
        <v>751</v>
      </c>
      <c r="I176" s="3" t="s">
        <v>670</v>
      </c>
      <c r="J176" s="5">
        <v>45264</v>
      </c>
      <c r="K176" s="5">
        <v>45264</v>
      </c>
      <c r="L176" s="6">
        <v>8800</v>
      </c>
    </row>
    <row r="177" s="1" customFormat="1" spans="1:12">
      <c r="A177" s="3" t="s">
        <v>508</v>
      </c>
      <c r="B177" s="3" t="s">
        <v>542</v>
      </c>
      <c r="C177" s="3" t="s">
        <v>717</v>
      </c>
      <c r="D177" s="3" t="s">
        <v>718</v>
      </c>
      <c r="E177" s="3" t="s">
        <v>660</v>
      </c>
      <c r="F177" s="3" t="s">
        <v>661</v>
      </c>
      <c r="G177" s="3" t="s">
        <v>719</v>
      </c>
      <c r="H177" s="3" t="s">
        <v>719</v>
      </c>
      <c r="I177" s="3" t="s">
        <v>670</v>
      </c>
      <c r="J177" s="5">
        <v>45251</v>
      </c>
      <c r="K177" s="5">
        <v>45251</v>
      </c>
      <c r="L177" s="6">
        <v>8733.61</v>
      </c>
    </row>
    <row r="178" s="1" customFormat="1" spans="1:12">
      <c r="A178" s="3" t="s">
        <v>508</v>
      </c>
      <c r="B178" s="3" t="s">
        <v>518</v>
      </c>
      <c r="C178" s="3" t="s">
        <v>764</v>
      </c>
      <c r="D178" s="3" t="s">
        <v>765</v>
      </c>
      <c r="E178" s="3" t="s">
        <v>660</v>
      </c>
      <c r="F178" s="3" t="s">
        <v>661</v>
      </c>
      <c r="G178" s="3" t="s">
        <v>766</v>
      </c>
      <c r="H178" s="3" t="s">
        <v>766</v>
      </c>
      <c r="I178" s="3" t="s">
        <v>670</v>
      </c>
      <c r="J178" s="5">
        <v>45275</v>
      </c>
      <c r="K178" s="5">
        <v>45275</v>
      </c>
      <c r="L178" s="6">
        <v>8566.46</v>
      </c>
    </row>
    <row r="179" s="1" customFormat="1" spans="1:12">
      <c r="A179" s="3" t="s">
        <v>508</v>
      </c>
      <c r="B179" s="3" t="s">
        <v>518</v>
      </c>
      <c r="C179" s="3" t="s">
        <v>1497</v>
      </c>
      <c r="D179" s="3" t="s">
        <v>1504</v>
      </c>
      <c r="E179" s="3" t="s">
        <v>1483</v>
      </c>
      <c r="F179" s="3" t="s">
        <v>1484</v>
      </c>
      <c r="G179" s="3" t="s">
        <v>1499</v>
      </c>
      <c r="H179" s="3" t="s">
        <v>1499</v>
      </c>
      <c r="I179" s="3" t="s">
        <v>1486</v>
      </c>
      <c r="J179" s="5">
        <v>45287</v>
      </c>
      <c r="K179" s="5">
        <v>45287</v>
      </c>
      <c r="L179" s="11">
        <v>8494.44</v>
      </c>
    </row>
    <row r="180" s="1" customFormat="1" spans="1:12">
      <c r="A180" s="3" t="s">
        <v>521</v>
      </c>
      <c r="B180" s="3" t="s">
        <v>597</v>
      </c>
      <c r="C180" s="3" t="s">
        <v>1533</v>
      </c>
      <c r="D180" s="3" t="s">
        <v>1552</v>
      </c>
      <c r="E180" s="3" t="s">
        <v>1483</v>
      </c>
      <c r="F180" s="3" t="s">
        <v>1484</v>
      </c>
      <c r="G180" s="3" t="s">
        <v>1540</v>
      </c>
      <c r="H180" s="3" t="s">
        <v>1540</v>
      </c>
      <c r="I180" s="3" t="s">
        <v>1486</v>
      </c>
      <c r="J180" s="5">
        <v>45382</v>
      </c>
      <c r="K180" s="5">
        <v>45382</v>
      </c>
      <c r="L180" s="11">
        <v>8494.44</v>
      </c>
    </row>
    <row r="181" s="1" customFormat="1" spans="1:12">
      <c r="A181" s="3" t="s">
        <v>521</v>
      </c>
      <c r="B181" s="3" t="s">
        <v>562</v>
      </c>
      <c r="C181" s="3" t="s">
        <v>441</v>
      </c>
      <c r="D181" s="3" t="s">
        <v>1398</v>
      </c>
      <c r="E181" s="3" t="s">
        <v>1389</v>
      </c>
      <c r="F181" s="3" t="s">
        <v>1390</v>
      </c>
      <c r="G181" s="3" t="s">
        <v>442</v>
      </c>
      <c r="H181" s="3" t="s">
        <v>442</v>
      </c>
      <c r="I181" s="3" t="s">
        <v>985</v>
      </c>
      <c r="J181" s="5">
        <v>45429</v>
      </c>
      <c r="K181" s="5">
        <v>45429</v>
      </c>
      <c r="L181" s="6">
        <v>8264.3</v>
      </c>
    </row>
    <row r="182" s="1" customFormat="1" spans="1:12">
      <c r="A182" s="3" t="s">
        <v>508</v>
      </c>
      <c r="B182" s="3" t="s">
        <v>518</v>
      </c>
      <c r="C182" s="3" t="s">
        <v>1490</v>
      </c>
      <c r="D182" s="3" t="s">
        <v>1496</v>
      </c>
      <c r="E182" s="3" t="s">
        <v>1483</v>
      </c>
      <c r="F182" s="3" t="s">
        <v>1484</v>
      </c>
      <c r="G182" s="3" t="s">
        <v>1492</v>
      </c>
      <c r="H182" s="3" t="s">
        <v>1492</v>
      </c>
      <c r="I182" s="3" t="s">
        <v>1486</v>
      </c>
      <c r="J182" s="5">
        <v>45281</v>
      </c>
      <c r="K182" s="5">
        <v>45281</v>
      </c>
      <c r="L182" s="11">
        <v>7722.22</v>
      </c>
    </row>
    <row r="183" s="1" customFormat="1" spans="1:12">
      <c r="A183" s="3" t="s">
        <v>521</v>
      </c>
      <c r="B183" s="3" t="s">
        <v>562</v>
      </c>
      <c r="C183" s="3" t="s">
        <v>1372</v>
      </c>
      <c r="D183" s="3" t="s">
        <v>1373</v>
      </c>
      <c r="E183" s="3" t="s">
        <v>1355</v>
      </c>
      <c r="F183" s="3" t="s">
        <v>1356</v>
      </c>
      <c r="G183" s="3" t="s">
        <v>1374</v>
      </c>
      <c r="H183" s="3" t="s">
        <v>1374</v>
      </c>
      <c r="I183" s="3" t="s">
        <v>670</v>
      </c>
      <c r="J183" s="5">
        <v>45423</v>
      </c>
      <c r="K183" s="5">
        <v>45423</v>
      </c>
      <c r="L183" s="6">
        <v>7634</v>
      </c>
    </row>
    <row r="184" s="1" customFormat="1" spans="1:12">
      <c r="A184" s="3" t="s">
        <v>508</v>
      </c>
      <c r="B184" s="3" t="s">
        <v>518</v>
      </c>
      <c r="C184" s="3" t="s">
        <v>950</v>
      </c>
      <c r="D184" s="3" t="s">
        <v>951</v>
      </c>
      <c r="E184" s="3" t="s">
        <v>946</v>
      </c>
      <c r="F184" s="3" t="s">
        <v>947</v>
      </c>
      <c r="G184" s="3" t="s">
        <v>952</v>
      </c>
      <c r="H184" s="3" t="s">
        <v>952</v>
      </c>
      <c r="I184" s="3" t="s">
        <v>949</v>
      </c>
      <c r="J184" s="5">
        <v>45275</v>
      </c>
      <c r="K184" s="5">
        <v>45275</v>
      </c>
      <c r="L184" s="6">
        <v>7200</v>
      </c>
    </row>
    <row r="185" s="1" customFormat="1" spans="1:12">
      <c r="A185" s="3" t="s">
        <v>521</v>
      </c>
      <c r="B185" s="3" t="s">
        <v>823</v>
      </c>
      <c r="C185" s="3" t="s">
        <v>834</v>
      </c>
      <c r="D185" s="3" t="s">
        <v>835</v>
      </c>
      <c r="E185" s="3" t="s">
        <v>660</v>
      </c>
      <c r="F185" s="3" t="s">
        <v>661</v>
      </c>
      <c r="G185" s="3" t="s">
        <v>836</v>
      </c>
      <c r="H185" s="3" t="s">
        <v>836</v>
      </c>
      <c r="I185" s="3" t="s">
        <v>670</v>
      </c>
      <c r="J185" s="5">
        <v>45310</v>
      </c>
      <c r="K185" s="5">
        <v>45310</v>
      </c>
      <c r="L185" s="6">
        <v>6947.56</v>
      </c>
    </row>
    <row r="186" s="1" customFormat="1" spans="1:12">
      <c r="A186" s="3" t="s">
        <v>521</v>
      </c>
      <c r="B186" s="3" t="s">
        <v>597</v>
      </c>
      <c r="C186" s="3" t="s">
        <v>881</v>
      </c>
      <c r="D186" s="3" t="s">
        <v>882</v>
      </c>
      <c r="E186" s="3" t="s">
        <v>660</v>
      </c>
      <c r="F186" s="3" t="s">
        <v>661</v>
      </c>
      <c r="G186" s="3" t="s">
        <v>883</v>
      </c>
      <c r="H186" s="3" t="s">
        <v>883</v>
      </c>
      <c r="I186" s="3" t="s">
        <v>670</v>
      </c>
      <c r="J186" s="5">
        <v>45356</v>
      </c>
      <c r="K186" s="5">
        <v>45356</v>
      </c>
      <c r="L186" s="6">
        <v>6900</v>
      </c>
    </row>
    <row r="187" s="1" customFormat="1" spans="1:12">
      <c r="A187" s="3" t="s">
        <v>508</v>
      </c>
      <c r="B187" s="3" t="s">
        <v>542</v>
      </c>
      <c r="C187" s="3" t="s">
        <v>698</v>
      </c>
      <c r="D187" s="3" t="s">
        <v>699</v>
      </c>
      <c r="E187" s="3" t="s">
        <v>660</v>
      </c>
      <c r="F187" s="3" t="s">
        <v>661</v>
      </c>
      <c r="G187" s="3" t="s">
        <v>700</v>
      </c>
      <c r="H187" s="3" t="s">
        <v>700</v>
      </c>
      <c r="I187" s="3" t="s">
        <v>670</v>
      </c>
      <c r="J187" s="5">
        <v>45238</v>
      </c>
      <c r="K187" s="5">
        <v>45238</v>
      </c>
      <c r="L187" s="6">
        <v>6386.14</v>
      </c>
    </row>
    <row r="188" s="1" customFormat="1" spans="1:12">
      <c r="A188" s="3" t="s">
        <v>508</v>
      </c>
      <c r="B188" s="3" t="s">
        <v>542</v>
      </c>
      <c r="C188" s="3" t="s">
        <v>711</v>
      </c>
      <c r="D188" s="3" t="s">
        <v>712</v>
      </c>
      <c r="E188" s="3" t="s">
        <v>660</v>
      </c>
      <c r="F188" s="3" t="s">
        <v>661</v>
      </c>
      <c r="G188" s="3" t="s">
        <v>713</v>
      </c>
      <c r="H188" s="3" t="s">
        <v>713</v>
      </c>
      <c r="I188" s="3" t="s">
        <v>670</v>
      </c>
      <c r="J188" s="5">
        <v>45238</v>
      </c>
      <c r="K188" s="5">
        <v>45238</v>
      </c>
      <c r="L188" s="6">
        <v>6257.31</v>
      </c>
    </row>
    <row r="189" s="1" customFormat="1" spans="1:12">
      <c r="A189" s="3" t="s">
        <v>508</v>
      </c>
      <c r="B189" s="3" t="s">
        <v>542</v>
      </c>
      <c r="C189" s="3" t="s">
        <v>720</v>
      </c>
      <c r="D189" s="3" t="s">
        <v>721</v>
      </c>
      <c r="E189" s="3" t="s">
        <v>660</v>
      </c>
      <c r="F189" s="3" t="s">
        <v>661</v>
      </c>
      <c r="G189" s="3" t="s">
        <v>706</v>
      </c>
      <c r="H189" s="3" t="s">
        <v>706</v>
      </c>
      <c r="I189" s="3" t="s">
        <v>670</v>
      </c>
      <c r="J189" s="5">
        <v>45250</v>
      </c>
      <c r="K189" s="5">
        <v>45250</v>
      </c>
      <c r="L189" s="6">
        <v>6109.91</v>
      </c>
    </row>
    <row r="190" s="1" customFormat="1" spans="1:12">
      <c r="A190" s="3" t="s">
        <v>508</v>
      </c>
      <c r="B190" s="3" t="s">
        <v>542</v>
      </c>
      <c r="C190" s="3" t="s">
        <v>735</v>
      </c>
      <c r="D190" s="3" t="s">
        <v>736</v>
      </c>
      <c r="E190" s="3" t="s">
        <v>660</v>
      </c>
      <c r="F190" s="3" t="s">
        <v>661</v>
      </c>
      <c r="G190" s="3" t="s">
        <v>700</v>
      </c>
      <c r="H190" s="3" t="s">
        <v>700</v>
      </c>
      <c r="I190" s="3" t="s">
        <v>670</v>
      </c>
      <c r="J190" s="5">
        <v>45244</v>
      </c>
      <c r="K190" s="5">
        <v>45244</v>
      </c>
      <c r="L190" s="6">
        <v>6109.9</v>
      </c>
    </row>
    <row r="191" s="1" customFormat="1" spans="1:12">
      <c r="A191" s="3" t="s">
        <v>521</v>
      </c>
      <c r="B191" s="3" t="s">
        <v>597</v>
      </c>
      <c r="C191" s="3" t="s">
        <v>889</v>
      </c>
      <c r="D191" s="3" t="s">
        <v>890</v>
      </c>
      <c r="E191" s="3" t="s">
        <v>660</v>
      </c>
      <c r="F191" s="3" t="s">
        <v>661</v>
      </c>
      <c r="G191" s="3" t="s">
        <v>826</v>
      </c>
      <c r="H191" s="3" t="s">
        <v>826</v>
      </c>
      <c r="I191" s="3" t="s">
        <v>670</v>
      </c>
      <c r="J191" s="5">
        <v>45356</v>
      </c>
      <c r="K191" s="5">
        <v>45356</v>
      </c>
      <c r="L191" s="6">
        <v>6091.72</v>
      </c>
    </row>
    <row r="192" s="1" customFormat="1" spans="1:12">
      <c r="A192" s="3" t="s">
        <v>508</v>
      </c>
      <c r="B192" s="3" t="s">
        <v>542</v>
      </c>
      <c r="C192" s="3" t="s">
        <v>704</v>
      </c>
      <c r="D192" s="3" t="s">
        <v>705</v>
      </c>
      <c r="E192" s="3" t="s">
        <v>660</v>
      </c>
      <c r="F192" s="3" t="s">
        <v>661</v>
      </c>
      <c r="G192" s="3" t="s">
        <v>706</v>
      </c>
      <c r="H192" s="3" t="s">
        <v>706</v>
      </c>
      <c r="I192" s="3" t="s">
        <v>670</v>
      </c>
      <c r="J192" s="5">
        <v>45247</v>
      </c>
      <c r="K192" s="5">
        <v>45247</v>
      </c>
      <c r="L192" s="6">
        <v>6055.55</v>
      </c>
    </row>
    <row r="193" s="1" customFormat="1" spans="1:12">
      <c r="A193" s="3" t="s">
        <v>508</v>
      </c>
      <c r="B193" s="3" t="s">
        <v>542</v>
      </c>
      <c r="C193" s="3" t="s">
        <v>732</v>
      </c>
      <c r="D193" s="3" t="s">
        <v>733</v>
      </c>
      <c r="E193" s="3" t="s">
        <v>660</v>
      </c>
      <c r="F193" s="3" t="s">
        <v>661</v>
      </c>
      <c r="G193" s="3" t="s">
        <v>734</v>
      </c>
      <c r="H193" s="3" t="s">
        <v>734</v>
      </c>
      <c r="I193" s="3" t="s">
        <v>670</v>
      </c>
      <c r="J193" s="5">
        <v>45244</v>
      </c>
      <c r="K193" s="5">
        <v>45244</v>
      </c>
      <c r="L193" s="6">
        <v>6055.54</v>
      </c>
    </row>
    <row r="194" s="1" customFormat="1" spans="1:12">
      <c r="A194" s="3" t="s">
        <v>508</v>
      </c>
      <c r="B194" s="3" t="s">
        <v>509</v>
      </c>
      <c r="C194" s="3" t="s">
        <v>691</v>
      </c>
      <c r="D194" s="3" t="s">
        <v>692</v>
      </c>
      <c r="E194" s="3" t="s">
        <v>660</v>
      </c>
      <c r="F194" s="3" t="s">
        <v>661</v>
      </c>
      <c r="G194" s="3" t="s">
        <v>693</v>
      </c>
      <c r="H194" s="3" t="s">
        <v>693</v>
      </c>
      <c r="I194" s="3" t="s">
        <v>670</v>
      </c>
      <c r="J194" s="5">
        <v>45225</v>
      </c>
      <c r="K194" s="5">
        <v>45225</v>
      </c>
      <c r="L194" s="6">
        <v>6033.18</v>
      </c>
    </row>
    <row r="195" s="1" customFormat="1" spans="1:12">
      <c r="A195" s="3" t="s">
        <v>508</v>
      </c>
      <c r="B195" s="3" t="s">
        <v>509</v>
      </c>
      <c r="C195" s="3" t="s">
        <v>686</v>
      </c>
      <c r="D195" s="3" t="s">
        <v>687</v>
      </c>
      <c r="E195" s="3" t="s">
        <v>660</v>
      </c>
      <c r="F195" s="3" t="s">
        <v>661</v>
      </c>
      <c r="G195" s="3" t="s">
        <v>688</v>
      </c>
      <c r="H195" s="3" t="s">
        <v>688</v>
      </c>
      <c r="I195" s="3" t="s">
        <v>670</v>
      </c>
      <c r="J195" s="5">
        <v>45223</v>
      </c>
      <c r="K195" s="5">
        <v>45223</v>
      </c>
      <c r="L195" s="6">
        <v>6000</v>
      </c>
    </row>
    <row r="196" s="1" customFormat="1" spans="1:12">
      <c r="A196" s="3" t="s">
        <v>508</v>
      </c>
      <c r="B196" s="3" t="s">
        <v>542</v>
      </c>
      <c r="C196" s="3" t="s">
        <v>709</v>
      </c>
      <c r="D196" s="3" t="s">
        <v>710</v>
      </c>
      <c r="E196" s="3" t="s">
        <v>660</v>
      </c>
      <c r="F196" s="3" t="s">
        <v>661</v>
      </c>
      <c r="G196" s="3" t="s">
        <v>706</v>
      </c>
      <c r="H196" s="3" t="s">
        <v>706</v>
      </c>
      <c r="I196" s="3" t="s">
        <v>670</v>
      </c>
      <c r="J196" s="5">
        <v>45250</v>
      </c>
      <c r="K196" s="5">
        <v>45250</v>
      </c>
      <c r="L196" s="6">
        <v>5635.14</v>
      </c>
    </row>
    <row r="197" s="1" customFormat="1" spans="1:12">
      <c r="A197" s="3" t="s">
        <v>508</v>
      </c>
      <c r="B197" s="3" t="s">
        <v>542</v>
      </c>
      <c r="C197" s="3" t="s">
        <v>707</v>
      </c>
      <c r="D197" s="3" t="s">
        <v>708</v>
      </c>
      <c r="E197" s="3" t="s">
        <v>660</v>
      </c>
      <c r="F197" s="3" t="s">
        <v>661</v>
      </c>
      <c r="G197" s="3" t="s">
        <v>700</v>
      </c>
      <c r="H197" s="3" t="s">
        <v>700</v>
      </c>
      <c r="I197" s="3" t="s">
        <v>670</v>
      </c>
      <c r="J197" s="5">
        <v>45247</v>
      </c>
      <c r="K197" s="5">
        <v>45247</v>
      </c>
      <c r="L197" s="6">
        <v>5521.79</v>
      </c>
    </row>
    <row r="198" s="1" customFormat="1" spans="1:12">
      <c r="A198" s="3" t="s">
        <v>521</v>
      </c>
      <c r="B198" s="3" t="s">
        <v>562</v>
      </c>
      <c r="C198" s="3" t="s">
        <v>1387</v>
      </c>
      <c r="D198" s="3" t="s">
        <v>1388</v>
      </c>
      <c r="E198" s="3" t="s">
        <v>1389</v>
      </c>
      <c r="F198" s="3" t="s">
        <v>1390</v>
      </c>
      <c r="G198" s="3" t="s">
        <v>427</v>
      </c>
      <c r="H198" s="3" t="s">
        <v>427</v>
      </c>
      <c r="I198" s="3" t="s">
        <v>985</v>
      </c>
      <c r="J198" s="5">
        <v>45429</v>
      </c>
      <c r="K198" s="5">
        <v>45429</v>
      </c>
      <c r="L198" s="6">
        <v>5299.15</v>
      </c>
    </row>
    <row r="199" s="1" customFormat="1" spans="1:12">
      <c r="A199" s="3" t="s">
        <v>508</v>
      </c>
      <c r="B199" s="3" t="s">
        <v>542</v>
      </c>
      <c r="C199" s="3" t="s">
        <v>674</v>
      </c>
      <c r="D199" s="3" t="s">
        <v>675</v>
      </c>
      <c r="E199" s="3" t="s">
        <v>660</v>
      </c>
      <c r="F199" s="3" t="s">
        <v>661</v>
      </c>
      <c r="G199" s="3" t="s">
        <v>676</v>
      </c>
      <c r="H199" s="3" t="s">
        <v>676</v>
      </c>
      <c r="I199" s="3" t="s">
        <v>670</v>
      </c>
      <c r="J199" s="5">
        <v>45244</v>
      </c>
      <c r="K199" s="5">
        <v>45244</v>
      </c>
      <c r="L199" s="6">
        <v>4657.43</v>
      </c>
    </row>
    <row r="200" s="1" customFormat="1" spans="1:12">
      <c r="A200" s="3" t="s">
        <v>508</v>
      </c>
      <c r="B200" s="3" t="s">
        <v>518</v>
      </c>
      <c r="C200" s="3" t="s">
        <v>778</v>
      </c>
      <c r="D200" s="3" t="s">
        <v>779</v>
      </c>
      <c r="E200" s="3" t="s">
        <v>660</v>
      </c>
      <c r="F200" s="3" t="s">
        <v>661</v>
      </c>
      <c r="G200" s="3" t="s">
        <v>763</v>
      </c>
      <c r="H200" s="3" t="s">
        <v>763</v>
      </c>
      <c r="I200" s="3" t="s">
        <v>670</v>
      </c>
      <c r="J200" s="5">
        <v>45268</v>
      </c>
      <c r="K200" s="5">
        <v>45268</v>
      </c>
      <c r="L200" s="6">
        <v>4073.27</v>
      </c>
    </row>
    <row r="201" s="1" customFormat="1" spans="1:12">
      <c r="A201" s="3" t="s">
        <v>521</v>
      </c>
      <c r="B201" s="3" t="s">
        <v>823</v>
      </c>
      <c r="C201" s="3" t="s">
        <v>860</v>
      </c>
      <c r="D201" s="3" t="s">
        <v>861</v>
      </c>
      <c r="E201" s="3" t="s">
        <v>660</v>
      </c>
      <c r="F201" s="3" t="s">
        <v>661</v>
      </c>
      <c r="G201" s="3" t="s">
        <v>763</v>
      </c>
      <c r="H201" s="3" t="s">
        <v>763</v>
      </c>
      <c r="I201" s="3" t="s">
        <v>670</v>
      </c>
      <c r="J201" s="5">
        <v>45303</v>
      </c>
      <c r="K201" s="5">
        <v>45303</v>
      </c>
      <c r="L201" s="6">
        <v>4073.27</v>
      </c>
    </row>
    <row r="202" s="1" customFormat="1" spans="1:12">
      <c r="A202" s="3" t="s">
        <v>521</v>
      </c>
      <c r="B202" s="3" t="s">
        <v>823</v>
      </c>
      <c r="C202" s="3" t="s">
        <v>865</v>
      </c>
      <c r="D202" s="3" t="s">
        <v>866</v>
      </c>
      <c r="E202" s="3" t="s">
        <v>660</v>
      </c>
      <c r="F202" s="3" t="s">
        <v>661</v>
      </c>
      <c r="G202" s="3" t="s">
        <v>867</v>
      </c>
      <c r="H202" s="3" t="s">
        <v>867</v>
      </c>
      <c r="I202" s="3" t="s">
        <v>670</v>
      </c>
      <c r="J202" s="5">
        <v>45314</v>
      </c>
      <c r="K202" s="5">
        <v>45314</v>
      </c>
      <c r="L202" s="6">
        <v>4073.27</v>
      </c>
    </row>
    <row r="203" s="1" customFormat="1" spans="1:12">
      <c r="A203" s="3" t="s">
        <v>521</v>
      </c>
      <c r="B203" s="3" t="s">
        <v>823</v>
      </c>
      <c r="C203" s="3" t="s">
        <v>857</v>
      </c>
      <c r="D203" s="3" t="s">
        <v>858</v>
      </c>
      <c r="E203" s="3" t="s">
        <v>660</v>
      </c>
      <c r="F203" s="3" t="s">
        <v>661</v>
      </c>
      <c r="G203" s="3" t="s">
        <v>859</v>
      </c>
      <c r="H203" s="3" t="s">
        <v>859</v>
      </c>
      <c r="I203" s="3" t="s">
        <v>670</v>
      </c>
      <c r="J203" s="5">
        <v>45303</v>
      </c>
      <c r="K203" s="5">
        <v>45303</v>
      </c>
      <c r="L203" s="6">
        <v>4073.27</v>
      </c>
    </row>
    <row r="204" s="1" customFormat="1" spans="1:12">
      <c r="A204" s="3" t="s">
        <v>521</v>
      </c>
      <c r="B204" s="3" t="s">
        <v>522</v>
      </c>
      <c r="C204" s="3" t="s">
        <v>879</v>
      </c>
      <c r="D204" s="3" t="s">
        <v>880</v>
      </c>
      <c r="E204" s="3" t="s">
        <v>660</v>
      </c>
      <c r="F204" s="3" t="s">
        <v>661</v>
      </c>
      <c r="G204" s="3" t="s">
        <v>859</v>
      </c>
      <c r="H204" s="3" t="s">
        <v>859</v>
      </c>
      <c r="I204" s="3" t="s">
        <v>670</v>
      </c>
      <c r="J204" s="5">
        <v>45323</v>
      </c>
      <c r="K204" s="5">
        <v>45323</v>
      </c>
      <c r="L204" s="6">
        <v>4073.27</v>
      </c>
    </row>
    <row r="205" s="1" customFormat="1" spans="1:12">
      <c r="A205" s="3" t="s">
        <v>521</v>
      </c>
      <c r="B205" s="3" t="s">
        <v>823</v>
      </c>
      <c r="C205" s="3" t="s">
        <v>855</v>
      </c>
      <c r="D205" s="3" t="s">
        <v>856</v>
      </c>
      <c r="E205" s="3" t="s">
        <v>660</v>
      </c>
      <c r="F205" s="3" t="s">
        <v>661</v>
      </c>
      <c r="G205" s="3" t="s">
        <v>681</v>
      </c>
      <c r="H205" s="3" t="s">
        <v>681</v>
      </c>
      <c r="I205" s="3" t="s">
        <v>670</v>
      </c>
      <c r="J205" s="5">
        <v>45303</v>
      </c>
      <c r="K205" s="5">
        <v>45303</v>
      </c>
      <c r="L205" s="6">
        <v>3836.35</v>
      </c>
    </row>
    <row r="206" s="1" customFormat="1" spans="1:12">
      <c r="A206" s="3" t="s">
        <v>508</v>
      </c>
      <c r="B206" s="3" t="s">
        <v>518</v>
      </c>
      <c r="C206" s="3" t="s">
        <v>808</v>
      </c>
      <c r="D206" s="3" t="s">
        <v>809</v>
      </c>
      <c r="E206" s="3" t="s">
        <v>660</v>
      </c>
      <c r="F206" s="3" t="s">
        <v>661</v>
      </c>
      <c r="G206" s="3" t="s">
        <v>810</v>
      </c>
      <c r="H206" s="3" t="s">
        <v>810</v>
      </c>
      <c r="I206" s="3" t="s">
        <v>670</v>
      </c>
      <c r="J206" s="5">
        <v>45278</v>
      </c>
      <c r="K206" s="5">
        <v>45278</v>
      </c>
      <c r="L206" s="6">
        <v>3700</v>
      </c>
    </row>
    <row r="207" s="1" customFormat="1" spans="1:12">
      <c r="A207" s="3" t="s">
        <v>508</v>
      </c>
      <c r="B207" s="3" t="s">
        <v>542</v>
      </c>
      <c r="C207" s="3" t="s">
        <v>671</v>
      </c>
      <c r="D207" s="3" t="s">
        <v>672</v>
      </c>
      <c r="E207" s="3" t="s">
        <v>660</v>
      </c>
      <c r="F207" s="3" t="s">
        <v>661</v>
      </c>
      <c r="G207" s="3" t="s">
        <v>673</v>
      </c>
      <c r="H207" s="3" t="s">
        <v>673</v>
      </c>
      <c r="I207" s="3" t="s">
        <v>670</v>
      </c>
      <c r="J207" s="5">
        <v>45253</v>
      </c>
      <c r="K207" s="5">
        <v>45253</v>
      </c>
      <c r="L207" s="6">
        <v>3681.91</v>
      </c>
    </row>
    <row r="208" s="1" customFormat="1" spans="1:12">
      <c r="A208" s="3" t="s">
        <v>508</v>
      </c>
      <c r="B208" s="3" t="s">
        <v>542</v>
      </c>
      <c r="C208" s="3" t="s">
        <v>664</v>
      </c>
      <c r="D208" s="3" t="s">
        <v>665</v>
      </c>
      <c r="E208" s="3" t="s">
        <v>660</v>
      </c>
      <c r="F208" s="3" t="s">
        <v>661</v>
      </c>
      <c r="G208" s="3" t="s">
        <v>666</v>
      </c>
      <c r="H208" s="3" t="s">
        <v>666</v>
      </c>
      <c r="I208" s="3" t="s">
        <v>663</v>
      </c>
      <c r="J208" s="5">
        <v>45244</v>
      </c>
      <c r="K208" s="5">
        <v>45244</v>
      </c>
      <c r="L208" s="6">
        <v>3681.91</v>
      </c>
    </row>
    <row r="209" s="1" customFormat="1" spans="1:12">
      <c r="A209" s="3" t="s">
        <v>508</v>
      </c>
      <c r="B209" s="3" t="s">
        <v>509</v>
      </c>
      <c r="C209" s="3" t="s">
        <v>682</v>
      </c>
      <c r="D209" s="3" t="s">
        <v>683</v>
      </c>
      <c r="E209" s="3" t="s">
        <v>660</v>
      </c>
      <c r="F209" s="3" t="s">
        <v>661</v>
      </c>
      <c r="G209" s="3" t="s">
        <v>669</v>
      </c>
      <c r="H209" s="3" t="s">
        <v>669</v>
      </c>
      <c r="I209" s="3" t="s">
        <v>670</v>
      </c>
      <c r="J209" s="5">
        <v>45223</v>
      </c>
      <c r="K209" s="5">
        <v>45223</v>
      </c>
      <c r="L209" s="6">
        <v>3641.5</v>
      </c>
    </row>
    <row r="210" s="1" customFormat="1" spans="1:12">
      <c r="A210" s="3" t="s">
        <v>508</v>
      </c>
      <c r="B210" s="3" t="s">
        <v>518</v>
      </c>
      <c r="C210" s="3" t="s">
        <v>1358</v>
      </c>
      <c r="D210" s="3" t="s">
        <v>1359</v>
      </c>
      <c r="E210" s="3" t="s">
        <v>1355</v>
      </c>
      <c r="F210" s="3" t="s">
        <v>1356</v>
      </c>
      <c r="G210" s="3" t="s">
        <v>1360</v>
      </c>
      <c r="H210" s="3" t="s">
        <v>1360</v>
      </c>
      <c r="I210" s="3" t="s">
        <v>670</v>
      </c>
      <c r="J210" s="5">
        <v>45278</v>
      </c>
      <c r="K210" s="5">
        <v>45278</v>
      </c>
      <c r="L210" s="6">
        <v>3408.78</v>
      </c>
    </row>
    <row r="211" s="1" customFormat="1" spans="1:12">
      <c r="A211" s="3" t="s">
        <v>521</v>
      </c>
      <c r="B211" s="3" t="s">
        <v>522</v>
      </c>
      <c r="C211" s="3" t="s">
        <v>980</v>
      </c>
      <c r="D211" s="3" t="s">
        <v>981</v>
      </c>
      <c r="E211" s="3" t="s">
        <v>982</v>
      </c>
      <c r="F211" s="3" t="s">
        <v>983</v>
      </c>
      <c r="G211" s="3" t="s">
        <v>984</v>
      </c>
      <c r="H211" s="3" t="s">
        <v>984</v>
      </c>
      <c r="I211" s="3" t="s">
        <v>985</v>
      </c>
      <c r="J211" s="5">
        <v>45345</v>
      </c>
      <c r="K211" s="5">
        <v>45345</v>
      </c>
      <c r="L211" s="6">
        <v>3345.19</v>
      </c>
    </row>
    <row r="212" s="1" customFormat="1" spans="1:12">
      <c r="A212" s="3" t="s">
        <v>508</v>
      </c>
      <c r="B212" s="3" t="s">
        <v>518</v>
      </c>
      <c r="C212" s="3" t="s">
        <v>752</v>
      </c>
      <c r="D212" s="3" t="s">
        <v>753</v>
      </c>
      <c r="E212" s="3" t="s">
        <v>660</v>
      </c>
      <c r="F212" s="3" t="s">
        <v>661</v>
      </c>
      <c r="G212" s="3" t="s">
        <v>754</v>
      </c>
      <c r="H212" s="3" t="s">
        <v>754</v>
      </c>
      <c r="I212" s="3" t="s">
        <v>670</v>
      </c>
      <c r="J212" s="5">
        <v>45275</v>
      </c>
      <c r="K212" s="5">
        <v>45275</v>
      </c>
      <c r="L212" s="6">
        <v>3340.37</v>
      </c>
    </row>
    <row r="213" s="1" customFormat="1" spans="1:12">
      <c r="A213" s="3" t="s">
        <v>508</v>
      </c>
      <c r="B213" s="3" t="s">
        <v>518</v>
      </c>
      <c r="C213" s="3" t="s">
        <v>787</v>
      </c>
      <c r="D213" s="3" t="s">
        <v>788</v>
      </c>
      <c r="E213" s="3" t="s">
        <v>660</v>
      </c>
      <c r="F213" s="3" t="s">
        <v>661</v>
      </c>
      <c r="G213" s="3" t="s">
        <v>669</v>
      </c>
      <c r="H213" s="3" t="s">
        <v>669</v>
      </c>
      <c r="I213" s="3" t="s">
        <v>670</v>
      </c>
      <c r="J213" s="5">
        <v>45268</v>
      </c>
      <c r="K213" s="5">
        <v>45268</v>
      </c>
      <c r="L213" s="6">
        <v>3258.27</v>
      </c>
    </row>
    <row r="214" s="1" customFormat="1" spans="1:12">
      <c r="A214" s="3" t="s">
        <v>521</v>
      </c>
      <c r="B214" s="3" t="s">
        <v>823</v>
      </c>
      <c r="C214" s="3" t="s">
        <v>832</v>
      </c>
      <c r="D214" s="3" t="s">
        <v>833</v>
      </c>
      <c r="E214" s="3" t="s">
        <v>660</v>
      </c>
      <c r="F214" s="3" t="s">
        <v>661</v>
      </c>
      <c r="G214" s="3" t="s">
        <v>669</v>
      </c>
      <c r="H214" s="3" t="s">
        <v>669</v>
      </c>
      <c r="I214" s="3" t="s">
        <v>670</v>
      </c>
      <c r="J214" s="5">
        <v>45310</v>
      </c>
      <c r="K214" s="5">
        <v>45310</v>
      </c>
      <c r="L214" s="6">
        <v>3188.57</v>
      </c>
    </row>
    <row r="215" s="1" customFormat="1" spans="1:12">
      <c r="A215" s="3" t="s">
        <v>508</v>
      </c>
      <c r="B215" s="3" t="s">
        <v>518</v>
      </c>
      <c r="C215" s="3" t="s">
        <v>1353</v>
      </c>
      <c r="D215" s="3" t="s">
        <v>1354</v>
      </c>
      <c r="E215" s="3" t="s">
        <v>1355</v>
      </c>
      <c r="F215" s="3" t="s">
        <v>1356</v>
      </c>
      <c r="G215" s="3" t="s">
        <v>1357</v>
      </c>
      <c r="H215" s="3" t="s">
        <v>1357</v>
      </c>
      <c r="I215" s="3" t="s">
        <v>670</v>
      </c>
      <c r="J215" s="5">
        <v>45278</v>
      </c>
      <c r="K215" s="5">
        <v>45278</v>
      </c>
      <c r="L215" s="6">
        <v>3171.16</v>
      </c>
    </row>
    <row r="216" s="1" customFormat="1" spans="1:12">
      <c r="A216" s="3" t="s">
        <v>508</v>
      </c>
      <c r="B216" s="3" t="s">
        <v>518</v>
      </c>
      <c r="C216" s="3" t="s">
        <v>761</v>
      </c>
      <c r="D216" s="3" t="s">
        <v>762</v>
      </c>
      <c r="E216" s="3" t="s">
        <v>660</v>
      </c>
      <c r="F216" s="3" t="s">
        <v>661</v>
      </c>
      <c r="G216" s="3" t="s">
        <v>763</v>
      </c>
      <c r="H216" s="3" t="s">
        <v>763</v>
      </c>
      <c r="I216" s="3" t="s">
        <v>670</v>
      </c>
      <c r="J216" s="5">
        <v>45280</v>
      </c>
      <c r="K216" s="5">
        <v>45280</v>
      </c>
      <c r="L216" s="6">
        <v>3104.95</v>
      </c>
    </row>
    <row r="217" s="1" customFormat="1" spans="1:12">
      <c r="A217" s="3" t="s">
        <v>521</v>
      </c>
      <c r="B217" s="3" t="s">
        <v>597</v>
      </c>
      <c r="C217" s="3" t="s">
        <v>1533</v>
      </c>
      <c r="D217" s="3" t="s">
        <v>1547</v>
      </c>
      <c r="E217" s="3" t="s">
        <v>1483</v>
      </c>
      <c r="F217" s="3" t="s">
        <v>1484</v>
      </c>
      <c r="G217" s="3" t="s">
        <v>1540</v>
      </c>
      <c r="H217" s="3" t="s">
        <v>1540</v>
      </c>
      <c r="I217" s="3" t="s">
        <v>1486</v>
      </c>
      <c r="J217" s="5">
        <v>45382</v>
      </c>
      <c r="K217" s="5">
        <v>45382</v>
      </c>
      <c r="L217" s="11">
        <v>3077.78</v>
      </c>
    </row>
    <row r="218" s="1" customFormat="1" spans="1:12">
      <c r="A218" s="3" t="s">
        <v>508</v>
      </c>
      <c r="B218" s="3" t="s">
        <v>518</v>
      </c>
      <c r="C218" s="3" t="s">
        <v>806</v>
      </c>
      <c r="D218" s="3" t="s">
        <v>807</v>
      </c>
      <c r="E218" s="3" t="s">
        <v>660</v>
      </c>
      <c r="F218" s="3" t="s">
        <v>661</v>
      </c>
      <c r="G218" s="3" t="s">
        <v>669</v>
      </c>
      <c r="H218" s="3" t="s">
        <v>669</v>
      </c>
      <c r="I218" s="3" t="s">
        <v>670</v>
      </c>
      <c r="J218" s="5">
        <v>45270</v>
      </c>
      <c r="K218" s="5">
        <v>45270</v>
      </c>
      <c r="L218" s="6">
        <v>3050.6</v>
      </c>
    </row>
    <row r="219" s="1" customFormat="1" spans="1:12">
      <c r="A219" s="3" t="s">
        <v>508</v>
      </c>
      <c r="B219" s="3" t="s">
        <v>509</v>
      </c>
      <c r="C219" s="3" t="s">
        <v>684</v>
      </c>
      <c r="D219" s="3" t="s">
        <v>685</v>
      </c>
      <c r="E219" s="3" t="s">
        <v>660</v>
      </c>
      <c r="F219" s="3" t="s">
        <v>661</v>
      </c>
      <c r="G219" s="3" t="s">
        <v>681</v>
      </c>
      <c r="H219" s="3" t="s">
        <v>681</v>
      </c>
      <c r="I219" s="3" t="s">
        <v>670</v>
      </c>
      <c r="J219" s="5">
        <v>45223</v>
      </c>
      <c r="K219" s="5">
        <v>45223</v>
      </c>
      <c r="L219" s="6">
        <v>3050.56</v>
      </c>
    </row>
    <row r="220" s="1" customFormat="1" spans="1:12">
      <c r="A220" s="3" t="s">
        <v>521</v>
      </c>
      <c r="B220" s="3" t="s">
        <v>895</v>
      </c>
      <c r="C220" s="3" t="s">
        <v>938</v>
      </c>
      <c r="D220" s="3" t="s">
        <v>939</v>
      </c>
      <c r="E220" s="3" t="s">
        <v>660</v>
      </c>
      <c r="F220" s="3" t="s">
        <v>661</v>
      </c>
      <c r="G220" s="3" t="s">
        <v>940</v>
      </c>
      <c r="H220" s="3" t="s">
        <v>940</v>
      </c>
      <c r="I220" s="3" t="s">
        <v>670</v>
      </c>
      <c r="J220" s="5">
        <v>45394</v>
      </c>
      <c r="K220" s="5">
        <v>45394</v>
      </c>
      <c r="L220" s="6">
        <v>3044.15</v>
      </c>
    </row>
    <row r="221" s="1" customFormat="1" spans="1:12">
      <c r="A221" s="3" t="s">
        <v>508</v>
      </c>
      <c r="B221" s="3" t="s">
        <v>542</v>
      </c>
      <c r="C221" s="3" t="s">
        <v>727</v>
      </c>
      <c r="D221" s="3" t="s">
        <v>728</v>
      </c>
      <c r="E221" s="3" t="s">
        <v>660</v>
      </c>
      <c r="F221" s="3" t="s">
        <v>661</v>
      </c>
      <c r="G221" s="3" t="s">
        <v>669</v>
      </c>
      <c r="H221" s="3" t="s">
        <v>669</v>
      </c>
      <c r="I221" s="3" t="s">
        <v>670</v>
      </c>
      <c r="J221" s="5">
        <v>45239</v>
      </c>
      <c r="K221" s="5">
        <v>45239</v>
      </c>
      <c r="L221" s="6">
        <v>2967.71</v>
      </c>
    </row>
    <row r="222" s="1" customFormat="1" spans="1:12">
      <c r="A222" s="3" t="s">
        <v>508</v>
      </c>
      <c r="B222" s="3" t="s">
        <v>509</v>
      </c>
      <c r="C222" s="3" t="s">
        <v>696</v>
      </c>
      <c r="D222" s="3" t="s">
        <v>697</v>
      </c>
      <c r="E222" s="3" t="s">
        <v>660</v>
      </c>
      <c r="F222" s="3" t="s">
        <v>661</v>
      </c>
      <c r="G222" s="3" t="s">
        <v>669</v>
      </c>
      <c r="H222" s="3" t="s">
        <v>669</v>
      </c>
      <c r="I222" s="3" t="s">
        <v>670</v>
      </c>
      <c r="J222" s="5">
        <v>45223</v>
      </c>
      <c r="K222" s="5">
        <v>45223</v>
      </c>
      <c r="L222" s="6">
        <v>2860.57</v>
      </c>
    </row>
    <row r="223" s="1" customFormat="1" spans="1:12">
      <c r="A223" s="3" t="s">
        <v>508</v>
      </c>
      <c r="B223" s="3" t="s">
        <v>542</v>
      </c>
      <c r="C223" s="3" t="s">
        <v>677</v>
      </c>
      <c r="D223" s="3" t="s">
        <v>678</v>
      </c>
      <c r="E223" s="3" t="s">
        <v>660</v>
      </c>
      <c r="F223" s="3" t="s">
        <v>661</v>
      </c>
      <c r="G223" s="3" t="s">
        <v>669</v>
      </c>
      <c r="H223" s="3" t="s">
        <v>669</v>
      </c>
      <c r="I223" s="3" t="s">
        <v>670</v>
      </c>
      <c r="J223" s="5">
        <v>45238</v>
      </c>
      <c r="K223" s="5">
        <v>45238</v>
      </c>
      <c r="L223" s="6">
        <v>2855.76</v>
      </c>
    </row>
    <row r="224" s="1" customFormat="1" spans="1:12">
      <c r="A224" s="3" t="s">
        <v>508</v>
      </c>
      <c r="B224" s="3" t="s">
        <v>542</v>
      </c>
      <c r="C224" s="3" t="s">
        <v>729</v>
      </c>
      <c r="D224" s="3" t="s">
        <v>730</v>
      </c>
      <c r="E224" s="3" t="s">
        <v>660</v>
      </c>
      <c r="F224" s="3" t="s">
        <v>661</v>
      </c>
      <c r="G224" s="3" t="s">
        <v>731</v>
      </c>
      <c r="H224" s="3" t="s">
        <v>731</v>
      </c>
      <c r="I224" s="3" t="s">
        <v>670</v>
      </c>
      <c r="J224" s="5">
        <v>45244</v>
      </c>
      <c r="K224" s="5">
        <v>45244</v>
      </c>
      <c r="L224" s="6">
        <v>2785.17</v>
      </c>
    </row>
    <row r="225" s="1" customFormat="1" spans="1:12">
      <c r="A225" s="3" t="s">
        <v>508</v>
      </c>
      <c r="B225" s="3" t="s">
        <v>509</v>
      </c>
      <c r="C225" s="3" t="s">
        <v>745</v>
      </c>
      <c r="D225" s="3" t="s">
        <v>746</v>
      </c>
      <c r="E225" s="3" t="s">
        <v>660</v>
      </c>
      <c r="F225" s="3" t="s">
        <v>661</v>
      </c>
      <c r="G225" s="3" t="s">
        <v>703</v>
      </c>
      <c r="H225" s="3" t="s">
        <v>703</v>
      </c>
      <c r="I225" s="3" t="s">
        <v>670</v>
      </c>
      <c r="J225" s="5">
        <v>45212</v>
      </c>
      <c r="K225" s="5">
        <v>45212</v>
      </c>
      <c r="L225" s="6">
        <v>2702.18</v>
      </c>
    </row>
    <row r="226" s="1" customFormat="1" spans="1:12">
      <c r="A226" s="3" t="s">
        <v>521</v>
      </c>
      <c r="B226" s="3" t="s">
        <v>562</v>
      </c>
      <c r="C226" s="3" t="s">
        <v>432</v>
      </c>
      <c r="D226" s="3" t="s">
        <v>1394</v>
      </c>
      <c r="E226" s="3" t="s">
        <v>1389</v>
      </c>
      <c r="F226" s="3" t="s">
        <v>1390</v>
      </c>
      <c r="G226" s="3" t="s">
        <v>433</v>
      </c>
      <c r="H226" s="3" t="s">
        <v>433</v>
      </c>
      <c r="I226" s="3" t="s">
        <v>985</v>
      </c>
      <c r="J226" s="5">
        <v>45429</v>
      </c>
      <c r="K226" s="5">
        <v>45429</v>
      </c>
      <c r="L226" s="6">
        <v>2654.87</v>
      </c>
    </row>
    <row r="227" s="1" customFormat="1" spans="1:12">
      <c r="A227" s="3" t="s">
        <v>521</v>
      </c>
      <c r="B227" s="3" t="s">
        <v>597</v>
      </c>
      <c r="C227" s="3" t="s">
        <v>1412</v>
      </c>
      <c r="D227" s="3" t="s">
        <v>1413</v>
      </c>
      <c r="E227" s="3" t="s">
        <v>1414</v>
      </c>
      <c r="F227" s="3" t="s">
        <v>1415</v>
      </c>
      <c r="G227" s="3" t="s">
        <v>1416</v>
      </c>
      <c r="H227" s="3" t="s">
        <v>1416</v>
      </c>
      <c r="I227" s="3" t="s">
        <v>647</v>
      </c>
      <c r="J227" s="5">
        <v>45371</v>
      </c>
      <c r="K227" s="5">
        <v>45371</v>
      </c>
      <c r="L227" s="6">
        <v>2442.48</v>
      </c>
    </row>
    <row r="228" s="1" customFormat="1" spans="1:12">
      <c r="A228" s="3" t="s">
        <v>521</v>
      </c>
      <c r="B228" s="3" t="s">
        <v>823</v>
      </c>
      <c r="C228" s="3" t="s">
        <v>853</v>
      </c>
      <c r="D228" s="3" t="s">
        <v>854</v>
      </c>
      <c r="E228" s="3" t="s">
        <v>660</v>
      </c>
      <c r="F228" s="3" t="s">
        <v>661</v>
      </c>
      <c r="G228" s="3" t="s">
        <v>669</v>
      </c>
      <c r="H228" s="3" t="s">
        <v>669</v>
      </c>
      <c r="I228" s="3" t="s">
        <v>670</v>
      </c>
      <c r="J228" s="5">
        <v>45313</v>
      </c>
      <c r="K228" s="5">
        <v>45313</v>
      </c>
      <c r="L228" s="6">
        <v>2402.18</v>
      </c>
    </row>
    <row r="229" s="1" customFormat="1" spans="1:12">
      <c r="A229" s="3" t="s">
        <v>521</v>
      </c>
      <c r="B229" s="3" t="s">
        <v>823</v>
      </c>
      <c r="C229" s="3" t="s">
        <v>837</v>
      </c>
      <c r="D229" s="3" t="s">
        <v>838</v>
      </c>
      <c r="E229" s="3" t="s">
        <v>660</v>
      </c>
      <c r="F229" s="3" t="s">
        <v>661</v>
      </c>
      <c r="G229" s="3" t="s">
        <v>669</v>
      </c>
      <c r="H229" s="3" t="s">
        <v>669</v>
      </c>
      <c r="I229" s="3" t="s">
        <v>670</v>
      </c>
      <c r="J229" s="5">
        <v>45310</v>
      </c>
      <c r="K229" s="5">
        <v>45310</v>
      </c>
      <c r="L229" s="6">
        <v>2388.1</v>
      </c>
    </row>
    <row r="230" s="1" customFormat="1" spans="1:12">
      <c r="A230" s="3" t="s">
        <v>521</v>
      </c>
      <c r="B230" s="3" t="s">
        <v>823</v>
      </c>
      <c r="C230" s="3" t="s">
        <v>1434</v>
      </c>
      <c r="D230" s="3" t="s">
        <v>1435</v>
      </c>
      <c r="E230" s="3" t="s">
        <v>1414</v>
      </c>
      <c r="F230" s="3" t="s">
        <v>1415</v>
      </c>
      <c r="G230" s="3" t="s">
        <v>1436</v>
      </c>
      <c r="H230" s="3" t="s">
        <v>1436</v>
      </c>
      <c r="I230" s="3" t="s">
        <v>985</v>
      </c>
      <c r="J230" s="5">
        <v>45316</v>
      </c>
      <c r="K230" s="5">
        <v>45316</v>
      </c>
      <c r="L230" s="6">
        <v>2195.56</v>
      </c>
    </row>
    <row r="231" s="1" customFormat="1" spans="1:12">
      <c r="A231" s="3" t="s">
        <v>508</v>
      </c>
      <c r="B231" s="3" t="s">
        <v>518</v>
      </c>
      <c r="C231" s="3" t="s">
        <v>796</v>
      </c>
      <c r="D231" s="3" t="s">
        <v>797</v>
      </c>
      <c r="E231" s="3" t="s">
        <v>660</v>
      </c>
      <c r="F231" s="3" t="s">
        <v>661</v>
      </c>
      <c r="G231" s="3" t="s">
        <v>763</v>
      </c>
      <c r="H231" s="3" t="s">
        <v>763</v>
      </c>
      <c r="I231" s="3" t="s">
        <v>670</v>
      </c>
      <c r="J231" s="5">
        <v>45270</v>
      </c>
      <c r="K231" s="5">
        <v>45270</v>
      </c>
      <c r="L231" s="6">
        <v>2136.63</v>
      </c>
    </row>
    <row r="232" s="1" customFormat="1" spans="1:12">
      <c r="A232" s="3" t="s">
        <v>508</v>
      </c>
      <c r="B232" s="3" t="s">
        <v>518</v>
      </c>
      <c r="C232" s="3" t="s">
        <v>772</v>
      </c>
      <c r="D232" s="3" t="s">
        <v>773</v>
      </c>
      <c r="E232" s="3" t="s">
        <v>660</v>
      </c>
      <c r="F232" s="3" t="s">
        <v>661</v>
      </c>
      <c r="G232" s="3" t="s">
        <v>774</v>
      </c>
      <c r="H232" s="3" t="s">
        <v>774</v>
      </c>
      <c r="I232" s="3" t="s">
        <v>670</v>
      </c>
      <c r="J232" s="5">
        <v>45268</v>
      </c>
      <c r="K232" s="5">
        <v>45268</v>
      </c>
      <c r="L232" s="6">
        <v>2104.96</v>
      </c>
    </row>
    <row r="233" s="1" customFormat="1" spans="1:12">
      <c r="A233" s="3" t="s">
        <v>521</v>
      </c>
      <c r="B233" s="3" t="s">
        <v>562</v>
      </c>
      <c r="C233" s="3" t="s">
        <v>451</v>
      </c>
      <c r="D233" s="3" t="s">
        <v>1411</v>
      </c>
      <c r="E233" s="3" t="s">
        <v>1389</v>
      </c>
      <c r="F233" s="3" t="s">
        <v>1390</v>
      </c>
      <c r="G233" s="3" t="s">
        <v>452</v>
      </c>
      <c r="H233" s="3" t="s">
        <v>452</v>
      </c>
      <c r="I233" s="3" t="s">
        <v>574</v>
      </c>
      <c r="J233" s="5">
        <v>45421</v>
      </c>
      <c r="K233" s="5">
        <v>45421</v>
      </c>
      <c r="L233" s="6">
        <v>2079.21</v>
      </c>
    </row>
    <row r="234" s="1" customFormat="1" spans="1:12">
      <c r="A234" s="3" t="s">
        <v>521</v>
      </c>
      <c r="B234" s="3" t="s">
        <v>522</v>
      </c>
      <c r="C234" s="3" t="s">
        <v>877</v>
      </c>
      <c r="D234" s="3" t="s">
        <v>878</v>
      </c>
      <c r="E234" s="3" t="s">
        <v>660</v>
      </c>
      <c r="F234" s="3" t="s">
        <v>661</v>
      </c>
      <c r="G234" s="3" t="s">
        <v>693</v>
      </c>
      <c r="H234" s="3" t="s">
        <v>693</v>
      </c>
      <c r="I234" s="3" t="s">
        <v>670</v>
      </c>
      <c r="J234" s="5">
        <v>45323</v>
      </c>
      <c r="K234" s="5">
        <v>45323</v>
      </c>
      <c r="L234" s="6">
        <v>2036.63</v>
      </c>
    </row>
    <row r="235" s="1" customFormat="1" spans="1:12">
      <c r="A235" s="3" t="s">
        <v>521</v>
      </c>
      <c r="B235" s="3" t="s">
        <v>895</v>
      </c>
      <c r="C235" s="3" t="s">
        <v>936</v>
      </c>
      <c r="D235" s="3" t="s">
        <v>937</v>
      </c>
      <c r="E235" s="3" t="s">
        <v>660</v>
      </c>
      <c r="F235" s="3" t="s">
        <v>661</v>
      </c>
      <c r="G235" s="3" t="s">
        <v>669</v>
      </c>
      <c r="H235" s="3" t="s">
        <v>669</v>
      </c>
      <c r="I235" s="3" t="s">
        <v>670</v>
      </c>
      <c r="J235" s="5">
        <v>45394</v>
      </c>
      <c r="K235" s="5">
        <v>45394</v>
      </c>
      <c r="L235" s="6">
        <v>2035.28</v>
      </c>
    </row>
    <row r="236" s="1" customFormat="1" spans="1:12">
      <c r="A236" s="3" t="s">
        <v>508</v>
      </c>
      <c r="B236" s="3" t="s">
        <v>518</v>
      </c>
      <c r="C236" s="3" t="s">
        <v>798</v>
      </c>
      <c r="D236" s="3" t="s">
        <v>799</v>
      </c>
      <c r="E236" s="3" t="s">
        <v>660</v>
      </c>
      <c r="F236" s="3" t="s">
        <v>661</v>
      </c>
      <c r="G236" s="3" t="s">
        <v>669</v>
      </c>
      <c r="H236" s="3" t="s">
        <v>669</v>
      </c>
      <c r="I236" s="3" t="s">
        <v>670</v>
      </c>
      <c r="J236" s="5">
        <v>45270</v>
      </c>
      <c r="K236" s="5">
        <v>45270</v>
      </c>
      <c r="L236" s="6">
        <v>2000.32</v>
      </c>
    </row>
    <row r="237" s="1" customFormat="1" spans="1:12">
      <c r="A237" s="3" t="s">
        <v>521</v>
      </c>
      <c r="B237" s="3" t="s">
        <v>597</v>
      </c>
      <c r="C237" s="3" t="s">
        <v>900</v>
      </c>
      <c r="D237" s="3" t="s">
        <v>901</v>
      </c>
      <c r="E237" s="3" t="s">
        <v>660</v>
      </c>
      <c r="F237" s="3" t="s">
        <v>661</v>
      </c>
      <c r="G237" s="3" t="s">
        <v>693</v>
      </c>
      <c r="H237" s="3" t="s">
        <v>693</v>
      </c>
      <c r="I237" s="3" t="s">
        <v>670</v>
      </c>
      <c r="J237" s="5">
        <v>45366</v>
      </c>
      <c r="K237" s="5">
        <v>45366</v>
      </c>
      <c r="L237" s="6">
        <v>1997.03</v>
      </c>
    </row>
    <row r="238" s="1" customFormat="1" spans="1:12">
      <c r="A238" s="3" t="s">
        <v>521</v>
      </c>
      <c r="B238" s="3" t="s">
        <v>597</v>
      </c>
      <c r="C238" s="3" t="s">
        <v>902</v>
      </c>
      <c r="D238" s="3" t="s">
        <v>903</v>
      </c>
      <c r="E238" s="3" t="s">
        <v>660</v>
      </c>
      <c r="F238" s="3" t="s">
        <v>661</v>
      </c>
      <c r="G238" s="3" t="s">
        <v>693</v>
      </c>
      <c r="H238" s="3" t="s">
        <v>693</v>
      </c>
      <c r="I238" s="3" t="s">
        <v>670</v>
      </c>
      <c r="J238" s="5">
        <v>45366</v>
      </c>
      <c r="K238" s="5">
        <v>45366</v>
      </c>
      <c r="L238" s="6">
        <v>1997.03</v>
      </c>
    </row>
    <row r="239" s="1" customFormat="1" spans="1:12">
      <c r="A239" s="3" t="s">
        <v>521</v>
      </c>
      <c r="B239" s="3" t="s">
        <v>895</v>
      </c>
      <c r="C239" s="3" t="s">
        <v>918</v>
      </c>
      <c r="D239" s="3" t="s">
        <v>919</v>
      </c>
      <c r="E239" s="3" t="s">
        <v>660</v>
      </c>
      <c r="F239" s="3" t="s">
        <v>661</v>
      </c>
      <c r="G239" s="3" t="s">
        <v>693</v>
      </c>
      <c r="H239" s="3" t="s">
        <v>693</v>
      </c>
      <c r="I239" s="3" t="s">
        <v>670</v>
      </c>
      <c r="J239" s="5">
        <v>45401</v>
      </c>
      <c r="K239" s="5">
        <v>45401</v>
      </c>
      <c r="L239" s="6">
        <v>1997.03</v>
      </c>
    </row>
    <row r="240" s="1" customFormat="1" spans="1:12">
      <c r="A240" s="3" t="s">
        <v>508</v>
      </c>
      <c r="B240" s="3" t="s">
        <v>542</v>
      </c>
      <c r="C240" s="3" t="s">
        <v>1144</v>
      </c>
      <c r="D240" s="3" t="s">
        <v>1145</v>
      </c>
      <c r="E240" s="3" t="s">
        <v>991</v>
      </c>
      <c r="F240" s="3" t="s">
        <v>992</v>
      </c>
      <c r="G240" s="3" t="s">
        <v>1146</v>
      </c>
      <c r="H240" s="3" t="s">
        <v>1146</v>
      </c>
      <c r="I240" s="3" t="s">
        <v>994</v>
      </c>
      <c r="J240" s="5">
        <v>45245</v>
      </c>
      <c r="K240" s="5">
        <v>45245</v>
      </c>
      <c r="L240" s="6">
        <v>1980</v>
      </c>
    </row>
    <row r="241" s="1" customFormat="1" spans="1:12">
      <c r="A241" s="3" t="s">
        <v>521</v>
      </c>
      <c r="B241" s="3" t="s">
        <v>597</v>
      </c>
      <c r="C241" s="3" t="s">
        <v>1203</v>
      </c>
      <c r="D241" s="3" t="s">
        <v>1204</v>
      </c>
      <c r="E241" s="3" t="s">
        <v>991</v>
      </c>
      <c r="F241" s="3" t="s">
        <v>992</v>
      </c>
      <c r="G241" s="3" t="s">
        <v>1205</v>
      </c>
      <c r="H241" s="3" t="s">
        <v>1206</v>
      </c>
      <c r="I241" s="3" t="s">
        <v>994</v>
      </c>
      <c r="J241" s="5">
        <v>45363</v>
      </c>
      <c r="K241" s="5">
        <v>45363</v>
      </c>
      <c r="L241" s="6">
        <v>1940</v>
      </c>
    </row>
    <row r="242" s="1" customFormat="1" spans="1:12">
      <c r="A242" s="3" t="s">
        <v>508</v>
      </c>
      <c r="B242" s="3" t="s">
        <v>644</v>
      </c>
      <c r="C242" s="3" t="s">
        <v>1634</v>
      </c>
      <c r="D242" s="3" t="s">
        <v>1635</v>
      </c>
      <c r="E242" s="3" t="s">
        <v>1636</v>
      </c>
      <c r="F242" s="3" t="s">
        <v>1637</v>
      </c>
      <c r="G242" s="3" t="s">
        <v>1638</v>
      </c>
      <c r="H242" s="3" t="s">
        <v>1638</v>
      </c>
      <c r="I242" s="3" t="s">
        <v>1486</v>
      </c>
      <c r="J242" s="5">
        <v>45199</v>
      </c>
      <c r="K242" s="5">
        <v>45199</v>
      </c>
      <c r="L242" s="11">
        <v>1937.5</v>
      </c>
    </row>
    <row r="243" s="1" customFormat="1" spans="1:12">
      <c r="A243" s="3" t="s">
        <v>508</v>
      </c>
      <c r="B243" s="3" t="s">
        <v>542</v>
      </c>
      <c r="C243" s="3" t="s">
        <v>1140</v>
      </c>
      <c r="D243" s="3" t="s">
        <v>1141</v>
      </c>
      <c r="E243" s="3" t="s">
        <v>991</v>
      </c>
      <c r="F243" s="3" t="s">
        <v>992</v>
      </c>
      <c r="G243" s="3" t="s">
        <v>1037</v>
      </c>
      <c r="H243" s="3" t="s">
        <v>1037</v>
      </c>
      <c r="I243" s="3" t="s">
        <v>994</v>
      </c>
      <c r="J243" s="5">
        <v>45244</v>
      </c>
      <c r="K243" s="5">
        <v>45244</v>
      </c>
      <c r="L243" s="6">
        <v>1900</v>
      </c>
    </row>
    <row r="244" s="1" customFormat="1" spans="1:12">
      <c r="A244" s="3" t="s">
        <v>508</v>
      </c>
      <c r="B244" s="3" t="s">
        <v>518</v>
      </c>
      <c r="C244" s="3" t="s">
        <v>1187</v>
      </c>
      <c r="D244" s="3" t="s">
        <v>1188</v>
      </c>
      <c r="E244" s="3" t="s">
        <v>991</v>
      </c>
      <c r="F244" s="3" t="s">
        <v>992</v>
      </c>
      <c r="G244" s="3" t="s">
        <v>1037</v>
      </c>
      <c r="H244" s="3" t="s">
        <v>1037</v>
      </c>
      <c r="I244" s="3" t="s">
        <v>994</v>
      </c>
      <c r="J244" s="5">
        <v>45276</v>
      </c>
      <c r="K244" s="5">
        <v>45276</v>
      </c>
      <c r="L244" s="6">
        <v>1900</v>
      </c>
    </row>
    <row r="245" s="1" customFormat="1" spans="1:12">
      <c r="A245" s="3" t="s">
        <v>508</v>
      </c>
      <c r="B245" s="3" t="s">
        <v>518</v>
      </c>
      <c r="C245" s="3" t="s">
        <v>775</v>
      </c>
      <c r="D245" s="3" t="s">
        <v>776</v>
      </c>
      <c r="E245" s="3" t="s">
        <v>660</v>
      </c>
      <c r="F245" s="3" t="s">
        <v>661</v>
      </c>
      <c r="G245" s="3" t="s">
        <v>777</v>
      </c>
      <c r="H245" s="3" t="s">
        <v>777</v>
      </c>
      <c r="I245" s="3" t="s">
        <v>670</v>
      </c>
      <c r="J245" s="5">
        <v>45278</v>
      </c>
      <c r="K245" s="5">
        <v>45278</v>
      </c>
      <c r="L245" s="6">
        <v>1885.73</v>
      </c>
    </row>
    <row r="246" s="1" customFormat="1" spans="1:12">
      <c r="A246" s="3" t="s">
        <v>508</v>
      </c>
      <c r="B246" s="3" t="s">
        <v>518</v>
      </c>
      <c r="C246" s="3" t="s">
        <v>1171</v>
      </c>
      <c r="D246" s="3" t="s">
        <v>1172</v>
      </c>
      <c r="E246" s="3" t="s">
        <v>991</v>
      </c>
      <c r="F246" s="3" t="s">
        <v>992</v>
      </c>
      <c r="G246" s="3" t="s">
        <v>1010</v>
      </c>
      <c r="H246" s="3" t="s">
        <v>1010</v>
      </c>
      <c r="I246" s="3" t="s">
        <v>994</v>
      </c>
      <c r="J246" s="5">
        <v>45270</v>
      </c>
      <c r="K246" s="5">
        <v>45270</v>
      </c>
      <c r="L246" s="6">
        <v>1870</v>
      </c>
    </row>
    <row r="247" s="1" customFormat="1" spans="1:12">
      <c r="A247" s="3" t="s">
        <v>508</v>
      </c>
      <c r="B247" s="3" t="s">
        <v>542</v>
      </c>
      <c r="C247" s="3" t="s">
        <v>725</v>
      </c>
      <c r="D247" s="3" t="s">
        <v>726</v>
      </c>
      <c r="E247" s="3" t="s">
        <v>660</v>
      </c>
      <c r="F247" s="3" t="s">
        <v>661</v>
      </c>
      <c r="G247" s="3" t="s">
        <v>669</v>
      </c>
      <c r="H247" s="3" t="s">
        <v>669</v>
      </c>
      <c r="I247" s="3" t="s">
        <v>670</v>
      </c>
      <c r="J247" s="5">
        <v>45239</v>
      </c>
      <c r="K247" s="5">
        <v>45239</v>
      </c>
      <c r="L247" s="6">
        <v>1869.14</v>
      </c>
    </row>
    <row r="248" s="1" customFormat="1" spans="1:12">
      <c r="A248" s="3" t="s">
        <v>508</v>
      </c>
      <c r="B248" s="3" t="s">
        <v>518</v>
      </c>
      <c r="C248" s="3" t="s">
        <v>1035</v>
      </c>
      <c r="D248" s="3" t="s">
        <v>1036</v>
      </c>
      <c r="E248" s="3" t="s">
        <v>991</v>
      </c>
      <c r="F248" s="3" t="s">
        <v>992</v>
      </c>
      <c r="G248" s="3" t="s">
        <v>1037</v>
      </c>
      <c r="H248" s="3" t="s">
        <v>1037</v>
      </c>
      <c r="I248" s="3" t="s">
        <v>994</v>
      </c>
      <c r="J248" s="5">
        <v>45277</v>
      </c>
      <c r="K248" s="5">
        <v>45277</v>
      </c>
      <c r="L248" s="6">
        <v>1860</v>
      </c>
    </row>
    <row r="249" s="1" customFormat="1" spans="1:12">
      <c r="A249" s="3" t="s">
        <v>508</v>
      </c>
      <c r="B249" s="3" t="s">
        <v>518</v>
      </c>
      <c r="C249" s="3" t="s">
        <v>1175</v>
      </c>
      <c r="D249" s="3" t="s">
        <v>1176</v>
      </c>
      <c r="E249" s="3" t="s">
        <v>991</v>
      </c>
      <c r="F249" s="3" t="s">
        <v>992</v>
      </c>
      <c r="G249" s="3" t="s">
        <v>1177</v>
      </c>
      <c r="H249" s="3" t="s">
        <v>1178</v>
      </c>
      <c r="I249" s="3" t="s">
        <v>994</v>
      </c>
      <c r="J249" s="5">
        <v>45268</v>
      </c>
      <c r="K249" s="5">
        <v>45268</v>
      </c>
      <c r="L249" s="6">
        <v>1850</v>
      </c>
    </row>
    <row r="250" s="1" customFormat="1" spans="1:12">
      <c r="A250" s="3" t="s">
        <v>508</v>
      </c>
      <c r="B250" s="3" t="s">
        <v>542</v>
      </c>
      <c r="C250" s="3" t="s">
        <v>1138</v>
      </c>
      <c r="D250" s="3" t="s">
        <v>1139</v>
      </c>
      <c r="E250" s="3" t="s">
        <v>991</v>
      </c>
      <c r="F250" s="3" t="s">
        <v>992</v>
      </c>
      <c r="G250" s="3" t="s">
        <v>1037</v>
      </c>
      <c r="H250" s="3" t="s">
        <v>1037</v>
      </c>
      <c r="I250" s="3" t="s">
        <v>994</v>
      </c>
      <c r="J250" s="5">
        <v>45244</v>
      </c>
      <c r="K250" s="5">
        <v>45244</v>
      </c>
      <c r="L250" s="6">
        <v>1850</v>
      </c>
    </row>
    <row r="251" s="1" customFormat="1" spans="1:12">
      <c r="A251" s="3" t="s">
        <v>508</v>
      </c>
      <c r="B251" s="3" t="s">
        <v>542</v>
      </c>
      <c r="C251" s="3" t="s">
        <v>1024</v>
      </c>
      <c r="D251" s="3" t="s">
        <v>1025</v>
      </c>
      <c r="E251" s="3" t="s">
        <v>991</v>
      </c>
      <c r="F251" s="3" t="s">
        <v>992</v>
      </c>
      <c r="G251" s="3" t="s">
        <v>1026</v>
      </c>
      <c r="H251" s="3" t="s">
        <v>1027</v>
      </c>
      <c r="I251" s="3" t="s">
        <v>994</v>
      </c>
      <c r="J251" s="5">
        <v>45244</v>
      </c>
      <c r="K251" s="5">
        <v>45244</v>
      </c>
      <c r="L251" s="6">
        <v>1816</v>
      </c>
    </row>
    <row r="252" s="1" customFormat="1" spans="1:12">
      <c r="A252" s="3" t="s">
        <v>508</v>
      </c>
      <c r="B252" s="3" t="s">
        <v>509</v>
      </c>
      <c r="C252" s="3" t="s">
        <v>1085</v>
      </c>
      <c r="D252" s="3" t="s">
        <v>1086</v>
      </c>
      <c r="E252" s="3" t="s">
        <v>991</v>
      </c>
      <c r="F252" s="3" t="s">
        <v>992</v>
      </c>
      <c r="G252" s="3" t="s">
        <v>1087</v>
      </c>
      <c r="H252" s="3" t="s">
        <v>1088</v>
      </c>
      <c r="I252" s="3" t="s">
        <v>994</v>
      </c>
      <c r="J252" s="5">
        <v>45223</v>
      </c>
      <c r="K252" s="5">
        <v>45223</v>
      </c>
      <c r="L252" s="6">
        <v>1790</v>
      </c>
    </row>
    <row r="253" s="1" customFormat="1" spans="1:12">
      <c r="A253" s="3" t="s">
        <v>521</v>
      </c>
      <c r="B253" s="3" t="s">
        <v>895</v>
      </c>
      <c r="C253" s="3" t="s">
        <v>1074</v>
      </c>
      <c r="D253" s="3" t="s">
        <v>1075</v>
      </c>
      <c r="E253" s="3" t="s">
        <v>991</v>
      </c>
      <c r="F253" s="3" t="s">
        <v>992</v>
      </c>
      <c r="G253" s="3" t="s">
        <v>1076</v>
      </c>
      <c r="H253" s="3" t="s">
        <v>1077</v>
      </c>
      <c r="I253" s="3" t="s">
        <v>994</v>
      </c>
      <c r="J253" s="5">
        <v>45394</v>
      </c>
      <c r="K253" s="5">
        <v>45394</v>
      </c>
      <c r="L253" s="6">
        <v>1789</v>
      </c>
    </row>
    <row r="254" s="1" customFormat="1" spans="1:12">
      <c r="A254" s="3" t="s">
        <v>508</v>
      </c>
      <c r="B254" s="3" t="s">
        <v>542</v>
      </c>
      <c r="C254" s="3" t="s">
        <v>1108</v>
      </c>
      <c r="D254" s="3" t="s">
        <v>1109</v>
      </c>
      <c r="E254" s="3" t="s">
        <v>991</v>
      </c>
      <c r="F254" s="3" t="s">
        <v>992</v>
      </c>
      <c r="G254" s="3" t="s">
        <v>1013</v>
      </c>
      <c r="H254" s="3" t="s">
        <v>1013</v>
      </c>
      <c r="I254" s="3" t="s">
        <v>994</v>
      </c>
      <c r="J254" s="5">
        <v>45233</v>
      </c>
      <c r="K254" s="5">
        <v>45233</v>
      </c>
      <c r="L254" s="6">
        <v>1780</v>
      </c>
    </row>
    <row r="255" s="1" customFormat="1" spans="1:12">
      <c r="A255" s="3" t="s">
        <v>521</v>
      </c>
      <c r="B255" s="3" t="s">
        <v>823</v>
      </c>
      <c r="C255" s="3" t="s">
        <v>1040</v>
      </c>
      <c r="D255" s="3" t="s">
        <v>1041</v>
      </c>
      <c r="E255" s="3" t="s">
        <v>991</v>
      </c>
      <c r="F255" s="3" t="s">
        <v>992</v>
      </c>
      <c r="G255" s="3" t="s">
        <v>1042</v>
      </c>
      <c r="H255" s="3" t="s">
        <v>1043</v>
      </c>
      <c r="I255" s="3" t="s">
        <v>994</v>
      </c>
      <c r="J255" s="5">
        <v>45310</v>
      </c>
      <c r="K255" s="5">
        <v>45310</v>
      </c>
      <c r="L255" s="6">
        <v>1752</v>
      </c>
    </row>
    <row r="256" s="1" customFormat="1" spans="1:12">
      <c r="A256" s="3" t="s">
        <v>508</v>
      </c>
      <c r="B256" s="3" t="s">
        <v>509</v>
      </c>
      <c r="C256" s="3" t="s">
        <v>694</v>
      </c>
      <c r="D256" s="3" t="s">
        <v>695</v>
      </c>
      <c r="E256" s="3" t="s">
        <v>660</v>
      </c>
      <c r="F256" s="3" t="s">
        <v>661</v>
      </c>
      <c r="G256" s="3" t="s">
        <v>669</v>
      </c>
      <c r="H256" s="3" t="s">
        <v>669</v>
      </c>
      <c r="I256" s="3" t="s">
        <v>670</v>
      </c>
      <c r="J256" s="5">
        <v>45224</v>
      </c>
      <c r="K256" s="5">
        <v>45224</v>
      </c>
      <c r="L256" s="6">
        <v>1708.92</v>
      </c>
    </row>
    <row r="257" s="1" customFormat="1" spans="1:12">
      <c r="A257" s="3" t="s">
        <v>521</v>
      </c>
      <c r="B257" s="3" t="s">
        <v>522</v>
      </c>
      <c r="C257" s="3" t="s">
        <v>1050</v>
      </c>
      <c r="D257" s="3" t="s">
        <v>1051</v>
      </c>
      <c r="E257" s="3" t="s">
        <v>991</v>
      </c>
      <c r="F257" s="3" t="s">
        <v>992</v>
      </c>
      <c r="G257" s="3" t="s">
        <v>1052</v>
      </c>
      <c r="H257" s="3" t="s">
        <v>1053</v>
      </c>
      <c r="I257" s="3" t="s">
        <v>994</v>
      </c>
      <c r="J257" s="5">
        <v>45323</v>
      </c>
      <c r="K257" s="5">
        <v>45323</v>
      </c>
      <c r="L257" s="6">
        <v>1700</v>
      </c>
    </row>
    <row r="258" s="1" customFormat="1" spans="1:12">
      <c r="A258" s="3" t="s">
        <v>521</v>
      </c>
      <c r="B258" s="3" t="s">
        <v>823</v>
      </c>
      <c r="C258" s="3" t="s">
        <v>848</v>
      </c>
      <c r="D258" s="3" t="s">
        <v>849</v>
      </c>
      <c r="E258" s="3" t="s">
        <v>660</v>
      </c>
      <c r="F258" s="3" t="s">
        <v>661</v>
      </c>
      <c r="G258" s="3" t="s">
        <v>850</v>
      </c>
      <c r="H258" s="3" t="s">
        <v>850</v>
      </c>
      <c r="I258" s="3" t="s">
        <v>670</v>
      </c>
      <c r="J258" s="5">
        <v>45313</v>
      </c>
      <c r="K258" s="5">
        <v>45313</v>
      </c>
      <c r="L258" s="6">
        <v>1600</v>
      </c>
    </row>
    <row r="259" s="1" customFormat="1" spans="1:12">
      <c r="A259" s="3" t="s">
        <v>508</v>
      </c>
      <c r="B259" s="3" t="s">
        <v>542</v>
      </c>
      <c r="C259" s="3" t="s">
        <v>722</v>
      </c>
      <c r="D259" s="3" t="s">
        <v>723</v>
      </c>
      <c r="E259" s="3" t="s">
        <v>660</v>
      </c>
      <c r="F259" s="3" t="s">
        <v>661</v>
      </c>
      <c r="G259" s="3" t="s">
        <v>724</v>
      </c>
      <c r="H259" s="3" t="s">
        <v>724</v>
      </c>
      <c r="I259" s="3" t="s">
        <v>670</v>
      </c>
      <c r="J259" s="5">
        <v>45244</v>
      </c>
      <c r="K259" s="5">
        <v>45244</v>
      </c>
      <c r="L259" s="6">
        <v>1592.29</v>
      </c>
    </row>
    <row r="260" s="1" customFormat="1" spans="1:12">
      <c r="A260" s="3" t="s">
        <v>508</v>
      </c>
      <c r="B260" s="3" t="s">
        <v>518</v>
      </c>
      <c r="C260" s="3" t="s">
        <v>1151</v>
      </c>
      <c r="D260" s="3" t="s">
        <v>1152</v>
      </c>
      <c r="E260" s="3" t="s">
        <v>991</v>
      </c>
      <c r="F260" s="3" t="s">
        <v>992</v>
      </c>
      <c r="G260" s="3" t="s">
        <v>1153</v>
      </c>
      <c r="H260" s="3" t="s">
        <v>1154</v>
      </c>
      <c r="I260" s="3" t="s">
        <v>994</v>
      </c>
      <c r="J260" s="5">
        <v>45265</v>
      </c>
      <c r="K260" s="5">
        <v>45265</v>
      </c>
      <c r="L260" s="6">
        <v>1588</v>
      </c>
    </row>
    <row r="261" s="1" customFormat="1" spans="1:12">
      <c r="A261" s="3" t="s">
        <v>508</v>
      </c>
      <c r="B261" s="3" t="s">
        <v>509</v>
      </c>
      <c r="C261" s="3" t="s">
        <v>1097</v>
      </c>
      <c r="D261" s="3" t="s">
        <v>1098</v>
      </c>
      <c r="E261" s="3" t="s">
        <v>991</v>
      </c>
      <c r="F261" s="3" t="s">
        <v>992</v>
      </c>
      <c r="G261" s="3" t="s">
        <v>1000</v>
      </c>
      <c r="H261" s="3" t="s">
        <v>1000</v>
      </c>
      <c r="I261" s="3" t="s">
        <v>994</v>
      </c>
      <c r="J261" s="5">
        <v>45225</v>
      </c>
      <c r="K261" s="5">
        <v>45225</v>
      </c>
      <c r="L261" s="6">
        <v>1580</v>
      </c>
    </row>
    <row r="262" s="1" customFormat="1" spans="1:12">
      <c r="A262" s="3" t="s">
        <v>508</v>
      </c>
      <c r="B262" s="3" t="s">
        <v>542</v>
      </c>
      <c r="C262" s="3" t="s">
        <v>1106</v>
      </c>
      <c r="D262" s="3" t="s">
        <v>1107</v>
      </c>
      <c r="E262" s="3" t="s">
        <v>991</v>
      </c>
      <c r="F262" s="3" t="s">
        <v>992</v>
      </c>
      <c r="G262" s="3" t="s">
        <v>1013</v>
      </c>
      <c r="H262" s="3" t="s">
        <v>1013</v>
      </c>
      <c r="I262" s="3" t="s">
        <v>994</v>
      </c>
      <c r="J262" s="5">
        <v>45233</v>
      </c>
      <c r="K262" s="5">
        <v>45233</v>
      </c>
      <c r="L262" s="6">
        <v>1580</v>
      </c>
    </row>
    <row r="263" s="1" customFormat="1" spans="1:12">
      <c r="A263" s="3" t="s">
        <v>521</v>
      </c>
      <c r="B263" s="3" t="s">
        <v>823</v>
      </c>
      <c r="C263" s="3" t="s">
        <v>1008</v>
      </c>
      <c r="D263" s="3" t="s">
        <v>1009</v>
      </c>
      <c r="E263" s="3" t="s">
        <v>991</v>
      </c>
      <c r="F263" s="3" t="s">
        <v>992</v>
      </c>
      <c r="G263" s="3" t="s">
        <v>1010</v>
      </c>
      <c r="H263" s="3" t="s">
        <v>1010</v>
      </c>
      <c r="I263" s="3" t="s">
        <v>994</v>
      </c>
      <c r="J263" s="5">
        <v>45310</v>
      </c>
      <c r="K263" s="5">
        <v>45310</v>
      </c>
      <c r="L263" s="6">
        <v>1570</v>
      </c>
    </row>
    <row r="264" s="1" customFormat="1" spans="1:12">
      <c r="A264" s="3" t="s">
        <v>508</v>
      </c>
      <c r="B264" s="3" t="s">
        <v>509</v>
      </c>
      <c r="C264" s="3" t="s">
        <v>1089</v>
      </c>
      <c r="D264" s="3" t="s">
        <v>1090</v>
      </c>
      <c r="E264" s="3" t="s">
        <v>991</v>
      </c>
      <c r="F264" s="3" t="s">
        <v>992</v>
      </c>
      <c r="G264" s="3" t="s">
        <v>1000</v>
      </c>
      <c r="H264" s="3" t="s">
        <v>1000</v>
      </c>
      <c r="I264" s="3" t="s">
        <v>994</v>
      </c>
      <c r="J264" s="5">
        <v>45223</v>
      </c>
      <c r="K264" s="5">
        <v>45223</v>
      </c>
      <c r="L264" s="6">
        <v>1565</v>
      </c>
    </row>
    <row r="265" s="1" customFormat="1" spans="1:12">
      <c r="A265" s="3" t="s">
        <v>521</v>
      </c>
      <c r="B265" s="3" t="s">
        <v>597</v>
      </c>
      <c r="C265" s="3" t="s">
        <v>886</v>
      </c>
      <c r="D265" s="3" t="s">
        <v>887</v>
      </c>
      <c r="E265" s="3" t="s">
        <v>660</v>
      </c>
      <c r="F265" s="3" t="s">
        <v>661</v>
      </c>
      <c r="G265" s="3" t="s">
        <v>888</v>
      </c>
      <c r="H265" s="3" t="s">
        <v>888</v>
      </c>
      <c r="I265" s="3" t="s">
        <v>670</v>
      </c>
      <c r="J265" s="5">
        <v>45356</v>
      </c>
      <c r="K265" s="5">
        <v>45356</v>
      </c>
      <c r="L265" s="6">
        <v>1561.82</v>
      </c>
    </row>
    <row r="266" s="1" customFormat="1" spans="1:12">
      <c r="A266" s="3" t="s">
        <v>508</v>
      </c>
      <c r="B266" s="3" t="s">
        <v>542</v>
      </c>
      <c r="C266" s="3" t="s">
        <v>1117</v>
      </c>
      <c r="D266" s="3" t="s">
        <v>1118</v>
      </c>
      <c r="E266" s="3" t="s">
        <v>991</v>
      </c>
      <c r="F266" s="3" t="s">
        <v>992</v>
      </c>
      <c r="G266" s="3" t="s">
        <v>1119</v>
      </c>
      <c r="H266" s="3" t="s">
        <v>1120</v>
      </c>
      <c r="I266" s="3" t="s">
        <v>994</v>
      </c>
      <c r="J266" s="5">
        <v>45233</v>
      </c>
      <c r="K266" s="5">
        <v>45233</v>
      </c>
      <c r="L266" s="6">
        <v>1484</v>
      </c>
    </row>
    <row r="267" s="1" customFormat="1" spans="1:12">
      <c r="A267" s="3" t="s">
        <v>508</v>
      </c>
      <c r="B267" s="3" t="s">
        <v>518</v>
      </c>
      <c r="C267" s="3" t="s">
        <v>1179</v>
      </c>
      <c r="D267" s="3" t="s">
        <v>1180</v>
      </c>
      <c r="E267" s="3" t="s">
        <v>991</v>
      </c>
      <c r="F267" s="3" t="s">
        <v>992</v>
      </c>
      <c r="G267" s="3" t="s">
        <v>1013</v>
      </c>
      <c r="H267" s="3" t="s">
        <v>1013</v>
      </c>
      <c r="I267" s="3" t="s">
        <v>994</v>
      </c>
      <c r="J267" s="5">
        <v>45268</v>
      </c>
      <c r="K267" s="5">
        <v>45268</v>
      </c>
      <c r="L267" s="6">
        <v>1480</v>
      </c>
    </row>
    <row r="268" s="1" customFormat="1" spans="1:12">
      <c r="A268" s="3" t="s">
        <v>508</v>
      </c>
      <c r="B268" s="3" t="s">
        <v>518</v>
      </c>
      <c r="C268" s="3" t="s">
        <v>1031</v>
      </c>
      <c r="D268" s="3" t="s">
        <v>1032</v>
      </c>
      <c r="E268" s="3" t="s">
        <v>991</v>
      </c>
      <c r="F268" s="3" t="s">
        <v>992</v>
      </c>
      <c r="G268" s="3" t="s">
        <v>997</v>
      </c>
      <c r="H268" s="3" t="s">
        <v>997</v>
      </c>
      <c r="I268" s="3" t="s">
        <v>994</v>
      </c>
      <c r="J268" s="5">
        <v>45277</v>
      </c>
      <c r="K268" s="5">
        <v>45277</v>
      </c>
      <c r="L268" s="6">
        <v>1480</v>
      </c>
    </row>
    <row r="269" s="1" customFormat="1" spans="1:12">
      <c r="A269" s="3" t="s">
        <v>508</v>
      </c>
      <c r="B269" s="3" t="s">
        <v>518</v>
      </c>
      <c r="C269" s="3" t="s">
        <v>1033</v>
      </c>
      <c r="D269" s="3" t="s">
        <v>1034</v>
      </c>
      <c r="E269" s="3" t="s">
        <v>991</v>
      </c>
      <c r="F269" s="3" t="s">
        <v>992</v>
      </c>
      <c r="G269" s="3" t="s">
        <v>1030</v>
      </c>
      <c r="H269" s="3" t="s">
        <v>1030</v>
      </c>
      <c r="I269" s="3" t="s">
        <v>994</v>
      </c>
      <c r="J269" s="5">
        <v>45275</v>
      </c>
      <c r="K269" s="5">
        <v>45275</v>
      </c>
      <c r="L269" s="6">
        <v>1480</v>
      </c>
    </row>
    <row r="270" s="1" customFormat="1" spans="1:12">
      <c r="A270" s="3" t="s">
        <v>521</v>
      </c>
      <c r="B270" s="3" t="s">
        <v>823</v>
      </c>
      <c r="C270" s="3" t="s">
        <v>1195</v>
      </c>
      <c r="D270" s="3" t="s">
        <v>1196</v>
      </c>
      <c r="E270" s="3" t="s">
        <v>991</v>
      </c>
      <c r="F270" s="3" t="s">
        <v>992</v>
      </c>
      <c r="G270" s="3" t="s">
        <v>1010</v>
      </c>
      <c r="H270" s="3" t="s">
        <v>1010</v>
      </c>
      <c r="I270" s="3" t="s">
        <v>994</v>
      </c>
      <c r="J270" s="5">
        <v>45310</v>
      </c>
      <c r="K270" s="5">
        <v>45310</v>
      </c>
      <c r="L270" s="6">
        <v>1480</v>
      </c>
    </row>
    <row r="271" s="1" customFormat="1" spans="1:12">
      <c r="A271" s="3" t="s">
        <v>508</v>
      </c>
      <c r="B271" s="3" t="s">
        <v>542</v>
      </c>
      <c r="C271" s="3" t="s">
        <v>1149</v>
      </c>
      <c r="D271" s="3" t="s">
        <v>1150</v>
      </c>
      <c r="E271" s="3" t="s">
        <v>991</v>
      </c>
      <c r="F271" s="3" t="s">
        <v>992</v>
      </c>
      <c r="G271" s="3" t="s">
        <v>1010</v>
      </c>
      <c r="H271" s="3" t="s">
        <v>1010</v>
      </c>
      <c r="I271" s="3" t="s">
        <v>994</v>
      </c>
      <c r="J271" s="5">
        <v>45245</v>
      </c>
      <c r="K271" s="5">
        <v>45245</v>
      </c>
      <c r="L271" s="6">
        <v>1450</v>
      </c>
    </row>
    <row r="272" s="1" customFormat="1" spans="1:12">
      <c r="A272" s="3" t="s">
        <v>508</v>
      </c>
      <c r="B272" s="3" t="s">
        <v>509</v>
      </c>
      <c r="C272" s="3" t="s">
        <v>689</v>
      </c>
      <c r="D272" s="3" t="s">
        <v>690</v>
      </c>
      <c r="E272" s="3" t="s">
        <v>660</v>
      </c>
      <c r="F272" s="3" t="s">
        <v>661</v>
      </c>
      <c r="G272" s="3" t="s">
        <v>669</v>
      </c>
      <c r="H272" s="3" t="s">
        <v>669</v>
      </c>
      <c r="I272" s="3" t="s">
        <v>670</v>
      </c>
      <c r="J272" s="5">
        <v>45223</v>
      </c>
      <c r="K272" s="5">
        <v>45223</v>
      </c>
      <c r="L272" s="6">
        <v>1440.58</v>
      </c>
    </row>
    <row r="273" s="1" customFormat="1" spans="1:12">
      <c r="A273" s="3" t="s">
        <v>521</v>
      </c>
      <c r="B273" s="3" t="s">
        <v>597</v>
      </c>
      <c r="C273" s="3" t="s">
        <v>898</v>
      </c>
      <c r="D273" s="3" t="s">
        <v>899</v>
      </c>
      <c r="E273" s="3" t="s">
        <v>660</v>
      </c>
      <c r="F273" s="3" t="s">
        <v>661</v>
      </c>
      <c r="G273" s="3" t="s">
        <v>754</v>
      </c>
      <c r="H273" s="3" t="s">
        <v>754</v>
      </c>
      <c r="I273" s="3" t="s">
        <v>670</v>
      </c>
      <c r="J273" s="5">
        <v>45366</v>
      </c>
      <c r="K273" s="5">
        <v>45366</v>
      </c>
      <c r="L273" s="6">
        <v>1434.87</v>
      </c>
    </row>
    <row r="274" s="1" customFormat="1" spans="1:12">
      <c r="A274" s="3" t="s">
        <v>521</v>
      </c>
      <c r="B274" s="3" t="s">
        <v>895</v>
      </c>
      <c r="C274" s="3" t="s">
        <v>923</v>
      </c>
      <c r="D274" s="3" t="s">
        <v>924</v>
      </c>
      <c r="E274" s="3" t="s">
        <v>660</v>
      </c>
      <c r="F274" s="3" t="s">
        <v>661</v>
      </c>
      <c r="G274" s="3" t="s">
        <v>693</v>
      </c>
      <c r="H274" s="3" t="s">
        <v>693</v>
      </c>
      <c r="I274" s="3" t="s">
        <v>670</v>
      </c>
      <c r="J274" s="5">
        <v>45385</v>
      </c>
      <c r="K274" s="5">
        <v>45385</v>
      </c>
      <c r="L274" s="6">
        <v>1422.77</v>
      </c>
    </row>
    <row r="275" s="1" customFormat="1" spans="1:12">
      <c r="A275" s="3" t="s">
        <v>508</v>
      </c>
      <c r="B275" s="3" t="s">
        <v>542</v>
      </c>
      <c r="C275" s="3" t="s">
        <v>1129</v>
      </c>
      <c r="D275" s="3" t="s">
        <v>1130</v>
      </c>
      <c r="E275" s="3" t="s">
        <v>991</v>
      </c>
      <c r="F275" s="3" t="s">
        <v>992</v>
      </c>
      <c r="G275" s="3" t="s">
        <v>1013</v>
      </c>
      <c r="H275" s="3" t="s">
        <v>1013</v>
      </c>
      <c r="I275" s="3" t="s">
        <v>994</v>
      </c>
      <c r="J275" s="5">
        <v>45233</v>
      </c>
      <c r="K275" s="5">
        <v>45233</v>
      </c>
      <c r="L275" s="6">
        <v>1420</v>
      </c>
    </row>
    <row r="276" s="1" customFormat="1" spans="1:12">
      <c r="A276" s="3" t="s">
        <v>521</v>
      </c>
      <c r="B276" s="3" t="s">
        <v>597</v>
      </c>
      <c r="C276" s="3" t="s">
        <v>1057</v>
      </c>
      <c r="D276" s="3" t="s">
        <v>1058</v>
      </c>
      <c r="E276" s="3" t="s">
        <v>991</v>
      </c>
      <c r="F276" s="3" t="s">
        <v>992</v>
      </c>
      <c r="G276" s="3" t="s">
        <v>1059</v>
      </c>
      <c r="H276" s="3" t="s">
        <v>1059</v>
      </c>
      <c r="I276" s="3" t="s">
        <v>994</v>
      </c>
      <c r="J276" s="5">
        <v>45356</v>
      </c>
      <c r="K276" s="5">
        <v>45356</v>
      </c>
      <c r="L276" s="6">
        <v>1400</v>
      </c>
    </row>
    <row r="277" s="1" customFormat="1" spans="1:12">
      <c r="A277" s="3" t="s">
        <v>521</v>
      </c>
      <c r="B277" s="3" t="s">
        <v>597</v>
      </c>
      <c r="C277" s="3" t="s">
        <v>1060</v>
      </c>
      <c r="D277" s="3" t="s">
        <v>1061</v>
      </c>
      <c r="E277" s="3" t="s">
        <v>991</v>
      </c>
      <c r="F277" s="3" t="s">
        <v>992</v>
      </c>
      <c r="G277" s="3" t="s">
        <v>997</v>
      </c>
      <c r="H277" s="3" t="s">
        <v>997</v>
      </c>
      <c r="I277" s="3" t="s">
        <v>994</v>
      </c>
      <c r="J277" s="5">
        <v>45366</v>
      </c>
      <c r="K277" s="5">
        <v>45366</v>
      </c>
      <c r="L277" s="6">
        <v>1380</v>
      </c>
    </row>
    <row r="278" s="1" customFormat="1" spans="1:12">
      <c r="A278" s="3" t="s">
        <v>521</v>
      </c>
      <c r="B278" s="3" t="s">
        <v>597</v>
      </c>
      <c r="C278" s="3" t="s">
        <v>1054</v>
      </c>
      <c r="D278" s="3" t="s">
        <v>1055</v>
      </c>
      <c r="E278" s="3" t="s">
        <v>991</v>
      </c>
      <c r="F278" s="3" t="s">
        <v>992</v>
      </c>
      <c r="G278" s="3" t="s">
        <v>1056</v>
      </c>
      <c r="H278" s="3" t="s">
        <v>1056</v>
      </c>
      <c r="I278" s="3" t="s">
        <v>994</v>
      </c>
      <c r="J278" s="5">
        <v>45356</v>
      </c>
      <c r="K278" s="5">
        <v>45356</v>
      </c>
      <c r="L278" s="6">
        <v>1380</v>
      </c>
    </row>
    <row r="279" s="1" customFormat="1" spans="1:12">
      <c r="A279" s="3" t="s">
        <v>521</v>
      </c>
      <c r="B279" s="3" t="s">
        <v>823</v>
      </c>
      <c r="C279" s="3" t="s">
        <v>1044</v>
      </c>
      <c r="D279" s="3" t="s">
        <v>1045</v>
      </c>
      <c r="E279" s="3" t="s">
        <v>991</v>
      </c>
      <c r="F279" s="3" t="s">
        <v>992</v>
      </c>
      <c r="G279" s="3" t="s">
        <v>1000</v>
      </c>
      <c r="H279" s="3" t="s">
        <v>1000</v>
      </c>
      <c r="I279" s="3" t="s">
        <v>994</v>
      </c>
      <c r="J279" s="5">
        <v>45310</v>
      </c>
      <c r="K279" s="5">
        <v>45310</v>
      </c>
      <c r="L279" s="6">
        <v>1368</v>
      </c>
    </row>
    <row r="280" s="1" customFormat="1" spans="1:12">
      <c r="A280" s="3" t="s">
        <v>508</v>
      </c>
      <c r="B280" s="3" t="s">
        <v>542</v>
      </c>
      <c r="C280" s="3" t="s">
        <v>1121</v>
      </c>
      <c r="D280" s="3" t="s">
        <v>1122</v>
      </c>
      <c r="E280" s="3" t="s">
        <v>991</v>
      </c>
      <c r="F280" s="3" t="s">
        <v>992</v>
      </c>
      <c r="G280" s="3" t="s">
        <v>1037</v>
      </c>
      <c r="H280" s="3" t="s">
        <v>1037</v>
      </c>
      <c r="I280" s="3" t="s">
        <v>994</v>
      </c>
      <c r="J280" s="5">
        <v>45233</v>
      </c>
      <c r="K280" s="5">
        <v>45233</v>
      </c>
      <c r="L280" s="6">
        <v>1350</v>
      </c>
    </row>
    <row r="281" s="1" customFormat="1" spans="1:12">
      <c r="A281" s="3" t="s">
        <v>508</v>
      </c>
      <c r="B281" s="3" t="s">
        <v>518</v>
      </c>
      <c r="C281" s="3" t="s">
        <v>1173</v>
      </c>
      <c r="D281" s="3" t="s">
        <v>1174</v>
      </c>
      <c r="E281" s="3" t="s">
        <v>991</v>
      </c>
      <c r="F281" s="3" t="s">
        <v>992</v>
      </c>
      <c r="G281" s="3" t="s">
        <v>1000</v>
      </c>
      <c r="H281" s="3" t="s">
        <v>1000</v>
      </c>
      <c r="I281" s="3" t="s">
        <v>994</v>
      </c>
      <c r="J281" s="5">
        <v>45270</v>
      </c>
      <c r="K281" s="5">
        <v>45270</v>
      </c>
      <c r="L281" s="6">
        <v>1320</v>
      </c>
    </row>
    <row r="282" s="1" customFormat="1" spans="1:12">
      <c r="A282" s="3" t="s">
        <v>508</v>
      </c>
      <c r="B282" s="3" t="s">
        <v>518</v>
      </c>
      <c r="C282" s="3" t="s">
        <v>1163</v>
      </c>
      <c r="D282" s="3" t="s">
        <v>1164</v>
      </c>
      <c r="E282" s="3" t="s">
        <v>991</v>
      </c>
      <c r="F282" s="3" t="s">
        <v>992</v>
      </c>
      <c r="G282" s="3" t="s">
        <v>1000</v>
      </c>
      <c r="H282" s="3" t="s">
        <v>1000</v>
      </c>
      <c r="I282" s="3" t="s">
        <v>994</v>
      </c>
      <c r="J282" s="5">
        <v>45279</v>
      </c>
      <c r="K282" s="5">
        <v>45279</v>
      </c>
      <c r="L282" s="6">
        <v>1300</v>
      </c>
    </row>
    <row r="283" s="1" customFormat="1" spans="1:12">
      <c r="A283" s="3" t="s">
        <v>508</v>
      </c>
      <c r="B283" s="3" t="s">
        <v>518</v>
      </c>
      <c r="C283" s="3" t="s">
        <v>1155</v>
      </c>
      <c r="D283" s="3" t="s">
        <v>1156</v>
      </c>
      <c r="E283" s="3" t="s">
        <v>991</v>
      </c>
      <c r="F283" s="3" t="s">
        <v>992</v>
      </c>
      <c r="G283" s="3" t="s">
        <v>1133</v>
      </c>
      <c r="H283" s="3" t="s">
        <v>1133</v>
      </c>
      <c r="I283" s="3" t="s">
        <v>994</v>
      </c>
      <c r="J283" s="5">
        <v>45265</v>
      </c>
      <c r="K283" s="5">
        <v>45265</v>
      </c>
      <c r="L283" s="6">
        <v>1288</v>
      </c>
    </row>
    <row r="284" s="1" customFormat="1" spans="1:12">
      <c r="A284" s="3" t="s">
        <v>508</v>
      </c>
      <c r="B284" s="3" t="s">
        <v>518</v>
      </c>
      <c r="C284" s="3" t="s">
        <v>1157</v>
      </c>
      <c r="D284" s="3" t="s">
        <v>1158</v>
      </c>
      <c r="E284" s="3" t="s">
        <v>991</v>
      </c>
      <c r="F284" s="3" t="s">
        <v>992</v>
      </c>
      <c r="G284" s="3" t="s">
        <v>1016</v>
      </c>
      <c r="H284" s="3" t="s">
        <v>1016</v>
      </c>
      <c r="I284" s="3" t="s">
        <v>994</v>
      </c>
      <c r="J284" s="5">
        <v>45273</v>
      </c>
      <c r="K284" s="5">
        <v>45273</v>
      </c>
      <c r="L284" s="6">
        <v>1284</v>
      </c>
    </row>
    <row r="285" s="1" customFormat="1" spans="1:12">
      <c r="A285" s="3" t="s">
        <v>508</v>
      </c>
      <c r="B285" s="3" t="s">
        <v>509</v>
      </c>
      <c r="C285" s="3" t="s">
        <v>1091</v>
      </c>
      <c r="D285" s="3" t="s">
        <v>1092</v>
      </c>
      <c r="E285" s="3" t="s">
        <v>991</v>
      </c>
      <c r="F285" s="3" t="s">
        <v>992</v>
      </c>
      <c r="G285" s="3" t="s">
        <v>1037</v>
      </c>
      <c r="H285" s="3" t="s">
        <v>1037</v>
      </c>
      <c r="I285" s="3" t="s">
        <v>994</v>
      </c>
      <c r="J285" s="5">
        <v>45223</v>
      </c>
      <c r="K285" s="5">
        <v>45223</v>
      </c>
      <c r="L285" s="6">
        <v>1280</v>
      </c>
    </row>
    <row r="286" s="1" customFormat="1" spans="1:12">
      <c r="A286" s="3" t="s">
        <v>521</v>
      </c>
      <c r="B286" s="3" t="s">
        <v>823</v>
      </c>
      <c r="C286" s="3" t="s">
        <v>1072</v>
      </c>
      <c r="D286" s="3" t="s">
        <v>1073</v>
      </c>
      <c r="E286" s="3" t="s">
        <v>991</v>
      </c>
      <c r="F286" s="3" t="s">
        <v>992</v>
      </c>
      <c r="G286" s="3" t="s">
        <v>1000</v>
      </c>
      <c r="H286" s="3" t="s">
        <v>1000</v>
      </c>
      <c r="I286" s="3" t="s">
        <v>994</v>
      </c>
      <c r="J286" s="5">
        <v>45303</v>
      </c>
      <c r="K286" s="5">
        <v>45303</v>
      </c>
      <c r="L286" s="6">
        <v>1278</v>
      </c>
    </row>
    <row r="287" s="1" customFormat="1" spans="1:12">
      <c r="A287" s="3" t="s">
        <v>521</v>
      </c>
      <c r="B287" s="3" t="s">
        <v>597</v>
      </c>
      <c r="C287" s="3" t="s">
        <v>1062</v>
      </c>
      <c r="D287" s="3" t="s">
        <v>1063</v>
      </c>
      <c r="E287" s="3" t="s">
        <v>991</v>
      </c>
      <c r="F287" s="3" t="s">
        <v>992</v>
      </c>
      <c r="G287" s="3" t="s">
        <v>1016</v>
      </c>
      <c r="H287" s="3" t="s">
        <v>1016</v>
      </c>
      <c r="I287" s="3" t="s">
        <v>994</v>
      </c>
      <c r="J287" s="5">
        <v>45356</v>
      </c>
      <c r="K287" s="5">
        <v>45356</v>
      </c>
      <c r="L287" s="6">
        <v>1275</v>
      </c>
    </row>
    <row r="288" s="1" customFormat="1" spans="1:12">
      <c r="A288" s="3" t="s">
        <v>521</v>
      </c>
      <c r="B288" s="3" t="s">
        <v>597</v>
      </c>
      <c r="C288" s="3" t="s">
        <v>904</v>
      </c>
      <c r="D288" s="3" t="s">
        <v>905</v>
      </c>
      <c r="E288" s="3" t="s">
        <v>660</v>
      </c>
      <c r="F288" s="3" t="s">
        <v>661</v>
      </c>
      <c r="G288" s="3" t="s">
        <v>681</v>
      </c>
      <c r="H288" s="3" t="s">
        <v>681</v>
      </c>
      <c r="I288" s="3" t="s">
        <v>670</v>
      </c>
      <c r="J288" s="5">
        <v>45363</v>
      </c>
      <c r="K288" s="5">
        <v>45363</v>
      </c>
      <c r="L288" s="6">
        <v>1266.2</v>
      </c>
    </row>
    <row r="289" s="1" customFormat="1" spans="1:12">
      <c r="A289" s="3" t="s">
        <v>521</v>
      </c>
      <c r="B289" s="3" t="s">
        <v>597</v>
      </c>
      <c r="C289" s="3" t="s">
        <v>1210</v>
      </c>
      <c r="D289" s="3" t="s">
        <v>1211</v>
      </c>
      <c r="E289" s="3" t="s">
        <v>991</v>
      </c>
      <c r="F289" s="3" t="s">
        <v>992</v>
      </c>
      <c r="G289" s="3" t="s">
        <v>1082</v>
      </c>
      <c r="H289" s="3" t="s">
        <v>1082</v>
      </c>
      <c r="I289" s="3" t="s">
        <v>994</v>
      </c>
      <c r="J289" s="5">
        <v>45376</v>
      </c>
      <c r="K289" s="5">
        <v>45376</v>
      </c>
      <c r="L289" s="6">
        <v>1254</v>
      </c>
    </row>
    <row r="290" s="1" customFormat="1" spans="1:12">
      <c r="A290" s="3" t="s">
        <v>521</v>
      </c>
      <c r="B290" s="3" t="s">
        <v>823</v>
      </c>
      <c r="C290" s="3" t="s">
        <v>851</v>
      </c>
      <c r="D290" s="3" t="s">
        <v>852</v>
      </c>
      <c r="E290" s="3" t="s">
        <v>660</v>
      </c>
      <c r="F290" s="3" t="s">
        <v>661</v>
      </c>
      <c r="G290" s="3" t="s">
        <v>754</v>
      </c>
      <c r="H290" s="3" t="s">
        <v>754</v>
      </c>
      <c r="I290" s="3" t="s">
        <v>670</v>
      </c>
      <c r="J290" s="5">
        <v>45313</v>
      </c>
      <c r="K290" s="5">
        <v>45313</v>
      </c>
      <c r="L290" s="6">
        <v>1249.77</v>
      </c>
    </row>
    <row r="291" s="1" customFormat="1" spans="1:12">
      <c r="A291" s="3" t="s">
        <v>508</v>
      </c>
      <c r="B291" s="3" t="s">
        <v>509</v>
      </c>
      <c r="C291" s="3" t="s">
        <v>1101</v>
      </c>
      <c r="D291" s="3" t="s">
        <v>1102</v>
      </c>
      <c r="E291" s="3" t="s">
        <v>991</v>
      </c>
      <c r="F291" s="3" t="s">
        <v>992</v>
      </c>
      <c r="G291" s="3" t="s">
        <v>1103</v>
      </c>
      <c r="H291" s="3" t="s">
        <v>1103</v>
      </c>
      <c r="I291" s="3" t="s">
        <v>994</v>
      </c>
      <c r="J291" s="5">
        <v>45223</v>
      </c>
      <c r="K291" s="5">
        <v>45223</v>
      </c>
      <c r="L291" s="6">
        <v>1243</v>
      </c>
    </row>
    <row r="292" s="1" customFormat="1" spans="1:12">
      <c r="A292" s="3" t="s">
        <v>508</v>
      </c>
      <c r="B292" s="3" t="s">
        <v>518</v>
      </c>
      <c r="C292" s="3" t="s">
        <v>1165</v>
      </c>
      <c r="D292" s="3" t="s">
        <v>1166</v>
      </c>
      <c r="E292" s="3" t="s">
        <v>991</v>
      </c>
      <c r="F292" s="3" t="s">
        <v>992</v>
      </c>
      <c r="G292" s="3" t="s">
        <v>1000</v>
      </c>
      <c r="H292" s="3" t="s">
        <v>1000</v>
      </c>
      <c r="I292" s="3" t="s">
        <v>994</v>
      </c>
      <c r="J292" s="5">
        <v>45279</v>
      </c>
      <c r="K292" s="5">
        <v>45279</v>
      </c>
      <c r="L292" s="6">
        <v>1208</v>
      </c>
    </row>
    <row r="293" s="1" customFormat="1" spans="1:12">
      <c r="A293" s="3" t="s">
        <v>508</v>
      </c>
      <c r="B293" s="3" t="s">
        <v>542</v>
      </c>
      <c r="C293" s="3" t="s">
        <v>1125</v>
      </c>
      <c r="D293" s="3" t="s">
        <v>1126</v>
      </c>
      <c r="E293" s="3" t="s">
        <v>991</v>
      </c>
      <c r="F293" s="3" t="s">
        <v>992</v>
      </c>
      <c r="G293" s="3" t="s">
        <v>1127</v>
      </c>
      <c r="H293" s="3" t="s">
        <v>1128</v>
      </c>
      <c r="I293" s="3" t="s">
        <v>994</v>
      </c>
      <c r="J293" s="5">
        <v>45233</v>
      </c>
      <c r="K293" s="5">
        <v>45233</v>
      </c>
      <c r="L293" s="6">
        <v>1204</v>
      </c>
    </row>
    <row r="294" s="1" customFormat="1" spans="1:12">
      <c r="A294" s="3" t="s">
        <v>521</v>
      </c>
      <c r="B294" s="3" t="s">
        <v>823</v>
      </c>
      <c r="C294" s="3" t="s">
        <v>1199</v>
      </c>
      <c r="D294" s="3" t="s">
        <v>1200</v>
      </c>
      <c r="E294" s="3" t="s">
        <v>991</v>
      </c>
      <c r="F294" s="3" t="s">
        <v>992</v>
      </c>
      <c r="G294" s="3" t="s">
        <v>1082</v>
      </c>
      <c r="H294" s="3" t="s">
        <v>1082</v>
      </c>
      <c r="I294" s="3" t="s">
        <v>994</v>
      </c>
      <c r="J294" s="5">
        <v>45303</v>
      </c>
      <c r="K294" s="5">
        <v>45303</v>
      </c>
      <c r="L294" s="6">
        <v>1200</v>
      </c>
    </row>
    <row r="295" s="1" customFormat="1" spans="1:12">
      <c r="A295" s="3" t="s">
        <v>521</v>
      </c>
      <c r="B295" s="3" t="s">
        <v>562</v>
      </c>
      <c r="C295" s="3" t="s">
        <v>428</v>
      </c>
      <c r="D295" s="3" t="s">
        <v>1391</v>
      </c>
      <c r="E295" s="3" t="s">
        <v>1389</v>
      </c>
      <c r="F295" s="3" t="s">
        <v>1390</v>
      </c>
      <c r="G295" s="3" t="s">
        <v>429</v>
      </c>
      <c r="H295" s="3" t="s">
        <v>429</v>
      </c>
      <c r="I295" s="3" t="s">
        <v>985</v>
      </c>
      <c r="J295" s="5">
        <v>45429</v>
      </c>
      <c r="K295" s="5">
        <v>45429</v>
      </c>
      <c r="L295" s="6">
        <v>1196.7</v>
      </c>
    </row>
    <row r="296" s="1" customFormat="1" spans="1:12">
      <c r="A296" s="3" t="s">
        <v>508</v>
      </c>
      <c r="B296" s="3" t="s">
        <v>509</v>
      </c>
      <c r="C296" s="3" t="s">
        <v>1014</v>
      </c>
      <c r="D296" s="3" t="s">
        <v>1015</v>
      </c>
      <c r="E296" s="3" t="s">
        <v>991</v>
      </c>
      <c r="F296" s="3" t="s">
        <v>992</v>
      </c>
      <c r="G296" s="3" t="s">
        <v>1016</v>
      </c>
      <c r="H296" s="3" t="s">
        <v>1016</v>
      </c>
      <c r="I296" s="3" t="s">
        <v>994</v>
      </c>
      <c r="J296" s="5">
        <v>45212</v>
      </c>
      <c r="K296" s="5">
        <v>45212</v>
      </c>
      <c r="L296" s="6">
        <v>1196</v>
      </c>
    </row>
    <row r="297" s="1" customFormat="1" spans="1:12">
      <c r="A297" s="3" t="s">
        <v>508</v>
      </c>
      <c r="B297" s="3" t="s">
        <v>518</v>
      </c>
      <c r="C297" s="3" t="s">
        <v>1189</v>
      </c>
      <c r="D297" s="3" t="s">
        <v>1190</v>
      </c>
      <c r="E297" s="3" t="s">
        <v>991</v>
      </c>
      <c r="F297" s="3" t="s">
        <v>992</v>
      </c>
      <c r="G297" s="3" t="s">
        <v>1133</v>
      </c>
      <c r="H297" s="3" t="s">
        <v>1133</v>
      </c>
      <c r="I297" s="3" t="s">
        <v>994</v>
      </c>
      <c r="J297" s="5">
        <v>45280</v>
      </c>
      <c r="K297" s="5">
        <v>45280</v>
      </c>
      <c r="L297" s="6">
        <v>1195</v>
      </c>
    </row>
    <row r="298" s="1" customFormat="1" spans="1:12">
      <c r="A298" s="3" t="s">
        <v>508</v>
      </c>
      <c r="B298" s="3" t="s">
        <v>518</v>
      </c>
      <c r="C298" s="3" t="s">
        <v>1159</v>
      </c>
      <c r="D298" s="3" t="s">
        <v>1160</v>
      </c>
      <c r="E298" s="3" t="s">
        <v>991</v>
      </c>
      <c r="F298" s="3" t="s">
        <v>992</v>
      </c>
      <c r="G298" s="3" t="s">
        <v>1023</v>
      </c>
      <c r="H298" s="3" t="s">
        <v>1023</v>
      </c>
      <c r="I298" s="3" t="s">
        <v>994</v>
      </c>
      <c r="J298" s="5">
        <v>45275</v>
      </c>
      <c r="K298" s="5">
        <v>45275</v>
      </c>
      <c r="L298" s="6">
        <v>1194</v>
      </c>
    </row>
    <row r="299" s="1" customFormat="1" spans="1:12">
      <c r="A299" s="3" t="s">
        <v>508</v>
      </c>
      <c r="B299" s="3" t="s">
        <v>518</v>
      </c>
      <c r="C299" s="3" t="s">
        <v>800</v>
      </c>
      <c r="D299" s="3" t="s">
        <v>801</v>
      </c>
      <c r="E299" s="3" t="s">
        <v>660</v>
      </c>
      <c r="F299" s="3" t="s">
        <v>661</v>
      </c>
      <c r="G299" s="3" t="s">
        <v>802</v>
      </c>
      <c r="H299" s="3" t="s">
        <v>802</v>
      </c>
      <c r="I299" s="3" t="s">
        <v>670</v>
      </c>
      <c r="J299" s="5">
        <v>45270</v>
      </c>
      <c r="K299" s="5">
        <v>45270</v>
      </c>
      <c r="L299" s="6">
        <v>1192.99</v>
      </c>
    </row>
    <row r="300" s="1" customFormat="1" spans="1:12">
      <c r="A300" s="3" t="s">
        <v>521</v>
      </c>
      <c r="B300" s="3" t="s">
        <v>562</v>
      </c>
      <c r="C300" s="3" t="s">
        <v>449</v>
      </c>
      <c r="D300" s="3" t="s">
        <v>1409</v>
      </c>
      <c r="E300" s="3" t="s">
        <v>1389</v>
      </c>
      <c r="F300" s="3" t="s">
        <v>1390</v>
      </c>
      <c r="G300" s="3" t="s">
        <v>1410</v>
      </c>
      <c r="H300" s="3" t="s">
        <v>450</v>
      </c>
      <c r="I300" s="3" t="s">
        <v>985</v>
      </c>
      <c r="J300" s="5">
        <v>45429</v>
      </c>
      <c r="K300" s="5">
        <v>45429</v>
      </c>
      <c r="L300" s="6">
        <v>1191.13</v>
      </c>
    </row>
    <row r="301" s="1" customFormat="1" spans="1:12">
      <c r="A301" s="3" t="s">
        <v>508</v>
      </c>
      <c r="B301" s="3" t="s">
        <v>542</v>
      </c>
      <c r="C301" s="3" t="s">
        <v>1147</v>
      </c>
      <c r="D301" s="3" t="s">
        <v>1148</v>
      </c>
      <c r="E301" s="3" t="s">
        <v>991</v>
      </c>
      <c r="F301" s="3" t="s">
        <v>992</v>
      </c>
      <c r="G301" s="3" t="s">
        <v>1030</v>
      </c>
      <c r="H301" s="3" t="s">
        <v>1030</v>
      </c>
      <c r="I301" s="3" t="s">
        <v>994</v>
      </c>
      <c r="J301" s="5">
        <v>45244</v>
      </c>
      <c r="K301" s="5">
        <v>45244</v>
      </c>
      <c r="L301" s="6">
        <v>1190</v>
      </c>
    </row>
    <row r="302" s="1" customFormat="1" spans="1:12">
      <c r="A302" s="3" t="s">
        <v>521</v>
      </c>
      <c r="B302" s="3" t="s">
        <v>823</v>
      </c>
      <c r="C302" s="3" t="s">
        <v>1197</v>
      </c>
      <c r="D302" s="3" t="s">
        <v>1198</v>
      </c>
      <c r="E302" s="3" t="s">
        <v>991</v>
      </c>
      <c r="F302" s="3" t="s">
        <v>992</v>
      </c>
      <c r="G302" s="3" t="s">
        <v>1000</v>
      </c>
      <c r="H302" s="3" t="s">
        <v>1000</v>
      </c>
      <c r="I302" s="3" t="s">
        <v>994</v>
      </c>
      <c r="J302" s="5">
        <v>45303</v>
      </c>
      <c r="K302" s="5">
        <v>45303</v>
      </c>
      <c r="L302" s="6">
        <v>1185</v>
      </c>
    </row>
    <row r="303" s="1" customFormat="1" spans="1:12">
      <c r="A303" s="3" t="s">
        <v>508</v>
      </c>
      <c r="B303" s="3" t="s">
        <v>542</v>
      </c>
      <c r="C303" s="3" t="s">
        <v>1142</v>
      </c>
      <c r="D303" s="3" t="s">
        <v>1143</v>
      </c>
      <c r="E303" s="3" t="s">
        <v>991</v>
      </c>
      <c r="F303" s="3" t="s">
        <v>992</v>
      </c>
      <c r="G303" s="3" t="s">
        <v>1030</v>
      </c>
      <c r="H303" s="3" t="s">
        <v>1030</v>
      </c>
      <c r="I303" s="3" t="s">
        <v>994</v>
      </c>
      <c r="J303" s="5">
        <v>45245</v>
      </c>
      <c r="K303" s="5">
        <v>45245</v>
      </c>
      <c r="L303" s="6">
        <v>1180</v>
      </c>
    </row>
    <row r="304" s="1" customFormat="1" spans="1:12">
      <c r="A304" s="3" t="s">
        <v>508</v>
      </c>
      <c r="B304" s="3" t="s">
        <v>542</v>
      </c>
      <c r="C304" s="3" t="s">
        <v>1112</v>
      </c>
      <c r="D304" s="3" t="s">
        <v>1113</v>
      </c>
      <c r="E304" s="3" t="s">
        <v>991</v>
      </c>
      <c r="F304" s="3" t="s">
        <v>992</v>
      </c>
      <c r="G304" s="3" t="s">
        <v>1114</v>
      </c>
      <c r="H304" s="3" t="s">
        <v>1114</v>
      </c>
      <c r="I304" s="3" t="s">
        <v>994</v>
      </c>
      <c r="J304" s="5">
        <v>45233</v>
      </c>
      <c r="K304" s="5">
        <v>45233</v>
      </c>
      <c r="L304" s="6">
        <v>1176</v>
      </c>
    </row>
    <row r="305" s="1" customFormat="1" spans="1:12">
      <c r="A305" s="3" t="s">
        <v>508</v>
      </c>
      <c r="B305" s="3" t="s">
        <v>509</v>
      </c>
      <c r="C305" s="3" t="s">
        <v>667</v>
      </c>
      <c r="D305" s="3" t="s">
        <v>668</v>
      </c>
      <c r="E305" s="3" t="s">
        <v>660</v>
      </c>
      <c r="F305" s="3" t="s">
        <v>661</v>
      </c>
      <c r="G305" s="3" t="s">
        <v>669</v>
      </c>
      <c r="H305" s="3" t="s">
        <v>669</v>
      </c>
      <c r="I305" s="3" t="s">
        <v>670</v>
      </c>
      <c r="J305" s="5">
        <v>45217</v>
      </c>
      <c r="K305" s="5">
        <v>45217</v>
      </c>
      <c r="L305" s="6">
        <v>1168.86</v>
      </c>
    </row>
    <row r="306" s="1" customFormat="1" spans="1:12">
      <c r="A306" s="3" t="s">
        <v>521</v>
      </c>
      <c r="B306" s="3" t="s">
        <v>522</v>
      </c>
      <c r="C306" s="3" t="s">
        <v>870</v>
      </c>
      <c r="D306" s="3" t="s">
        <v>871</v>
      </c>
      <c r="E306" s="3" t="s">
        <v>660</v>
      </c>
      <c r="F306" s="3" t="s">
        <v>661</v>
      </c>
      <c r="G306" s="3" t="s">
        <v>763</v>
      </c>
      <c r="H306" s="3" t="s">
        <v>763</v>
      </c>
      <c r="I306" s="3" t="s">
        <v>670</v>
      </c>
      <c r="J306" s="5">
        <v>45323</v>
      </c>
      <c r="K306" s="5">
        <v>45323</v>
      </c>
      <c r="L306" s="6">
        <v>1168.32</v>
      </c>
    </row>
    <row r="307" s="1" customFormat="1" spans="1:12">
      <c r="A307" s="3" t="s">
        <v>508</v>
      </c>
      <c r="B307" s="3" t="s">
        <v>518</v>
      </c>
      <c r="C307" s="3" t="s">
        <v>998</v>
      </c>
      <c r="D307" s="3" t="s">
        <v>999</v>
      </c>
      <c r="E307" s="3" t="s">
        <v>991</v>
      </c>
      <c r="F307" s="3" t="s">
        <v>992</v>
      </c>
      <c r="G307" s="3" t="s">
        <v>1000</v>
      </c>
      <c r="H307" s="3" t="s">
        <v>1000</v>
      </c>
      <c r="I307" s="3" t="s">
        <v>994</v>
      </c>
      <c r="J307" s="5">
        <v>45270</v>
      </c>
      <c r="K307" s="5">
        <v>45270</v>
      </c>
      <c r="L307" s="6">
        <v>1165</v>
      </c>
    </row>
    <row r="308" s="1" customFormat="1" spans="1:12">
      <c r="A308" s="3" t="s">
        <v>508</v>
      </c>
      <c r="B308" s="3" t="s">
        <v>518</v>
      </c>
      <c r="C308" s="3" t="s">
        <v>814</v>
      </c>
      <c r="D308" s="3" t="s">
        <v>815</v>
      </c>
      <c r="E308" s="3" t="s">
        <v>660</v>
      </c>
      <c r="F308" s="3" t="s">
        <v>661</v>
      </c>
      <c r="G308" s="3" t="s">
        <v>816</v>
      </c>
      <c r="H308" s="3" t="s">
        <v>816</v>
      </c>
      <c r="I308" s="3" t="s">
        <v>670</v>
      </c>
      <c r="J308" s="5">
        <v>45270</v>
      </c>
      <c r="K308" s="5">
        <v>45270</v>
      </c>
      <c r="L308" s="6">
        <v>1152.48</v>
      </c>
    </row>
    <row r="309" s="1" customFormat="1" spans="1:12">
      <c r="A309" s="3" t="s">
        <v>521</v>
      </c>
      <c r="B309" s="3" t="s">
        <v>597</v>
      </c>
      <c r="C309" s="3" t="s">
        <v>1212</v>
      </c>
      <c r="D309" s="3" t="s">
        <v>1213</v>
      </c>
      <c r="E309" s="3" t="s">
        <v>991</v>
      </c>
      <c r="F309" s="3" t="s">
        <v>992</v>
      </c>
      <c r="G309" s="3" t="s">
        <v>1000</v>
      </c>
      <c r="H309" s="3" t="s">
        <v>1000</v>
      </c>
      <c r="I309" s="3" t="s">
        <v>994</v>
      </c>
      <c r="J309" s="5">
        <v>45376</v>
      </c>
      <c r="K309" s="5">
        <v>45376</v>
      </c>
      <c r="L309" s="6">
        <v>1150</v>
      </c>
    </row>
    <row r="310" s="1" customFormat="1" spans="1:12">
      <c r="A310" s="3" t="s">
        <v>521</v>
      </c>
      <c r="B310" s="3" t="s">
        <v>823</v>
      </c>
      <c r="C310" s="3" t="s">
        <v>1201</v>
      </c>
      <c r="D310" s="3" t="s">
        <v>1202</v>
      </c>
      <c r="E310" s="3" t="s">
        <v>991</v>
      </c>
      <c r="F310" s="3" t="s">
        <v>992</v>
      </c>
      <c r="G310" s="3" t="s">
        <v>1133</v>
      </c>
      <c r="H310" s="3" t="s">
        <v>1133</v>
      </c>
      <c r="I310" s="3" t="s">
        <v>994</v>
      </c>
      <c r="J310" s="5">
        <v>45303</v>
      </c>
      <c r="K310" s="5">
        <v>45303</v>
      </c>
      <c r="L310" s="6">
        <v>1146</v>
      </c>
    </row>
    <row r="311" s="1" customFormat="1" spans="1:12">
      <c r="A311" s="3" t="s">
        <v>521</v>
      </c>
      <c r="B311" s="3" t="s">
        <v>823</v>
      </c>
      <c r="C311" s="3" t="s">
        <v>1046</v>
      </c>
      <c r="D311" s="3" t="s">
        <v>1047</v>
      </c>
      <c r="E311" s="3" t="s">
        <v>991</v>
      </c>
      <c r="F311" s="3" t="s">
        <v>992</v>
      </c>
      <c r="G311" s="3" t="s">
        <v>1023</v>
      </c>
      <c r="H311" s="3" t="s">
        <v>1023</v>
      </c>
      <c r="I311" s="3" t="s">
        <v>994</v>
      </c>
      <c r="J311" s="5">
        <v>45303</v>
      </c>
      <c r="K311" s="5">
        <v>45303</v>
      </c>
      <c r="L311" s="6">
        <v>1138</v>
      </c>
    </row>
    <row r="312" s="1" customFormat="1" spans="1:12">
      <c r="A312" s="3" t="s">
        <v>508</v>
      </c>
      <c r="B312" s="3" t="s">
        <v>518</v>
      </c>
      <c r="C312" s="3" t="s">
        <v>817</v>
      </c>
      <c r="D312" s="3" t="s">
        <v>818</v>
      </c>
      <c r="E312" s="3" t="s">
        <v>660</v>
      </c>
      <c r="F312" s="3" t="s">
        <v>661</v>
      </c>
      <c r="G312" s="3" t="s">
        <v>795</v>
      </c>
      <c r="H312" s="3" t="s">
        <v>795</v>
      </c>
      <c r="I312" s="3" t="s">
        <v>670</v>
      </c>
      <c r="J312" s="5">
        <v>45270</v>
      </c>
      <c r="K312" s="5">
        <v>45270</v>
      </c>
      <c r="L312" s="6">
        <v>1132.08</v>
      </c>
    </row>
    <row r="313" s="1" customFormat="1" spans="1:12">
      <c r="A313" s="3" t="s">
        <v>508</v>
      </c>
      <c r="B313" s="3" t="s">
        <v>518</v>
      </c>
      <c r="C313" s="3" t="s">
        <v>965</v>
      </c>
      <c r="D313" s="3" t="s">
        <v>966</v>
      </c>
      <c r="E313" s="3" t="s">
        <v>946</v>
      </c>
      <c r="F313" s="3" t="s">
        <v>947</v>
      </c>
      <c r="G313" s="3" t="s">
        <v>967</v>
      </c>
      <c r="H313" s="3" t="s">
        <v>967</v>
      </c>
      <c r="I313" s="3" t="s">
        <v>949</v>
      </c>
      <c r="J313" s="5">
        <v>45278</v>
      </c>
      <c r="K313" s="5">
        <v>45278</v>
      </c>
      <c r="L313" s="6">
        <v>1128.72</v>
      </c>
    </row>
    <row r="314" s="1" customFormat="1" spans="1:12">
      <c r="A314" s="3" t="s">
        <v>508</v>
      </c>
      <c r="B314" s="3" t="s">
        <v>518</v>
      </c>
      <c r="C314" s="3" t="s">
        <v>793</v>
      </c>
      <c r="D314" s="3" t="s">
        <v>794</v>
      </c>
      <c r="E314" s="3" t="s">
        <v>660</v>
      </c>
      <c r="F314" s="3" t="s">
        <v>661</v>
      </c>
      <c r="G314" s="3" t="s">
        <v>795</v>
      </c>
      <c r="H314" s="3" t="s">
        <v>795</v>
      </c>
      <c r="I314" s="3" t="s">
        <v>670</v>
      </c>
      <c r="J314" s="5">
        <v>45277</v>
      </c>
      <c r="K314" s="5">
        <v>45277</v>
      </c>
      <c r="L314" s="6">
        <v>1128.71</v>
      </c>
    </row>
    <row r="315" s="1" customFormat="1" spans="1:12">
      <c r="A315" s="3" t="s">
        <v>508</v>
      </c>
      <c r="B315" s="3" t="s">
        <v>518</v>
      </c>
      <c r="C315" s="3" t="s">
        <v>944</v>
      </c>
      <c r="D315" s="3" t="s">
        <v>945</v>
      </c>
      <c r="E315" s="3" t="s">
        <v>946</v>
      </c>
      <c r="F315" s="3" t="s">
        <v>947</v>
      </c>
      <c r="G315" s="3" t="s">
        <v>948</v>
      </c>
      <c r="H315" s="3" t="s">
        <v>948</v>
      </c>
      <c r="I315" s="3" t="s">
        <v>949</v>
      </c>
      <c r="J315" s="5">
        <v>45279</v>
      </c>
      <c r="K315" s="5">
        <v>45279</v>
      </c>
      <c r="L315" s="6">
        <v>1117.44</v>
      </c>
    </row>
    <row r="316" s="1" customFormat="1" spans="1:12">
      <c r="A316" s="3" t="s">
        <v>508</v>
      </c>
      <c r="B316" s="3" t="s">
        <v>509</v>
      </c>
      <c r="C316" s="3" t="s">
        <v>1017</v>
      </c>
      <c r="D316" s="3" t="s">
        <v>1018</v>
      </c>
      <c r="E316" s="3" t="s">
        <v>991</v>
      </c>
      <c r="F316" s="3" t="s">
        <v>992</v>
      </c>
      <c r="G316" s="3" t="s">
        <v>1016</v>
      </c>
      <c r="H316" s="3" t="s">
        <v>1016</v>
      </c>
      <c r="I316" s="3" t="s">
        <v>994</v>
      </c>
      <c r="J316" s="5">
        <v>45212</v>
      </c>
      <c r="K316" s="5">
        <v>45212</v>
      </c>
      <c r="L316" s="6">
        <v>1097</v>
      </c>
    </row>
    <row r="317" s="1" customFormat="1" spans="1:12">
      <c r="A317" s="3" t="s">
        <v>508</v>
      </c>
      <c r="B317" s="3" t="s">
        <v>509</v>
      </c>
      <c r="C317" s="3" t="s">
        <v>1095</v>
      </c>
      <c r="D317" s="3" t="s">
        <v>1096</v>
      </c>
      <c r="E317" s="3" t="s">
        <v>991</v>
      </c>
      <c r="F317" s="3" t="s">
        <v>992</v>
      </c>
      <c r="G317" s="3" t="s">
        <v>1023</v>
      </c>
      <c r="H317" s="3" t="s">
        <v>1023</v>
      </c>
      <c r="I317" s="3" t="s">
        <v>994</v>
      </c>
      <c r="J317" s="5">
        <v>45225</v>
      </c>
      <c r="K317" s="5">
        <v>45225</v>
      </c>
      <c r="L317" s="6">
        <v>1094</v>
      </c>
    </row>
    <row r="318" s="1" customFormat="1" spans="1:12">
      <c r="A318" s="3" t="s">
        <v>521</v>
      </c>
      <c r="B318" s="3" t="s">
        <v>823</v>
      </c>
      <c r="C318" s="3" t="s">
        <v>862</v>
      </c>
      <c r="D318" s="3" t="s">
        <v>863</v>
      </c>
      <c r="E318" s="3" t="s">
        <v>660</v>
      </c>
      <c r="F318" s="3" t="s">
        <v>661</v>
      </c>
      <c r="G318" s="3" t="s">
        <v>864</v>
      </c>
      <c r="H318" s="3" t="s">
        <v>864</v>
      </c>
      <c r="I318" s="3" t="s">
        <v>670</v>
      </c>
      <c r="J318" s="5">
        <v>45310</v>
      </c>
      <c r="K318" s="5">
        <v>45310</v>
      </c>
      <c r="L318" s="6">
        <v>1093.07</v>
      </c>
    </row>
    <row r="319" s="1" customFormat="1" spans="1:12">
      <c r="A319" s="3" t="s">
        <v>508</v>
      </c>
      <c r="B319" s="3" t="s">
        <v>518</v>
      </c>
      <c r="C319" s="3" t="s">
        <v>785</v>
      </c>
      <c r="D319" s="3" t="s">
        <v>786</v>
      </c>
      <c r="E319" s="3" t="s">
        <v>660</v>
      </c>
      <c r="F319" s="3" t="s">
        <v>661</v>
      </c>
      <c r="G319" s="3" t="s">
        <v>693</v>
      </c>
      <c r="H319" s="3" t="s">
        <v>693</v>
      </c>
      <c r="I319" s="3" t="s">
        <v>670</v>
      </c>
      <c r="J319" s="5">
        <v>45265</v>
      </c>
      <c r="K319" s="5">
        <v>45265</v>
      </c>
      <c r="L319" s="6">
        <v>1068.32</v>
      </c>
    </row>
    <row r="320" s="1" customFormat="1" spans="1:12">
      <c r="A320" s="3" t="s">
        <v>521</v>
      </c>
      <c r="B320" s="3" t="s">
        <v>562</v>
      </c>
      <c r="C320" s="3" t="s">
        <v>931</v>
      </c>
      <c r="D320" s="3" t="s">
        <v>932</v>
      </c>
      <c r="E320" s="3" t="s">
        <v>660</v>
      </c>
      <c r="F320" s="3" t="s">
        <v>661</v>
      </c>
      <c r="G320" s="3" t="s">
        <v>933</v>
      </c>
      <c r="H320" s="3" t="s">
        <v>933</v>
      </c>
      <c r="I320" s="3" t="s">
        <v>670</v>
      </c>
      <c r="J320" s="5">
        <v>45423</v>
      </c>
      <c r="K320" s="5">
        <v>45423</v>
      </c>
      <c r="L320" s="6">
        <v>1055.85</v>
      </c>
    </row>
    <row r="321" s="1" customFormat="1" spans="1:12">
      <c r="A321" s="3" t="s">
        <v>521</v>
      </c>
      <c r="B321" s="3" t="s">
        <v>597</v>
      </c>
      <c r="C321" s="3" t="s">
        <v>906</v>
      </c>
      <c r="D321" s="3" t="s">
        <v>907</v>
      </c>
      <c r="E321" s="3" t="s">
        <v>660</v>
      </c>
      <c r="F321" s="3" t="s">
        <v>661</v>
      </c>
      <c r="G321" s="3" t="s">
        <v>693</v>
      </c>
      <c r="H321" s="3" t="s">
        <v>693</v>
      </c>
      <c r="I321" s="3" t="s">
        <v>670</v>
      </c>
      <c r="J321" s="5">
        <v>45364</v>
      </c>
      <c r="K321" s="5">
        <v>45364</v>
      </c>
      <c r="L321" s="6">
        <v>1048.51</v>
      </c>
    </row>
    <row r="322" s="1" customFormat="1" spans="1:12">
      <c r="A322" s="3" t="s">
        <v>508</v>
      </c>
      <c r="B322" s="3" t="s">
        <v>542</v>
      </c>
      <c r="C322" s="3" t="s">
        <v>1115</v>
      </c>
      <c r="D322" s="3" t="s">
        <v>1116</v>
      </c>
      <c r="E322" s="3" t="s">
        <v>991</v>
      </c>
      <c r="F322" s="3" t="s">
        <v>992</v>
      </c>
      <c r="G322" s="3" t="s">
        <v>1013</v>
      </c>
      <c r="H322" s="3" t="s">
        <v>1013</v>
      </c>
      <c r="I322" s="3" t="s">
        <v>994</v>
      </c>
      <c r="J322" s="5">
        <v>45233</v>
      </c>
      <c r="K322" s="5">
        <v>45233</v>
      </c>
      <c r="L322" s="6">
        <v>1000</v>
      </c>
    </row>
    <row r="323" s="1" customFormat="1" spans="1:12">
      <c r="A323" s="3" t="s">
        <v>508</v>
      </c>
      <c r="B323" s="3" t="s">
        <v>518</v>
      </c>
      <c r="C323" s="3" t="s">
        <v>1028</v>
      </c>
      <c r="D323" s="3" t="s">
        <v>1029</v>
      </c>
      <c r="E323" s="3" t="s">
        <v>991</v>
      </c>
      <c r="F323" s="3" t="s">
        <v>992</v>
      </c>
      <c r="G323" s="3" t="s">
        <v>1030</v>
      </c>
      <c r="H323" s="3" t="s">
        <v>1030</v>
      </c>
      <c r="I323" s="3" t="s">
        <v>994</v>
      </c>
      <c r="J323" s="5">
        <v>45264</v>
      </c>
      <c r="K323" s="5">
        <v>45264</v>
      </c>
      <c r="L323" s="6">
        <v>1000</v>
      </c>
    </row>
    <row r="324" s="1" customFormat="1" spans="1:12">
      <c r="A324" s="3" t="s">
        <v>508</v>
      </c>
      <c r="B324" s="3" t="s">
        <v>542</v>
      </c>
      <c r="C324" s="3" t="s">
        <v>1134</v>
      </c>
      <c r="D324" s="3" t="s">
        <v>1135</v>
      </c>
      <c r="E324" s="3" t="s">
        <v>991</v>
      </c>
      <c r="F324" s="3" t="s">
        <v>992</v>
      </c>
      <c r="G324" s="3" t="s">
        <v>1133</v>
      </c>
      <c r="H324" s="3" t="s">
        <v>1133</v>
      </c>
      <c r="I324" s="3" t="s">
        <v>994</v>
      </c>
      <c r="J324" s="5">
        <v>45250</v>
      </c>
      <c r="K324" s="5">
        <v>45250</v>
      </c>
      <c r="L324" s="6">
        <v>1000</v>
      </c>
    </row>
    <row r="325" s="1" customFormat="1" spans="1:12">
      <c r="A325" s="3" t="s">
        <v>508</v>
      </c>
      <c r="B325" s="3" t="s">
        <v>509</v>
      </c>
      <c r="C325" s="3" t="s">
        <v>1093</v>
      </c>
      <c r="D325" s="3" t="s">
        <v>1094</v>
      </c>
      <c r="E325" s="3" t="s">
        <v>991</v>
      </c>
      <c r="F325" s="3" t="s">
        <v>992</v>
      </c>
      <c r="G325" s="3" t="s">
        <v>1030</v>
      </c>
      <c r="H325" s="3" t="s">
        <v>1030</v>
      </c>
      <c r="I325" s="3" t="s">
        <v>994</v>
      </c>
      <c r="J325" s="5">
        <v>45223</v>
      </c>
      <c r="K325" s="5">
        <v>45223</v>
      </c>
      <c r="L325" s="6">
        <v>998</v>
      </c>
    </row>
    <row r="326" s="1" customFormat="1" spans="1:12">
      <c r="A326" s="3" t="s">
        <v>508</v>
      </c>
      <c r="B326" s="3" t="s">
        <v>542</v>
      </c>
      <c r="C326" s="3" t="s">
        <v>1110</v>
      </c>
      <c r="D326" s="3" t="s">
        <v>1111</v>
      </c>
      <c r="E326" s="3" t="s">
        <v>991</v>
      </c>
      <c r="F326" s="3" t="s">
        <v>992</v>
      </c>
      <c r="G326" s="3" t="s">
        <v>1016</v>
      </c>
      <c r="H326" s="3" t="s">
        <v>1016</v>
      </c>
      <c r="I326" s="3" t="s">
        <v>994</v>
      </c>
      <c r="J326" s="5">
        <v>45233</v>
      </c>
      <c r="K326" s="5">
        <v>45233</v>
      </c>
      <c r="L326" s="6">
        <v>997</v>
      </c>
    </row>
    <row r="327" s="1" customFormat="1" spans="1:12">
      <c r="A327" s="3" t="s">
        <v>508</v>
      </c>
      <c r="B327" s="3" t="s">
        <v>509</v>
      </c>
      <c r="C327" s="3" t="s">
        <v>1019</v>
      </c>
      <c r="D327" s="3" t="s">
        <v>1020</v>
      </c>
      <c r="E327" s="3" t="s">
        <v>991</v>
      </c>
      <c r="F327" s="3" t="s">
        <v>992</v>
      </c>
      <c r="G327" s="3" t="s">
        <v>1016</v>
      </c>
      <c r="H327" s="3" t="s">
        <v>1016</v>
      </c>
      <c r="I327" s="3" t="s">
        <v>994</v>
      </c>
      <c r="J327" s="5">
        <v>45225</v>
      </c>
      <c r="K327" s="5">
        <v>45225</v>
      </c>
      <c r="L327" s="6">
        <v>996</v>
      </c>
    </row>
    <row r="328" s="1" customFormat="1" spans="1:12">
      <c r="A328" s="3" t="s">
        <v>508</v>
      </c>
      <c r="B328" s="3" t="s">
        <v>542</v>
      </c>
      <c r="C328" s="3" t="s">
        <v>1136</v>
      </c>
      <c r="D328" s="3" t="s">
        <v>1137</v>
      </c>
      <c r="E328" s="3" t="s">
        <v>991</v>
      </c>
      <c r="F328" s="3" t="s">
        <v>992</v>
      </c>
      <c r="G328" s="3" t="s">
        <v>1030</v>
      </c>
      <c r="H328" s="3" t="s">
        <v>1030</v>
      </c>
      <c r="I328" s="3" t="s">
        <v>994</v>
      </c>
      <c r="J328" s="5">
        <v>45244</v>
      </c>
      <c r="K328" s="5">
        <v>45244</v>
      </c>
      <c r="L328" s="6">
        <v>990</v>
      </c>
    </row>
    <row r="329" s="1" customFormat="1" spans="1:12">
      <c r="A329" s="3" t="s">
        <v>508</v>
      </c>
      <c r="B329" s="3" t="s">
        <v>518</v>
      </c>
      <c r="C329" s="3" t="s">
        <v>1183</v>
      </c>
      <c r="D329" s="3" t="s">
        <v>1184</v>
      </c>
      <c r="E329" s="3" t="s">
        <v>991</v>
      </c>
      <c r="F329" s="3" t="s">
        <v>992</v>
      </c>
      <c r="G329" s="3" t="s">
        <v>1023</v>
      </c>
      <c r="H329" s="3" t="s">
        <v>1023</v>
      </c>
      <c r="I329" s="3" t="s">
        <v>994</v>
      </c>
      <c r="J329" s="5">
        <v>45268</v>
      </c>
      <c r="K329" s="5">
        <v>45268</v>
      </c>
      <c r="L329" s="6">
        <v>986</v>
      </c>
    </row>
    <row r="330" s="1" customFormat="1" spans="1:12">
      <c r="A330" s="3" t="s">
        <v>508</v>
      </c>
      <c r="B330" s="3" t="s">
        <v>509</v>
      </c>
      <c r="C330" s="3" t="s">
        <v>995</v>
      </c>
      <c r="D330" s="3" t="s">
        <v>996</v>
      </c>
      <c r="E330" s="3" t="s">
        <v>991</v>
      </c>
      <c r="F330" s="3" t="s">
        <v>992</v>
      </c>
      <c r="G330" s="3" t="s">
        <v>997</v>
      </c>
      <c r="H330" s="3" t="s">
        <v>997</v>
      </c>
      <c r="I330" s="3" t="s">
        <v>994</v>
      </c>
      <c r="J330" s="5">
        <v>45208</v>
      </c>
      <c r="K330" s="5">
        <v>45208</v>
      </c>
      <c r="L330" s="6">
        <v>980</v>
      </c>
    </row>
    <row r="331" s="1" customFormat="1" spans="1:12">
      <c r="A331" s="3" t="s">
        <v>521</v>
      </c>
      <c r="B331" s="3" t="s">
        <v>597</v>
      </c>
      <c r="C331" s="3" t="s">
        <v>1207</v>
      </c>
      <c r="D331" s="3" t="s">
        <v>1208</v>
      </c>
      <c r="E331" s="3" t="s">
        <v>991</v>
      </c>
      <c r="F331" s="3" t="s">
        <v>992</v>
      </c>
      <c r="G331" s="3" t="s">
        <v>1209</v>
      </c>
      <c r="H331" s="3" t="s">
        <v>1209</v>
      </c>
      <c r="I331" s="3" t="s">
        <v>994</v>
      </c>
      <c r="J331" s="5">
        <v>45364</v>
      </c>
      <c r="K331" s="5">
        <v>45364</v>
      </c>
      <c r="L331" s="6">
        <v>968</v>
      </c>
    </row>
    <row r="332" s="1" customFormat="1" spans="1:12">
      <c r="A332" s="3" t="s">
        <v>521</v>
      </c>
      <c r="B332" s="3" t="s">
        <v>895</v>
      </c>
      <c r="C332" s="3" t="s">
        <v>1214</v>
      </c>
      <c r="D332" s="3" t="s">
        <v>1215</v>
      </c>
      <c r="E332" s="3" t="s">
        <v>991</v>
      </c>
      <c r="F332" s="3" t="s">
        <v>992</v>
      </c>
      <c r="G332" s="3" t="s">
        <v>1037</v>
      </c>
      <c r="H332" s="3" t="s">
        <v>1037</v>
      </c>
      <c r="I332" s="3" t="s">
        <v>994</v>
      </c>
      <c r="J332" s="5">
        <v>45394</v>
      </c>
      <c r="K332" s="5">
        <v>45394</v>
      </c>
      <c r="L332" s="6">
        <v>960</v>
      </c>
    </row>
    <row r="333" s="1" customFormat="1" spans="1:12">
      <c r="A333" s="3" t="s">
        <v>521</v>
      </c>
      <c r="B333" s="3" t="s">
        <v>895</v>
      </c>
      <c r="C333" s="3" t="s">
        <v>1216</v>
      </c>
      <c r="D333" s="3" t="s">
        <v>1217</v>
      </c>
      <c r="E333" s="3" t="s">
        <v>991</v>
      </c>
      <c r="F333" s="3" t="s">
        <v>992</v>
      </c>
      <c r="G333" s="3" t="s">
        <v>1037</v>
      </c>
      <c r="H333" s="3" t="s">
        <v>1037</v>
      </c>
      <c r="I333" s="3" t="s">
        <v>994</v>
      </c>
      <c r="J333" s="5">
        <v>45394</v>
      </c>
      <c r="K333" s="5">
        <v>45394</v>
      </c>
      <c r="L333" s="6">
        <v>950</v>
      </c>
    </row>
    <row r="334" s="1" customFormat="1" spans="1:12">
      <c r="A334" s="3" t="s">
        <v>508</v>
      </c>
      <c r="B334" s="3" t="s">
        <v>518</v>
      </c>
      <c r="C334" s="3" t="s">
        <v>1185</v>
      </c>
      <c r="D334" s="3" t="s">
        <v>1186</v>
      </c>
      <c r="E334" s="3" t="s">
        <v>991</v>
      </c>
      <c r="F334" s="3" t="s">
        <v>992</v>
      </c>
      <c r="G334" s="3" t="s">
        <v>1000</v>
      </c>
      <c r="H334" s="3" t="s">
        <v>1000</v>
      </c>
      <c r="I334" s="3" t="s">
        <v>994</v>
      </c>
      <c r="J334" s="5">
        <v>45268</v>
      </c>
      <c r="K334" s="5">
        <v>45268</v>
      </c>
      <c r="L334" s="6">
        <v>937</v>
      </c>
    </row>
    <row r="335" s="1" customFormat="1" spans="1:12">
      <c r="A335" s="3" t="s">
        <v>508</v>
      </c>
      <c r="B335" s="3" t="s">
        <v>518</v>
      </c>
      <c r="C335" s="3" t="s">
        <v>1167</v>
      </c>
      <c r="D335" s="3" t="s">
        <v>1168</v>
      </c>
      <c r="E335" s="3" t="s">
        <v>991</v>
      </c>
      <c r="F335" s="3" t="s">
        <v>992</v>
      </c>
      <c r="G335" s="3" t="s">
        <v>1133</v>
      </c>
      <c r="H335" s="3" t="s">
        <v>1133</v>
      </c>
      <c r="I335" s="3" t="s">
        <v>994</v>
      </c>
      <c r="J335" s="5">
        <v>45280</v>
      </c>
      <c r="K335" s="5">
        <v>45280</v>
      </c>
      <c r="L335" s="6">
        <v>915</v>
      </c>
    </row>
    <row r="336" s="1" customFormat="1" spans="1:12">
      <c r="A336" s="3" t="s">
        <v>521</v>
      </c>
      <c r="B336" s="3" t="s">
        <v>823</v>
      </c>
      <c r="C336" s="3" t="s">
        <v>1048</v>
      </c>
      <c r="D336" s="3" t="s">
        <v>1049</v>
      </c>
      <c r="E336" s="3" t="s">
        <v>991</v>
      </c>
      <c r="F336" s="3" t="s">
        <v>992</v>
      </c>
      <c r="G336" s="3" t="s">
        <v>1013</v>
      </c>
      <c r="H336" s="3" t="s">
        <v>1013</v>
      </c>
      <c r="I336" s="3" t="s">
        <v>994</v>
      </c>
      <c r="J336" s="5">
        <v>45313</v>
      </c>
      <c r="K336" s="5">
        <v>45313</v>
      </c>
      <c r="L336" s="6">
        <v>900</v>
      </c>
    </row>
    <row r="337" s="1" customFormat="1" spans="1:12">
      <c r="A337" s="3" t="s">
        <v>508</v>
      </c>
      <c r="B337" s="3" t="s">
        <v>509</v>
      </c>
      <c r="C337" s="3" t="s">
        <v>1083</v>
      </c>
      <c r="D337" s="3" t="s">
        <v>1084</v>
      </c>
      <c r="E337" s="3" t="s">
        <v>991</v>
      </c>
      <c r="F337" s="3" t="s">
        <v>992</v>
      </c>
      <c r="G337" s="3" t="s">
        <v>1016</v>
      </c>
      <c r="H337" s="3" t="s">
        <v>1016</v>
      </c>
      <c r="I337" s="3" t="s">
        <v>994</v>
      </c>
      <c r="J337" s="5">
        <v>45223</v>
      </c>
      <c r="K337" s="5">
        <v>45223</v>
      </c>
      <c r="L337" s="6">
        <v>897</v>
      </c>
    </row>
    <row r="338" s="1" customFormat="1" spans="1:12">
      <c r="A338" s="3" t="s">
        <v>508</v>
      </c>
      <c r="B338" s="3" t="s">
        <v>509</v>
      </c>
      <c r="C338" s="3" t="s">
        <v>1078</v>
      </c>
      <c r="D338" s="3" t="s">
        <v>1079</v>
      </c>
      <c r="E338" s="3" t="s">
        <v>991</v>
      </c>
      <c r="F338" s="3" t="s">
        <v>992</v>
      </c>
      <c r="G338" s="3" t="s">
        <v>1016</v>
      </c>
      <c r="H338" s="3" t="s">
        <v>1016</v>
      </c>
      <c r="I338" s="3" t="s">
        <v>994</v>
      </c>
      <c r="J338" s="5">
        <v>45212</v>
      </c>
      <c r="K338" s="5">
        <v>45212</v>
      </c>
      <c r="L338" s="6">
        <v>894</v>
      </c>
    </row>
    <row r="339" s="1" customFormat="1" spans="1:12">
      <c r="A339" s="3" t="s">
        <v>508</v>
      </c>
      <c r="B339" s="3" t="s">
        <v>542</v>
      </c>
      <c r="C339" s="3" t="s">
        <v>1123</v>
      </c>
      <c r="D339" s="3" t="s">
        <v>1124</v>
      </c>
      <c r="E339" s="3" t="s">
        <v>991</v>
      </c>
      <c r="F339" s="3" t="s">
        <v>992</v>
      </c>
      <c r="G339" s="3" t="s">
        <v>1013</v>
      </c>
      <c r="H339" s="3" t="s">
        <v>1013</v>
      </c>
      <c r="I339" s="3" t="s">
        <v>994</v>
      </c>
      <c r="J339" s="5">
        <v>45233</v>
      </c>
      <c r="K339" s="5">
        <v>45233</v>
      </c>
      <c r="L339" s="6">
        <v>890</v>
      </c>
    </row>
    <row r="340" s="1" customFormat="1" spans="1:12">
      <c r="A340" s="3" t="s">
        <v>521</v>
      </c>
      <c r="B340" s="3" t="s">
        <v>597</v>
      </c>
      <c r="C340" s="3" t="s">
        <v>884</v>
      </c>
      <c r="D340" s="3" t="s">
        <v>885</v>
      </c>
      <c r="E340" s="3" t="s">
        <v>660</v>
      </c>
      <c r="F340" s="3" t="s">
        <v>661</v>
      </c>
      <c r="G340" s="3" t="s">
        <v>669</v>
      </c>
      <c r="H340" s="3" t="s">
        <v>669</v>
      </c>
      <c r="I340" s="3" t="s">
        <v>670</v>
      </c>
      <c r="J340" s="5">
        <v>45356</v>
      </c>
      <c r="K340" s="5">
        <v>45356</v>
      </c>
      <c r="L340" s="6">
        <v>865.31</v>
      </c>
    </row>
    <row r="341" s="1" customFormat="1" spans="1:12">
      <c r="A341" s="3" t="s">
        <v>521</v>
      </c>
      <c r="B341" s="3" t="s">
        <v>823</v>
      </c>
      <c r="C341" s="3" t="s">
        <v>1434</v>
      </c>
      <c r="D341" s="3" t="s">
        <v>1435</v>
      </c>
      <c r="E341" s="3" t="s">
        <v>1414</v>
      </c>
      <c r="F341" s="3" t="s">
        <v>1415</v>
      </c>
      <c r="G341" s="3" t="s">
        <v>1436</v>
      </c>
      <c r="H341" s="3" t="s">
        <v>1436</v>
      </c>
      <c r="I341" s="3" t="s">
        <v>985</v>
      </c>
      <c r="J341" s="5">
        <v>45316</v>
      </c>
      <c r="K341" s="5">
        <v>45316</v>
      </c>
      <c r="L341" s="6">
        <v>864.44</v>
      </c>
    </row>
    <row r="342" s="1" customFormat="1" spans="1:12">
      <c r="A342" s="3" t="s">
        <v>508</v>
      </c>
      <c r="B342" s="3" t="s">
        <v>518</v>
      </c>
      <c r="C342" s="3" t="s">
        <v>780</v>
      </c>
      <c r="D342" s="3" t="s">
        <v>781</v>
      </c>
      <c r="E342" s="3" t="s">
        <v>660</v>
      </c>
      <c r="F342" s="3" t="s">
        <v>661</v>
      </c>
      <c r="G342" s="3" t="s">
        <v>782</v>
      </c>
      <c r="H342" s="3" t="s">
        <v>782</v>
      </c>
      <c r="I342" s="3" t="s">
        <v>670</v>
      </c>
      <c r="J342" s="5">
        <v>45268</v>
      </c>
      <c r="K342" s="5">
        <v>45268</v>
      </c>
      <c r="L342" s="6">
        <v>831.57</v>
      </c>
    </row>
    <row r="343" s="1" customFormat="1" spans="1:12">
      <c r="A343" s="3" t="s">
        <v>508</v>
      </c>
      <c r="B343" s="3" t="s">
        <v>518</v>
      </c>
      <c r="C343" s="3" t="s">
        <v>1161</v>
      </c>
      <c r="D343" s="3" t="s">
        <v>1162</v>
      </c>
      <c r="E343" s="3" t="s">
        <v>991</v>
      </c>
      <c r="F343" s="3" t="s">
        <v>992</v>
      </c>
      <c r="G343" s="3" t="s">
        <v>1082</v>
      </c>
      <c r="H343" s="3" t="s">
        <v>1082</v>
      </c>
      <c r="I343" s="3" t="s">
        <v>994</v>
      </c>
      <c r="J343" s="5">
        <v>45264</v>
      </c>
      <c r="K343" s="5">
        <v>45264</v>
      </c>
      <c r="L343" s="6">
        <v>820</v>
      </c>
    </row>
    <row r="344" s="1" customFormat="1" spans="1:12">
      <c r="A344" s="3" t="s">
        <v>508</v>
      </c>
      <c r="B344" s="3" t="s">
        <v>542</v>
      </c>
      <c r="C344" s="3" t="s">
        <v>714</v>
      </c>
      <c r="D344" s="3" t="s">
        <v>715</v>
      </c>
      <c r="E344" s="3" t="s">
        <v>660</v>
      </c>
      <c r="F344" s="3" t="s">
        <v>661</v>
      </c>
      <c r="G344" s="3" t="s">
        <v>716</v>
      </c>
      <c r="H344" s="3" t="s">
        <v>716</v>
      </c>
      <c r="I344" s="3" t="s">
        <v>670</v>
      </c>
      <c r="J344" s="5">
        <v>45238</v>
      </c>
      <c r="K344" s="5">
        <v>45238</v>
      </c>
      <c r="L344" s="6">
        <v>800.28</v>
      </c>
    </row>
    <row r="345" s="1" customFormat="1" spans="1:12">
      <c r="A345" s="3" t="s">
        <v>521</v>
      </c>
      <c r="B345" s="3" t="s">
        <v>530</v>
      </c>
      <c r="C345" s="3" t="s">
        <v>1375</v>
      </c>
      <c r="D345" s="3" t="s">
        <v>1376</v>
      </c>
      <c r="E345" s="3" t="s">
        <v>1355</v>
      </c>
      <c r="F345" s="3" t="s">
        <v>1356</v>
      </c>
      <c r="G345" s="3" t="s">
        <v>922</v>
      </c>
      <c r="H345" s="3" t="s">
        <v>922</v>
      </c>
      <c r="I345" s="3" t="s">
        <v>670</v>
      </c>
      <c r="J345" s="5">
        <v>45450</v>
      </c>
      <c r="K345" s="5">
        <v>45450</v>
      </c>
      <c r="L345" s="6">
        <v>800</v>
      </c>
    </row>
    <row r="346" s="1" customFormat="1" spans="1:12">
      <c r="A346" s="3" t="s">
        <v>508</v>
      </c>
      <c r="B346" s="3" t="s">
        <v>518</v>
      </c>
      <c r="C346" s="3" t="s">
        <v>1193</v>
      </c>
      <c r="D346" s="3" t="s">
        <v>1194</v>
      </c>
      <c r="E346" s="3" t="s">
        <v>991</v>
      </c>
      <c r="F346" s="3" t="s">
        <v>992</v>
      </c>
      <c r="G346" s="3" t="s">
        <v>1082</v>
      </c>
      <c r="H346" s="3" t="s">
        <v>1082</v>
      </c>
      <c r="I346" s="3" t="s">
        <v>994</v>
      </c>
      <c r="J346" s="5">
        <v>45268</v>
      </c>
      <c r="K346" s="5">
        <v>45268</v>
      </c>
      <c r="L346" s="6">
        <v>800</v>
      </c>
    </row>
    <row r="347" s="1" customFormat="1" spans="1:12">
      <c r="A347" s="3" t="s">
        <v>521</v>
      </c>
      <c r="B347" s="3" t="s">
        <v>562</v>
      </c>
      <c r="C347" s="3" t="s">
        <v>455</v>
      </c>
      <c r="D347" s="3" t="s">
        <v>1421</v>
      </c>
      <c r="E347" s="3" t="s">
        <v>1414</v>
      </c>
      <c r="F347" s="3" t="s">
        <v>1415</v>
      </c>
      <c r="G347" s="3" t="s">
        <v>456</v>
      </c>
      <c r="H347" s="3" t="s">
        <v>456</v>
      </c>
      <c r="I347" s="3" t="s">
        <v>985</v>
      </c>
      <c r="J347" s="5">
        <v>45429</v>
      </c>
      <c r="K347" s="5">
        <v>45429</v>
      </c>
      <c r="L347" s="6">
        <v>784.07</v>
      </c>
    </row>
    <row r="348" s="1" customFormat="1" spans="1:12">
      <c r="A348" s="3" t="s">
        <v>521</v>
      </c>
      <c r="B348" s="3" t="s">
        <v>597</v>
      </c>
      <c r="C348" s="3" t="s">
        <v>908</v>
      </c>
      <c r="D348" s="3" t="s">
        <v>909</v>
      </c>
      <c r="E348" s="3" t="s">
        <v>660</v>
      </c>
      <c r="F348" s="3" t="s">
        <v>661</v>
      </c>
      <c r="G348" s="3" t="s">
        <v>876</v>
      </c>
      <c r="H348" s="3" t="s">
        <v>876</v>
      </c>
      <c r="I348" s="3" t="s">
        <v>670</v>
      </c>
      <c r="J348" s="5">
        <v>45366</v>
      </c>
      <c r="K348" s="5">
        <v>45366</v>
      </c>
      <c r="L348" s="6">
        <v>774.4</v>
      </c>
    </row>
    <row r="349" s="1" customFormat="1" spans="1:12">
      <c r="A349" s="3" t="s">
        <v>521</v>
      </c>
      <c r="B349" s="3" t="s">
        <v>522</v>
      </c>
      <c r="C349" s="3" t="s">
        <v>868</v>
      </c>
      <c r="D349" s="3" t="s">
        <v>869</v>
      </c>
      <c r="E349" s="3" t="s">
        <v>660</v>
      </c>
      <c r="F349" s="3" t="s">
        <v>661</v>
      </c>
      <c r="G349" s="3" t="s">
        <v>681</v>
      </c>
      <c r="H349" s="3" t="s">
        <v>681</v>
      </c>
      <c r="I349" s="3" t="s">
        <v>670</v>
      </c>
      <c r="J349" s="5">
        <v>45323</v>
      </c>
      <c r="K349" s="5">
        <v>45323</v>
      </c>
      <c r="L349" s="6">
        <v>771.11</v>
      </c>
    </row>
    <row r="350" s="1" customFormat="1" spans="1:12">
      <c r="A350" s="3" t="s">
        <v>521</v>
      </c>
      <c r="B350" s="3" t="s">
        <v>562</v>
      </c>
      <c r="C350" s="3" t="s">
        <v>440</v>
      </c>
      <c r="D350" s="3" t="s">
        <v>1406</v>
      </c>
      <c r="E350" s="3" t="s">
        <v>1389</v>
      </c>
      <c r="F350" s="3" t="s">
        <v>1390</v>
      </c>
      <c r="G350" s="3" t="s">
        <v>429</v>
      </c>
      <c r="H350" s="3" t="s">
        <v>429</v>
      </c>
      <c r="I350" s="3" t="s">
        <v>985</v>
      </c>
      <c r="J350" s="5">
        <v>45429</v>
      </c>
      <c r="K350" s="5">
        <v>45429</v>
      </c>
      <c r="L350" s="6">
        <v>756.79</v>
      </c>
    </row>
    <row r="351" s="1" customFormat="1" spans="1:12">
      <c r="A351" s="3" t="s">
        <v>508</v>
      </c>
      <c r="B351" s="3" t="s">
        <v>518</v>
      </c>
      <c r="C351" s="3" t="s">
        <v>739</v>
      </c>
      <c r="D351" s="3" t="s">
        <v>740</v>
      </c>
      <c r="E351" s="3" t="s">
        <v>660</v>
      </c>
      <c r="F351" s="3" t="s">
        <v>661</v>
      </c>
      <c r="G351" s="3" t="s">
        <v>741</v>
      </c>
      <c r="H351" s="3" t="s">
        <v>741</v>
      </c>
      <c r="I351" s="3" t="s">
        <v>670</v>
      </c>
      <c r="J351" s="5">
        <v>45279</v>
      </c>
      <c r="K351" s="5">
        <v>45279</v>
      </c>
      <c r="L351" s="6">
        <v>753.04</v>
      </c>
    </row>
    <row r="352" s="1" customFormat="1" spans="1:12">
      <c r="A352" s="3" t="s">
        <v>521</v>
      </c>
      <c r="B352" s="3" t="s">
        <v>522</v>
      </c>
      <c r="C352" s="3" t="s">
        <v>872</v>
      </c>
      <c r="D352" s="3" t="s">
        <v>873</v>
      </c>
      <c r="E352" s="3" t="s">
        <v>660</v>
      </c>
      <c r="F352" s="3" t="s">
        <v>661</v>
      </c>
      <c r="G352" s="3" t="s">
        <v>669</v>
      </c>
      <c r="H352" s="3" t="s">
        <v>669</v>
      </c>
      <c r="I352" s="3" t="s">
        <v>670</v>
      </c>
      <c r="J352" s="5">
        <v>45323</v>
      </c>
      <c r="K352" s="5">
        <v>45323</v>
      </c>
      <c r="L352" s="6">
        <v>750.83</v>
      </c>
    </row>
    <row r="353" s="1" customFormat="1" spans="1:12">
      <c r="A353" s="3" t="s">
        <v>508</v>
      </c>
      <c r="B353" s="3" t="s">
        <v>509</v>
      </c>
      <c r="C353" s="3" t="s">
        <v>747</v>
      </c>
      <c r="D353" s="3" t="s">
        <v>748</v>
      </c>
      <c r="E353" s="3" t="s">
        <v>660</v>
      </c>
      <c r="F353" s="3" t="s">
        <v>661</v>
      </c>
      <c r="G353" s="3" t="s">
        <v>703</v>
      </c>
      <c r="H353" s="3" t="s">
        <v>703</v>
      </c>
      <c r="I353" s="3" t="s">
        <v>670</v>
      </c>
      <c r="J353" s="5">
        <v>45212</v>
      </c>
      <c r="K353" s="5">
        <v>45212</v>
      </c>
      <c r="L353" s="6">
        <v>747.17</v>
      </c>
    </row>
    <row r="354" s="1" customFormat="1" spans="1:12">
      <c r="A354" s="3" t="s">
        <v>508</v>
      </c>
      <c r="B354" s="3" t="s">
        <v>644</v>
      </c>
      <c r="C354" s="3" t="s">
        <v>989</v>
      </c>
      <c r="D354" s="3" t="s">
        <v>990</v>
      </c>
      <c r="E354" s="3" t="s">
        <v>991</v>
      </c>
      <c r="F354" s="3" t="s">
        <v>992</v>
      </c>
      <c r="G354" s="3" t="s">
        <v>993</v>
      </c>
      <c r="H354" s="3" t="s">
        <v>993</v>
      </c>
      <c r="I354" s="3" t="s">
        <v>994</v>
      </c>
      <c r="J354" s="5">
        <v>45189</v>
      </c>
      <c r="K354" s="5">
        <v>45189</v>
      </c>
      <c r="L354" s="6">
        <v>740</v>
      </c>
    </row>
    <row r="355" s="1" customFormat="1" spans="1:12">
      <c r="A355" s="3" t="s">
        <v>521</v>
      </c>
      <c r="B355" s="3" t="s">
        <v>522</v>
      </c>
      <c r="C355" s="3" t="s">
        <v>874</v>
      </c>
      <c r="D355" s="3" t="s">
        <v>875</v>
      </c>
      <c r="E355" s="3" t="s">
        <v>660</v>
      </c>
      <c r="F355" s="3" t="s">
        <v>661</v>
      </c>
      <c r="G355" s="3" t="s">
        <v>876</v>
      </c>
      <c r="H355" s="3" t="s">
        <v>876</v>
      </c>
      <c r="I355" s="3" t="s">
        <v>670</v>
      </c>
      <c r="J355" s="5">
        <v>45340</v>
      </c>
      <c r="K355" s="5">
        <v>45340</v>
      </c>
      <c r="L355" s="6">
        <v>721.26</v>
      </c>
    </row>
    <row r="356" s="1" customFormat="1" spans="1:12">
      <c r="A356" s="3" t="s">
        <v>508</v>
      </c>
      <c r="B356" s="3" t="s">
        <v>509</v>
      </c>
      <c r="C356" s="3" t="s">
        <v>1730</v>
      </c>
      <c r="D356" s="3" t="s">
        <v>1731</v>
      </c>
      <c r="E356" s="3" t="s">
        <v>1679</v>
      </c>
      <c r="F356" s="3" t="s">
        <v>1680</v>
      </c>
      <c r="G356" s="3" t="s">
        <v>1732</v>
      </c>
      <c r="H356" s="3" t="s">
        <v>1732</v>
      </c>
      <c r="I356" s="3" t="s">
        <v>1696</v>
      </c>
      <c r="J356" s="5">
        <v>45226</v>
      </c>
      <c r="K356" s="5">
        <v>45226</v>
      </c>
      <c r="L356" s="11">
        <v>718</v>
      </c>
    </row>
    <row r="357" s="1" customFormat="1" spans="1:12">
      <c r="A357" s="3" t="s">
        <v>508</v>
      </c>
      <c r="B357" s="3" t="s">
        <v>518</v>
      </c>
      <c r="C357" s="3" t="s">
        <v>783</v>
      </c>
      <c r="D357" s="3" t="s">
        <v>784</v>
      </c>
      <c r="E357" s="3" t="s">
        <v>660</v>
      </c>
      <c r="F357" s="3" t="s">
        <v>661</v>
      </c>
      <c r="G357" s="3" t="s">
        <v>681</v>
      </c>
      <c r="H357" s="3" t="s">
        <v>681</v>
      </c>
      <c r="I357" s="3" t="s">
        <v>670</v>
      </c>
      <c r="J357" s="5">
        <v>45265</v>
      </c>
      <c r="K357" s="5">
        <v>45265</v>
      </c>
      <c r="L357" s="6">
        <v>716.68</v>
      </c>
    </row>
    <row r="358" s="1" customFormat="1" spans="1:12">
      <c r="A358" s="3" t="s">
        <v>508</v>
      </c>
      <c r="B358" s="3" t="s">
        <v>509</v>
      </c>
      <c r="C358" s="3" t="s">
        <v>1011</v>
      </c>
      <c r="D358" s="3" t="s">
        <v>1012</v>
      </c>
      <c r="E358" s="3" t="s">
        <v>991</v>
      </c>
      <c r="F358" s="3" t="s">
        <v>992</v>
      </c>
      <c r="G358" s="3" t="s">
        <v>1013</v>
      </c>
      <c r="H358" s="3" t="s">
        <v>1013</v>
      </c>
      <c r="I358" s="3" t="s">
        <v>994</v>
      </c>
      <c r="J358" s="5">
        <v>45209</v>
      </c>
      <c r="K358" s="5">
        <v>45209</v>
      </c>
      <c r="L358" s="6">
        <v>700</v>
      </c>
    </row>
    <row r="359" s="1" customFormat="1" spans="1:12">
      <c r="A359" s="3" t="s">
        <v>508</v>
      </c>
      <c r="B359" s="3" t="s">
        <v>542</v>
      </c>
      <c r="C359" s="3" t="s">
        <v>1131</v>
      </c>
      <c r="D359" s="3" t="s">
        <v>1132</v>
      </c>
      <c r="E359" s="3" t="s">
        <v>991</v>
      </c>
      <c r="F359" s="3" t="s">
        <v>992</v>
      </c>
      <c r="G359" s="3" t="s">
        <v>1133</v>
      </c>
      <c r="H359" s="3" t="s">
        <v>1133</v>
      </c>
      <c r="I359" s="3" t="s">
        <v>994</v>
      </c>
      <c r="J359" s="5">
        <v>45251</v>
      </c>
      <c r="K359" s="5">
        <v>45251</v>
      </c>
      <c r="L359" s="6">
        <v>700</v>
      </c>
    </row>
    <row r="360" s="1" customFormat="1" spans="1:12">
      <c r="A360" s="3" t="s">
        <v>508</v>
      </c>
      <c r="B360" s="3" t="s">
        <v>518</v>
      </c>
      <c r="C360" s="3" t="s">
        <v>1181</v>
      </c>
      <c r="D360" s="3" t="s">
        <v>1182</v>
      </c>
      <c r="E360" s="3" t="s">
        <v>991</v>
      </c>
      <c r="F360" s="3" t="s">
        <v>992</v>
      </c>
      <c r="G360" s="3" t="s">
        <v>1133</v>
      </c>
      <c r="H360" s="3" t="s">
        <v>1133</v>
      </c>
      <c r="I360" s="3" t="s">
        <v>994</v>
      </c>
      <c r="J360" s="5">
        <v>45268</v>
      </c>
      <c r="K360" s="5">
        <v>45268</v>
      </c>
      <c r="L360" s="6">
        <v>700</v>
      </c>
    </row>
    <row r="361" s="1" customFormat="1" spans="1:12">
      <c r="A361" s="3" t="s">
        <v>521</v>
      </c>
      <c r="B361" s="3" t="s">
        <v>562</v>
      </c>
      <c r="C361" s="3" t="s">
        <v>1369</v>
      </c>
      <c r="D361" s="3" t="s">
        <v>1370</v>
      </c>
      <c r="E361" s="3" t="s">
        <v>1355</v>
      </c>
      <c r="F361" s="3" t="s">
        <v>1356</v>
      </c>
      <c r="G361" s="3" t="s">
        <v>1371</v>
      </c>
      <c r="H361" s="3" t="s">
        <v>1371</v>
      </c>
      <c r="I361" s="3" t="s">
        <v>670</v>
      </c>
      <c r="J361" s="5">
        <v>45423</v>
      </c>
      <c r="K361" s="5">
        <v>45423</v>
      </c>
      <c r="L361" s="6">
        <v>690.54</v>
      </c>
    </row>
    <row r="362" s="1" customFormat="1" spans="1:12">
      <c r="A362" s="3" t="s">
        <v>521</v>
      </c>
      <c r="B362" s="3" t="s">
        <v>895</v>
      </c>
      <c r="C362" s="3" t="s">
        <v>1366</v>
      </c>
      <c r="D362" s="3" t="s">
        <v>1367</v>
      </c>
      <c r="E362" s="3" t="s">
        <v>1355</v>
      </c>
      <c r="F362" s="3" t="s">
        <v>1356</v>
      </c>
      <c r="G362" s="3" t="s">
        <v>1368</v>
      </c>
      <c r="H362" s="3" t="s">
        <v>1368</v>
      </c>
      <c r="I362" s="3" t="s">
        <v>670</v>
      </c>
      <c r="J362" s="5">
        <v>45394</v>
      </c>
      <c r="K362" s="5">
        <v>45394</v>
      </c>
      <c r="L362" s="6">
        <v>688.77</v>
      </c>
    </row>
    <row r="363" s="1" customFormat="1" spans="1:12">
      <c r="A363" s="3" t="s">
        <v>508</v>
      </c>
      <c r="B363" s="3" t="s">
        <v>542</v>
      </c>
      <c r="C363" s="3" t="s">
        <v>1021</v>
      </c>
      <c r="D363" s="3" t="s">
        <v>1022</v>
      </c>
      <c r="E363" s="3" t="s">
        <v>991</v>
      </c>
      <c r="F363" s="3" t="s">
        <v>992</v>
      </c>
      <c r="G363" s="3" t="s">
        <v>1023</v>
      </c>
      <c r="H363" s="3" t="s">
        <v>1023</v>
      </c>
      <c r="I363" s="3" t="s">
        <v>994</v>
      </c>
      <c r="J363" s="5">
        <v>45244</v>
      </c>
      <c r="K363" s="5">
        <v>45244</v>
      </c>
      <c r="L363" s="6">
        <v>680</v>
      </c>
    </row>
    <row r="364" s="1" customFormat="1" spans="1:12">
      <c r="A364" s="3" t="s">
        <v>508</v>
      </c>
      <c r="B364" s="3" t="s">
        <v>509</v>
      </c>
      <c r="C364" s="3" t="s">
        <v>1080</v>
      </c>
      <c r="D364" s="3" t="s">
        <v>1081</v>
      </c>
      <c r="E364" s="3" t="s">
        <v>991</v>
      </c>
      <c r="F364" s="3" t="s">
        <v>992</v>
      </c>
      <c r="G364" s="3" t="s">
        <v>1082</v>
      </c>
      <c r="H364" s="3" t="s">
        <v>1082</v>
      </c>
      <c r="I364" s="3" t="s">
        <v>994</v>
      </c>
      <c r="J364" s="5">
        <v>45209</v>
      </c>
      <c r="K364" s="5">
        <v>45209</v>
      </c>
      <c r="L364" s="6">
        <v>650</v>
      </c>
    </row>
    <row r="365" s="1" customFormat="1" spans="1:12">
      <c r="A365" s="3" t="s">
        <v>521</v>
      </c>
      <c r="B365" s="3" t="s">
        <v>823</v>
      </c>
      <c r="C365" s="3" t="s">
        <v>1753</v>
      </c>
      <c r="D365" s="3" t="s">
        <v>1754</v>
      </c>
      <c r="E365" s="3" t="s">
        <v>1679</v>
      </c>
      <c r="F365" s="3" t="s">
        <v>1680</v>
      </c>
      <c r="G365" s="3" t="s">
        <v>1755</v>
      </c>
      <c r="H365" s="3" t="s">
        <v>1755</v>
      </c>
      <c r="I365" s="3" t="s">
        <v>1696</v>
      </c>
      <c r="J365" s="5">
        <v>45307</v>
      </c>
      <c r="K365" s="5">
        <v>45307</v>
      </c>
      <c r="L365" s="11">
        <v>632.96</v>
      </c>
    </row>
    <row r="366" s="1" customFormat="1" spans="1:12">
      <c r="A366" s="3" t="s">
        <v>521</v>
      </c>
      <c r="B366" s="3" t="s">
        <v>597</v>
      </c>
      <c r="C366" s="3" t="s">
        <v>910</v>
      </c>
      <c r="D366" s="3" t="s">
        <v>911</v>
      </c>
      <c r="E366" s="3" t="s">
        <v>660</v>
      </c>
      <c r="F366" s="3" t="s">
        <v>661</v>
      </c>
      <c r="G366" s="3" t="s">
        <v>731</v>
      </c>
      <c r="H366" s="3" t="s">
        <v>731</v>
      </c>
      <c r="I366" s="3" t="s">
        <v>670</v>
      </c>
      <c r="J366" s="5">
        <v>45376</v>
      </c>
      <c r="K366" s="5">
        <v>45376</v>
      </c>
      <c r="L366" s="6">
        <v>611.26</v>
      </c>
    </row>
    <row r="367" s="1" customFormat="1" spans="1:12">
      <c r="A367" s="3" t="s">
        <v>521</v>
      </c>
      <c r="B367" s="3" t="s">
        <v>823</v>
      </c>
      <c r="C367" s="3" t="s">
        <v>839</v>
      </c>
      <c r="D367" s="3" t="s">
        <v>840</v>
      </c>
      <c r="E367" s="3" t="s">
        <v>660</v>
      </c>
      <c r="F367" s="3" t="s">
        <v>661</v>
      </c>
      <c r="G367" s="3" t="s">
        <v>841</v>
      </c>
      <c r="H367" s="3" t="s">
        <v>841</v>
      </c>
      <c r="I367" s="3" t="s">
        <v>670</v>
      </c>
      <c r="J367" s="5">
        <v>45310</v>
      </c>
      <c r="K367" s="5">
        <v>45310</v>
      </c>
      <c r="L367" s="6">
        <v>603.66</v>
      </c>
    </row>
    <row r="368" s="1" customFormat="1" spans="1:12">
      <c r="A368" s="3" t="s">
        <v>521</v>
      </c>
      <c r="B368" s="3" t="s">
        <v>823</v>
      </c>
      <c r="C368" s="3" t="s">
        <v>845</v>
      </c>
      <c r="D368" s="3" t="s">
        <v>846</v>
      </c>
      <c r="E368" s="3" t="s">
        <v>660</v>
      </c>
      <c r="F368" s="3" t="s">
        <v>661</v>
      </c>
      <c r="G368" s="3" t="s">
        <v>847</v>
      </c>
      <c r="H368" s="3" t="s">
        <v>847</v>
      </c>
      <c r="I368" s="3" t="s">
        <v>670</v>
      </c>
      <c r="J368" s="5">
        <v>45310</v>
      </c>
      <c r="K368" s="5">
        <v>45310</v>
      </c>
      <c r="L368" s="6">
        <v>600</v>
      </c>
    </row>
    <row r="369" s="1" customFormat="1" spans="1:12">
      <c r="A369" s="3" t="s">
        <v>508</v>
      </c>
      <c r="B369" s="3" t="s">
        <v>518</v>
      </c>
      <c r="C369" s="3" t="s">
        <v>758</v>
      </c>
      <c r="D369" s="3" t="s">
        <v>759</v>
      </c>
      <c r="E369" s="3" t="s">
        <v>660</v>
      </c>
      <c r="F369" s="3" t="s">
        <v>661</v>
      </c>
      <c r="G369" s="3" t="s">
        <v>760</v>
      </c>
      <c r="H369" s="3" t="s">
        <v>760</v>
      </c>
      <c r="I369" s="3" t="s">
        <v>670</v>
      </c>
      <c r="J369" s="5">
        <v>45280</v>
      </c>
      <c r="K369" s="5">
        <v>45280</v>
      </c>
      <c r="L369" s="6">
        <v>600</v>
      </c>
    </row>
    <row r="370" s="1" customFormat="1" spans="1:12">
      <c r="A370" s="3" t="s">
        <v>508</v>
      </c>
      <c r="B370" s="3" t="s">
        <v>509</v>
      </c>
      <c r="C370" s="3" t="s">
        <v>1104</v>
      </c>
      <c r="D370" s="3" t="s">
        <v>1105</v>
      </c>
      <c r="E370" s="3" t="s">
        <v>991</v>
      </c>
      <c r="F370" s="3" t="s">
        <v>992</v>
      </c>
      <c r="G370" s="3" t="s">
        <v>1000</v>
      </c>
      <c r="H370" s="3" t="s">
        <v>1000</v>
      </c>
      <c r="I370" s="3" t="s">
        <v>994</v>
      </c>
      <c r="J370" s="5">
        <v>45223</v>
      </c>
      <c r="K370" s="5">
        <v>45223</v>
      </c>
      <c r="L370" s="6">
        <v>600</v>
      </c>
    </row>
    <row r="371" s="1" customFormat="1" spans="1:12">
      <c r="A371" s="3" t="s">
        <v>508</v>
      </c>
      <c r="B371" s="3" t="s">
        <v>518</v>
      </c>
      <c r="C371" s="3" t="s">
        <v>1169</v>
      </c>
      <c r="D371" s="3" t="s">
        <v>1170</v>
      </c>
      <c r="E371" s="3" t="s">
        <v>991</v>
      </c>
      <c r="F371" s="3" t="s">
        <v>992</v>
      </c>
      <c r="G371" s="3" t="s">
        <v>1133</v>
      </c>
      <c r="H371" s="3" t="s">
        <v>1133</v>
      </c>
      <c r="I371" s="3" t="s">
        <v>994</v>
      </c>
      <c r="J371" s="5">
        <v>45264</v>
      </c>
      <c r="K371" s="5">
        <v>45264</v>
      </c>
      <c r="L371" s="6">
        <v>600</v>
      </c>
    </row>
    <row r="372" s="1" customFormat="1" spans="1:12">
      <c r="A372" s="3" t="s">
        <v>508</v>
      </c>
      <c r="B372" s="3" t="s">
        <v>509</v>
      </c>
      <c r="C372" s="3" t="s">
        <v>1099</v>
      </c>
      <c r="D372" s="3" t="s">
        <v>1100</v>
      </c>
      <c r="E372" s="3" t="s">
        <v>991</v>
      </c>
      <c r="F372" s="3" t="s">
        <v>992</v>
      </c>
      <c r="G372" s="3" t="s">
        <v>1082</v>
      </c>
      <c r="H372" s="3" t="s">
        <v>1082</v>
      </c>
      <c r="I372" s="3" t="s">
        <v>994</v>
      </c>
      <c r="J372" s="5">
        <v>45225</v>
      </c>
      <c r="K372" s="5">
        <v>45225</v>
      </c>
      <c r="L372" s="6">
        <v>600</v>
      </c>
    </row>
    <row r="373" s="1" customFormat="1" spans="1:12">
      <c r="A373" s="3" t="s">
        <v>521</v>
      </c>
      <c r="B373" s="3" t="s">
        <v>823</v>
      </c>
      <c r="C373" s="3" t="s">
        <v>842</v>
      </c>
      <c r="D373" s="3" t="s">
        <v>843</v>
      </c>
      <c r="E373" s="3" t="s">
        <v>660</v>
      </c>
      <c r="F373" s="3" t="s">
        <v>661</v>
      </c>
      <c r="G373" s="3" t="s">
        <v>844</v>
      </c>
      <c r="H373" s="3" t="s">
        <v>844</v>
      </c>
      <c r="I373" s="3" t="s">
        <v>670</v>
      </c>
      <c r="J373" s="5">
        <v>45313</v>
      </c>
      <c r="K373" s="5">
        <v>45313</v>
      </c>
      <c r="L373" s="6">
        <v>576.24</v>
      </c>
    </row>
    <row r="374" s="1" customFormat="1" spans="1:12">
      <c r="A374" s="3" t="s">
        <v>521</v>
      </c>
      <c r="B374" s="3" t="s">
        <v>597</v>
      </c>
      <c r="C374" s="3" t="s">
        <v>914</v>
      </c>
      <c r="D374" s="3" t="s">
        <v>915</v>
      </c>
      <c r="E374" s="3" t="s">
        <v>660</v>
      </c>
      <c r="F374" s="3" t="s">
        <v>661</v>
      </c>
      <c r="G374" s="3" t="s">
        <v>693</v>
      </c>
      <c r="H374" s="3" t="s">
        <v>693</v>
      </c>
      <c r="I374" s="3" t="s">
        <v>670</v>
      </c>
      <c r="J374" s="5">
        <v>45366</v>
      </c>
      <c r="K374" s="5">
        <v>45366</v>
      </c>
      <c r="L374" s="6">
        <v>574.26</v>
      </c>
    </row>
    <row r="375" s="1" customFormat="1" spans="1:12">
      <c r="A375" s="3" t="s">
        <v>521</v>
      </c>
      <c r="B375" s="3" t="s">
        <v>597</v>
      </c>
      <c r="C375" s="3" t="s">
        <v>912</v>
      </c>
      <c r="D375" s="3" t="s">
        <v>913</v>
      </c>
      <c r="E375" s="3" t="s">
        <v>660</v>
      </c>
      <c r="F375" s="3" t="s">
        <v>661</v>
      </c>
      <c r="G375" s="3" t="s">
        <v>731</v>
      </c>
      <c r="H375" s="3" t="s">
        <v>731</v>
      </c>
      <c r="I375" s="3" t="s">
        <v>670</v>
      </c>
      <c r="J375" s="5">
        <v>45371</v>
      </c>
      <c r="K375" s="5">
        <v>45371</v>
      </c>
      <c r="L375" s="6">
        <v>556.44</v>
      </c>
    </row>
    <row r="376" s="1" customFormat="1" spans="1:12">
      <c r="A376" s="3" t="s">
        <v>521</v>
      </c>
      <c r="B376" s="3" t="s">
        <v>562</v>
      </c>
      <c r="C376" s="3" t="s">
        <v>447</v>
      </c>
      <c r="D376" s="3" t="s">
        <v>1399</v>
      </c>
      <c r="E376" s="3" t="s">
        <v>1389</v>
      </c>
      <c r="F376" s="3" t="s">
        <v>1390</v>
      </c>
      <c r="G376" s="3" t="s">
        <v>448</v>
      </c>
      <c r="H376" s="3" t="s">
        <v>448</v>
      </c>
      <c r="I376" s="3" t="s">
        <v>985</v>
      </c>
      <c r="J376" s="5">
        <v>45429</v>
      </c>
      <c r="K376" s="5">
        <v>45429</v>
      </c>
      <c r="L376" s="6">
        <v>546.9</v>
      </c>
    </row>
    <row r="377" s="1" customFormat="1" spans="1:12">
      <c r="A377" s="3" t="s">
        <v>521</v>
      </c>
      <c r="B377" s="3" t="s">
        <v>823</v>
      </c>
      <c r="C377" s="3" t="s">
        <v>824</v>
      </c>
      <c r="D377" s="3" t="s">
        <v>825</v>
      </c>
      <c r="E377" s="3" t="s">
        <v>660</v>
      </c>
      <c r="F377" s="3" t="s">
        <v>661</v>
      </c>
      <c r="G377" s="3" t="s">
        <v>826</v>
      </c>
      <c r="H377" s="3" t="s">
        <v>826</v>
      </c>
      <c r="I377" s="3" t="s">
        <v>670</v>
      </c>
      <c r="J377" s="5">
        <v>45303</v>
      </c>
      <c r="K377" s="5">
        <v>45303</v>
      </c>
      <c r="L377" s="6">
        <v>504.48</v>
      </c>
    </row>
    <row r="378" s="1" customFormat="1" spans="1:12">
      <c r="A378" s="3" t="s">
        <v>521</v>
      </c>
      <c r="B378" s="3" t="s">
        <v>562</v>
      </c>
      <c r="C378" s="3" t="s">
        <v>941</v>
      </c>
      <c r="D378" s="3" t="s">
        <v>942</v>
      </c>
      <c r="E378" s="3" t="s">
        <v>660</v>
      </c>
      <c r="F378" s="3" t="s">
        <v>661</v>
      </c>
      <c r="G378" s="3" t="s">
        <v>943</v>
      </c>
      <c r="H378" s="3" t="s">
        <v>943</v>
      </c>
      <c r="I378" s="3" t="s">
        <v>670</v>
      </c>
      <c r="J378" s="5">
        <v>45423</v>
      </c>
      <c r="K378" s="5">
        <v>45423</v>
      </c>
      <c r="L378" s="6">
        <v>500</v>
      </c>
    </row>
    <row r="379" s="1" customFormat="1" spans="1:12">
      <c r="A379" s="3" t="s">
        <v>508</v>
      </c>
      <c r="B379" s="3" t="s">
        <v>518</v>
      </c>
      <c r="C379" s="3" t="s">
        <v>742</v>
      </c>
      <c r="D379" s="3" t="s">
        <v>743</v>
      </c>
      <c r="E379" s="3" t="s">
        <v>660</v>
      </c>
      <c r="F379" s="3" t="s">
        <v>661</v>
      </c>
      <c r="G379" s="3" t="s">
        <v>744</v>
      </c>
      <c r="H379" s="3" t="s">
        <v>744</v>
      </c>
      <c r="I379" s="3" t="s">
        <v>670</v>
      </c>
      <c r="J379" s="5">
        <v>45275</v>
      </c>
      <c r="K379" s="5">
        <v>45275</v>
      </c>
      <c r="L379" s="6">
        <v>495.05</v>
      </c>
    </row>
    <row r="380" s="1" customFormat="1" spans="1:12">
      <c r="A380" s="3" t="s">
        <v>508</v>
      </c>
      <c r="B380" s="3" t="s">
        <v>518</v>
      </c>
      <c r="C380" s="3" t="s">
        <v>737</v>
      </c>
      <c r="D380" s="3" t="s">
        <v>738</v>
      </c>
      <c r="E380" s="3" t="s">
        <v>660</v>
      </c>
      <c r="F380" s="3" t="s">
        <v>661</v>
      </c>
      <c r="G380" s="3" t="s">
        <v>731</v>
      </c>
      <c r="H380" s="3" t="s">
        <v>731</v>
      </c>
      <c r="I380" s="3" t="s">
        <v>670</v>
      </c>
      <c r="J380" s="5">
        <v>45266</v>
      </c>
      <c r="K380" s="5">
        <v>45266</v>
      </c>
      <c r="L380" s="6">
        <v>353.74</v>
      </c>
    </row>
    <row r="381" s="1" customFormat="1" spans="1:12">
      <c r="A381" s="3" t="s">
        <v>508</v>
      </c>
      <c r="B381" s="3" t="s">
        <v>518</v>
      </c>
      <c r="C381" s="3" t="s">
        <v>789</v>
      </c>
      <c r="D381" s="3" t="s">
        <v>790</v>
      </c>
      <c r="E381" s="3" t="s">
        <v>660</v>
      </c>
      <c r="F381" s="3" t="s">
        <v>661</v>
      </c>
      <c r="G381" s="3" t="s">
        <v>731</v>
      </c>
      <c r="H381" s="3" t="s">
        <v>731</v>
      </c>
      <c r="I381" s="3" t="s">
        <v>670</v>
      </c>
      <c r="J381" s="5">
        <v>45264</v>
      </c>
      <c r="K381" s="5">
        <v>45264</v>
      </c>
      <c r="L381" s="6">
        <v>345.66</v>
      </c>
    </row>
    <row r="382" s="1" customFormat="1" spans="1:12">
      <c r="A382" s="3" t="s">
        <v>521</v>
      </c>
      <c r="B382" s="3" t="s">
        <v>597</v>
      </c>
      <c r="C382" s="3" t="s">
        <v>916</v>
      </c>
      <c r="D382" s="3" t="s">
        <v>917</v>
      </c>
      <c r="E382" s="3" t="s">
        <v>660</v>
      </c>
      <c r="F382" s="3" t="s">
        <v>661</v>
      </c>
      <c r="G382" s="3" t="s">
        <v>669</v>
      </c>
      <c r="H382" s="3" t="s">
        <v>669</v>
      </c>
      <c r="I382" s="3" t="s">
        <v>670</v>
      </c>
      <c r="J382" s="5">
        <v>45371</v>
      </c>
      <c r="K382" s="5">
        <v>45371</v>
      </c>
      <c r="L382" s="6">
        <v>342.25</v>
      </c>
    </row>
    <row r="383" s="1" customFormat="1" spans="1:12">
      <c r="A383" s="3" t="s">
        <v>508</v>
      </c>
      <c r="B383" s="3" t="s">
        <v>509</v>
      </c>
      <c r="C383" s="3" t="s">
        <v>679</v>
      </c>
      <c r="D383" s="3" t="s">
        <v>680</v>
      </c>
      <c r="E383" s="3" t="s">
        <v>660</v>
      </c>
      <c r="F383" s="3" t="s">
        <v>661</v>
      </c>
      <c r="G383" s="3" t="s">
        <v>681</v>
      </c>
      <c r="H383" s="3" t="s">
        <v>681</v>
      </c>
      <c r="I383" s="3" t="s">
        <v>670</v>
      </c>
      <c r="J383" s="5">
        <v>45217</v>
      </c>
      <c r="K383" s="5">
        <v>45217</v>
      </c>
      <c r="L383" s="6">
        <v>303.66</v>
      </c>
    </row>
    <row r="384" s="1" customFormat="1" spans="1:12">
      <c r="A384" s="3" t="s">
        <v>521</v>
      </c>
      <c r="B384" s="3" t="s">
        <v>895</v>
      </c>
      <c r="C384" s="3" t="s">
        <v>920</v>
      </c>
      <c r="D384" s="3" t="s">
        <v>921</v>
      </c>
      <c r="E384" s="3" t="s">
        <v>660</v>
      </c>
      <c r="F384" s="3" t="s">
        <v>661</v>
      </c>
      <c r="G384" s="3" t="s">
        <v>922</v>
      </c>
      <c r="H384" s="3" t="s">
        <v>922</v>
      </c>
      <c r="I384" s="3" t="s">
        <v>670</v>
      </c>
      <c r="J384" s="5">
        <v>45385</v>
      </c>
      <c r="K384" s="5">
        <v>45385</v>
      </c>
      <c r="L384" s="6">
        <v>300</v>
      </c>
    </row>
    <row r="385" s="1" customFormat="1" spans="1:12">
      <c r="A385" s="3" t="s">
        <v>508</v>
      </c>
      <c r="B385" s="3" t="s">
        <v>518</v>
      </c>
      <c r="C385" s="3" t="s">
        <v>1191</v>
      </c>
      <c r="D385" s="3" t="s">
        <v>1192</v>
      </c>
      <c r="E385" s="3" t="s">
        <v>991</v>
      </c>
      <c r="F385" s="3" t="s">
        <v>992</v>
      </c>
      <c r="G385" s="3" t="s">
        <v>1133</v>
      </c>
      <c r="H385" s="3" t="s">
        <v>1133</v>
      </c>
      <c r="I385" s="3" t="s">
        <v>994</v>
      </c>
      <c r="J385" s="5">
        <v>45275</v>
      </c>
      <c r="K385" s="5">
        <v>45275</v>
      </c>
      <c r="L385" s="6">
        <v>296</v>
      </c>
    </row>
    <row r="386" s="1" customFormat="1" spans="1:12">
      <c r="A386" s="3" t="s">
        <v>508</v>
      </c>
      <c r="B386" s="3" t="s">
        <v>542</v>
      </c>
      <c r="C386" s="3" t="s">
        <v>971</v>
      </c>
      <c r="D386" s="3" t="s">
        <v>972</v>
      </c>
      <c r="E386" s="3" t="s">
        <v>973</v>
      </c>
      <c r="F386" s="3" t="s">
        <v>974</v>
      </c>
      <c r="G386" s="3" t="s">
        <v>975</v>
      </c>
      <c r="H386" s="3" t="s">
        <v>975</v>
      </c>
      <c r="I386" s="3" t="s">
        <v>976</v>
      </c>
      <c r="J386" s="5">
        <v>45247</v>
      </c>
      <c r="K386" s="5">
        <v>45247</v>
      </c>
      <c r="L386" s="6">
        <v>287.12</v>
      </c>
    </row>
    <row r="387" s="1" customFormat="1" spans="1:12">
      <c r="A387" s="3" t="s">
        <v>508</v>
      </c>
      <c r="B387" s="3" t="s">
        <v>518</v>
      </c>
      <c r="C387" s="3" t="s">
        <v>791</v>
      </c>
      <c r="D387" s="3" t="s">
        <v>792</v>
      </c>
      <c r="E387" s="3" t="s">
        <v>660</v>
      </c>
      <c r="F387" s="3" t="s">
        <v>661</v>
      </c>
      <c r="G387" s="3" t="s">
        <v>731</v>
      </c>
      <c r="H387" s="3" t="s">
        <v>731</v>
      </c>
      <c r="I387" s="3" t="s">
        <v>670</v>
      </c>
      <c r="J387" s="5">
        <v>45264</v>
      </c>
      <c r="K387" s="5">
        <v>45264</v>
      </c>
      <c r="L387" s="6">
        <v>231.1</v>
      </c>
    </row>
    <row r="388" s="1" customFormat="1" spans="1:12">
      <c r="A388" s="3" t="s">
        <v>508</v>
      </c>
      <c r="B388" s="3" t="s">
        <v>542</v>
      </c>
      <c r="C388" s="3" t="s">
        <v>1690</v>
      </c>
      <c r="D388" s="3" t="s">
        <v>1691</v>
      </c>
      <c r="E388" s="3" t="s">
        <v>1679</v>
      </c>
      <c r="F388" s="3" t="s">
        <v>1680</v>
      </c>
      <c r="G388" s="3" t="s">
        <v>1692</v>
      </c>
      <c r="H388" s="3" t="s">
        <v>1692</v>
      </c>
      <c r="I388" s="3" t="s">
        <v>1486</v>
      </c>
      <c r="J388" s="5">
        <v>45243</v>
      </c>
      <c r="K388" s="5">
        <v>45243</v>
      </c>
      <c r="L388" s="11">
        <v>200</v>
      </c>
    </row>
    <row r="389" s="1" customFormat="1" spans="1:12">
      <c r="A389" s="3" t="s">
        <v>521</v>
      </c>
      <c r="B389" s="3" t="s">
        <v>522</v>
      </c>
      <c r="C389" s="3" t="s">
        <v>1714</v>
      </c>
      <c r="D389" s="3" t="s">
        <v>1715</v>
      </c>
      <c r="E389" s="3" t="s">
        <v>1679</v>
      </c>
      <c r="F389" s="3" t="s">
        <v>1680</v>
      </c>
      <c r="G389" s="3" t="s">
        <v>1692</v>
      </c>
      <c r="H389" s="3" t="s">
        <v>1692</v>
      </c>
      <c r="I389" s="3" t="s">
        <v>1696</v>
      </c>
      <c r="J389" s="5">
        <v>45326</v>
      </c>
      <c r="K389" s="5">
        <v>45326</v>
      </c>
      <c r="L389" s="11">
        <v>200</v>
      </c>
    </row>
    <row r="390" s="1" customFormat="1" spans="1:12">
      <c r="A390" s="3" t="s">
        <v>521</v>
      </c>
      <c r="B390" s="3" t="s">
        <v>823</v>
      </c>
      <c r="C390" s="3" t="s">
        <v>1756</v>
      </c>
      <c r="D390" s="3" t="s">
        <v>1757</v>
      </c>
      <c r="E390" s="3" t="s">
        <v>1679</v>
      </c>
      <c r="F390" s="3" t="s">
        <v>1680</v>
      </c>
      <c r="G390" s="3" t="s">
        <v>1692</v>
      </c>
      <c r="H390" s="3" t="s">
        <v>1692</v>
      </c>
      <c r="I390" s="3" t="s">
        <v>1696</v>
      </c>
      <c r="J390" s="5">
        <v>45317</v>
      </c>
      <c r="K390" s="5">
        <v>45317</v>
      </c>
      <c r="L390" s="11">
        <v>200</v>
      </c>
    </row>
    <row r="391" s="1" customFormat="1" spans="1:12">
      <c r="A391" s="3" t="s">
        <v>521</v>
      </c>
      <c r="B391" s="3" t="s">
        <v>895</v>
      </c>
      <c r="C391" s="3" t="s">
        <v>927</v>
      </c>
      <c r="D391" s="3" t="s">
        <v>928</v>
      </c>
      <c r="E391" s="3" t="s">
        <v>660</v>
      </c>
      <c r="F391" s="3" t="s">
        <v>661</v>
      </c>
      <c r="G391" s="3" t="s">
        <v>763</v>
      </c>
      <c r="H391" s="3" t="s">
        <v>763</v>
      </c>
      <c r="I391" s="3" t="s">
        <v>670</v>
      </c>
      <c r="J391" s="5">
        <v>45385</v>
      </c>
      <c r="K391" s="5">
        <v>45385</v>
      </c>
      <c r="L391" s="6">
        <v>200</v>
      </c>
    </row>
    <row r="392" s="1" customFormat="1" spans="1:12">
      <c r="A392" s="3" t="s">
        <v>521</v>
      </c>
      <c r="B392" s="3" t="s">
        <v>823</v>
      </c>
      <c r="C392" s="3" t="s">
        <v>1434</v>
      </c>
      <c r="D392" s="3" t="s">
        <v>1435</v>
      </c>
      <c r="E392" s="3" t="s">
        <v>1414</v>
      </c>
      <c r="F392" s="3" t="s">
        <v>1415</v>
      </c>
      <c r="G392" s="3" t="s">
        <v>1436</v>
      </c>
      <c r="H392" s="3" t="s">
        <v>1436</v>
      </c>
      <c r="I392" s="3" t="s">
        <v>985</v>
      </c>
      <c r="J392" s="5">
        <v>45316</v>
      </c>
      <c r="K392" s="5">
        <v>45316</v>
      </c>
      <c r="L392" s="6">
        <v>158.72</v>
      </c>
    </row>
    <row r="393" s="1" customFormat="1" spans="1:12">
      <c r="A393" s="3" t="s">
        <v>521</v>
      </c>
      <c r="B393" s="3" t="s">
        <v>562</v>
      </c>
      <c r="C393" s="3" t="s">
        <v>453</v>
      </c>
      <c r="D393" s="3" t="s">
        <v>1420</v>
      </c>
      <c r="E393" s="3" t="s">
        <v>1414</v>
      </c>
      <c r="F393" s="3" t="s">
        <v>1415</v>
      </c>
      <c r="G393" s="3" t="s">
        <v>454</v>
      </c>
      <c r="H393" s="3" t="s">
        <v>454</v>
      </c>
      <c r="I393" s="3" t="s">
        <v>985</v>
      </c>
      <c r="J393" s="5">
        <v>45429</v>
      </c>
      <c r="K393" s="5">
        <v>45429</v>
      </c>
      <c r="L393" s="6">
        <v>154.15</v>
      </c>
    </row>
    <row r="394" s="1" customFormat="1" spans="1:12">
      <c r="A394" s="3" t="s">
        <v>508</v>
      </c>
      <c r="B394" s="3" t="s">
        <v>518</v>
      </c>
      <c r="C394" s="3" t="s">
        <v>1738</v>
      </c>
      <c r="D394" s="3" t="s">
        <v>1739</v>
      </c>
      <c r="E394" s="3" t="s">
        <v>1679</v>
      </c>
      <c r="F394" s="3" t="s">
        <v>1680</v>
      </c>
      <c r="G394" s="3" t="s">
        <v>1740</v>
      </c>
      <c r="H394" s="3" t="s">
        <v>1740</v>
      </c>
      <c r="I394" s="3" t="s">
        <v>1696</v>
      </c>
      <c r="J394" s="5">
        <v>45264</v>
      </c>
      <c r="K394" s="5">
        <v>45264</v>
      </c>
      <c r="L394" s="11">
        <v>150</v>
      </c>
    </row>
    <row r="395" s="1" customFormat="1" spans="1:12">
      <c r="A395" s="3" t="s">
        <v>508</v>
      </c>
      <c r="B395" s="3" t="s">
        <v>644</v>
      </c>
      <c r="C395" s="3" t="s">
        <v>1677</v>
      </c>
      <c r="D395" s="3" t="s">
        <v>1678</v>
      </c>
      <c r="E395" s="3" t="s">
        <v>1679</v>
      </c>
      <c r="F395" s="3" t="s">
        <v>1680</v>
      </c>
      <c r="G395" s="3" t="s">
        <v>1681</v>
      </c>
      <c r="H395" s="3" t="s">
        <v>1681</v>
      </c>
      <c r="I395" s="3" t="s">
        <v>647</v>
      </c>
      <c r="J395" s="5">
        <v>45197</v>
      </c>
      <c r="K395" s="5">
        <v>45197</v>
      </c>
      <c r="L395" s="11">
        <v>150</v>
      </c>
    </row>
    <row r="396" s="1" customFormat="1" spans="1:12">
      <c r="A396" s="3" t="s">
        <v>508</v>
      </c>
      <c r="B396" s="3" t="s">
        <v>518</v>
      </c>
      <c r="C396" s="3" t="s">
        <v>1741</v>
      </c>
      <c r="D396" s="3" t="s">
        <v>1742</v>
      </c>
      <c r="E396" s="3" t="s">
        <v>1679</v>
      </c>
      <c r="F396" s="3" t="s">
        <v>1680</v>
      </c>
      <c r="G396" s="3" t="s">
        <v>1743</v>
      </c>
      <c r="H396" s="3" t="s">
        <v>1743</v>
      </c>
      <c r="I396" s="3" t="s">
        <v>1696</v>
      </c>
      <c r="J396" s="5">
        <v>45286</v>
      </c>
      <c r="K396" s="5">
        <v>45286</v>
      </c>
      <c r="L396" s="11">
        <v>50</v>
      </c>
    </row>
    <row r="397" s="1" customFormat="1" spans="1:12">
      <c r="A397" s="3" t="s">
        <v>508</v>
      </c>
      <c r="B397" s="3" t="s">
        <v>542</v>
      </c>
      <c r="C397" s="3" t="s">
        <v>1682</v>
      </c>
      <c r="D397" s="3" t="s">
        <v>1683</v>
      </c>
      <c r="E397" s="3" t="s">
        <v>1679</v>
      </c>
      <c r="F397" s="3" t="s">
        <v>1680</v>
      </c>
      <c r="G397" s="3" t="s">
        <v>1684</v>
      </c>
      <c r="H397" s="3" t="s">
        <v>1684</v>
      </c>
      <c r="I397" s="3" t="s">
        <v>1486</v>
      </c>
      <c r="J397" s="5">
        <v>45238</v>
      </c>
      <c r="K397" s="5">
        <v>45238</v>
      </c>
      <c r="L397" s="11">
        <v>20</v>
      </c>
    </row>
    <row r="398" s="1" customFormat="1" spans="1:12">
      <c r="A398" s="3" t="s">
        <v>508</v>
      </c>
      <c r="B398" s="3" t="s">
        <v>542</v>
      </c>
      <c r="C398" s="3" t="s">
        <v>1735</v>
      </c>
      <c r="D398" s="3" t="s">
        <v>1736</v>
      </c>
      <c r="E398" s="3" t="s">
        <v>1679</v>
      </c>
      <c r="F398" s="3" t="s">
        <v>1680</v>
      </c>
      <c r="G398" s="3" t="s">
        <v>1737</v>
      </c>
      <c r="H398" s="3" t="s">
        <v>1737</v>
      </c>
      <c r="I398" s="3" t="s">
        <v>1696</v>
      </c>
      <c r="J398" s="5">
        <v>45251</v>
      </c>
      <c r="K398" s="5">
        <v>45251</v>
      </c>
      <c r="L398" s="11">
        <v>20</v>
      </c>
    </row>
    <row r="399" s="1" customFormat="1" spans="1:12">
      <c r="A399" s="3" t="s">
        <v>508</v>
      </c>
      <c r="B399" s="3" t="s">
        <v>518</v>
      </c>
      <c r="C399" s="3" t="s">
        <v>1693</v>
      </c>
      <c r="D399" s="3" t="s">
        <v>1694</v>
      </c>
      <c r="E399" s="3" t="s">
        <v>1679</v>
      </c>
      <c r="F399" s="3" t="s">
        <v>1680</v>
      </c>
      <c r="G399" s="3" t="s">
        <v>1695</v>
      </c>
      <c r="H399" s="3" t="s">
        <v>1695</v>
      </c>
      <c r="I399" s="3" t="s">
        <v>1696</v>
      </c>
      <c r="J399" s="5">
        <v>45272</v>
      </c>
      <c r="K399" s="5">
        <v>45272</v>
      </c>
      <c r="L399" s="11">
        <v>15</v>
      </c>
    </row>
    <row r="400" s="1" customFormat="1" spans="1:12">
      <c r="A400" s="3" t="s">
        <v>508</v>
      </c>
      <c r="B400" s="3" t="s">
        <v>518</v>
      </c>
      <c r="C400" s="3" t="s">
        <v>1721</v>
      </c>
      <c r="D400" s="3" t="s">
        <v>1722</v>
      </c>
      <c r="E400" s="3" t="s">
        <v>1679</v>
      </c>
      <c r="F400" s="3" t="s">
        <v>1680</v>
      </c>
      <c r="G400" s="3" t="s">
        <v>1723</v>
      </c>
      <c r="H400" s="3" t="s">
        <v>1723</v>
      </c>
      <c r="I400" s="3" t="s">
        <v>1696</v>
      </c>
      <c r="J400" s="5">
        <v>45286</v>
      </c>
      <c r="K400" s="5">
        <v>45286</v>
      </c>
      <c r="L400" s="11">
        <v>15</v>
      </c>
    </row>
    <row r="401" s="1" customFormat="1" spans="1:12">
      <c r="A401" s="3" t="s">
        <v>508</v>
      </c>
      <c r="B401" s="3" t="s">
        <v>518</v>
      </c>
      <c r="C401" s="3" t="s">
        <v>1707</v>
      </c>
      <c r="D401" s="3" t="s">
        <v>1708</v>
      </c>
      <c r="E401" s="3" t="s">
        <v>1679</v>
      </c>
      <c r="F401" s="3" t="s">
        <v>1680</v>
      </c>
      <c r="G401" s="3" t="s">
        <v>1709</v>
      </c>
      <c r="H401" s="3" t="s">
        <v>1709</v>
      </c>
      <c r="I401" s="3" t="s">
        <v>1696</v>
      </c>
      <c r="J401" s="5">
        <v>45289</v>
      </c>
      <c r="K401" s="5">
        <v>45289</v>
      </c>
      <c r="L401" s="11">
        <v>15</v>
      </c>
    </row>
    <row r="402" s="1" customFormat="1" spans="1:12">
      <c r="A402" s="3" t="s">
        <v>508</v>
      </c>
      <c r="B402" s="3" t="s">
        <v>518</v>
      </c>
      <c r="C402" s="3" t="s">
        <v>968</v>
      </c>
      <c r="D402" s="3" t="s">
        <v>969</v>
      </c>
      <c r="E402" s="3" t="s">
        <v>946</v>
      </c>
      <c r="F402" s="3" t="s">
        <v>947</v>
      </c>
      <c r="G402" s="3" t="s">
        <v>970</v>
      </c>
      <c r="H402" s="3" t="s">
        <v>970</v>
      </c>
      <c r="I402" s="3" t="s">
        <v>949</v>
      </c>
      <c r="J402" s="5">
        <v>45288</v>
      </c>
      <c r="K402" s="5">
        <v>45288</v>
      </c>
      <c r="L402" s="6">
        <v>11.28</v>
      </c>
    </row>
    <row r="403" s="1" customFormat="1" spans="1:12">
      <c r="A403" s="3" t="s">
        <v>508</v>
      </c>
      <c r="B403" s="3" t="s">
        <v>518</v>
      </c>
      <c r="C403" s="3" t="s">
        <v>1724</v>
      </c>
      <c r="D403" s="3" t="s">
        <v>1725</v>
      </c>
      <c r="E403" s="3" t="s">
        <v>1679</v>
      </c>
      <c r="F403" s="3" t="s">
        <v>1680</v>
      </c>
      <c r="G403" s="3" t="s">
        <v>1726</v>
      </c>
      <c r="H403" s="3" t="s">
        <v>1726</v>
      </c>
      <c r="I403" s="3" t="s">
        <v>1713</v>
      </c>
      <c r="J403" s="5">
        <v>45286</v>
      </c>
      <c r="K403" s="5">
        <v>45286</v>
      </c>
      <c r="L403" s="11">
        <v>-24.79</v>
      </c>
    </row>
    <row r="404" s="1" customFormat="1" spans="1:12">
      <c r="A404" s="3" t="s">
        <v>521</v>
      </c>
      <c r="B404" s="3" t="s">
        <v>597</v>
      </c>
      <c r="C404" s="3" t="s">
        <v>1750</v>
      </c>
      <c r="D404" s="3" t="s">
        <v>1751</v>
      </c>
      <c r="E404" s="3" t="s">
        <v>1679</v>
      </c>
      <c r="F404" s="3" t="s">
        <v>1680</v>
      </c>
      <c r="G404" s="3" t="s">
        <v>1752</v>
      </c>
      <c r="H404" s="3" t="s">
        <v>1752</v>
      </c>
      <c r="I404" s="3" t="s">
        <v>1713</v>
      </c>
      <c r="J404" s="5">
        <v>45376</v>
      </c>
      <c r="K404" s="5">
        <v>45376</v>
      </c>
      <c r="L404" s="11">
        <v>-68.82</v>
      </c>
    </row>
    <row r="405" s="1" customFormat="1" spans="1:12">
      <c r="A405" s="3" t="s">
        <v>521</v>
      </c>
      <c r="B405" s="3" t="s">
        <v>597</v>
      </c>
      <c r="C405" s="3" t="s">
        <v>1744</v>
      </c>
      <c r="D405" s="3" t="s">
        <v>1745</v>
      </c>
      <c r="E405" s="3" t="s">
        <v>1679</v>
      </c>
      <c r="F405" s="3" t="s">
        <v>1680</v>
      </c>
      <c r="G405" s="3" t="s">
        <v>1746</v>
      </c>
      <c r="H405" s="3" t="s">
        <v>1746</v>
      </c>
      <c r="I405" s="3" t="s">
        <v>1713</v>
      </c>
      <c r="J405" s="5">
        <v>45373</v>
      </c>
      <c r="K405" s="5">
        <v>45373</v>
      </c>
      <c r="L405" s="11">
        <v>-90.64</v>
      </c>
    </row>
    <row r="406" s="1" customFormat="1" spans="1:12">
      <c r="A406" s="3" t="s">
        <v>521</v>
      </c>
      <c r="B406" s="3" t="s">
        <v>597</v>
      </c>
      <c r="C406" s="3" t="s">
        <v>1747</v>
      </c>
      <c r="D406" s="3" t="s">
        <v>1748</v>
      </c>
      <c r="E406" s="3" t="s">
        <v>1679</v>
      </c>
      <c r="F406" s="3" t="s">
        <v>1680</v>
      </c>
      <c r="G406" s="3" t="s">
        <v>1749</v>
      </c>
      <c r="H406" s="3" t="s">
        <v>1749</v>
      </c>
      <c r="I406" s="3" t="s">
        <v>1713</v>
      </c>
      <c r="J406" s="5">
        <v>45373</v>
      </c>
      <c r="K406" s="5">
        <v>45373</v>
      </c>
      <c r="L406" s="11">
        <v>-596.07</v>
      </c>
    </row>
    <row r="407" s="1" customFormat="1" spans="1:12">
      <c r="A407" s="3" t="s">
        <v>508</v>
      </c>
      <c r="B407" s="3" t="s">
        <v>509</v>
      </c>
      <c r="C407" s="3" t="s">
        <v>1639</v>
      </c>
      <c r="D407" s="3" t="s">
        <v>1640</v>
      </c>
      <c r="E407" s="3" t="s">
        <v>1636</v>
      </c>
      <c r="F407" s="3" t="s">
        <v>1637</v>
      </c>
      <c r="G407" s="3" t="s">
        <v>1641</v>
      </c>
      <c r="H407" s="3" t="s">
        <v>1641</v>
      </c>
      <c r="I407" s="3" t="s">
        <v>1486</v>
      </c>
      <c r="J407" s="5">
        <v>45200</v>
      </c>
      <c r="K407" s="5">
        <v>45200</v>
      </c>
      <c r="L407" s="11">
        <v>-1937.5</v>
      </c>
    </row>
    <row r="408" s="1" customFormat="1" spans="1:12">
      <c r="A408" s="3" t="s">
        <v>508</v>
      </c>
      <c r="B408" s="3" t="s">
        <v>518</v>
      </c>
      <c r="C408" s="3" t="s">
        <v>1718</v>
      </c>
      <c r="D408" s="3" t="s">
        <v>1719</v>
      </c>
      <c r="E408" s="3" t="s">
        <v>1679</v>
      </c>
      <c r="F408" s="3" t="s">
        <v>1680</v>
      </c>
      <c r="G408" s="3" t="s">
        <v>1720</v>
      </c>
      <c r="H408" s="3" t="s">
        <v>1720</v>
      </c>
      <c r="I408" s="3" t="s">
        <v>1713</v>
      </c>
      <c r="J408" s="5">
        <v>45286</v>
      </c>
      <c r="K408" s="5">
        <v>45286</v>
      </c>
      <c r="L408" s="11">
        <v>-2708.04</v>
      </c>
    </row>
    <row r="409" s="1" customFormat="1" spans="1:12">
      <c r="A409" s="3" t="s">
        <v>521</v>
      </c>
      <c r="B409" s="3" t="s">
        <v>895</v>
      </c>
      <c r="C409" s="3" t="s">
        <v>1536</v>
      </c>
      <c r="D409" s="3" t="s">
        <v>1548</v>
      </c>
      <c r="E409" s="3" t="s">
        <v>1483</v>
      </c>
      <c r="F409" s="3" t="s">
        <v>1484</v>
      </c>
      <c r="G409" s="3" t="s">
        <v>1538</v>
      </c>
      <c r="H409" s="3" t="s">
        <v>1538</v>
      </c>
      <c r="I409" s="3" t="s">
        <v>1486</v>
      </c>
      <c r="J409" s="5">
        <v>45383</v>
      </c>
      <c r="K409" s="5">
        <v>45383</v>
      </c>
      <c r="L409" s="11">
        <v>-3077.78</v>
      </c>
    </row>
    <row r="410" s="1" customFormat="1" spans="1:12">
      <c r="A410" s="3" t="s">
        <v>521</v>
      </c>
      <c r="B410" s="3" t="s">
        <v>597</v>
      </c>
      <c r="C410" s="3" t="s">
        <v>1710</v>
      </c>
      <c r="D410" s="3" t="s">
        <v>1711</v>
      </c>
      <c r="E410" s="3" t="s">
        <v>1679</v>
      </c>
      <c r="F410" s="3" t="s">
        <v>1680</v>
      </c>
      <c r="G410" s="3" t="s">
        <v>1712</v>
      </c>
      <c r="H410" s="3" t="s">
        <v>1712</v>
      </c>
      <c r="I410" s="3" t="s">
        <v>1713</v>
      </c>
      <c r="J410" s="5">
        <v>45373</v>
      </c>
      <c r="K410" s="5">
        <v>45373</v>
      </c>
      <c r="L410" s="11">
        <v>-3430.45</v>
      </c>
    </row>
    <row r="411" s="1" customFormat="1" spans="1:12">
      <c r="A411" s="3" t="s">
        <v>508</v>
      </c>
      <c r="B411" s="3" t="s">
        <v>542</v>
      </c>
      <c r="C411" s="3" t="s">
        <v>658</v>
      </c>
      <c r="D411" s="3" t="s">
        <v>659</v>
      </c>
      <c r="E411" s="3" t="s">
        <v>660</v>
      </c>
      <c r="F411" s="3" t="s">
        <v>661</v>
      </c>
      <c r="G411" s="3" t="s">
        <v>662</v>
      </c>
      <c r="H411" s="3" t="s">
        <v>662</v>
      </c>
      <c r="I411" s="3" t="s">
        <v>663</v>
      </c>
      <c r="J411" s="5">
        <v>45253</v>
      </c>
      <c r="K411" s="5">
        <v>45253</v>
      </c>
      <c r="L411" s="6">
        <v>-3681.91</v>
      </c>
    </row>
    <row r="412" s="1" customFormat="1" spans="1:12">
      <c r="A412" s="3" t="s">
        <v>508</v>
      </c>
      <c r="B412" s="3" t="s">
        <v>518</v>
      </c>
      <c r="C412" s="3" t="s">
        <v>1727</v>
      </c>
      <c r="D412" s="3" t="s">
        <v>1728</v>
      </c>
      <c r="E412" s="3" t="s">
        <v>1679</v>
      </c>
      <c r="F412" s="3" t="s">
        <v>1680</v>
      </c>
      <c r="G412" s="3" t="s">
        <v>1729</v>
      </c>
      <c r="H412" s="3" t="s">
        <v>1729</v>
      </c>
      <c r="I412" s="3" t="s">
        <v>1713</v>
      </c>
      <c r="J412" s="5">
        <v>45286</v>
      </c>
      <c r="K412" s="5">
        <v>45286</v>
      </c>
      <c r="L412" s="11">
        <v>-4013.82</v>
      </c>
    </row>
    <row r="413" s="1" customFormat="1" spans="1:12">
      <c r="A413" s="3" t="s">
        <v>521</v>
      </c>
      <c r="B413" s="3" t="s">
        <v>823</v>
      </c>
      <c r="C413" s="3" t="s">
        <v>1500</v>
      </c>
      <c r="D413" s="3" t="s">
        <v>1506</v>
      </c>
      <c r="E413" s="3" t="s">
        <v>1483</v>
      </c>
      <c r="F413" s="3" t="s">
        <v>1484</v>
      </c>
      <c r="G413" s="3" t="s">
        <v>1502</v>
      </c>
      <c r="H413" s="3" t="s">
        <v>1502</v>
      </c>
      <c r="I413" s="3" t="s">
        <v>1486</v>
      </c>
      <c r="J413" s="5">
        <v>45292</v>
      </c>
      <c r="K413" s="5">
        <v>45292</v>
      </c>
      <c r="L413" s="11">
        <v>-8494.44</v>
      </c>
    </row>
    <row r="414" s="1" customFormat="1" spans="1:12">
      <c r="A414" s="3" t="s">
        <v>521</v>
      </c>
      <c r="B414" s="3" t="s">
        <v>895</v>
      </c>
      <c r="C414" s="3" t="s">
        <v>1536</v>
      </c>
      <c r="D414" s="3" t="s">
        <v>1554</v>
      </c>
      <c r="E414" s="3" t="s">
        <v>1483</v>
      </c>
      <c r="F414" s="3" t="s">
        <v>1484</v>
      </c>
      <c r="G414" s="3" t="s">
        <v>1538</v>
      </c>
      <c r="H414" s="3" t="s">
        <v>1538</v>
      </c>
      <c r="I414" s="3" t="s">
        <v>1486</v>
      </c>
      <c r="J414" s="5">
        <v>45383</v>
      </c>
      <c r="K414" s="5">
        <v>45383</v>
      </c>
      <c r="L414" s="11">
        <v>-8494.44</v>
      </c>
    </row>
    <row r="415" s="1" customFormat="1" spans="1:12">
      <c r="A415" s="3" t="s">
        <v>508</v>
      </c>
      <c r="B415" s="3" t="s">
        <v>542</v>
      </c>
      <c r="C415" s="3"/>
      <c r="D415" s="3" t="s">
        <v>1655</v>
      </c>
      <c r="E415" s="3" t="s">
        <v>1636</v>
      </c>
      <c r="F415" s="3" t="s">
        <v>1637</v>
      </c>
      <c r="G415" s="3" t="s">
        <v>1641</v>
      </c>
      <c r="H415" s="3" t="s">
        <v>1641</v>
      </c>
      <c r="I415" s="3" t="s">
        <v>1486</v>
      </c>
      <c r="J415" s="5">
        <v>45231</v>
      </c>
      <c r="K415" s="5">
        <v>45231</v>
      </c>
      <c r="L415" s="11">
        <v>-11947.92</v>
      </c>
    </row>
    <row r="416" s="1" customFormat="1" spans="1:12">
      <c r="A416" s="3" t="s">
        <v>521</v>
      </c>
      <c r="B416" s="3" t="s">
        <v>562</v>
      </c>
      <c r="C416" s="3" t="s">
        <v>1562</v>
      </c>
      <c r="D416" s="3" t="s">
        <v>1577</v>
      </c>
      <c r="E416" s="3" t="s">
        <v>1483</v>
      </c>
      <c r="F416" s="3" t="s">
        <v>1484</v>
      </c>
      <c r="G416" s="3" t="s">
        <v>1564</v>
      </c>
      <c r="H416" s="3" t="s">
        <v>1564</v>
      </c>
      <c r="I416" s="3" t="s">
        <v>1486</v>
      </c>
      <c r="J416" s="5">
        <v>45413</v>
      </c>
      <c r="K416" s="5">
        <v>45413</v>
      </c>
      <c r="L416" s="11">
        <v>-12311.11</v>
      </c>
    </row>
    <row r="417" s="1" customFormat="1" spans="1:12">
      <c r="A417" s="3" t="s">
        <v>508</v>
      </c>
      <c r="B417" s="3" t="s">
        <v>518</v>
      </c>
      <c r="C417" s="3" t="s">
        <v>1487</v>
      </c>
      <c r="D417" s="3" t="s">
        <v>1660</v>
      </c>
      <c r="E417" s="3" t="s">
        <v>1636</v>
      </c>
      <c r="F417" s="3" t="s">
        <v>1637</v>
      </c>
      <c r="G417" s="3" t="s">
        <v>1489</v>
      </c>
      <c r="H417" s="3" t="s">
        <v>1489</v>
      </c>
      <c r="I417" s="3" t="s">
        <v>1486</v>
      </c>
      <c r="J417" s="5">
        <v>45261</v>
      </c>
      <c r="K417" s="5">
        <v>45261</v>
      </c>
      <c r="L417" s="11">
        <v>-15672.22</v>
      </c>
    </row>
    <row r="418" s="1" customFormat="1" spans="1:12">
      <c r="A418" s="3" t="s">
        <v>521</v>
      </c>
      <c r="B418" s="3" t="s">
        <v>895</v>
      </c>
      <c r="C418" s="3" t="s">
        <v>1536</v>
      </c>
      <c r="D418" s="3" t="s">
        <v>1553</v>
      </c>
      <c r="E418" s="3" t="s">
        <v>1483</v>
      </c>
      <c r="F418" s="3" t="s">
        <v>1484</v>
      </c>
      <c r="G418" s="3" t="s">
        <v>1538</v>
      </c>
      <c r="H418" s="3" t="s">
        <v>1538</v>
      </c>
      <c r="I418" s="3" t="s">
        <v>1486</v>
      </c>
      <c r="J418" s="5">
        <v>45383</v>
      </c>
      <c r="K418" s="5">
        <v>45383</v>
      </c>
      <c r="L418" s="11">
        <v>-16988.89</v>
      </c>
    </row>
    <row r="419" s="1" customFormat="1" spans="1:12">
      <c r="A419" s="3" t="s">
        <v>521</v>
      </c>
      <c r="B419" s="3" t="s">
        <v>530</v>
      </c>
      <c r="C419" s="3"/>
      <c r="D419" s="3" t="s">
        <v>1601</v>
      </c>
      <c r="E419" s="3" t="s">
        <v>1483</v>
      </c>
      <c r="F419" s="3" t="s">
        <v>1484</v>
      </c>
      <c r="G419" s="3" t="s">
        <v>1538</v>
      </c>
      <c r="H419" s="3" t="s">
        <v>1538</v>
      </c>
      <c r="I419" s="3" t="s">
        <v>1486</v>
      </c>
      <c r="J419" s="5">
        <v>45444</v>
      </c>
      <c r="K419" s="5">
        <v>45444</v>
      </c>
      <c r="L419" s="11">
        <v>-21852.22</v>
      </c>
    </row>
    <row r="420" s="1" customFormat="1" spans="1:12">
      <c r="A420" s="3" t="s">
        <v>521</v>
      </c>
      <c r="B420" s="3" t="s">
        <v>530</v>
      </c>
      <c r="C420" s="3"/>
      <c r="D420" s="3" t="s">
        <v>1578</v>
      </c>
      <c r="E420" s="3" t="s">
        <v>1483</v>
      </c>
      <c r="F420" s="3" t="s">
        <v>1484</v>
      </c>
      <c r="G420" s="3" t="s">
        <v>1579</v>
      </c>
      <c r="H420" s="3" t="s">
        <v>1579</v>
      </c>
      <c r="I420" s="3" t="s">
        <v>1486</v>
      </c>
      <c r="J420" s="5">
        <v>45444</v>
      </c>
      <c r="K420" s="5">
        <v>45443</v>
      </c>
      <c r="L420" s="11">
        <v>-27084.45</v>
      </c>
    </row>
    <row r="421" s="1" customFormat="1" spans="1:12">
      <c r="A421" s="3" t="s">
        <v>521</v>
      </c>
      <c r="B421" s="3" t="s">
        <v>562</v>
      </c>
      <c r="C421" s="3" t="s">
        <v>1580</v>
      </c>
      <c r="D421" s="3" t="s">
        <v>1581</v>
      </c>
      <c r="E421" s="3" t="s">
        <v>1483</v>
      </c>
      <c r="F421" s="3" t="s">
        <v>1484</v>
      </c>
      <c r="G421" s="3" t="s">
        <v>1582</v>
      </c>
      <c r="H421" s="3" t="s">
        <v>1583</v>
      </c>
      <c r="I421" s="3" t="s">
        <v>1486</v>
      </c>
      <c r="J421" s="5">
        <v>45433</v>
      </c>
      <c r="K421" s="5">
        <v>45433</v>
      </c>
      <c r="L421" s="11">
        <v>-30668.58</v>
      </c>
    </row>
    <row r="422" s="1" customFormat="1" spans="1:12">
      <c r="A422" s="3" t="s">
        <v>521</v>
      </c>
      <c r="B422" s="3" t="s">
        <v>562</v>
      </c>
      <c r="C422" s="3" t="s">
        <v>1562</v>
      </c>
      <c r="D422" s="3" t="s">
        <v>1573</v>
      </c>
      <c r="E422" s="3" t="s">
        <v>1483</v>
      </c>
      <c r="F422" s="3" t="s">
        <v>1484</v>
      </c>
      <c r="G422" s="3" t="s">
        <v>1564</v>
      </c>
      <c r="H422" s="3" t="s">
        <v>1564</v>
      </c>
      <c r="I422" s="3" t="s">
        <v>1486</v>
      </c>
      <c r="J422" s="5">
        <v>45413</v>
      </c>
      <c r="K422" s="5">
        <v>45413</v>
      </c>
      <c r="L422" s="11">
        <v>-31661.11</v>
      </c>
    </row>
    <row r="423" s="1" customFormat="1" spans="1:12">
      <c r="A423" s="3" t="s">
        <v>521</v>
      </c>
      <c r="B423" s="3" t="s">
        <v>522</v>
      </c>
      <c r="C423" s="3" t="s">
        <v>1513</v>
      </c>
      <c r="D423" s="3" t="s">
        <v>1520</v>
      </c>
      <c r="E423" s="3" t="s">
        <v>1483</v>
      </c>
      <c r="F423" s="3" t="s">
        <v>1484</v>
      </c>
      <c r="G423" s="3" t="s">
        <v>1515</v>
      </c>
      <c r="H423" s="3" t="s">
        <v>1515</v>
      </c>
      <c r="I423" s="3" t="s">
        <v>1486</v>
      </c>
      <c r="J423" s="5">
        <v>45323</v>
      </c>
      <c r="K423" s="5">
        <v>45323</v>
      </c>
      <c r="L423" s="11">
        <v>-32433.33</v>
      </c>
    </row>
    <row r="424" s="1" customFormat="1" spans="1:12">
      <c r="A424" s="3" t="s">
        <v>521</v>
      </c>
      <c r="B424" s="3" t="s">
        <v>823</v>
      </c>
      <c r="C424" s="3" t="s">
        <v>1500</v>
      </c>
      <c r="D424" s="3" t="s">
        <v>1505</v>
      </c>
      <c r="E424" s="3" t="s">
        <v>1483</v>
      </c>
      <c r="F424" s="3" t="s">
        <v>1484</v>
      </c>
      <c r="G424" s="3" t="s">
        <v>1502</v>
      </c>
      <c r="H424" s="3" t="s">
        <v>1502</v>
      </c>
      <c r="I424" s="3" t="s">
        <v>1486</v>
      </c>
      <c r="J424" s="5">
        <v>45292</v>
      </c>
      <c r="K424" s="5">
        <v>45292</v>
      </c>
      <c r="L424" s="11">
        <v>-42472.22</v>
      </c>
    </row>
    <row r="425" s="1" customFormat="1" spans="1:12">
      <c r="A425" s="3" t="s">
        <v>521</v>
      </c>
      <c r="B425" s="3" t="s">
        <v>895</v>
      </c>
      <c r="C425" s="3" t="s">
        <v>1536</v>
      </c>
      <c r="D425" s="3" t="s">
        <v>1537</v>
      </c>
      <c r="E425" s="3" t="s">
        <v>1483</v>
      </c>
      <c r="F425" s="3" t="s">
        <v>1484</v>
      </c>
      <c r="G425" s="3" t="s">
        <v>1538</v>
      </c>
      <c r="H425" s="3" t="s">
        <v>1538</v>
      </c>
      <c r="I425" s="3" t="s">
        <v>1486</v>
      </c>
      <c r="J425" s="5">
        <v>45383</v>
      </c>
      <c r="K425" s="5">
        <v>45383</v>
      </c>
      <c r="L425" s="11">
        <v>-42472.22</v>
      </c>
    </row>
    <row r="426" s="1" customFormat="1" spans="1:12">
      <c r="A426" s="3" t="s">
        <v>508</v>
      </c>
      <c r="B426" s="3" t="s">
        <v>518</v>
      </c>
      <c r="C426" s="3" t="s">
        <v>1663</v>
      </c>
      <c r="D426" s="3" t="s">
        <v>1664</v>
      </c>
      <c r="E426" s="3" t="s">
        <v>1636</v>
      </c>
      <c r="F426" s="3" t="s">
        <v>1637</v>
      </c>
      <c r="G426" s="3" t="s">
        <v>1665</v>
      </c>
      <c r="H426" s="3" t="s">
        <v>1665</v>
      </c>
      <c r="I426" s="3" t="s">
        <v>1486</v>
      </c>
      <c r="J426" s="5">
        <v>45291</v>
      </c>
      <c r="K426" s="5">
        <v>45275</v>
      </c>
      <c r="L426" s="11">
        <v>-43098.61</v>
      </c>
    </row>
    <row r="427" s="1" customFormat="1" spans="1:12">
      <c r="A427" s="3" t="s">
        <v>508</v>
      </c>
      <c r="B427" s="3" t="s">
        <v>518</v>
      </c>
      <c r="C427" s="3" t="s">
        <v>1487</v>
      </c>
      <c r="D427" s="3" t="s">
        <v>1662</v>
      </c>
      <c r="E427" s="3" t="s">
        <v>1636</v>
      </c>
      <c r="F427" s="3" t="s">
        <v>1637</v>
      </c>
      <c r="G427" s="3" t="s">
        <v>1489</v>
      </c>
      <c r="H427" s="3" t="s">
        <v>1489</v>
      </c>
      <c r="I427" s="3" t="s">
        <v>1486</v>
      </c>
      <c r="J427" s="5">
        <v>45261</v>
      </c>
      <c r="K427" s="5">
        <v>45261</v>
      </c>
      <c r="L427" s="11">
        <v>-44000</v>
      </c>
    </row>
    <row r="428" s="1" customFormat="1" spans="1:12">
      <c r="A428" s="3" t="s">
        <v>521</v>
      </c>
      <c r="B428" s="3" t="s">
        <v>522</v>
      </c>
      <c r="C428" s="3" t="s">
        <v>1513</v>
      </c>
      <c r="D428" s="3" t="s">
        <v>1517</v>
      </c>
      <c r="E428" s="3" t="s">
        <v>1483</v>
      </c>
      <c r="F428" s="3" t="s">
        <v>1484</v>
      </c>
      <c r="G428" s="3" t="s">
        <v>1515</v>
      </c>
      <c r="H428" s="3" t="s">
        <v>1515</v>
      </c>
      <c r="I428" s="3" t="s">
        <v>1486</v>
      </c>
      <c r="J428" s="5">
        <v>45323</v>
      </c>
      <c r="K428" s="5">
        <v>45323</v>
      </c>
      <c r="L428" s="11">
        <v>-46333.33</v>
      </c>
    </row>
    <row r="429" s="1" customFormat="1" spans="1:12">
      <c r="A429" s="3" t="s">
        <v>521</v>
      </c>
      <c r="B429" s="3" t="s">
        <v>597</v>
      </c>
      <c r="C429" s="3" t="s">
        <v>1521</v>
      </c>
      <c r="D429" s="3" t="s">
        <v>1522</v>
      </c>
      <c r="E429" s="3" t="s">
        <v>1483</v>
      </c>
      <c r="F429" s="3" t="s">
        <v>1484</v>
      </c>
      <c r="G429" s="3" t="s">
        <v>1523</v>
      </c>
      <c r="H429" s="3" t="s">
        <v>1523</v>
      </c>
      <c r="I429" s="3" t="s">
        <v>1486</v>
      </c>
      <c r="J429" s="5">
        <v>45352</v>
      </c>
      <c r="K429" s="5">
        <v>45352</v>
      </c>
      <c r="L429" s="11">
        <v>-54827.78</v>
      </c>
    </row>
    <row r="430" s="1" customFormat="1" spans="1:12">
      <c r="A430" s="3" t="s">
        <v>521</v>
      </c>
      <c r="B430" s="3" t="s">
        <v>530</v>
      </c>
      <c r="C430" s="3"/>
      <c r="D430" s="3" t="s">
        <v>1590</v>
      </c>
      <c r="E430" s="3" t="s">
        <v>1483</v>
      </c>
      <c r="F430" s="3" t="s">
        <v>1484</v>
      </c>
      <c r="G430" s="3" t="s">
        <v>1538</v>
      </c>
      <c r="H430" s="3" t="s">
        <v>1538</v>
      </c>
      <c r="I430" s="3" t="s">
        <v>1486</v>
      </c>
      <c r="J430" s="5">
        <v>45444</v>
      </c>
      <c r="K430" s="5">
        <v>45444</v>
      </c>
      <c r="L430" s="11">
        <v>-55600</v>
      </c>
    </row>
    <row r="431" s="1" customFormat="1" spans="1:12">
      <c r="A431" s="3" t="s">
        <v>521</v>
      </c>
      <c r="B431" s="3" t="s">
        <v>562</v>
      </c>
      <c r="C431" s="3" t="s">
        <v>1562</v>
      </c>
      <c r="D431" s="3" t="s">
        <v>1563</v>
      </c>
      <c r="E431" s="3" t="s">
        <v>1483</v>
      </c>
      <c r="F431" s="3" t="s">
        <v>1484</v>
      </c>
      <c r="G431" s="3" t="s">
        <v>1564</v>
      </c>
      <c r="H431" s="3" t="s">
        <v>1564</v>
      </c>
      <c r="I431" s="3" t="s">
        <v>1486</v>
      </c>
      <c r="J431" s="5">
        <v>45413</v>
      </c>
      <c r="K431" s="5">
        <v>45413</v>
      </c>
      <c r="L431" s="11">
        <v>-63322.22</v>
      </c>
    </row>
    <row r="432" s="1" customFormat="1" spans="1:12">
      <c r="A432" s="3" t="s">
        <v>508</v>
      </c>
      <c r="B432" s="3" t="s">
        <v>542</v>
      </c>
      <c r="C432" s="3"/>
      <c r="D432" s="3" t="s">
        <v>1644</v>
      </c>
      <c r="E432" s="3" t="s">
        <v>1636</v>
      </c>
      <c r="F432" s="3" t="s">
        <v>1637</v>
      </c>
      <c r="G432" s="3" t="s">
        <v>1641</v>
      </c>
      <c r="H432" s="3" t="s">
        <v>1641</v>
      </c>
      <c r="I432" s="3" t="s">
        <v>1486</v>
      </c>
      <c r="J432" s="5">
        <v>45231</v>
      </c>
      <c r="K432" s="5">
        <v>45231</v>
      </c>
      <c r="L432" s="11">
        <v>-70525</v>
      </c>
    </row>
    <row r="433" s="1" customFormat="1" spans="1:12">
      <c r="A433" s="3" t="s">
        <v>508</v>
      </c>
      <c r="B433" s="3" t="s">
        <v>518</v>
      </c>
      <c r="C433" s="3" t="s">
        <v>1487</v>
      </c>
      <c r="D433" s="3" t="s">
        <v>1488</v>
      </c>
      <c r="E433" s="3" t="s">
        <v>1483</v>
      </c>
      <c r="F433" s="3" t="s">
        <v>1484</v>
      </c>
      <c r="G433" s="3" t="s">
        <v>1489</v>
      </c>
      <c r="H433" s="3" t="s">
        <v>1489</v>
      </c>
      <c r="I433" s="3" t="s">
        <v>1486</v>
      </c>
      <c r="J433" s="5">
        <v>45261</v>
      </c>
      <c r="K433" s="5">
        <v>45261</v>
      </c>
      <c r="L433" s="11">
        <v>-81083.33</v>
      </c>
    </row>
    <row r="434" s="1" customFormat="1" spans="1:12">
      <c r="A434" s="3" t="s">
        <v>521</v>
      </c>
      <c r="B434" s="3" t="s">
        <v>597</v>
      </c>
      <c r="C434" s="3" t="s">
        <v>1521</v>
      </c>
      <c r="D434" s="3" t="s">
        <v>1528</v>
      </c>
      <c r="E434" s="3" t="s">
        <v>1483</v>
      </c>
      <c r="F434" s="3" t="s">
        <v>1484</v>
      </c>
      <c r="G434" s="3" t="s">
        <v>1523</v>
      </c>
      <c r="H434" s="3" t="s">
        <v>1523</v>
      </c>
      <c r="I434" s="3" t="s">
        <v>1486</v>
      </c>
      <c r="J434" s="5">
        <v>45352</v>
      </c>
      <c r="K434" s="5">
        <v>45352</v>
      </c>
      <c r="L434" s="11">
        <v>-91122.22</v>
      </c>
    </row>
    <row r="435" s="1" customFormat="1" spans="1:12">
      <c r="A435" s="3" t="s">
        <v>521</v>
      </c>
      <c r="B435" s="3" t="s">
        <v>823</v>
      </c>
      <c r="C435" s="3" t="s">
        <v>1500</v>
      </c>
      <c r="D435" s="3" t="s">
        <v>1501</v>
      </c>
      <c r="E435" s="3" t="s">
        <v>1483</v>
      </c>
      <c r="F435" s="3" t="s">
        <v>1484</v>
      </c>
      <c r="G435" s="3" t="s">
        <v>1502</v>
      </c>
      <c r="H435" s="3" t="s">
        <v>1502</v>
      </c>
      <c r="I435" s="3" t="s">
        <v>1486</v>
      </c>
      <c r="J435" s="5">
        <v>45292</v>
      </c>
      <c r="K435" s="5">
        <v>45292</v>
      </c>
      <c r="L435" s="11">
        <v>-92333.33</v>
      </c>
    </row>
    <row r="436" s="1" customFormat="1" spans="1:12">
      <c r="A436" s="3" t="s">
        <v>521</v>
      </c>
      <c r="B436" s="3" t="s">
        <v>895</v>
      </c>
      <c r="C436" s="3" t="s">
        <v>1536</v>
      </c>
      <c r="D436" s="3" t="s">
        <v>1550</v>
      </c>
      <c r="E436" s="3" t="s">
        <v>1483</v>
      </c>
      <c r="F436" s="3" t="s">
        <v>1484</v>
      </c>
      <c r="G436" s="3" t="s">
        <v>1538</v>
      </c>
      <c r="H436" s="3" t="s">
        <v>1538</v>
      </c>
      <c r="I436" s="3" t="s">
        <v>1486</v>
      </c>
      <c r="J436" s="5">
        <v>45383</v>
      </c>
      <c r="K436" s="5">
        <v>45383</v>
      </c>
      <c r="L436" s="11">
        <v>-101566.67</v>
      </c>
    </row>
    <row r="437" s="1" customFormat="1" spans="1:12">
      <c r="A437" s="3" t="s">
        <v>521</v>
      </c>
      <c r="B437" s="3" t="s">
        <v>530</v>
      </c>
      <c r="C437" s="3"/>
      <c r="D437" s="3" t="s">
        <v>1599</v>
      </c>
      <c r="E437" s="3" t="s">
        <v>1483</v>
      </c>
      <c r="F437" s="3" t="s">
        <v>1484</v>
      </c>
      <c r="G437" s="3" t="s">
        <v>1538</v>
      </c>
      <c r="H437" s="3" t="s">
        <v>1538</v>
      </c>
      <c r="I437" s="3" t="s">
        <v>1486</v>
      </c>
      <c r="J437" s="5">
        <v>45444</v>
      </c>
      <c r="K437" s="5">
        <v>45444</v>
      </c>
      <c r="L437" s="11">
        <v>-111200</v>
      </c>
    </row>
    <row r="438" s="1" customFormat="1" spans="1:12">
      <c r="A438" s="3" t="s">
        <v>521</v>
      </c>
      <c r="B438" s="3" t="s">
        <v>895</v>
      </c>
      <c r="C438" s="3" t="s">
        <v>1567</v>
      </c>
      <c r="D438" s="3" t="s">
        <v>1568</v>
      </c>
      <c r="E438" s="3" t="s">
        <v>1483</v>
      </c>
      <c r="F438" s="3" t="s">
        <v>1484</v>
      </c>
      <c r="G438" s="3" t="s">
        <v>1569</v>
      </c>
      <c r="H438" s="3" t="s">
        <v>1569</v>
      </c>
      <c r="I438" s="3" t="s">
        <v>1486</v>
      </c>
      <c r="J438" s="5">
        <v>45404</v>
      </c>
      <c r="K438" s="5">
        <v>45404</v>
      </c>
      <c r="L438" s="11">
        <v>-119706.41</v>
      </c>
    </row>
    <row r="439" s="1" customFormat="1" spans="1:12">
      <c r="A439" s="3" t="s">
        <v>521</v>
      </c>
      <c r="B439" s="3" t="s">
        <v>597</v>
      </c>
      <c r="C439" s="3" t="s">
        <v>1533</v>
      </c>
      <c r="D439" s="3" t="s">
        <v>1543</v>
      </c>
      <c r="E439" s="3" t="s">
        <v>1483</v>
      </c>
      <c r="F439" s="3" t="s">
        <v>1484</v>
      </c>
      <c r="G439" s="3" t="s">
        <v>1544</v>
      </c>
      <c r="H439" s="3" t="s">
        <v>1544</v>
      </c>
      <c r="I439" s="3" t="s">
        <v>1486</v>
      </c>
      <c r="J439" s="5">
        <v>45382</v>
      </c>
      <c r="K439" s="5">
        <v>45372</v>
      </c>
      <c r="L439" s="11">
        <v>-122011.11</v>
      </c>
    </row>
    <row r="440" s="1" customFormat="1" spans="1:12">
      <c r="A440" s="3" t="s">
        <v>521</v>
      </c>
      <c r="B440" s="3" t="s">
        <v>597</v>
      </c>
      <c r="C440" s="3" t="s">
        <v>1533</v>
      </c>
      <c r="D440" s="3" t="s">
        <v>1541</v>
      </c>
      <c r="E440" s="3" t="s">
        <v>1483</v>
      </c>
      <c r="F440" s="3" t="s">
        <v>1484</v>
      </c>
      <c r="G440" s="3" t="s">
        <v>1542</v>
      </c>
      <c r="H440" s="3" t="s">
        <v>1542</v>
      </c>
      <c r="I440" s="3" t="s">
        <v>1486</v>
      </c>
      <c r="J440" s="5">
        <v>45382</v>
      </c>
      <c r="K440" s="5">
        <v>45372</v>
      </c>
      <c r="L440" s="11">
        <v>-122011.13</v>
      </c>
    </row>
    <row r="441" s="1" customFormat="1" spans="1:12">
      <c r="A441" s="3" t="s">
        <v>508</v>
      </c>
      <c r="B441" s="3" t="s">
        <v>518</v>
      </c>
      <c r="C441" s="3" t="s">
        <v>1487</v>
      </c>
      <c r="D441" s="3" t="s">
        <v>1660</v>
      </c>
      <c r="E441" s="3" t="s">
        <v>1636</v>
      </c>
      <c r="F441" s="3" t="s">
        <v>1637</v>
      </c>
      <c r="G441" s="3" t="s">
        <v>1489</v>
      </c>
      <c r="H441" s="3" t="s">
        <v>1489</v>
      </c>
      <c r="I441" s="3" t="s">
        <v>1486</v>
      </c>
      <c r="J441" s="5">
        <v>45261</v>
      </c>
      <c r="K441" s="5">
        <v>45261</v>
      </c>
      <c r="L441" s="11">
        <v>-144408.33</v>
      </c>
    </row>
    <row r="442" s="1" customFormat="1" spans="1:12">
      <c r="A442" s="3" t="s">
        <v>521</v>
      </c>
      <c r="B442" s="3" t="s">
        <v>562</v>
      </c>
      <c r="C442" s="3" t="s">
        <v>1562</v>
      </c>
      <c r="D442" s="3" t="s">
        <v>1571</v>
      </c>
      <c r="E442" s="3" t="s">
        <v>1483</v>
      </c>
      <c r="F442" s="3" t="s">
        <v>1484</v>
      </c>
      <c r="G442" s="3" t="s">
        <v>1564</v>
      </c>
      <c r="H442" s="3" t="s">
        <v>1564</v>
      </c>
      <c r="I442" s="3" t="s">
        <v>1486</v>
      </c>
      <c r="J442" s="5">
        <v>45413</v>
      </c>
      <c r="K442" s="5">
        <v>45413</v>
      </c>
      <c r="L442" s="11">
        <v>-158305.55</v>
      </c>
    </row>
    <row r="443" s="1" customFormat="1" spans="1:12">
      <c r="A443" s="3" t="s">
        <v>521</v>
      </c>
      <c r="B443" s="3" t="s">
        <v>522</v>
      </c>
      <c r="C443" s="3" t="s">
        <v>1513</v>
      </c>
      <c r="D443" s="3" t="s">
        <v>1514</v>
      </c>
      <c r="E443" s="3" t="s">
        <v>1483</v>
      </c>
      <c r="F443" s="3" t="s">
        <v>1484</v>
      </c>
      <c r="G443" s="3" t="s">
        <v>1515</v>
      </c>
      <c r="H443" s="3" t="s">
        <v>1515</v>
      </c>
      <c r="I443" s="3" t="s">
        <v>1486</v>
      </c>
      <c r="J443" s="5">
        <v>45323</v>
      </c>
      <c r="K443" s="5">
        <v>45323</v>
      </c>
      <c r="L443" s="11">
        <v>-162166.67</v>
      </c>
    </row>
    <row r="444" s="1" customFormat="1" spans="1:12">
      <c r="A444" s="3" t="s">
        <v>521</v>
      </c>
      <c r="B444" s="3" t="s">
        <v>597</v>
      </c>
      <c r="C444" s="3" t="s">
        <v>1521</v>
      </c>
      <c r="D444" s="3" t="s">
        <v>1530</v>
      </c>
      <c r="E444" s="3" t="s">
        <v>1483</v>
      </c>
      <c r="F444" s="3" t="s">
        <v>1484</v>
      </c>
      <c r="G444" s="3" t="s">
        <v>1523</v>
      </c>
      <c r="H444" s="3" t="s">
        <v>1523</v>
      </c>
      <c r="I444" s="3" t="s">
        <v>1486</v>
      </c>
      <c r="J444" s="5">
        <v>45352</v>
      </c>
      <c r="K444" s="5">
        <v>45352</v>
      </c>
      <c r="L444" s="11">
        <v>-274138.89</v>
      </c>
    </row>
    <row r="445" s="1" customFormat="1" spans="1:12">
      <c r="A445" s="3" t="s">
        <v>521</v>
      </c>
      <c r="B445" s="3" t="s">
        <v>530</v>
      </c>
      <c r="C445" s="3"/>
      <c r="D445" s="3" t="s">
        <v>1592</v>
      </c>
      <c r="E445" s="3" t="s">
        <v>1483</v>
      </c>
      <c r="F445" s="3" t="s">
        <v>1484</v>
      </c>
      <c r="G445" s="3" t="s">
        <v>1538</v>
      </c>
      <c r="H445" s="3" t="s">
        <v>1538</v>
      </c>
      <c r="I445" s="3" t="s">
        <v>1486</v>
      </c>
      <c r="J445" s="5">
        <v>45444</v>
      </c>
      <c r="K445" s="5">
        <v>45444</v>
      </c>
      <c r="L445" s="11">
        <v>-278000</v>
      </c>
    </row>
    <row r="446" s="1" customFormat="1" spans="1:12">
      <c r="A446" s="3" t="s">
        <v>521</v>
      </c>
      <c r="B446" s="3" t="s">
        <v>562</v>
      </c>
      <c r="C446" s="3" t="s">
        <v>1562</v>
      </c>
      <c r="D446" s="3" t="s">
        <v>1575</v>
      </c>
      <c r="E446" s="3" t="s">
        <v>1483</v>
      </c>
      <c r="F446" s="3" t="s">
        <v>1484</v>
      </c>
      <c r="G446" s="3" t="s">
        <v>1564</v>
      </c>
      <c r="H446" s="3" t="s">
        <v>1564</v>
      </c>
      <c r="I446" s="3" t="s">
        <v>1486</v>
      </c>
      <c r="J446" s="5">
        <v>45413</v>
      </c>
      <c r="K446" s="5">
        <v>45413</v>
      </c>
      <c r="L446" s="11">
        <v>-378566.67</v>
      </c>
    </row>
    <row r="447" s="1" customFormat="1" spans="1:12">
      <c r="A447" s="3" t="s">
        <v>521</v>
      </c>
      <c r="B447" s="3" t="s">
        <v>522</v>
      </c>
      <c r="C447" s="3" t="s">
        <v>1513</v>
      </c>
      <c r="D447" s="3" t="s">
        <v>1519</v>
      </c>
      <c r="E447" s="3" t="s">
        <v>1483</v>
      </c>
      <c r="F447" s="3" t="s">
        <v>1484</v>
      </c>
      <c r="G447" s="3" t="s">
        <v>1515</v>
      </c>
      <c r="H447" s="3" t="s">
        <v>1515</v>
      </c>
      <c r="I447" s="3" t="s">
        <v>1486</v>
      </c>
      <c r="J447" s="5">
        <v>45323</v>
      </c>
      <c r="K447" s="5">
        <v>45323</v>
      </c>
      <c r="L447" s="11">
        <v>-378566.67</v>
      </c>
    </row>
    <row r="448" s="1" customFormat="1" spans="1:12">
      <c r="A448" s="3" t="s">
        <v>521</v>
      </c>
      <c r="B448" s="3" t="s">
        <v>597</v>
      </c>
      <c r="C448" s="3" t="s">
        <v>1521</v>
      </c>
      <c r="D448" s="3" t="s">
        <v>1532</v>
      </c>
      <c r="E448" s="3" t="s">
        <v>1483</v>
      </c>
      <c r="F448" s="3" t="s">
        <v>1484</v>
      </c>
      <c r="G448" s="3" t="s">
        <v>1523</v>
      </c>
      <c r="H448" s="3" t="s">
        <v>1523</v>
      </c>
      <c r="I448" s="3" t="s">
        <v>1486</v>
      </c>
      <c r="J448" s="5">
        <v>45352</v>
      </c>
      <c r="K448" s="5">
        <v>45352</v>
      </c>
      <c r="L448" s="11">
        <v>-646333.33</v>
      </c>
    </row>
    <row r="449" s="1" customFormat="1" spans="1:12">
      <c r="A449" s="3" t="s">
        <v>521</v>
      </c>
      <c r="B449" s="3" t="s">
        <v>530</v>
      </c>
      <c r="C449" s="3"/>
      <c r="D449" s="3" t="s">
        <v>1597</v>
      </c>
      <c r="E449" s="3" t="s">
        <v>1483</v>
      </c>
      <c r="F449" s="3" t="s">
        <v>1484</v>
      </c>
      <c r="G449" s="3" t="s">
        <v>1538</v>
      </c>
      <c r="H449" s="3" t="s">
        <v>1538</v>
      </c>
      <c r="I449" s="3" t="s">
        <v>1486</v>
      </c>
      <c r="J449" s="5">
        <v>45444</v>
      </c>
      <c r="K449" s="5">
        <v>45444</v>
      </c>
      <c r="L449" s="11">
        <v>-664800</v>
      </c>
    </row>
    <row r="450" s="1" customFormat="1" spans="1:12">
      <c r="A450" s="3" t="s">
        <v>521</v>
      </c>
      <c r="B450" s="3" t="s">
        <v>562</v>
      </c>
      <c r="C450" s="3" t="s">
        <v>1584</v>
      </c>
      <c r="D450" s="3" t="s">
        <v>1585</v>
      </c>
      <c r="E450" s="3" t="s">
        <v>1483</v>
      </c>
      <c r="F450" s="3" t="s">
        <v>1484</v>
      </c>
      <c r="G450" s="3" t="s">
        <v>1586</v>
      </c>
      <c r="H450" s="3" t="s">
        <v>1586</v>
      </c>
      <c r="I450" s="3" t="s">
        <v>1486</v>
      </c>
      <c r="J450" s="5">
        <v>45433</v>
      </c>
      <c r="K450" s="5">
        <v>45433</v>
      </c>
      <c r="L450" s="11">
        <v>-958852.22</v>
      </c>
    </row>
    <row r="451" s="1" customFormat="1" spans="1:12">
      <c r="A451" s="3" t="s">
        <v>521</v>
      </c>
      <c r="B451" s="3" t="s">
        <v>530</v>
      </c>
      <c r="C451" s="3" t="s">
        <v>479</v>
      </c>
      <c r="D451" s="3" t="s">
        <v>1276</v>
      </c>
      <c r="E451" s="3" t="s">
        <v>1259</v>
      </c>
      <c r="F451" s="3" t="s">
        <v>1260</v>
      </c>
      <c r="G451" s="3" t="s">
        <v>480</v>
      </c>
      <c r="H451" s="3" t="s">
        <v>480</v>
      </c>
      <c r="I451" s="3" t="s">
        <v>533</v>
      </c>
      <c r="J451" s="5">
        <v>45444</v>
      </c>
      <c r="K451" s="5">
        <v>45436</v>
      </c>
      <c r="L451" s="6">
        <v>-4117077.53</v>
      </c>
    </row>
    <row r="452" s="1" customFormat="1" spans="1:12">
      <c r="A452" s="3" t="s">
        <v>521</v>
      </c>
      <c r="B452" s="3" t="s">
        <v>522</v>
      </c>
      <c r="C452" s="3" t="s">
        <v>328</v>
      </c>
      <c r="D452" s="3" t="s">
        <v>536</v>
      </c>
      <c r="E452" s="3" t="s">
        <v>512</v>
      </c>
      <c r="F452" s="3" t="s">
        <v>513</v>
      </c>
      <c r="G452" s="3" t="s">
        <v>537</v>
      </c>
      <c r="H452" s="3" t="s">
        <v>537</v>
      </c>
      <c r="I452" s="3" t="s">
        <v>533</v>
      </c>
      <c r="J452" s="5">
        <v>45329</v>
      </c>
      <c r="K452" s="5">
        <v>45281</v>
      </c>
      <c r="L452" s="6">
        <v>-9272888.15</v>
      </c>
    </row>
    <row r="454" spans="12:12">
      <c r="L454" s="14">
        <f>SUM(L2:L453)</f>
        <v>328681303.85</v>
      </c>
    </row>
  </sheetData>
  <autoFilter ref="A1:L452">
    <sortState ref="A1:L452">
      <sortCondition ref="L1" descending="1"/>
    </sortState>
    <extLst/>
  </autoFilter>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56"/>
  <sheetViews>
    <sheetView topLeftCell="F441" workbookViewId="0">
      <selection activeCell="O446" sqref="O446"/>
    </sheetView>
  </sheetViews>
  <sheetFormatPr defaultColWidth="9" defaultRowHeight="15.75"/>
  <cols>
    <col min="1" max="1" width="10.875" style="1" customWidth="1"/>
    <col min="2" max="2" width="21.25" style="1" customWidth="1"/>
    <col min="3" max="4" width="18.25" style="1" customWidth="1"/>
    <col min="5" max="5" width="48" style="1" customWidth="1"/>
    <col min="6" max="6" width="52.5" style="1" customWidth="1"/>
    <col min="7" max="7" width="11.5" style="1" customWidth="1"/>
    <col min="8" max="9" width="8.875" style="1" customWidth="1"/>
    <col min="10" max="10" width="10.875" style="1" customWidth="1"/>
    <col min="11" max="11" width="11.5" style="1" customWidth="1"/>
    <col min="12" max="12" width="8.875" style="1" customWidth="1"/>
    <col min="13" max="13" width="29.375" style="1" customWidth="1"/>
    <col min="14" max="14" width="28.875" style="1" customWidth="1"/>
    <col min="15" max="15" width="11.5" style="1" customWidth="1"/>
    <col min="16" max="16" width="18.25" style="1" customWidth="1"/>
    <col min="17" max="17" width="8.875" style="1" customWidth="1"/>
    <col min="18" max="253" width="9" style="1"/>
  </cols>
  <sheetData>
    <row r="1" s="1" customFormat="1" ht="13.5" spans="1:17">
      <c r="A1" s="2" t="s">
        <v>1758</v>
      </c>
      <c r="B1" s="2" t="s">
        <v>499</v>
      </c>
      <c r="C1" s="2" t="s">
        <v>1759</v>
      </c>
      <c r="D1" s="2" t="s">
        <v>500</v>
      </c>
      <c r="E1" s="2" t="s">
        <v>501</v>
      </c>
      <c r="F1" s="2" t="s">
        <v>502</v>
      </c>
      <c r="G1" s="2" t="s">
        <v>1760</v>
      </c>
      <c r="H1" s="2" t="s">
        <v>1761</v>
      </c>
      <c r="I1" s="2" t="s">
        <v>1762</v>
      </c>
      <c r="J1" s="2" t="s">
        <v>1763</v>
      </c>
      <c r="K1" s="2" t="s">
        <v>7</v>
      </c>
      <c r="L1" s="2" t="s">
        <v>1764</v>
      </c>
      <c r="M1" s="2" t="s">
        <v>1765</v>
      </c>
      <c r="N1" s="2" t="s">
        <v>504</v>
      </c>
      <c r="O1" s="4" t="s">
        <v>506</v>
      </c>
      <c r="P1" s="4" t="s">
        <v>507</v>
      </c>
      <c r="Q1" s="4" t="s">
        <v>1766</v>
      </c>
    </row>
    <row r="2" s="1" customFormat="1" ht="13.5" spans="1:17">
      <c r="A2" s="3" t="s">
        <v>1767</v>
      </c>
      <c r="B2" s="3" t="s">
        <v>658</v>
      </c>
      <c r="C2" s="3" t="s">
        <v>1768</v>
      </c>
      <c r="D2" s="3" t="s">
        <v>660</v>
      </c>
      <c r="E2" s="3" t="s">
        <v>661</v>
      </c>
      <c r="F2" s="3" t="s">
        <v>662</v>
      </c>
      <c r="G2" s="3" t="s">
        <v>1769</v>
      </c>
      <c r="H2" s="3" t="s">
        <v>1770</v>
      </c>
      <c r="I2" s="3"/>
      <c r="J2" s="3" t="s">
        <v>508</v>
      </c>
      <c r="K2" s="3" t="s">
        <v>659</v>
      </c>
      <c r="L2" s="3" t="s">
        <v>508</v>
      </c>
      <c r="M2" s="3" t="s">
        <v>663</v>
      </c>
      <c r="N2" s="3" t="s">
        <v>663</v>
      </c>
      <c r="O2" s="5">
        <v>45253</v>
      </c>
      <c r="P2" s="6">
        <v>-3681.91</v>
      </c>
      <c r="Q2" s="7">
        <v>0</v>
      </c>
    </row>
    <row r="3" s="1" customFormat="1" ht="13.5" spans="1:17">
      <c r="A3" s="3" t="s">
        <v>1771</v>
      </c>
      <c r="B3" s="3" t="s">
        <v>664</v>
      </c>
      <c r="C3" s="3" t="s">
        <v>1768</v>
      </c>
      <c r="D3" s="3" t="s">
        <v>660</v>
      </c>
      <c r="E3" s="3" t="s">
        <v>661</v>
      </c>
      <c r="F3" s="3" t="s">
        <v>666</v>
      </c>
      <c r="G3" s="3" t="s">
        <v>1769</v>
      </c>
      <c r="H3" s="3" t="s">
        <v>1770</v>
      </c>
      <c r="I3" s="3" t="s">
        <v>1772</v>
      </c>
      <c r="J3" s="3" t="s">
        <v>508</v>
      </c>
      <c r="K3" s="3" t="s">
        <v>665</v>
      </c>
      <c r="L3" s="3" t="s">
        <v>508</v>
      </c>
      <c r="M3" s="3" t="s">
        <v>663</v>
      </c>
      <c r="N3" s="3" t="s">
        <v>663</v>
      </c>
      <c r="O3" s="5">
        <v>45244</v>
      </c>
      <c r="P3" s="6">
        <v>3681.91</v>
      </c>
      <c r="Q3" s="7">
        <v>0</v>
      </c>
    </row>
    <row r="4" s="1" customFormat="1" ht="13.5" spans="1:17">
      <c r="A4" s="3" t="s">
        <v>1773</v>
      </c>
      <c r="B4" s="3" t="s">
        <v>474</v>
      </c>
      <c r="C4" s="3" t="s">
        <v>1768</v>
      </c>
      <c r="D4" s="3" t="s">
        <v>512</v>
      </c>
      <c r="E4" s="3" t="s">
        <v>513</v>
      </c>
      <c r="F4" s="3" t="s">
        <v>475</v>
      </c>
      <c r="G4" s="3" t="s">
        <v>1774</v>
      </c>
      <c r="H4" s="3" t="s">
        <v>1770</v>
      </c>
      <c r="I4" s="3" t="s">
        <v>1775</v>
      </c>
      <c r="J4" s="3" t="s">
        <v>521</v>
      </c>
      <c r="K4" s="3" t="s">
        <v>532</v>
      </c>
      <c r="L4" s="3" t="s">
        <v>521</v>
      </c>
      <c r="M4" s="3" t="s">
        <v>533</v>
      </c>
      <c r="N4" s="3" t="s">
        <v>533</v>
      </c>
      <c r="O4" s="5">
        <v>45460</v>
      </c>
      <c r="P4" s="6">
        <v>8577309.74</v>
      </c>
      <c r="Q4" s="7">
        <v>0</v>
      </c>
    </row>
    <row r="5" s="1" customFormat="1" ht="13.5" spans="1:17">
      <c r="A5" s="3" t="s">
        <v>1776</v>
      </c>
      <c r="B5" s="3" t="s">
        <v>470</v>
      </c>
      <c r="C5" s="3" t="s">
        <v>1768</v>
      </c>
      <c r="D5" s="3" t="s">
        <v>512</v>
      </c>
      <c r="E5" s="3" t="s">
        <v>513</v>
      </c>
      <c r="F5" s="3" t="s">
        <v>471</v>
      </c>
      <c r="G5" s="3" t="s">
        <v>1774</v>
      </c>
      <c r="H5" s="3" t="s">
        <v>1770</v>
      </c>
      <c r="I5" s="3" t="s">
        <v>1775</v>
      </c>
      <c r="J5" s="3" t="s">
        <v>521</v>
      </c>
      <c r="K5" s="3" t="s">
        <v>534</v>
      </c>
      <c r="L5" s="3" t="s">
        <v>521</v>
      </c>
      <c r="M5" s="3" t="s">
        <v>533</v>
      </c>
      <c r="N5" s="3" t="s">
        <v>533</v>
      </c>
      <c r="O5" s="5">
        <v>45461</v>
      </c>
      <c r="P5" s="6">
        <v>4702774.53</v>
      </c>
      <c r="Q5" s="7">
        <v>0</v>
      </c>
    </row>
    <row r="6" s="1" customFormat="1" ht="13.5" spans="1:17">
      <c r="A6" s="3" t="s">
        <v>1777</v>
      </c>
      <c r="B6" s="3" t="s">
        <v>65</v>
      </c>
      <c r="C6" s="3" t="s">
        <v>1768</v>
      </c>
      <c r="D6" s="3" t="s">
        <v>512</v>
      </c>
      <c r="E6" s="3" t="s">
        <v>513</v>
      </c>
      <c r="F6" s="3" t="s">
        <v>539</v>
      </c>
      <c r="G6" s="3" t="s">
        <v>1774</v>
      </c>
      <c r="H6" s="3" t="s">
        <v>1770</v>
      </c>
      <c r="I6" s="3" t="s">
        <v>1775</v>
      </c>
      <c r="J6" s="3" t="s">
        <v>508</v>
      </c>
      <c r="K6" s="3" t="s">
        <v>538</v>
      </c>
      <c r="L6" s="3" t="s">
        <v>508</v>
      </c>
      <c r="M6" s="3" t="s">
        <v>533</v>
      </c>
      <c r="N6" s="3" t="s">
        <v>533</v>
      </c>
      <c r="O6" s="5">
        <v>45281</v>
      </c>
      <c r="P6" s="6">
        <v>9272888.15</v>
      </c>
      <c r="Q6" s="7">
        <v>0</v>
      </c>
    </row>
    <row r="7" s="1" customFormat="1" ht="13.5" spans="1:17">
      <c r="A7" s="3" t="s">
        <v>1778</v>
      </c>
      <c r="B7" s="3" t="s">
        <v>328</v>
      </c>
      <c r="C7" s="3" t="s">
        <v>1768</v>
      </c>
      <c r="D7" s="3" t="s">
        <v>512</v>
      </c>
      <c r="E7" s="3" t="s">
        <v>513</v>
      </c>
      <c r="F7" s="3" t="s">
        <v>537</v>
      </c>
      <c r="G7" s="3" t="s">
        <v>1774</v>
      </c>
      <c r="H7" s="3" t="s">
        <v>1770</v>
      </c>
      <c r="I7" s="3" t="s">
        <v>1775</v>
      </c>
      <c r="J7" s="3" t="s">
        <v>521</v>
      </c>
      <c r="K7" s="3" t="s">
        <v>536</v>
      </c>
      <c r="L7" s="3" t="s">
        <v>521</v>
      </c>
      <c r="M7" s="3" t="s">
        <v>533</v>
      </c>
      <c r="N7" s="3" t="s">
        <v>533</v>
      </c>
      <c r="O7" s="5">
        <v>45281</v>
      </c>
      <c r="P7" s="6">
        <v>-9272888.15</v>
      </c>
      <c r="Q7" s="7">
        <v>0</v>
      </c>
    </row>
    <row r="8" s="1" customFormat="1" ht="13.5" spans="1:17">
      <c r="A8" s="3" t="s">
        <v>1776</v>
      </c>
      <c r="B8" s="3" t="s">
        <v>470</v>
      </c>
      <c r="C8" s="3" t="s">
        <v>1768</v>
      </c>
      <c r="D8" s="3" t="s">
        <v>580</v>
      </c>
      <c r="E8" s="3" t="s">
        <v>581</v>
      </c>
      <c r="F8" s="3" t="s">
        <v>471</v>
      </c>
      <c r="G8" s="3" t="s">
        <v>1774</v>
      </c>
      <c r="H8" s="3" t="s">
        <v>1770</v>
      </c>
      <c r="I8" s="3" t="s">
        <v>1775</v>
      </c>
      <c r="J8" s="3" t="s">
        <v>521</v>
      </c>
      <c r="K8" s="3" t="s">
        <v>534</v>
      </c>
      <c r="L8" s="3" t="s">
        <v>521</v>
      </c>
      <c r="M8" s="3" t="s">
        <v>533</v>
      </c>
      <c r="N8" s="3" t="s">
        <v>533</v>
      </c>
      <c r="O8" s="5">
        <v>45461</v>
      </c>
      <c r="P8" s="6">
        <v>1114016.8</v>
      </c>
      <c r="Q8" s="7">
        <v>0</v>
      </c>
    </row>
    <row r="9" s="1" customFormat="1" ht="13.5" spans="1:17">
      <c r="A9" s="3" t="s">
        <v>1773</v>
      </c>
      <c r="B9" s="3" t="s">
        <v>474</v>
      </c>
      <c r="C9" s="3" t="s">
        <v>1768</v>
      </c>
      <c r="D9" s="3" t="s">
        <v>595</v>
      </c>
      <c r="E9" s="3" t="s">
        <v>596</v>
      </c>
      <c r="F9" s="3" t="s">
        <v>475</v>
      </c>
      <c r="G9" s="3" t="s">
        <v>1774</v>
      </c>
      <c r="H9" s="3" t="s">
        <v>1770</v>
      </c>
      <c r="I9" s="3" t="s">
        <v>1775</v>
      </c>
      <c r="J9" s="3" t="s">
        <v>521</v>
      </c>
      <c r="K9" s="3" t="s">
        <v>532</v>
      </c>
      <c r="L9" s="3" t="s">
        <v>521</v>
      </c>
      <c r="M9" s="3" t="s">
        <v>533</v>
      </c>
      <c r="N9" s="3" t="s">
        <v>533</v>
      </c>
      <c r="O9" s="5">
        <v>45460</v>
      </c>
      <c r="P9" s="6">
        <v>4583416.01</v>
      </c>
      <c r="Q9" s="7">
        <v>0</v>
      </c>
    </row>
    <row r="10" s="1" customFormat="1" ht="13.5" spans="1:17">
      <c r="A10" s="3" t="s">
        <v>1779</v>
      </c>
      <c r="B10" s="3" t="s">
        <v>417</v>
      </c>
      <c r="C10" s="3" t="s">
        <v>1768</v>
      </c>
      <c r="D10" s="3" t="s">
        <v>609</v>
      </c>
      <c r="E10" s="3" t="s">
        <v>610</v>
      </c>
      <c r="F10" s="3" t="s">
        <v>416</v>
      </c>
      <c r="G10" s="3" t="s">
        <v>1774</v>
      </c>
      <c r="H10" s="3" t="s">
        <v>1770</v>
      </c>
      <c r="I10" s="3" t="s">
        <v>1775</v>
      </c>
      <c r="J10" s="3" t="s">
        <v>521</v>
      </c>
      <c r="K10" s="3" t="s">
        <v>614</v>
      </c>
      <c r="L10" s="3" t="s">
        <v>521</v>
      </c>
      <c r="M10" s="3" t="s">
        <v>533</v>
      </c>
      <c r="N10" s="3" t="s">
        <v>533</v>
      </c>
      <c r="O10" s="5">
        <v>45435</v>
      </c>
      <c r="P10" s="6">
        <v>1538584.07</v>
      </c>
      <c r="Q10" s="7">
        <v>0</v>
      </c>
    </row>
    <row r="11" s="1" customFormat="1" ht="13.5" spans="1:17">
      <c r="A11" s="3" t="s">
        <v>1780</v>
      </c>
      <c r="B11" s="3" t="s">
        <v>410</v>
      </c>
      <c r="C11" s="3" t="s">
        <v>1768</v>
      </c>
      <c r="D11" s="3" t="s">
        <v>624</v>
      </c>
      <c r="E11" s="3" t="s">
        <v>625</v>
      </c>
      <c r="F11" s="3" t="s">
        <v>411</v>
      </c>
      <c r="G11" s="3" t="s">
        <v>1774</v>
      </c>
      <c r="H11" s="3" t="s">
        <v>1770</v>
      </c>
      <c r="I11" s="3" t="s">
        <v>1775</v>
      </c>
      <c r="J11" s="3" t="s">
        <v>521</v>
      </c>
      <c r="K11" s="3" t="s">
        <v>636</v>
      </c>
      <c r="L11" s="3" t="s">
        <v>521</v>
      </c>
      <c r="M11" s="3" t="s">
        <v>533</v>
      </c>
      <c r="N11" s="3" t="s">
        <v>533</v>
      </c>
      <c r="O11" s="5">
        <v>45436</v>
      </c>
      <c r="P11" s="6">
        <v>1011228</v>
      </c>
      <c r="Q11" s="7">
        <v>0</v>
      </c>
    </row>
    <row r="12" s="1" customFormat="1" ht="13.5" spans="1:17">
      <c r="A12" s="3" t="s">
        <v>1780</v>
      </c>
      <c r="B12" s="3" t="s">
        <v>410</v>
      </c>
      <c r="C12" s="3" t="s">
        <v>1768</v>
      </c>
      <c r="D12" s="3" t="s">
        <v>653</v>
      </c>
      <c r="E12" s="3" t="s">
        <v>654</v>
      </c>
      <c r="F12" s="3" t="s">
        <v>411</v>
      </c>
      <c r="G12" s="3" t="s">
        <v>1774</v>
      </c>
      <c r="H12" s="3" t="s">
        <v>1770</v>
      </c>
      <c r="I12" s="3" t="s">
        <v>1775</v>
      </c>
      <c r="J12" s="3" t="s">
        <v>521</v>
      </c>
      <c r="K12" s="3" t="s">
        <v>636</v>
      </c>
      <c r="L12" s="3" t="s">
        <v>521</v>
      </c>
      <c r="M12" s="3" t="s">
        <v>533</v>
      </c>
      <c r="N12" s="3" t="s">
        <v>533</v>
      </c>
      <c r="O12" s="5">
        <v>45436</v>
      </c>
      <c r="P12" s="6">
        <v>247850</v>
      </c>
      <c r="Q12" s="7">
        <v>0</v>
      </c>
    </row>
    <row r="13" s="1" customFormat="1" ht="13.5" spans="1:17">
      <c r="A13" s="3" t="s">
        <v>1781</v>
      </c>
      <c r="B13" s="3" t="s">
        <v>479</v>
      </c>
      <c r="C13" s="3" t="s">
        <v>1768</v>
      </c>
      <c r="D13" s="3" t="s">
        <v>1259</v>
      </c>
      <c r="E13" s="3" t="s">
        <v>1260</v>
      </c>
      <c r="F13" s="3" t="s">
        <v>480</v>
      </c>
      <c r="G13" s="3" t="s">
        <v>1774</v>
      </c>
      <c r="H13" s="3" t="s">
        <v>1770</v>
      </c>
      <c r="I13" s="3" t="s">
        <v>1775</v>
      </c>
      <c r="J13" s="3" t="s">
        <v>521</v>
      </c>
      <c r="K13" s="3" t="s">
        <v>1276</v>
      </c>
      <c r="L13" s="3" t="s">
        <v>521</v>
      </c>
      <c r="M13" s="3" t="s">
        <v>533</v>
      </c>
      <c r="N13" s="3" t="s">
        <v>533</v>
      </c>
      <c r="O13" s="5">
        <v>45436</v>
      </c>
      <c r="P13" s="6">
        <v>-4117077.53</v>
      </c>
      <c r="Q13" s="7">
        <v>0</v>
      </c>
    </row>
    <row r="14" s="1" customFormat="1" ht="13.5" spans="1:17">
      <c r="A14" s="3" t="s">
        <v>1782</v>
      </c>
      <c r="B14" s="3" t="s">
        <v>421</v>
      </c>
      <c r="C14" s="3" t="s">
        <v>1768</v>
      </c>
      <c r="D14" s="3" t="s">
        <v>1259</v>
      </c>
      <c r="E14" s="3" t="s">
        <v>1260</v>
      </c>
      <c r="F14" s="3" t="s">
        <v>420</v>
      </c>
      <c r="G14" s="3" t="s">
        <v>1774</v>
      </c>
      <c r="H14" s="3" t="s">
        <v>1770</v>
      </c>
      <c r="I14" s="3" t="s">
        <v>1775</v>
      </c>
      <c r="J14" s="3" t="s">
        <v>521</v>
      </c>
      <c r="K14" s="3" t="s">
        <v>1286</v>
      </c>
      <c r="L14" s="3" t="s">
        <v>521</v>
      </c>
      <c r="M14" s="3" t="s">
        <v>533</v>
      </c>
      <c r="N14" s="3" t="s">
        <v>533</v>
      </c>
      <c r="O14" s="5">
        <v>45436</v>
      </c>
      <c r="P14" s="6">
        <v>4117077.53</v>
      </c>
      <c r="Q14" s="7">
        <v>0</v>
      </c>
    </row>
    <row r="15" s="1" customFormat="1" ht="13.5" spans="1:17">
      <c r="A15" s="3" t="s">
        <v>1773</v>
      </c>
      <c r="B15" s="3" t="s">
        <v>474</v>
      </c>
      <c r="C15" s="3" t="s">
        <v>1768</v>
      </c>
      <c r="D15" s="3" t="s">
        <v>1440</v>
      </c>
      <c r="E15" s="3" t="s">
        <v>1441</v>
      </c>
      <c r="F15" s="3" t="s">
        <v>475</v>
      </c>
      <c r="G15" s="3" t="s">
        <v>1774</v>
      </c>
      <c r="H15" s="3" t="s">
        <v>1770</v>
      </c>
      <c r="I15" s="3" t="s">
        <v>1775</v>
      </c>
      <c r="J15" s="3" t="s">
        <v>521</v>
      </c>
      <c r="K15" s="3" t="s">
        <v>532</v>
      </c>
      <c r="L15" s="3" t="s">
        <v>521</v>
      </c>
      <c r="M15" s="3" t="s">
        <v>533</v>
      </c>
      <c r="N15" s="3" t="s">
        <v>533</v>
      </c>
      <c r="O15" s="5">
        <v>45460</v>
      </c>
      <c r="P15" s="6">
        <v>2839362.78</v>
      </c>
      <c r="Q15" s="7">
        <v>0</v>
      </c>
    </row>
    <row r="16" s="1" customFormat="1" ht="13.5" spans="1:17">
      <c r="A16" s="3" t="s">
        <v>1776</v>
      </c>
      <c r="B16" s="3" t="s">
        <v>470</v>
      </c>
      <c r="C16" s="3" t="s">
        <v>1768</v>
      </c>
      <c r="D16" s="3" t="s">
        <v>1440</v>
      </c>
      <c r="E16" s="3" t="s">
        <v>1441</v>
      </c>
      <c r="F16" s="3" t="s">
        <v>471</v>
      </c>
      <c r="G16" s="3" t="s">
        <v>1774</v>
      </c>
      <c r="H16" s="3" t="s">
        <v>1770</v>
      </c>
      <c r="I16" s="3" t="s">
        <v>1775</v>
      </c>
      <c r="J16" s="3" t="s">
        <v>521</v>
      </c>
      <c r="K16" s="3" t="s">
        <v>534</v>
      </c>
      <c r="L16" s="3" t="s">
        <v>521</v>
      </c>
      <c r="M16" s="3" t="s">
        <v>533</v>
      </c>
      <c r="N16" s="3" t="s">
        <v>533</v>
      </c>
      <c r="O16" s="5">
        <v>45461</v>
      </c>
      <c r="P16" s="6">
        <v>2806453.33</v>
      </c>
      <c r="Q16" s="7">
        <v>0</v>
      </c>
    </row>
    <row r="17" s="1" customFormat="1" ht="13.5" spans="1:17">
      <c r="A17" s="3" t="s">
        <v>1783</v>
      </c>
      <c r="B17" s="3" t="s">
        <v>330</v>
      </c>
      <c r="C17" s="3" t="s">
        <v>1768</v>
      </c>
      <c r="D17" s="3" t="s">
        <v>566</v>
      </c>
      <c r="E17" s="3" t="s">
        <v>567</v>
      </c>
      <c r="F17" s="3" t="s">
        <v>331</v>
      </c>
      <c r="G17" s="3" t="s">
        <v>1784</v>
      </c>
      <c r="H17" s="3" t="s">
        <v>1770</v>
      </c>
      <c r="I17" s="3" t="s">
        <v>1775</v>
      </c>
      <c r="J17" s="3" t="s">
        <v>521</v>
      </c>
      <c r="K17" s="3" t="s">
        <v>535</v>
      </c>
      <c r="L17" s="3" t="s">
        <v>521</v>
      </c>
      <c r="M17" s="3" t="s">
        <v>574</v>
      </c>
      <c r="N17" s="3" t="s">
        <v>574</v>
      </c>
      <c r="O17" s="5">
        <v>45327</v>
      </c>
      <c r="P17" s="6">
        <v>954776.18</v>
      </c>
      <c r="Q17" s="7">
        <v>0</v>
      </c>
    </row>
    <row r="18" s="1" customFormat="1" ht="13.5" spans="1:17">
      <c r="A18" s="3" t="s">
        <v>1785</v>
      </c>
      <c r="B18" s="3" t="s">
        <v>516</v>
      </c>
      <c r="C18" s="3" t="s">
        <v>1768</v>
      </c>
      <c r="D18" s="3" t="s">
        <v>617</v>
      </c>
      <c r="E18" s="3" t="s">
        <v>618</v>
      </c>
      <c r="F18" s="3" t="s">
        <v>60</v>
      </c>
      <c r="G18" s="3" t="s">
        <v>1784</v>
      </c>
      <c r="H18" s="3" t="s">
        <v>1770</v>
      </c>
      <c r="I18" s="3" t="s">
        <v>1775</v>
      </c>
      <c r="J18" s="3" t="s">
        <v>508</v>
      </c>
      <c r="K18" s="3" t="s">
        <v>517</v>
      </c>
      <c r="L18" s="3" t="s">
        <v>508</v>
      </c>
      <c r="M18" s="3" t="s">
        <v>574</v>
      </c>
      <c r="N18" s="3" t="s">
        <v>574</v>
      </c>
      <c r="O18" s="5">
        <v>45224</v>
      </c>
      <c r="P18" s="6">
        <v>636517.45</v>
      </c>
      <c r="Q18" s="7">
        <v>0</v>
      </c>
    </row>
    <row r="19" s="1" customFormat="1" ht="13.5" spans="1:17">
      <c r="A19" s="3" t="s">
        <v>1786</v>
      </c>
      <c r="B19" s="3" t="s">
        <v>419</v>
      </c>
      <c r="C19" s="3" t="s">
        <v>1768</v>
      </c>
      <c r="D19" s="3" t="s">
        <v>1245</v>
      </c>
      <c r="E19" s="3" t="s">
        <v>1246</v>
      </c>
      <c r="F19" s="3" t="s">
        <v>418</v>
      </c>
      <c r="G19" s="3" t="s">
        <v>1784</v>
      </c>
      <c r="H19" s="3" t="s">
        <v>1770</v>
      </c>
      <c r="I19" s="3" t="s">
        <v>1775</v>
      </c>
      <c r="J19" s="3" t="s">
        <v>521</v>
      </c>
      <c r="K19" s="3" t="s">
        <v>1256</v>
      </c>
      <c r="L19" s="3" t="s">
        <v>521</v>
      </c>
      <c r="M19" s="3" t="s">
        <v>574</v>
      </c>
      <c r="N19" s="3" t="s">
        <v>574</v>
      </c>
      <c r="O19" s="5">
        <v>45435</v>
      </c>
      <c r="P19" s="6">
        <v>245283.02</v>
      </c>
      <c r="Q19" s="7">
        <v>0</v>
      </c>
    </row>
    <row r="20" s="1" customFormat="1" ht="13.5" spans="1:17">
      <c r="A20" s="3" t="s">
        <v>1787</v>
      </c>
      <c r="B20" s="3" t="s">
        <v>481</v>
      </c>
      <c r="C20" s="3" t="s">
        <v>1768</v>
      </c>
      <c r="D20" s="3" t="s">
        <v>1259</v>
      </c>
      <c r="E20" s="3" t="s">
        <v>1260</v>
      </c>
      <c r="F20" s="3" t="s">
        <v>482</v>
      </c>
      <c r="G20" s="3" t="s">
        <v>1784</v>
      </c>
      <c r="H20" s="3" t="s">
        <v>1770</v>
      </c>
      <c r="I20" s="3" t="s">
        <v>1775</v>
      </c>
      <c r="J20" s="3" t="s">
        <v>521</v>
      </c>
      <c r="K20" s="3" t="s">
        <v>1277</v>
      </c>
      <c r="L20" s="3" t="s">
        <v>521</v>
      </c>
      <c r="M20" s="3" t="s">
        <v>574</v>
      </c>
      <c r="N20" s="3" t="s">
        <v>574</v>
      </c>
      <c r="O20" s="5">
        <v>45450</v>
      </c>
      <c r="P20" s="6">
        <v>4294080.42</v>
      </c>
      <c r="Q20" s="7">
        <v>0</v>
      </c>
    </row>
    <row r="21" s="1" customFormat="1" ht="13.5" spans="1:17">
      <c r="A21" s="3" t="s">
        <v>1788</v>
      </c>
      <c r="B21" s="3" t="s">
        <v>424</v>
      </c>
      <c r="C21" s="3" t="s">
        <v>1768</v>
      </c>
      <c r="D21" s="3" t="s">
        <v>1346</v>
      </c>
      <c r="E21" s="3" t="s">
        <v>1347</v>
      </c>
      <c r="F21" s="3" t="s">
        <v>425</v>
      </c>
      <c r="G21" s="3" t="s">
        <v>1784</v>
      </c>
      <c r="H21" s="3" t="s">
        <v>1770</v>
      </c>
      <c r="I21" s="3" t="s">
        <v>1775</v>
      </c>
      <c r="J21" s="3" t="s">
        <v>521</v>
      </c>
      <c r="K21" s="3" t="s">
        <v>1349</v>
      </c>
      <c r="L21" s="3" t="s">
        <v>521</v>
      </c>
      <c r="M21" s="3" t="s">
        <v>574</v>
      </c>
      <c r="N21" s="3" t="s">
        <v>574</v>
      </c>
      <c r="O21" s="5">
        <v>45427</v>
      </c>
      <c r="P21" s="6">
        <v>13396.23</v>
      </c>
      <c r="Q21" s="7">
        <v>0</v>
      </c>
    </row>
    <row r="22" s="1" customFormat="1" ht="13.5" spans="1:17">
      <c r="A22" s="3" t="s">
        <v>1789</v>
      </c>
      <c r="B22" s="3" t="s">
        <v>451</v>
      </c>
      <c r="C22" s="3" t="s">
        <v>1768</v>
      </c>
      <c r="D22" s="3" t="s">
        <v>1389</v>
      </c>
      <c r="E22" s="3" t="s">
        <v>1390</v>
      </c>
      <c r="F22" s="3" t="s">
        <v>452</v>
      </c>
      <c r="G22" s="3" t="s">
        <v>1784</v>
      </c>
      <c r="H22" s="3" t="s">
        <v>1770</v>
      </c>
      <c r="I22" s="3" t="s">
        <v>1775</v>
      </c>
      <c r="J22" s="3" t="s">
        <v>521</v>
      </c>
      <c r="K22" s="3" t="s">
        <v>1411</v>
      </c>
      <c r="L22" s="3" t="s">
        <v>521</v>
      </c>
      <c r="M22" s="3" t="s">
        <v>574</v>
      </c>
      <c r="N22" s="3" t="s">
        <v>574</v>
      </c>
      <c r="O22" s="5">
        <v>45421</v>
      </c>
      <c r="P22" s="6">
        <v>2079.21</v>
      </c>
      <c r="Q22" s="7">
        <v>0</v>
      </c>
    </row>
    <row r="23" s="1" customFormat="1" ht="13.5" spans="1:17">
      <c r="A23" s="3" t="s">
        <v>1790</v>
      </c>
      <c r="B23" s="3" t="s">
        <v>510</v>
      </c>
      <c r="C23" s="3" t="s">
        <v>1768</v>
      </c>
      <c r="D23" s="3" t="s">
        <v>512</v>
      </c>
      <c r="E23" s="3" t="s">
        <v>513</v>
      </c>
      <c r="F23" s="3" t="s">
        <v>514</v>
      </c>
      <c r="G23" s="3" t="s">
        <v>1791</v>
      </c>
      <c r="H23" s="3" t="s">
        <v>1770</v>
      </c>
      <c r="I23" s="3" t="s">
        <v>1775</v>
      </c>
      <c r="J23" s="3" t="s">
        <v>508</v>
      </c>
      <c r="K23" s="3" t="s">
        <v>511</v>
      </c>
      <c r="L23" s="3" t="s">
        <v>508</v>
      </c>
      <c r="M23" s="3" t="s">
        <v>515</v>
      </c>
      <c r="N23" s="3" t="s">
        <v>515</v>
      </c>
      <c r="O23" s="5">
        <v>45207</v>
      </c>
      <c r="P23" s="6">
        <v>26478900.92</v>
      </c>
      <c r="Q23" s="7">
        <v>0</v>
      </c>
    </row>
    <row r="24" s="1" customFormat="1" ht="13.5" spans="1:17">
      <c r="A24" s="3" t="s">
        <v>1785</v>
      </c>
      <c r="B24" s="3" t="s">
        <v>516</v>
      </c>
      <c r="C24" s="3" t="s">
        <v>1768</v>
      </c>
      <c r="D24" s="3" t="s">
        <v>512</v>
      </c>
      <c r="E24" s="3" t="s">
        <v>513</v>
      </c>
      <c r="F24" s="3" t="s">
        <v>60</v>
      </c>
      <c r="G24" s="3" t="s">
        <v>1791</v>
      </c>
      <c r="H24" s="3" t="s">
        <v>1770</v>
      </c>
      <c r="I24" s="3" t="s">
        <v>1775</v>
      </c>
      <c r="J24" s="3" t="s">
        <v>508</v>
      </c>
      <c r="K24" s="3" t="s">
        <v>517</v>
      </c>
      <c r="L24" s="3" t="s">
        <v>508</v>
      </c>
      <c r="M24" s="3" t="s">
        <v>515</v>
      </c>
      <c r="N24" s="3" t="s">
        <v>515</v>
      </c>
      <c r="O24" s="5">
        <v>45224</v>
      </c>
      <c r="P24" s="6">
        <v>3153077.71</v>
      </c>
      <c r="Q24" s="7">
        <v>0</v>
      </c>
    </row>
    <row r="25" s="1" customFormat="1" ht="13.5" spans="1:17">
      <c r="A25" s="3" t="s">
        <v>1792</v>
      </c>
      <c r="B25" s="3" t="s">
        <v>519</v>
      </c>
      <c r="C25" s="3" t="s">
        <v>1768</v>
      </c>
      <c r="D25" s="3" t="s">
        <v>512</v>
      </c>
      <c r="E25" s="3" t="s">
        <v>513</v>
      </c>
      <c r="F25" s="3" t="s">
        <v>64</v>
      </c>
      <c r="G25" s="3" t="s">
        <v>1791</v>
      </c>
      <c r="H25" s="3" t="s">
        <v>1770</v>
      </c>
      <c r="I25" s="3" t="s">
        <v>1775</v>
      </c>
      <c r="J25" s="3" t="s">
        <v>508</v>
      </c>
      <c r="K25" s="3" t="s">
        <v>520</v>
      </c>
      <c r="L25" s="3" t="s">
        <v>508</v>
      </c>
      <c r="M25" s="3" t="s">
        <v>515</v>
      </c>
      <c r="N25" s="3" t="s">
        <v>515</v>
      </c>
      <c r="O25" s="5">
        <v>45279</v>
      </c>
      <c r="P25" s="6">
        <v>2877914.34</v>
      </c>
      <c r="Q25" s="7">
        <v>0</v>
      </c>
    </row>
    <row r="26" s="1" customFormat="1" ht="13.5" spans="1:17">
      <c r="A26" s="3" t="s">
        <v>1792</v>
      </c>
      <c r="B26" s="3" t="s">
        <v>519</v>
      </c>
      <c r="C26" s="3" t="s">
        <v>1768</v>
      </c>
      <c r="D26" s="3" t="s">
        <v>512</v>
      </c>
      <c r="E26" s="3" t="s">
        <v>513</v>
      </c>
      <c r="F26" s="3" t="s">
        <v>64</v>
      </c>
      <c r="G26" s="3" t="s">
        <v>1791</v>
      </c>
      <c r="H26" s="3" t="s">
        <v>1770</v>
      </c>
      <c r="I26" s="3" t="s">
        <v>1775</v>
      </c>
      <c r="J26" s="3" t="s">
        <v>508</v>
      </c>
      <c r="K26" s="3" t="s">
        <v>520</v>
      </c>
      <c r="L26" s="3" t="s">
        <v>508</v>
      </c>
      <c r="M26" s="3" t="s">
        <v>515</v>
      </c>
      <c r="N26" s="3" t="s">
        <v>515</v>
      </c>
      <c r="O26" s="5">
        <v>45279</v>
      </c>
      <c r="P26" s="6">
        <v>12612310.83</v>
      </c>
      <c r="Q26" s="7">
        <v>0</v>
      </c>
    </row>
    <row r="27" s="1" customFormat="1" ht="13.5" spans="1:17">
      <c r="A27" s="3" t="s">
        <v>1783</v>
      </c>
      <c r="B27" s="3" t="s">
        <v>330</v>
      </c>
      <c r="C27" s="3" t="s">
        <v>1768</v>
      </c>
      <c r="D27" s="3" t="s">
        <v>512</v>
      </c>
      <c r="E27" s="3" t="s">
        <v>513</v>
      </c>
      <c r="F27" s="3" t="s">
        <v>331</v>
      </c>
      <c r="G27" s="3" t="s">
        <v>1791</v>
      </c>
      <c r="H27" s="3" t="s">
        <v>1770</v>
      </c>
      <c r="I27" s="3" t="s">
        <v>1775</v>
      </c>
      <c r="J27" s="3" t="s">
        <v>521</v>
      </c>
      <c r="K27" s="3" t="s">
        <v>535</v>
      </c>
      <c r="L27" s="3" t="s">
        <v>521</v>
      </c>
      <c r="M27" s="3" t="s">
        <v>515</v>
      </c>
      <c r="N27" s="3" t="s">
        <v>515</v>
      </c>
      <c r="O27" s="5">
        <v>45327</v>
      </c>
      <c r="P27" s="6">
        <v>8318111.97</v>
      </c>
      <c r="Q27" s="7">
        <v>0</v>
      </c>
    </row>
    <row r="28" s="1" customFormat="1" ht="13.5" spans="1:17">
      <c r="A28" s="3" t="s">
        <v>1793</v>
      </c>
      <c r="B28" s="3" t="s">
        <v>472</v>
      </c>
      <c r="C28" s="3" t="s">
        <v>1768</v>
      </c>
      <c r="D28" s="3" t="s">
        <v>512</v>
      </c>
      <c r="E28" s="3" t="s">
        <v>513</v>
      </c>
      <c r="F28" s="3" t="s">
        <v>473</v>
      </c>
      <c r="G28" s="3" t="s">
        <v>1791</v>
      </c>
      <c r="H28" s="3" t="s">
        <v>1770</v>
      </c>
      <c r="I28" s="3" t="s">
        <v>1775</v>
      </c>
      <c r="J28" s="3" t="s">
        <v>521</v>
      </c>
      <c r="K28" s="3" t="s">
        <v>531</v>
      </c>
      <c r="L28" s="3" t="s">
        <v>521</v>
      </c>
      <c r="M28" s="3" t="s">
        <v>515</v>
      </c>
      <c r="N28" s="3" t="s">
        <v>515</v>
      </c>
      <c r="O28" s="5">
        <v>45460</v>
      </c>
      <c r="P28" s="6">
        <v>2752293.58</v>
      </c>
      <c r="Q28" s="7">
        <v>0</v>
      </c>
    </row>
    <row r="29" s="1" customFormat="1" ht="13.5" spans="1:17">
      <c r="A29" s="3" t="s">
        <v>1794</v>
      </c>
      <c r="B29" s="3" t="s">
        <v>543</v>
      </c>
      <c r="C29" s="3" t="s">
        <v>1768</v>
      </c>
      <c r="D29" s="3" t="s">
        <v>545</v>
      </c>
      <c r="E29" s="3" t="s">
        <v>546</v>
      </c>
      <c r="F29" s="3" t="s">
        <v>547</v>
      </c>
      <c r="G29" s="3" t="s">
        <v>1791</v>
      </c>
      <c r="H29" s="3" t="s">
        <v>1770</v>
      </c>
      <c r="I29" s="3" t="s">
        <v>1775</v>
      </c>
      <c r="J29" s="3" t="s">
        <v>508</v>
      </c>
      <c r="K29" s="3" t="s">
        <v>544</v>
      </c>
      <c r="L29" s="3" t="s">
        <v>508</v>
      </c>
      <c r="M29" s="3" t="s">
        <v>515</v>
      </c>
      <c r="N29" s="3" t="s">
        <v>515</v>
      </c>
      <c r="O29" s="5">
        <v>45238</v>
      </c>
      <c r="P29" s="6">
        <v>9999999</v>
      </c>
      <c r="Q29" s="7">
        <v>0</v>
      </c>
    </row>
    <row r="30" s="1" customFormat="1" ht="13.5" spans="1:17">
      <c r="A30" s="3" t="s">
        <v>1794</v>
      </c>
      <c r="B30" s="3" t="s">
        <v>543</v>
      </c>
      <c r="C30" s="3" t="s">
        <v>1768</v>
      </c>
      <c r="D30" s="3" t="s">
        <v>545</v>
      </c>
      <c r="E30" s="3" t="s">
        <v>546</v>
      </c>
      <c r="F30" s="3" t="s">
        <v>547</v>
      </c>
      <c r="G30" s="3" t="s">
        <v>1791</v>
      </c>
      <c r="H30" s="3" t="s">
        <v>1770</v>
      </c>
      <c r="I30" s="3" t="s">
        <v>1775</v>
      </c>
      <c r="J30" s="3" t="s">
        <v>508</v>
      </c>
      <c r="K30" s="3" t="s">
        <v>544</v>
      </c>
      <c r="L30" s="3" t="s">
        <v>508</v>
      </c>
      <c r="M30" s="3" t="s">
        <v>515</v>
      </c>
      <c r="N30" s="3" t="s">
        <v>515</v>
      </c>
      <c r="O30" s="5">
        <v>45238</v>
      </c>
      <c r="P30" s="6">
        <v>7013045.58</v>
      </c>
      <c r="Q30" s="7">
        <v>0</v>
      </c>
    </row>
    <row r="31" s="1" customFormat="1" ht="13.5" spans="1:17">
      <c r="A31" s="3" t="s">
        <v>1794</v>
      </c>
      <c r="B31" s="3" t="s">
        <v>543</v>
      </c>
      <c r="C31" s="3" t="s">
        <v>1768</v>
      </c>
      <c r="D31" s="3" t="s">
        <v>545</v>
      </c>
      <c r="E31" s="3" t="s">
        <v>546</v>
      </c>
      <c r="F31" s="3" t="s">
        <v>547</v>
      </c>
      <c r="G31" s="3" t="s">
        <v>1791</v>
      </c>
      <c r="H31" s="3" t="s">
        <v>1770</v>
      </c>
      <c r="I31" s="3" t="s">
        <v>1775</v>
      </c>
      <c r="J31" s="3" t="s">
        <v>508</v>
      </c>
      <c r="K31" s="3" t="s">
        <v>544</v>
      </c>
      <c r="L31" s="3" t="s">
        <v>508</v>
      </c>
      <c r="M31" s="3" t="s">
        <v>515</v>
      </c>
      <c r="N31" s="3" t="s">
        <v>515</v>
      </c>
      <c r="O31" s="5">
        <v>45238</v>
      </c>
      <c r="P31" s="6">
        <v>9999999</v>
      </c>
      <c r="Q31" s="7">
        <v>0</v>
      </c>
    </row>
    <row r="32" s="1" customFormat="1" ht="13.5" spans="1:17">
      <c r="A32" s="3" t="s">
        <v>1795</v>
      </c>
      <c r="B32" s="3" t="s">
        <v>548</v>
      </c>
      <c r="C32" s="3" t="s">
        <v>1768</v>
      </c>
      <c r="D32" s="3" t="s">
        <v>545</v>
      </c>
      <c r="E32" s="3" t="s">
        <v>546</v>
      </c>
      <c r="F32" s="3" t="s">
        <v>43</v>
      </c>
      <c r="G32" s="3" t="s">
        <v>1791</v>
      </c>
      <c r="H32" s="3" t="s">
        <v>1770</v>
      </c>
      <c r="I32" s="3" t="s">
        <v>1775</v>
      </c>
      <c r="J32" s="3" t="s">
        <v>508</v>
      </c>
      <c r="K32" s="3" t="s">
        <v>549</v>
      </c>
      <c r="L32" s="3" t="s">
        <v>508</v>
      </c>
      <c r="M32" s="3" t="s">
        <v>515</v>
      </c>
      <c r="N32" s="3" t="s">
        <v>515</v>
      </c>
      <c r="O32" s="5">
        <v>45265</v>
      </c>
      <c r="P32" s="6">
        <v>3193650.73</v>
      </c>
      <c r="Q32" s="7">
        <v>0</v>
      </c>
    </row>
    <row r="33" s="1" customFormat="1" ht="13.5" spans="1:17">
      <c r="A33" s="3" t="s">
        <v>1795</v>
      </c>
      <c r="B33" s="3" t="s">
        <v>548</v>
      </c>
      <c r="C33" s="3" t="s">
        <v>1768</v>
      </c>
      <c r="D33" s="3" t="s">
        <v>545</v>
      </c>
      <c r="E33" s="3" t="s">
        <v>546</v>
      </c>
      <c r="F33" s="3" t="s">
        <v>43</v>
      </c>
      <c r="G33" s="3" t="s">
        <v>1791</v>
      </c>
      <c r="H33" s="3" t="s">
        <v>1770</v>
      </c>
      <c r="I33" s="3" t="s">
        <v>1775</v>
      </c>
      <c r="J33" s="3" t="s">
        <v>508</v>
      </c>
      <c r="K33" s="3" t="s">
        <v>549</v>
      </c>
      <c r="L33" s="3" t="s">
        <v>508</v>
      </c>
      <c r="M33" s="3" t="s">
        <v>515</v>
      </c>
      <c r="N33" s="3" t="s">
        <v>515</v>
      </c>
      <c r="O33" s="5">
        <v>45265</v>
      </c>
      <c r="P33" s="6">
        <v>990566.04</v>
      </c>
      <c r="Q33" s="7">
        <v>0</v>
      </c>
    </row>
    <row r="34" s="1" customFormat="1" ht="13.5" spans="1:17">
      <c r="A34" s="3" t="s">
        <v>1796</v>
      </c>
      <c r="B34" s="3" t="s">
        <v>551</v>
      </c>
      <c r="C34" s="3" t="s">
        <v>1768</v>
      </c>
      <c r="D34" s="3" t="s">
        <v>545</v>
      </c>
      <c r="E34" s="3" t="s">
        <v>546</v>
      </c>
      <c r="F34" s="3" t="s">
        <v>553</v>
      </c>
      <c r="G34" s="3" t="s">
        <v>1791</v>
      </c>
      <c r="H34" s="3" t="s">
        <v>1770</v>
      </c>
      <c r="I34" s="3" t="s">
        <v>1775</v>
      </c>
      <c r="J34" s="3" t="s">
        <v>508</v>
      </c>
      <c r="K34" s="3" t="s">
        <v>552</v>
      </c>
      <c r="L34" s="3" t="s">
        <v>508</v>
      </c>
      <c r="M34" s="3" t="s">
        <v>515</v>
      </c>
      <c r="N34" s="3" t="s">
        <v>515</v>
      </c>
      <c r="O34" s="5">
        <v>45280</v>
      </c>
      <c r="P34" s="6">
        <v>1684264.97</v>
      </c>
      <c r="Q34" s="7">
        <v>0</v>
      </c>
    </row>
    <row r="35" s="1" customFormat="1" ht="13.5" spans="1:17">
      <c r="A35" s="3" t="s">
        <v>1796</v>
      </c>
      <c r="B35" s="3" t="s">
        <v>551</v>
      </c>
      <c r="C35" s="3" t="s">
        <v>1768</v>
      </c>
      <c r="D35" s="3" t="s">
        <v>545</v>
      </c>
      <c r="E35" s="3" t="s">
        <v>546</v>
      </c>
      <c r="F35" s="3" t="s">
        <v>553</v>
      </c>
      <c r="G35" s="3" t="s">
        <v>1791</v>
      </c>
      <c r="H35" s="3" t="s">
        <v>1770</v>
      </c>
      <c r="I35" s="3" t="s">
        <v>1775</v>
      </c>
      <c r="J35" s="3" t="s">
        <v>508</v>
      </c>
      <c r="K35" s="3" t="s">
        <v>552</v>
      </c>
      <c r="L35" s="3" t="s">
        <v>508</v>
      </c>
      <c r="M35" s="3" t="s">
        <v>515</v>
      </c>
      <c r="N35" s="3" t="s">
        <v>515</v>
      </c>
      <c r="O35" s="5">
        <v>45280</v>
      </c>
      <c r="P35" s="6">
        <v>9174311.93</v>
      </c>
      <c r="Q35" s="7">
        <v>0</v>
      </c>
    </row>
    <row r="36" s="1" customFormat="1" ht="13.5" spans="1:17">
      <c r="A36" s="3" t="s">
        <v>1797</v>
      </c>
      <c r="B36" s="3" t="s">
        <v>406</v>
      </c>
      <c r="C36" s="3" t="s">
        <v>1768</v>
      </c>
      <c r="D36" s="3" t="s">
        <v>545</v>
      </c>
      <c r="E36" s="3" t="s">
        <v>546</v>
      </c>
      <c r="F36" s="3" t="s">
        <v>407</v>
      </c>
      <c r="G36" s="3" t="s">
        <v>1791</v>
      </c>
      <c r="H36" s="3" t="s">
        <v>1770</v>
      </c>
      <c r="I36" s="3" t="s">
        <v>1775</v>
      </c>
      <c r="J36" s="3" t="s">
        <v>521</v>
      </c>
      <c r="K36" s="3" t="s">
        <v>563</v>
      </c>
      <c r="L36" s="3" t="s">
        <v>521</v>
      </c>
      <c r="M36" s="3" t="s">
        <v>515</v>
      </c>
      <c r="N36" s="3" t="s">
        <v>515</v>
      </c>
      <c r="O36" s="5">
        <v>45433</v>
      </c>
      <c r="P36" s="6">
        <v>2720001.87</v>
      </c>
      <c r="Q36" s="7">
        <v>0</v>
      </c>
    </row>
    <row r="37" s="1" customFormat="1" ht="13.5" spans="1:17">
      <c r="A37" s="3" t="s">
        <v>1796</v>
      </c>
      <c r="B37" s="3" t="s">
        <v>551</v>
      </c>
      <c r="C37" s="3" t="s">
        <v>1768</v>
      </c>
      <c r="D37" s="3" t="s">
        <v>566</v>
      </c>
      <c r="E37" s="3" t="s">
        <v>567</v>
      </c>
      <c r="F37" s="3" t="s">
        <v>553</v>
      </c>
      <c r="G37" s="3" t="s">
        <v>1791</v>
      </c>
      <c r="H37" s="3" t="s">
        <v>1770</v>
      </c>
      <c r="I37" s="3" t="s">
        <v>1775</v>
      </c>
      <c r="J37" s="3" t="s">
        <v>508</v>
      </c>
      <c r="K37" s="3" t="s">
        <v>552</v>
      </c>
      <c r="L37" s="3" t="s">
        <v>508</v>
      </c>
      <c r="M37" s="3" t="s">
        <v>515</v>
      </c>
      <c r="N37" s="3" t="s">
        <v>515</v>
      </c>
      <c r="O37" s="5">
        <v>45280</v>
      </c>
      <c r="P37" s="6">
        <v>594339.62</v>
      </c>
      <c r="Q37" s="7">
        <v>0</v>
      </c>
    </row>
    <row r="38" s="1" customFormat="1" ht="13.5" spans="1:17">
      <c r="A38" s="3" t="s">
        <v>1798</v>
      </c>
      <c r="B38" s="3" t="s">
        <v>190</v>
      </c>
      <c r="C38" s="3" t="s">
        <v>1768</v>
      </c>
      <c r="D38" s="3" t="s">
        <v>640</v>
      </c>
      <c r="E38" s="3" t="s">
        <v>641</v>
      </c>
      <c r="F38" s="3" t="s">
        <v>642</v>
      </c>
      <c r="G38" s="3" t="s">
        <v>1791</v>
      </c>
      <c r="H38" s="3" t="s">
        <v>1770</v>
      </c>
      <c r="I38" s="3" t="s">
        <v>1775</v>
      </c>
      <c r="J38" s="3" t="s">
        <v>508</v>
      </c>
      <c r="K38" s="3" t="s">
        <v>639</v>
      </c>
      <c r="L38" s="3" t="s">
        <v>508</v>
      </c>
      <c r="M38" s="3" t="s">
        <v>515</v>
      </c>
      <c r="N38" s="3" t="s">
        <v>515</v>
      </c>
      <c r="O38" s="5">
        <v>45287</v>
      </c>
      <c r="P38" s="6">
        <v>22005</v>
      </c>
      <c r="Q38" s="7">
        <v>0</v>
      </c>
    </row>
    <row r="39" s="1" customFormat="1" ht="13.5" spans="1:17">
      <c r="A39" s="3" t="s">
        <v>1798</v>
      </c>
      <c r="B39" s="3" t="s">
        <v>190</v>
      </c>
      <c r="C39" s="3" t="s">
        <v>1768</v>
      </c>
      <c r="D39" s="3" t="s">
        <v>640</v>
      </c>
      <c r="E39" s="3" t="s">
        <v>641</v>
      </c>
      <c r="F39" s="3" t="s">
        <v>642</v>
      </c>
      <c r="G39" s="3" t="s">
        <v>1791</v>
      </c>
      <c r="H39" s="3" t="s">
        <v>1770</v>
      </c>
      <c r="I39" s="3" t="s">
        <v>1775</v>
      </c>
      <c r="J39" s="3" t="s">
        <v>508</v>
      </c>
      <c r="K39" s="3" t="s">
        <v>639</v>
      </c>
      <c r="L39" s="3" t="s">
        <v>508</v>
      </c>
      <c r="M39" s="3" t="s">
        <v>515</v>
      </c>
      <c r="N39" s="3" t="s">
        <v>515</v>
      </c>
      <c r="O39" s="5">
        <v>45287</v>
      </c>
      <c r="P39" s="6">
        <v>733495</v>
      </c>
      <c r="Q39" s="7">
        <v>0</v>
      </c>
    </row>
    <row r="40" s="1" customFormat="1" ht="13.5" spans="1:17">
      <c r="A40" s="3" t="s">
        <v>1799</v>
      </c>
      <c r="B40" s="3" t="s">
        <v>483</v>
      </c>
      <c r="C40" s="3" t="s">
        <v>1768</v>
      </c>
      <c r="D40" s="3" t="s">
        <v>1219</v>
      </c>
      <c r="E40" s="3" t="s">
        <v>1220</v>
      </c>
      <c r="F40" s="3" t="s">
        <v>484</v>
      </c>
      <c r="G40" s="3" t="s">
        <v>1791</v>
      </c>
      <c r="H40" s="3" t="s">
        <v>1770</v>
      </c>
      <c r="I40" s="3" t="s">
        <v>1775</v>
      </c>
      <c r="J40" s="3" t="s">
        <v>521</v>
      </c>
      <c r="K40" s="3" t="s">
        <v>1218</v>
      </c>
      <c r="L40" s="3" t="s">
        <v>521</v>
      </c>
      <c r="M40" s="3" t="s">
        <v>515</v>
      </c>
      <c r="N40" s="3" t="s">
        <v>515</v>
      </c>
      <c r="O40" s="5">
        <v>45455</v>
      </c>
      <c r="P40" s="6">
        <v>18867.92</v>
      </c>
      <c r="Q40" s="7">
        <v>0</v>
      </c>
    </row>
    <row r="41" s="1" customFormat="1" ht="13.5" spans="1:17">
      <c r="A41" s="3" t="s">
        <v>1795</v>
      </c>
      <c r="B41" s="3" t="s">
        <v>548</v>
      </c>
      <c r="C41" s="3" t="s">
        <v>1768</v>
      </c>
      <c r="D41" s="3" t="s">
        <v>545</v>
      </c>
      <c r="E41" s="3" t="s">
        <v>546</v>
      </c>
      <c r="F41" s="3" t="s">
        <v>43</v>
      </c>
      <c r="G41" s="3" t="s">
        <v>1800</v>
      </c>
      <c r="H41" s="3" t="s">
        <v>1770</v>
      </c>
      <c r="I41" s="3" t="s">
        <v>1775</v>
      </c>
      <c r="J41" s="3" t="s">
        <v>508</v>
      </c>
      <c r="K41" s="3" t="s">
        <v>549</v>
      </c>
      <c r="L41" s="3" t="s">
        <v>508</v>
      </c>
      <c r="M41" s="3" t="s">
        <v>550</v>
      </c>
      <c r="N41" s="3" t="s">
        <v>550</v>
      </c>
      <c r="O41" s="5">
        <v>45265</v>
      </c>
      <c r="P41" s="6">
        <v>9877809.73</v>
      </c>
      <c r="Q41" s="7">
        <v>0</v>
      </c>
    </row>
    <row r="42" s="1" customFormat="1" ht="13.5" spans="1:17">
      <c r="A42" s="3" t="s">
        <v>1796</v>
      </c>
      <c r="B42" s="3" t="s">
        <v>551</v>
      </c>
      <c r="C42" s="3" t="s">
        <v>1768</v>
      </c>
      <c r="D42" s="3" t="s">
        <v>545</v>
      </c>
      <c r="E42" s="3" t="s">
        <v>546</v>
      </c>
      <c r="F42" s="3" t="s">
        <v>553</v>
      </c>
      <c r="G42" s="3" t="s">
        <v>1800</v>
      </c>
      <c r="H42" s="3" t="s">
        <v>1770</v>
      </c>
      <c r="I42" s="3" t="s">
        <v>1775</v>
      </c>
      <c r="J42" s="3" t="s">
        <v>508</v>
      </c>
      <c r="K42" s="3" t="s">
        <v>552</v>
      </c>
      <c r="L42" s="3" t="s">
        <v>508</v>
      </c>
      <c r="M42" s="3" t="s">
        <v>550</v>
      </c>
      <c r="N42" s="3" t="s">
        <v>550</v>
      </c>
      <c r="O42" s="5">
        <v>45280</v>
      </c>
      <c r="P42" s="6">
        <v>3170698.41</v>
      </c>
      <c r="Q42" s="7">
        <v>0</v>
      </c>
    </row>
    <row r="43" s="1" customFormat="1" ht="13.5" spans="1:17">
      <c r="A43" s="3" t="s">
        <v>1801</v>
      </c>
      <c r="B43" s="3" t="s">
        <v>559</v>
      </c>
      <c r="C43" s="3" t="s">
        <v>1768</v>
      </c>
      <c r="D43" s="3" t="s">
        <v>545</v>
      </c>
      <c r="E43" s="3" t="s">
        <v>546</v>
      </c>
      <c r="F43" s="3" t="s">
        <v>561</v>
      </c>
      <c r="G43" s="3" t="s">
        <v>1800</v>
      </c>
      <c r="H43" s="3" t="s">
        <v>1770</v>
      </c>
      <c r="I43" s="3" t="s">
        <v>1775</v>
      </c>
      <c r="J43" s="3" t="s">
        <v>508</v>
      </c>
      <c r="K43" s="3" t="s">
        <v>560</v>
      </c>
      <c r="L43" s="3" t="s">
        <v>508</v>
      </c>
      <c r="M43" s="3" t="s">
        <v>550</v>
      </c>
      <c r="N43" s="3" t="s">
        <v>550</v>
      </c>
      <c r="O43" s="5">
        <v>45246</v>
      </c>
      <c r="P43" s="6">
        <v>11222091.93</v>
      </c>
      <c r="Q43" s="7">
        <v>0</v>
      </c>
    </row>
    <row r="44" s="1" customFormat="1" ht="13.5" spans="1:17">
      <c r="A44" s="3" t="s">
        <v>1802</v>
      </c>
      <c r="B44" s="3" t="s">
        <v>568</v>
      </c>
      <c r="C44" s="3" t="s">
        <v>1768</v>
      </c>
      <c r="D44" s="3" t="s">
        <v>566</v>
      </c>
      <c r="E44" s="3" t="s">
        <v>567</v>
      </c>
      <c r="F44" s="3" t="s">
        <v>570</v>
      </c>
      <c r="G44" s="3" t="s">
        <v>1800</v>
      </c>
      <c r="H44" s="3" t="s">
        <v>1770</v>
      </c>
      <c r="I44" s="3" t="s">
        <v>1775</v>
      </c>
      <c r="J44" s="3" t="s">
        <v>508</v>
      </c>
      <c r="K44" s="3" t="s">
        <v>569</v>
      </c>
      <c r="L44" s="3" t="s">
        <v>508</v>
      </c>
      <c r="M44" s="3" t="s">
        <v>550</v>
      </c>
      <c r="N44" s="3" t="s">
        <v>550</v>
      </c>
      <c r="O44" s="5">
        <v>45250</v>
      </c>
      <c r="P44" s="6">
        <v>12303071.5</v>
      </c>
      <c r="Q44" s="7">
        <v>0</v>
      </c>
    </row>
    <row r="45" s="1" customFormat="1" ht="13.5" spans="1:17">
      <c r="A45" s="3" t="s">
        <v>1803</v>
      </c>
      <c r="B45" s="3" t="s">
        <v>476</v>
      </c>
      <c r="C45" s="3" t="s">
        <v>1768</v>
      </c>
      <c r="D45" s="3" t="s">
        <v>580</v>
      </c>
      <c r="E45" s="3" t="s">
        <v>581</v>
      </c>
      <c r="F45" s="3" t="s">
        <v>477</v>
      </c>
      <c r="G45" s="3" t="s">
        <v>1800</v>
      </c>
      <c r="H45" s="3" t="s">
        <v>1770</v>
      </c>
      <c r="I45" s="3" t="s">
        <v>1775</v>
      </c>
      <c r="J45" s="3" t="s">
        <v>521</v>
      </c>
      <c r="K45" s="3" t="s">
        <v>579</v>
      </c>
      <c r="L45" s="3" t="s">
        <v>521</v>
      </c>
      <c r="M45" s="3" t="s">
        <v>550</v>
      </c>
      <c r="N45" s="3" t="s">
        <v>550</v>
      </c>
      <c r="O45" s="5">
        <v>45461</v>
      </c>
      <c r="P45" s="6">
        <v>1850748.14</v>
      </c>
      <c r="Q45" s="7">
        <v>0</v>
      </c>
    </row>
    <row r="46" s="1" customFormat="1" ht="13.5" spans="1:17">
      <c r="A46" s="3" t="s">
        <v>1804</v>
      </c>
      <c r="B46" s="3" t="s">
        <v>582</v>
      </c>
      <c r="C46" s="3" t="s">
        <v>1768</v>
      </c>
      <c r="D46" s="3" t="s">
        <v>584</v>
      </c>
      <c r="E46" s="3" t="s">
        <v>585</v>
      </c>
      <c r="F46" s="3" t="s">
        <v>73</v>
      </c>
      <c r="G46" s="3" t="s">
        <v>1800</v>
      </c>
      <c r="H46" s="3" t="s">
        <v>1770</v>
      </c>
      <c r="I46" s="3" t="s">
        <v>1775</v>
      </c>
      <c r="J46" s="3" t="s">
        <v>508</v>
      </c>
      <c r="K46" s="3" t="s">
        <v>583</v>
      </c>
      <c r="L46" s="3" t="s">
        <v>508</v>
      </c>
      <c r="M46" s="3" t="s">
        <v>550</v>
      </c>
      <c r="N46" s="3" t="s">
        <v>550</v>
      </c>
      <c r="O46" s="5">
        <v>45239</v>
      </c>
      <c r="P46" s="6">
        <v>994777.12</v>
      </c>
      <c r="Q46" s="7">
        <v>0</v>
      </c>
    </row>
    <row r="47" s="1" customFormat="1" ht="13.5" spans="1:17">
      <c r="A47" s="3" t="s">
        <v>1804</v>
      </c>
      <c r="B47" s="3" t="s">
        <v>582</v>
      </c>
      <c r="C47" s="3" t="s">
        <v>1768</v>
      </c>
      <c r="D47" s="3" t="s">
        <v>584</v>
      </c>
      <c r="E47" s="3" t="s">
        <v>585</v>
      </c>
      <c r="F47" s="3" t="s">
        <v>73</v>
      </c>
      <c r="G47" s="3" t="s">
        <v>1800</v>
      </c>
      <c r="H47" s="3" t="s">
        <v>1770</v>
      </c>
      <c r="I47" s="3" t="s">
        <v>1775</v>
      </c>
      <c r="J47" s="3" t="s">
        <v>508</v>
      </c>
      <c r="K47" s="3" t="s">
        <v>583</v>
      </c>
      <c r="L47" s="3" t="s">
        <v>508</v>
      </c>
      <c r="M47" s="3" t="s">
        <v>550</v>
      </c>
      <c r="N47" s="3" t="s">
        <v>550</v>
      </c>
      <c r="O47" s="5">
        <v>45239</v>
      </c>
      <c r="P47" s="6">
        <v>994777.12</v>
      </c>
      <c r="Q47" s="7">
        <v>0</v>
      </c>
    </row>
    <row r="48" s="1" customFormat="1" ht="13.5" spans="1:17">
      <c r="A48" s="3" t="s">
        <v>1804</v>
      </c>
      <c r="B48" s="3" t="s">
        <v>582</v>
      </c>
      <c r="C48" s="3" t="s">
        <v>1768</v>
      </c>
      <c r="D48" s="3" t="s">
        <v>584</v>
      </c>
      <c r="E48" s="3" t="s">
        <v>585</v>
      </c>
      <c r="F48" s="3" t="s">
        <v>73</v>
      </c>
      <c r="G48" s="3" t="s">
        <v>1800</v>
      </c>
      <c r="H48" s="3" t="s">
        <v>1770</v>
      </c>
      <c r="I48" s="3" t="s">
        <v>1775</v>
      </c>
      <c r="J48" s="3" t="s">
        <v>508</v>
      </c>
      <c r="K48" s="3" t="s">
        <v>583</v>
      </c>
      <c r="L48" s="3" t="s">
        <v>508</v>
      </c>
      <c r="M48" s="3" t="s">
        <v>550</v>
      </c>
      <c r="N48" s="3" t="s">
        <v>550</v>
      </c>
      <c r="O48" s="5">
        <v>45239</v>
      </c>
      <c r="P48" s="6">
        <v>994777.12</v>
      </c>
      <c r="Q48" s="7">
        <v>0</v>
      </c>
    </row>
    <row r="49" s="1" customFormat="1" ht="13.5" spans="1:17">
      <c r="A49" s="3" t="s">
        <v>1804</v>
      </c>
      <c r="B49" s="3" t="s">
        <v>582</v>
      </c>
      <c r="C49" s="3" t="s">
        <v>1768</v>
      </c>
      <c r="D49" s="3" t="s">
        <v>584</v>
      </c>
      <c r="E49" s="3" t="s">
        <v>585</v>
      </c>
      <c r="F49" s="3" t="s">
        <v>73</v>
      </c>
      <c r="G49" s="3" t="s">
        <v>1800</v>
      </c>
      <c r="H49" s="3" t="s">
        <v>1770</v>
      </c>
      <c r="I49" s="3" t="s">
        <v>1775</v>
      </c>
      <c r="J49" s="3" t="s">
        <v>508</v>
      </c>
      <c r="K49" s="3" t="s">
        <v>583</v>
      </c>
      <c r="L49" s="3" t="s">
        <v>508</v>
      </c>
      <c r="M49" s="3" t="s">
        <v>550</v>
      </c>
      <c r="N49" s="3" t="s">
        <v>550</v>
      </c>
      <c r="O49" s="5">
        <v>45239</v>
      </c>
      <c r="P49" s="6">
        <v>994777.12</v>
      </c>
      <c r="Q49" s="7">
        <v>0</v>
      </c>
    </row>
    <row r="50" s="1" customFormat="1" ht="13.5" spans="1:17">
      <c r="A50" s="3" t="s">
        <v>1804</v>
      </c>
      <c r="B50" s="3" t="s">
        <v>582</v>
      </c>
      <c r="C50" s="3" t="s">
        <v>1768</v>
      </c>
      <c r="D50" s="3" t="s">
        <v>584</v>
      </c>
      <c r="E50" s="3" t="s">
        <v>585</v>
      </c>
      <c r="F50" s="3" t="s">
        <v>73</v>
      </c>
      <c r="G50" s="3" t="s">
        <v>1800</v>
      </c>
      <c r="H50" s="3" t="s">
        <v>1770</v>
      </c>
      <c r="I50" s="3" t="s">
        <v>1775</v>
      </c>
      <c r="J50" s="3" t="s">
        <v>508</v>
      </c>
      <c r="K50" s="3" t="s">
        <v>583</v>
      </c>
      <c r="L50" s="3" t="s">
        <v>508</v>
      </c>
      <c r="M50" s="3" t="s">
        <v>550</v>
      </c>
      <c r="N50" s="3" t="s">
        <v>550</v>
      </c>
      <c r="O50" s="5">
        <v>45239</v>
      </c>
      <c r="P50" s="6">
        <v>994777.12</v>
      </c>
      <c r="Q50" s="7">
        <v>0</v>
      </c>
    </row>
    <row r="51" s="1" customFormat="1" ht="13.5" spans="1:17">
      <c r="A51" s="3" t="s">
        <v>1804</v>
      </c>
      <c r="B51" s="3" t="s">
        <v>582</v>
      </c>
      <c r="C51" s="3" t="s">
        <v>1768</v>
      </c>
      <c r="D51" s="3" t="s">
        <v>584</v>
      </c>
      <c r="E51" s="3" t="s">
        <v>585</v>
      </c>
      <c r="F51" s="3" t="s">
        <v>73</v>
      </c>
      <c r="G51" s="3" t="s">
        <v>1800</v>
      </c>
      <c r="H51" s="3" t="s">
        <v>1770</v>
      </c>
      <c r="I51" s="3" t="s">
        <v>1775</v>
      </c>
      <c r="J51" s="3" t="s">
        <v>508</v>
      </c>
      <c r="K51" s="3" t="s">
        <v>583</v>
      </c>
      <c r="L51" s="3" t="s">
        <v>508</v>
      </c>
      <c r="M51" s="3" t="s">
        <v>550</v>
      </c>
      <c r="N51" s="3" t="s">
        <v>550</v>
      </c>
      <c r="O51" s="5">
        <v>45239</v>
      </c>
      <c r="P51" s="6">
        <v>740299.29</v>
      </c>
      <c r="Q51" s="7">
        <v>0</v>
      </c>
    </row>
    <row r="52" s="1" customFormat="1" ht="13.5" spans="1:17">
      <c r="A52" s="3" t="s">
        <v>1804</v>
      </c>
      <c r="B52" s="3" t="s">
        <v>582</v>
      </c>
      <c r="C52" s="3" t="s">
        <v>1768</v>
      </c>
      <c r="D52" s="3" t="s">
        <v>584</v>
      </c>
      <c r="E52" s="3" t="s">
        <v>585</v>
      </c>
      <c r="F52" s="3" t="s">
        <v>73</v>
      </c>
      <c r="G52" s="3" t="s">
        <v>1800</v>
      </c>
      <c r="H52" s="3" t="s">
        <v>1770</v>
      </c>
      <c r="I52" s="3" t="s">
        <v>1775</v>
      </c>
      <c r="J52" s="3" t="s">
        <v>508</v>
      </c>
      <c r="K52" s="3" t="s">
        <v>583</v>
      </c>
      <c r="L52" s="3" t="s">
        <v>508</v>
      </c>
      <c r="M52" s="3" t="s">
        <v>550</v>
      </c>
      <c r="N52" s="3" t="s">
        <v>550</v>
      </c>
      <c r="O52" s="5">
        <v>45239</v>
      </c>
      <c r="P52" s="6">
        <v>994777.12</v>
      </c>
      <c r="Q52" s="7">
        <v>0</v>
      </c>
    </row>
    <row r="53" s="1" customFormat="1" ht="13.5" spans="1:17">
      <c r="A53" s="3" t="s">
        <v>1804</v>
      </c>
      <c r="B53" s="3" t="s">
        <v>582</v>
      </c>
      <c r="C53" s="3" t="s">
        <v>1768</v>
      </c>
      <c r="D53" s="3" t="s">
        <v>584</v>
      </c>
      <c r="E53" s="3" t="s">
        <v>585</v>
      </c>
      <c r="F53" s="3" t="s">
        <v>73</v>
      </c>
      <c r="G53" s="3" t="s">
        <v>1800</v>
      </c>
      <c r="H53" s="3" t="s">
        <v>1770</v>
      </c>
      <c r="I53" s="3" t="s">
        <v>1775</v>
      </c>
      <c r="J53" s="3" t="s">
        <v>508</v>
      </c>
      <c r="K53" s="3" t="s">
        <v>583</v>
      </c>
      <c r="L53" s="3" t="s">
        <v>508</v>
      </c>
      <c r="M53" s="3" t="s">
        <v>550</v>
      </c>
      <c r="N53" s="3" t="s">
        <v>550</v>
      </c>
      <c r="O53" s="5">
        <v>45239</v>
      </c>
      <c r="P53" s="6">
        <v>994777.12</v>
      </c>
      <c r="Q53" s="7">
        <v>0</v>
      </c>
    </row>
    <row r="54" s="1" customFormat="1" ht="13.5" spans="1:17">
      <c r="A54" s="3" t="s">
        <v>1804</v>
      </c>
      <c r="B54" s="3" t="s">
        <v>582</v>
      </c>
      <c r="C54" s="3" t="s">
        <v>1768</v>
      </c>
      <c r="D54" s="3" t="s">
        <v>584</v>
      </c>
      <c r="E54" s="3" t="s">
        <v>585</v>
      </c>
      <c r="F54" s="3" t="s">
        <v>73</v>
      </c>
      <c r="G54" s="3" t="s">
        <v>1800</v>
      </c>
      <c r="H54" s="3" t="s">
        <v>1770</v>
      </c>
      <c r="I54" s="3" t="s">
        <v>1775</v>
      </c>
      <c r="J54" s="3" t="s">
        <v>508</v>
      </c>
      <c r="K54" s="3" t="s">
        <v>583</v>
      </c>
      <c r="L54" s="3" t="s">
        <v>508</v>
      </c>
      <c r="M54" s="3" t="s">
        <v>550</v>
      </c>
      <c r="N54" s="3" t="s">
        <v>550</v>
      </c>
      <c r="O54" s="5">
        <v>45239</v>
      </c>
      <c r="P54" s="6">
        <v>994777.12</v>
      </c>
      <c r="Q54" s="7">
        <v>0</v>
      </c>
    </row>
    <row r="55" s="1" customFormat="1" ht="13.5" spans="1:17">
      <c r="A55" s="3" t="s">
        <v>1804</v>
      </c>
      <c r="B55" s="3" t="s">
        <v>582</v>
      </c>
      <c r="C55" s="3" t="s">
        <v>1768</v>
      </c>
      <c r="D55" s="3" t="s">
        <v>584</v>
      </c>
      <c r="E55" s="3" t="s">
        <v>585</v>
      </c>
      <c r="F55" s="3" t="s">
        <v>73</v>
      </c>
      <c r="G55" s="3" t="s">
        <v>1800</v>
      </c>
      <c r="H55" s="3" t="s">
        <v>1770</v>
      </c>
      <c r="I55" s="3" t="s">
        <v>1775</v>
      </c>
      <c r="J55" s="3" t="s">
        <v>508</v>
      </c>
      <c r="K55" s="3" t="s">
        <v>583</v>
      </c>
      <c r="L55" s="3" t="s">
        <v>508</v>
      </c>
      <c r="M55" s="3" t="s">
        <v>550</v>
      </c>
      <c r="N55" s="3" t="s">
        <v>550</v>
      </c>
      <c r="O55" s="5">
        <v>45239</v>
      </c>
      <c r="P55" s="6">
        <v>994777.12</v>
      </c>
      <c r="Q55" s="7">
        <v>0</v>
      </c>
    </row>
    <row r="56" s="1" customFormat="1" ht="13.5" spans="1:17">
      <c r="A56" s="3" t="s">
        <v>1804</v>
      </c>
      <c r="B56" s="3" t="s">
        <v>582</v>
      </c>
      <c r="C56" s="3" t="s">
        <v>1768</v>
      </c>
      <c r="D56" s="3" t="s">
        <v>584</v>
      </c>
      <c r="E56" s="3" t="s">
        <v>585</v>
      </c>
      <c r="F56" s="3" t="s">
        <v>73</v>
      </c>
      <c r="G56" s="3" t="s">
        <v>1800</v>
      </c>
      <c r="H56" s="3" t="s">
        <v>1770</v>
      </c>
      <c r="I56" s="3" t="s">
        <v>1775</v>
      </c>
      <c r="J56" s="3" t="s">
        <v>508</v>
      </c>
      <c r="K56" s="3" t="s">
        <v>583</v>
      </c>
      <c r="L56" s="3" t="s">
        <v>508</v>
      </c>
      <c r="M56" s="3" t="s">
        <v>550</v>
      </c>
      <c r="N56" s="3" t="s">
        <v>550</v>
      </c>
      <c r="O56" s="5">
        <v>45239</v>
      </c>
      <c r="P56" s="6">
        <v>994777.12</v>
      </c>
      <c r="Q56" s="7">
        <v>0</v>
      </c>
    </row>
    <row r="57" s="1" customFormat="1" ht="13.5" spans="1:17">
      <c r="A57" s="3" t="s">
        <v>1804</v>
      </c>
      <c r="B57" s="3" t="s">
        <v>582</v>
      </c>
      <c r="C57" s="3" t="s">
        <v>1768</v>
      </c>
      <c r="D57" s="3" t="s">
        <v>584</v>
      </c>
      <c r="E57" s="3" t="s">
        <v>585</v>
      </c>
      <c r="F57" s="3" t="s">
        <v>73</v>
      </c>
      <c r="G57" s="3" t="s">
        <v>1800</v>
      </c>
      <c r="H57" s="3" t="s">
        <v>1770</v>
      </c>
      <c r="I57" s="3" t="s">
        <v>1775</v>
      </c>
      <c r="J57" s="3" t="s">
        <v>508</v>
      </c>
      <c r="K57" s="3" t="s">
        <v>583</v>
      </c>
      <c r="L57" s="3" t="s">
        <v>508</v>
      </c>
      <c r="M57" s="3" t="s">
        <v>550</v>
      </c>
      <c r="N57" s="3" t="s">
        <v>550</v>
      </c>
      <c r="O57" s="5">
        <v>45239</v>
      </c>
      <c r="P57" s="6">
        <v>994777.12</v>
      </c>
      <c r="Q57" s="7">
        <v>0</v>
      </c>
    </row>
    <row r="58" s="1" customFormat="1" ht="13.5" spans="1:17">
      <c r="A58" s="3" t="s">
        <v>1804</v>
      </c>
      <c r="B58" s="3" t="s">
        <v>582</v>
      </c>
      <c r="C58" s="3" t="s">
        <v>1768</v>
      </c>
      <c r="D58" s="3" t="s">
        <v>584</v>
      </c>
      <c r="E58" s="3" t="s">
        <v>585</v>
      </c>
      <c r="F58" s="3" t="s">
        <v>73</v>
      </c>
      <c r="G58" s="3" t="s">
        <v>1800</v>
      </c>
      <c r="H58" s="3" t="s">
        <v>1770</v>
      </c>
      <c r="I58" s="3" t="s">
        <v>1775</v>
      </c>
      <c r="J58" s="3" t="s">
        <v>508</v>
      </c>
      <c r="K58" s="3" t="s">
        <v>583</v>
      </c>
      <c r="L58" s="3" t="s">
        <v>508</v>
      </c>
      <c r="M58" s="3" t="s">
        <v>550</v>
      </c>
      <c r="N58" s="3" t="s">
        <v>550</v>
      </c>
      <c r="O58" s="5">
        <v>45239</v>
      </c>
      <c r="P58" s="6">
        <v>994777.12</v>
      </c>
      <c r="Q58" s="7">
        <v>0</v>
      </c>
    </row>
    <row r="59" s="1" customFormat="1" ht="13.5" spans="1:17">
      <c r="A59" s="3" t="s">
        <v>1804</v>
      </c>
      <c r="B59" s="3" t="s">
        <v>582</v>
      </c>
      <c r="C59" s="3" t="s">
        <v>1768</v>
      </c>
      <c r="D59" s="3" t="s">
        <v>584</v>
      </c>
      <c r="E59" s="3" t="s">
        <v>585</v>
      </c>
      <c r="F59" s="3" t="s">
        <v>73</v>
      </c>
      <c r="G59" s="3" t="s">
        <v>1800</v>
      </c>
      <c r="H59" s="3" t="s">
        <v>1770</v>
      </c>
      <c r="I59" s="3" t="s">
        <v>1775</v>
      </c>
      <c r="J59" s="3" t="s">
        <v>508</v>
      </c>
      <c r="K59" s="3" t="s">
        <v>583</v>
      </c>
      <c r="L59" s="3" t="s">
        <v>508</v>
      </c>
      <c r="M59" s="3" t="s">
        <v>550</v>
      </c>
      <c r="N59" s="3" t="s">
        <v>550</v>
      </c>
      <c r="O59" s="5">
        <v>45239</v>
      </c>
      <c r="P59" s="6">
        <v>994777.12</v>
      </c>
      <c r="Q59" s="7">
        <v>0</v>
      </c>
    </row>
    <row r="60" s="1" customFormat="1" ht="13.5" spans="1:17">
      <c r="A60" s="3" t="s">
        <v>1804</v>
      </c>
      <c r="B60" s="3" t="s">
        <v>582</v>
      </c>
      <c r="C60" s="3" t="s">
        <v>1768</v>
      </c>
      <c r="D60" s="3" t="s">
        <v>584</v>
      </c>
      <c r="E60" s="3" t="s">
        <v>585</v>
      </c>
      <c r="F60" s="3" t="s">
        <v>73</v>
      </c>
      <c r="G60" s="3" t="s">
        <v>1800</v>
      </c>
      <c r="H60" s="3" t="s">
        <v>1770</v>
      </c>
      <c r="I60" s="3" t="s">
        <v>1775</v>
      </c>
      <c r="J60" s="3" t="s">
        <v>508</v>
      </c>
      <c r="K60" s="3" t="s">
        <v>583</v>
      </c>
      <c r="L60" s="3" t="s">
        <v>508</v>
      </c>
      <c r="M60" s="3" t="s">
        <v>550</v>
      </c>
      <c r="N60" s="3" t="s">
        <v>550</v>
      </c>
      <c r="O60" s="5">
        <v>45239</v>
      </c>
      <c r="P60" s="6">
        <v>994777.12</v>
      </c>
      <c r="Q60" s="7">
        <v>0</v>
      </c>
    </row>
    <row r="61" s="1" customFormat="1" ht="13.5" spans="1:17">
      <c r="A61" s="3" t="s">
        <v>1804</v>
      </c>
      <c r="B61" s="3" t="s">
        <v>582</v>
      </c>
      <c r="C61" s="3" t="s">
        <v>1768</v>
      </c>
      <c r="D61" s="3" t="s">
        <v>584</v>
      </c>
      <c r="E61" s="3" t="s">
        <v>585</v>
      </c>
      <c r="F61" s="3" t="s">
        <v>73</v>
      </c>
      <c r="G61" s="3" t="s">
        <v>1800</v>
      </c>
      <c r="H61" s="3" t="s">
        <v>1770</v>
      </c>
      <c r="I61" s="3" t="s">
        <v>1775</v>
      </c>
      <c r="J61" s="3" t="s">
        <v>508</v>
      </c>
      <c r="K61" s="3" t="s">
        <v>583</v>
      </c>
      <c r="L61" s="3" t="s">
        <v>508</v>
      </c>
      <c r="M61" s="3" t="s">
        <v>550</v>
      </c>
      <c r="N61" s="3" t="s">
        <v>550</v>
      </c>
      <c r="O61" s="5">
        <v>45239</v>
      </c>
      <c r="P61" s="6">
        <v>994777.12</v>
      </c>
      <c r="Q61" s="7">
        <v>0</v>
      </c>
    </row>
    <row r="62" s="1" customFormat="1" ht="13.5" spans="1:17">
      <c r="A62" s="3" t="s">
        <v>1804</v>
      </c>
      <c r="B62" s="3" t="s">
        <v>582</v>
      </c>
      <c r="C62" s="3" t="s">
        <v>1768</v>
      </c>
      <c r="D62" s="3" t="s">
        <v>584</v>
      </c>
      <c r="E62" s="3" t="s">
        <v>585</v>
      </c>
      <c r="F62" s="3" t="s">
        <v>73</v>
      </c>
      <c r="G62" s="3" t="s">
        <v>1800</v>
      </c>
      <c r="H62" s="3" t="s">
        <v>1770</v>
      </c>
      <c r="I62" s="3" t="s">
        <v>1775</v>
      </c>
      <c r="J62" s="3" t="s">
        <v>508</v>
      </c>
      <c r="K62" s="3" t="s">
        <v>583</v>
      </c>
      <c r="L62" s="3" t="s">
        <v>508</v>
      </c>
      <c r="M62" s="3" t="s">
        <v>550</v>
      </c>
      <c r="N62" s="3" t="s">
        <v>550</v>
      </c>
      <c r="O62" s="5">
        <v>45239</v>
      </c>
      <c r="P62" s="6">
        <v>994777.12</v>
      </c>
      <c r="Q62" s="7">
        <v>0</v>
      </c>
    </row>
    <row r="63" s="1" customFormat="1" ht="13.5" spans="1:17">
      <c r="A63" s="3" t="s">
        <v>1805</v>
      </c>
      <c r="B63" s="3" t="s">
        <v>586</v>
      </c>
      <c r="C63" s="3" t="s">
        <v>1768</v>
      </c>
      <c r="D63" s="3" t="s">
        <v>584</v>
      </c>
      <c r="E63" s="3" t="s">
        <v>585</v>
      </c>
      <c r="F63" s="3" t="s">
        <v>75</v>
      </c>
      <c r="G63" s="3" t="s">
        <v>1800</v>
      </c>
      <c r="H63" s="3" t="s">
        <v>1770</v>
      </c>
      <c r="I63" s="3" t="s">
        <v>1775</v>
      </c>
      <c r="J63" s="3" t="s">
        <v>508</v>
      </c>
      <c r="K63" s="3" t="s">
        <v>587</v>
      </c>
      <c r="L63" s="3" t="s">
        <v>508</v>
      </c>
      <c r="M63" s="3" t="s">
        <v>550</v>
      </c>
      <c r="N63" s="3" t="s">
        <v>550</v>
      </c>
      <c r="O63" s="5">
        <v>45274</v>
      </c>
      <c r="P63" s="6">
        <v>9253740.7</v>
      </c>
      <c r="Q63" s="7">
        <v>0</v>
      </c>
    </row>
    <row r="64" s="1" customFormat="1" ht="13.5" spans="1:17">
      <c r="A64" s="3" t="s">
        <v>1806</v>
      </c>
      <c r="B64" s="3" t="s">
        <v>591</v>
      </c>
      <c r="C64" s="3" t="s">
        <v>1768</v>
      </c>
      <c r="D64" s="3" t="s">
        <v>584</v>
      </c>
      <c r="E64" s="3" t="s">
        <v>585</v>
      </c>
      <c r="F64" s="3" t="s">
        <v>82</v>
      </c>
      <c r="G64" s="3" t="s">
        <v>1800</v>
      </c>
      <c r="H64" s="3" t="s">
        <v>1770</v>
      </c>
      <c r="I64" s="3" t="s">
        <v>1775</v>
      </c>
      <c r="J64" s="3" t="s">
        <v>508</v>
      </c>
      <c r="K64" s="3" t="s">
        <v>592</v>
      </c>
      <c r="L64" s="3" t="s">
        <v>508</v>
      </c>
      <c r="M64" s="3" t="s">
        <v>550</v>
      </c>
      <c r="N64" s="3" t="s">
        <v>550</v>
      </c>
      <c r="O64" s="5">
        <v>45265</v>
      </c>
      <c r="P64" s="6">
        <v>70003539.82</v>
      </c>
      <c r="Q64" s="7">
        <v>0</v>
      </c>
    </row>
    <row r="65" s="1" customFormat="1" ht="13.5" spans="1:17">
      <c r="A65" s="3" t="s">
        <v>1807</v>
      </c>
      <c r="B65" s="3" t="s">
        <v>358</v>
      </c>
      <c r="C65" s="3" t="s">
        <v>1768</v>
      </c>
      <c r="D65" s="3" t="s">
        <v>599</v>
      </c>
      <c r="E65" s="3" t="s">
        <v>600</v>
      </c>
      <c r="F65" s="3" t="s">
        <v>359</v>
      </c>
      <c r="G65" s="3" t="s">
        <v>1800</v>
      </c>
      <c r="H65" s="3" t="s">
        <v>1770</v>
      </c>
      <c r="I65" s="3" t="s">
        <v>1775</v>
      </c>
      <c r="J65" s="3" t="s">
        <v>521</v>
      </c>
      <c r="K65" s="3" t="s">
        <v>598</v>
      </c>
      <c r="L65" s="3" t="s">
        <v>521</v>
      </c>
      <c r="M65" s="3" t="s">
        <v>550</v>
      </c>
      <c r="N65" s="3" t="s">
        <v>550</v>
      </c>
      <c r="O65" s="5">
        <v>45379</v>
      </c>
      <c r="P65" s="6">
        <v>17500884.96</v>
      </c>
      <c r="Q65" s="7">
        <v>0</v>
      </c>
    </row>
    <row r="66" s="1" customFormat="1" ht="13.5" spans="1:17">
      <c r="A66" s="3" t="s">
        <v>1797</v>
      </c>
      <c r="B66" s="3" t="s">
        <v>406</v>
      </c>
      <c r="C66" s="3" t="s">
        <v>1768</v>
      </c>
      <c r="D66" s="3" t="s">
        <v>604</v>
      </c>
      <c r="E66" s="3" t="s">
        <v>605</v>
      </c>
      <c r="F66" s="3" t="s">
        <v>407</v>
      </c>
      <c r="G66" s="3" t="s">
        <v>1800</v>
      </c>
      <c r="H66" s="3" t="s">
        <v>1770</v>
      </c>
      <c r="I66" s="3" t="s">
        <v>1775</v>
      </c>
      <c r="J66" s="3" t="s">
        <v>521</v>
      </c>
      <c r="K66" s="3" t="s">
        <v>563</v>
      </c>
      <c r="L66" s="3" t="s">
        <v>521</v>
      </c>
      <c r="M66" s="3" t="s">
        <v>550</v>
      </c>
      <c r="N66" s="3" t="s">
        <v>550</v>
      </c>
      <c r="O66" s="5">
        <v>45433</v>
      </c>
      <c r="P66" s="6">
        <v>2909931.2</v>
      </c>
      <c r="Q66" s="7">
        <v>0</v>
      </c>
    </row>
    <row r="67" s="1" customFormat="1" ht="13.5" spans="1:17">
      <c r="A67" s="3" t="s">
        <v>1785</v>
      </c>
      <c r="B67" s="3" t="s">
        <v>516</v>
      </c>
      <c r="C67" s="3" t="s">
        <v>1768</v>
      </c>
      <c r="D67" s="3" t="s">
        <v>609</v>
      </c>
      <c r="E67" s="3" t="s">
        <v>610</v>
      </c>
      <c r="F67" s="3" t="s">
        <v>60</v>
      </c>
      <c r="G67" s="3" t="s">
        <v>1800</v>
      </c>
      <c r="H67" s="3" t="s">
        <v>1770</v>
      </c>
      <c r="I67" s="3" t="s">
        <v>1775</v>
      </c>
      <c r="J67" s="3" t="s">
        <v>508</v>
      </c>
      <c r="K67" s="3" t="s">
        <v>517</v>
      </c>
      <c r="L67" s="3" t="s">
        <v>508</v>
      </c>
      <c r="M67" s="3" t="s">
        <v>550</v>
      </c>
      <c r="N67" s="3" t="s">
        <v>550</v>
      </c>
      <c r="O67" s="5">
        <v>45224</v>
      </c>
      <c r="P67" s="6">
        <v>2307646.02</v>
      </c>
      <c r="Q67" s="7">
        <v>0</v>
      </c>
    </row>
    <row r="68" s="1" customFormat="1" ht="13.5" spans="1:17">
      <c r="A68" s="3" t="s">
        <v>1808</v>
      </c>
      <c r="B68" s="3" t="s">
        <v>181</v>
      </c>
      <c r="C68" s="3" t="s">
        <v>1768</v>
      </c>
      <c r="D68" s="3" t="s">
        <v>1245</v>
      </c>
      <c r="E68" s="3" t="s">
        <v>1246</v>
      </c>
      <c r="F68" s="3" t="s">
        <v>182</v>
      </c>
      <c r="G68" s="3" t="s">
        <v>1809</v>
      </c>
      <c r="H68" s="3" t="s">
        <v>1770</v>
      </c>
      <c r="I68" s="3" t="s">
        <v>1775</v>
      </c>
      <c r="J68" s="3" t="s">
        <v>508</v>
      </c>
      <c r="K68" s="3" t="s">
        <v>1244</v>
      </c>
      <c r="L68" s="3" t="s">
        <v>508</v>
      </c>
      <c r="M68" s="3" t="s">
        <v>1810</v>
      </c>
      <c r="N68" s="3" t="s">
        <v>1247</v>
      </c>
      <c r="O68" s="5">
        <v>45273</v>
      </c>
      <c r="P68" s="6">
        <v>22528.3</v>
      </c>
      <c r="Q68" s="7">
        <v>0</v>
      </c>
    </row>
    <row r="69" s="1" customFormat="1" ht="13.5" spans="1:17">
      <c r="A69" s="3" t="s">
        <v>1811</v>
      </c>
      <c r="B69" s="3" t="s">
        <v>377</v>
      </c>
      <c r="C69" s="3" t="s">
        <v>1768</v>
      </c>
      <c r="D69" s="3" t="s">
        <v>1245</v>
      </c>
      <c r="E69" s="3" t="s">
        <v>1246</v>
      </c>
      <c r="F69" s="3" t="s">
        <v>378</v>
      </c>
      <c r="G69" s="3" t="s">
        <v>1809</v>
      </c>
      <c r="H69" s="3" t="s">
        <v>1770</v>
      </c>
      <c r="I69" s="3" t="s">
        <v>1775</v>
      </c>
      <c r="J69" s="3" t="s">
        <v>521</v>
      </c>
      <c r="K69" s="3" t="s">
        <v>1251</v>
      </c>
      <c r="L69" s="3" t="s">
        <v>521</v>
      </c>
      <c r="M69" s="3" t="s">
        <v>1810</v>
      </c>
      <c r="N69" s="3" t="s">
        <v>1247</v>
      </c>
      <c r="O69" s="5">
        <v>45405</v>
      </c>
      <c r="P69" s="6">
        <v>127358.49</v>
      </c>
      <c r="Q69" s="7">
        <v>0</v>
      </c>
    </row>
    <row r="70" s="1" customFormat="1" ht="13.5" spans="1:17">
      <c r="A70" s="3" t="s">
        <v>1812</v>
      </c>
      <c r="B70" s="3" t="s">
        <v>1301</v>
      </c>
      <c r="C70" s="3" t="s">
        <v>1768</v>
      </c>
      <c r="D70" s="3" t="s">
        <v>1303</v>
      </c>
      <c r="E70" s="3" t="s">
        <v>1304</v>
      </c>
      <c r="F70" s="3" t="s">
        <v>95</v>
      </c>
      <c r="G70" s="3" t="s">
        <v>1809</v>
      </c>
      <c r="H70" s="3" t="s">
        <v>1770</v>
      </c>
      <c r="I70" s="3" t="s">
        <v>1775</v>
      </c>
      <c r="J70" s="3" t="s">
        <v>508</v>
      </c>
      <c r="K70" s="3" t="s">
        <v>1302</v>
      </c>
      <c r="L70" s="3" t="s">
        <v>508</v>
      </c>
      <c r="M70" s="3" t="s">
        <v>1810</v>
      </c>
      <c r="N70" s="3" t="s">
        <v>1247</v>
      </c>
      <c r="O70" s="5">
        <v>45223</v>
      </c>
      <c r="P70" s="6">
        <v>197452.83</v>
      </c>
      <c r="Q70" s="7">
        <v>0</v>
      </c>
    </row>
    <row r="71" s="1" customFormat="1" ht="13.5" spans="1:17">
      <c r="A71" s="3" t="s">
        <v>1813</v>
      </c>
      <c r="B71" s="3" t="s">
        <v>1344</v>
      </c>
      <c r="C71" s="3" t="s">
        <v>1768</v>
      </c>
      <c r="D71" s="3" t="s">
        <v>1346</v>
      </c>
      <c r="E71" s="3" t="s">
        <v>1347</v>
      </c>
      <c r="F71" s="3" t="s">
        <v>1348</v>
      </c>
      <c r="G71" s="3" t="s">
        <v>1809</v>
      </c>
      <c r="H71" s="3" t="s">
        <v>1770</v>
      </c>
      <c r="I71" s="3" t="s">
        <v>1775</v>
      </c>
      <c r="J71" s="3" t="s">
        <v>521</v>
      </c>
      <c r="K71" s="3" t="s">
        <v>1345</v>
      </c>
      <c r="L71" s="3" t="s">
        <v>521</v>
      </c>
      <c r="M71" s="3" t="s">
        <v>1810</v>
      </c>
      <c r="N71" s="3" t="s">
        <v>1247</v>
      </c>
      <c r="O71" s="5">
        <v>45455</v>
      </c>
      <c r="P71" s="6">
        <v>376226.42</v>
      </c>
      <c r="Q71" s="7">
        <v>0</v>
      </c>
    </row>
    <row r="72" s="1" customFormat="1" ht="13.5" spans="1:17">
      <c r="A72" s="3" t="s">
        <v>1814</v>
      </c>
      <c r="B72" s="3" t="s">
        <v>1442</v>
      </c>
      <c r="C72" s="3" t="s">
        <v>1768</v>
      </c>
      <c r="D72" s="3" t="s">
        <v>1444</v>
      </c>
      <c r="E72" s="3" t="s">
        <v>1445</v>
      </c>
      <c r="F72" s="3" t="s">
        <v>53</v>
      </c>
      <c r="G72" s="3" t="s">
        <v>1809</v>
      </c>
      <c r="H72" s="3" t="s">
        <v>1770</v>
      </c>
      <c r="I72" s="3" t="s">
        <v>1775</v>
      </c>
      <c r="J72" s="3" t="s">
        <v>508</v>
      </c>
      <c r="K72" s="3" t="s">
        <v>1443</v>
      </c>
      <c r="L72" s="3" t="s">
        <v>508</v>
      </c>
      <c r="M72" s="3" t="s">
        <v>1810</v>
      </c>
      <c r="N72" s="3" t="s">
        <v>1247</v>
      </c>
      <c r="O72" s="5">
        <v>45223</v>
      </c>
      <c r="P72" s="6">
        <v>320754.72</v>
      </c>
      <c r="Q72" s="7">
        <v>0</v>
      </c>
    </row>
    <row r="73" s="1" customFormat="1" ht="13.5" spans="1:17">
      <c r="A73" s="3" t="s">
        <v>1815</v>
      </c>
      <c r="B73" s="3" t="s">
        <v>352</v>
      </c>
      <c r="C73" s="3" t="s">
        <v>1768</v>
      </c>
      <c r="D73" s="3" t="s">
        <v>1444</v>
      </c>
      <c r="E73" s="3" t="s">
        <v>1445</v>
      </c>
      <c r="F73" s="3" t="s">
        <v>353</v>
      </c>
      <c r="G73" s="3" t="s">
        <v>1809</v>
      </c>
      <c r="H73" s="3" t="s">
        <v>1770</v>
      </c>
      <c r="I73" s="3" t="s">
        <v>1775</v>
      </c>
      <c r="J73" s="3" t="s">
        <v>521</v>
      </c>
      <c r="K73" s="3" t="s">
        <v>1449</v>
      </c>
      <c r="L73" s="3" t="s">
        <v>521</v>
      </c>
      <c r="M73" s="3" t="s">
        <v>1810</v>
      </c>
      <c r="N73" s="3" t="s">
        <v>1247</v>
      </c>
      <c r="O73" s="5">
        <v>45362</v>
      </c>
      <c r="P73" s="6">
        <v>914728.77</v>
      </c>
      <c r="Q73" s="7">
        <v>0</v>
      </c>
    </row>
    <row r="74" s="1" customFormat="1" ht="13.5" spans="1:17">
      <c r="A74" s="3" t="s">
        <v>1816</v>
      </c>
      <c r="B74" s="3" t="s">
        <v>371</v>
      </c>
      <c r="C74" s="3" t="s">
        <v>1768</v>
      </c>
      <c r="D74" s="3" t="s">
        <v>1444</v>
      </c>
      <c r="E74" s="3" t="s">
        <v>1445</v>
      </c>
      <c r="F74" s="3" t="s">
        <v>372</v>
      </c>
      <c r="G74" s="3" t="s">
        <v>1809</v>
      </c>
      <c r="H74" s="3" t="s">
        <v>1770</v>
      </c>
      <c r="I74" s="3" t="s">
        <v>1775</v>
      </c>
      <c r="J74" s="3" t="s">
        <v>521</v>
      </c>
      <c r="K74" s="3" t="s">
        <v>1450</v>
      </c>
      <c r="L74" s="3" t="s">
        <v>521</v>
      </c>
      <c r="M74" s="3" t="s">
        <v>1810</v>
      </c>
      <c r="N74" s="3" t="s">
        <v>1247</v>
      </c>
      <c r="O74" s="5">
        <v>45405</v>
      </c>
      <c r="P74" s="6">
        <v>241813.68</v>
      </c>
      <c r="Q74" s="7">
        <v>0</v>
      </c>
    </row>
    <row r="75" s="1" customFormat="1" ht="13.5" spans="1:17">
      <c r="A75" s="3" t="s">
        <v>1797</v>
      </c>
      <c r="B75" s="3" t="s">
        <v>406</v>
      </c>
      <c r="C75" s="3" t="s">
        <v>1768</v>
      </c>
      <c r="D75" s="3" t="s">
        <v>1455</v>
      </c>
      <c r="E75" s="3" t="s">
        <v>1456</v>
      </c>
      <c r="F75" s="3" t="s">
        <v>407</v>
      </c>
      <c r="G75" s="3" t="s">
        <v>1809</v>
      </c>
      <c r="H75" s="3" t="s">
        <v>1770</v>
      </c>
      <c r="I75" s="3" t="s">
        <v>1775</v>
      </c>
      <c r="J75" s="3" t="s">
        <v>521</v>
      </c>
      <c r="K75" s="3" t="s">
        <v>563</v>
      </c>
      <c r="L75" s="3" t="s">
        <v>521</v>
      </c>
      <c r="M75" s="3" t="s">
        <v>1810</v>
      </c>
      <c r="N75" s="3" t="s">
        <v>1247</v>
      </c>
      <c r="O75" s="5">
        <v>45433</v>
      </c>
      <c r="P75" s="6">
        <v>198113.21</v>
      </c>
      <c r="Q75" s="7">
        <v>0</v>
      </c>
    </row>
    <row r="76" s="1" customFormat="1" ht="13.5" spans="1:17">
      <c r="A76" s="3" t="s">
        <v>1817</v>
      </c>
      <c r="B76" s="3" t="s">
        <v>1462</v>
      </c>
      <c r="C76" s="3" t="s">
        <v>1768</v>
      </c>
      <c r="D76" s="3" t="s">
        <v>1464</v>
      </c>
      <c r="E76" s="3" t="s">
        <v>1465</v>
      </c>
      <c r="F76" s="3" t="s">
        <v>382</v>
      </c>
      <c r="G76" s="3" t="s">
        <v>1809</v>
      </c>
      <c r="H76" s="3" t="s">
        <v>1770</v>
      </c>
      <c r="I76" s="3" t="s">
        <v>1775</v>
      </c>
      <c r="J76" s="3" t="s">
        <v>521</v>
      </c>
      <c r="K76" s="3" t="s">
        <v>1463</v>
      </c>
      <c r="L76" s="3" t="s">
        <v>521</v>
      </c>
      <c r="M76" s="3" t="s">
        <v>1810</v>
      </c>
      <c r="N76" s="3" t="s">
        <v>1247</v>
      </c>
      <c r="O76" s="5">
        <v>45405</v>
      </c>
      <c r="P76" s="6">
        <v>149900.94</v>
      </c>
      <c r="Q76" s="7">
        <v>0</v>
      </c>
    </row>
    <row r="77" s="1" customFormat="1" ht="13.5" spans="1:17">
      <c r="A77" s="3" t="s">
        <v>1818</v>
      </c>
      <c r="B77" s="3" t="s">
        <v>645</v>
      </c>
      <c r="C77" s="3" t="s">
        <v>1768</v>
      </c>
      <c r="D77" s="3" t="s">
        <v>640</v>
      </c>
      <c r="E77" s="3" t="s">
        <v>641</v>
      </c>
      <c r="F77" s="3" t="s">
        <v>136</v>
      </c>
      <c r="G77" s="3" t="s">
        <v>1819</v>
      </c>
      <c r="H77" s="3" t="s">
        <v>1770</v>
      </c>
      <c r="I77" s="3" t="s">
        <v>1775</v>
      </c>
      <c r="J77" s="3" t="s">
        <v>508</v>
      </c>
      <c r="K77" s="3" t="s">
        <v>646</v>
      </c>
      <c r="L77" s="3" t="s">
        <v>508</v>
      </c>
      <c r="M77" s="3" t="s">
        <v>1820</v>
      </c>
      <c r="N77" s="3" t="s">
        <v>647</v>
      </c>
      <c r="O77" s="5">
        <v>45190</v>
      </c>
      <c r="P77" s="6">
        <v>125290</v>
      </c>
      <c r="Q77" s="7">
        <v>0</v>
      </c>
    </row>
    <row r="78" s="1" customFormat="1" ht="13.5" spans="1:17">
      <c r="A78" s="3" t="s">
        <v>1821</v>
      </c>
      <c r="B78" s="3" t="s">
        <v>667</v>
      </c>
      <c r="C78" s="3" t="s">
        <v>1768</v>
      </c>
      <c r="D78" s="3" t="s">
        <v>660</v>
      </c>
      <c r="E78" s="3" t="s">
        <v>661</v>
      </c>
      <c r="F78" s="3" t="s">
        <v>669</v>
      </c>
      <c r="G78" s="3" t="s">
        <v>1822</v>
      </c>
      <c r="H78" s="3" t="s">
        <v>1770</v>
      </c>
      <c r="I78" s="3" t="s">
        <v>1775</v>
      </c>
      <c r="J78" s="3" t="s">
        <v>508</v>
      </c>
      <c r="K78" s="3" t="s">
        <v>668</v>
      </c>
      <c r="L78" s="3" t="s">
        <v>508</v>
      </c>
      <c r="M78" s="3" t="s">
        <v>1820</v>
      </c>
      <c r="N78" s="3" t="s">
        <v>670</v>
      </c>
      <c r="O78" s="5">
        <v>45217</v>
      </c>
      <c r="P78" s="6">
        <v>1168.86</v>
      </c>
      <c r="Q78" s="7">
        <v>0</v>
      </c>
    </row>
    <row r="79" s="1" customFormat="1" ht="13.5" spans="1:17">
      <c r="A79" s="3" t="s">
        <v>1823</v>
      </c>
      <c r="B79" s="3" t="s">
        <v>674</v>
      </c>
      <c r="C79" s="3" t="s">
        <v>1768</v>
      </c>
      <c r="D79" s="3" t="s">
        <v>660</v>
      </c>
      <c r="E79" s="3" t="s">
        <v>661</v>
      </c>
      <c r="F79" s="3" t="s">
        <v>676</v>
      </c>
      <c r="G79" s="3" t="s">
        <v>1822</v>
      </c>
      <c r="H79" s="3" t="s">
        <v>1770</v>
      </c>
      <c r="I79" s="3" t="s">
        <v>1775</v>
      </c>
      <c r="J79" s="3" t="s">
        <v>508</v>
      </c>
      <c r="K79" s="3" t="s">
        <v>675</v>
      </c>
      <c r="L79" s="3" t="s">
        <v>508</v>
      </c>
      <c r="M79" s="3" t="s">
        <v>1820</v>
      </c>
      <c r="N79" s="3" t="s">
        <v>670</v>
      </c>
      <c r="O79" s="5">
        <v>45244</v>
      </c>
      <c r="P79" s="6">
        <v>4657.43</v>
      </c>
      <c r="Q79" s="7">
        <v>0</v>
      </c>
    </row>
    <row r="80" s="1" customFormat="1" ht="13.5" spans="1:17">
      <c r="A80" s="3" t="s">
        <v>1778</v>
      </c>
      <c r="B80" s="3" t="s">
        <v>677</v>
      </c>
      <c r="C80" s="3" t="s">
        <v>1768</v>
      </c>
      <c r="D80" s="3" t="s">
        <v>660</v>
      </c>
      <c r="E80" s="3" t="s">
        <v>661</v>
      </c>
      <c r="F80" s="3" t="s">
        <v>669</v>
      </c>
      <c r="G80" s="3" t="s">
        <v>1822</v>
      </c>
      <c r="H80" s="3" t="s">
        <v>1770</v>
      </c>
      <c r="I80" s="3" t="s">
        <v>1775</v>
      </c>
      <c r="J80" s="3" t="s">
        <v>508</v>
      </c>
      <c r="K80" s="3" t="s">
        <v>678</v>
      </c>
      <c r="L80" s="3" t="s">
        <v>508</v>
      </c>
      <c r="M80" s="3" t="s">
        <v>1820</v>
      </c>
      <c r="N80" s="3" t="s">
        <v>670</v>
      </c>
      <c r="O80" s="5">
        <v>45238</v>
      </c>
      <c r="P80" s="6">
        <v>2855.76</v>
      </c>
      <c r="Q80" s="7">
        <v>0</v>
      </c>
    </row>
    <row r="81" s="1" customFormat="1" ht="13.5" spans="1:17">
      <c r="A81" s="3" t="s">
        <v>1824</v>
      </c>
      <c r="B81" s="3" t="s">
        <v>679</v>
      </c>
      <c r="C81" s="3" t="s">
        <v>1768</v>
      </c>
      <c r="D81" s="3" t="s">
        <v>660</v>
      </c>
      <c r="E81" s="3" t="s">
        <v>661</v>
      </c>
      <c r="F81" s="3" t="s">
        <v>681</v>
      </c>
      <c r="G81" s="3" t="s">
        <v>1822</v>
      </c>
      <c r="H81" s="3" t="s">
        <v>1770</v>
      </c>
      <c r="I81" s="3" t="s">
        <v>1775</v>
      </c>
      <c r="J81" s="3" t="s">
        <v>508</v>
      </c>
      <c r="K81" s="3" t="s">
        <v>680</v>
      </c>
      <c r="L81" s="3" t="s">
        <v>508</v>
      </c>
      <c r="M81" s="3" t="s">
        <v>1820</v>
      </c>
      <c r="N81" s="3" t="s">
        <v>670</v>
      </c>
      <c r="O81" s="5">
        <v>45217</v>
      </c>
      <c r="P81" s="6">
        <v>303.66</v>
      </c>
      <c r="Q81" s="7">
        <v>0</v>
      </c>
    </row>
    <row r="82" s="1" customFormat="1" ht="13.5" spans="1:17">
      <c r="A82" s="3" t="s">
        <v>1825</v>
      </c>
      <c r="B82" s="3" t="s">
        <v>745</v>
      </c>
      <c r="C82" s="3" t="s">
        <v>1768</v>
      </c>
      <c r="D82" s="3" t="s">
        <v>660</v>
      </c>
      <c r="E82" s="3" t="s">
        <v>661</v>
      </c>
      <c r="F82" s="3" t="s">
        <v>703</v>
      </c>
      <c r="G82" s="3" t="s">
        <v>1822</v>
      </c>
      <c r="H82" s="3" t="s">
        <v>1770</v>
      </c>
      <c r="I82" s="3" t="s">
        <v>1775</v>
      </c>
      <c r="J82" s="3" t="s">
        <v>508</v>
      </c>
      <c r="K82" s="3" t="s">
        <v>746</v>
      </c>
      <c r="L82" s="3" t="s">
        <v>508</v>
      </c>
      <c r="M82" s="3" t="s">
        <v>1820</v>
      </c>
      <c r="N82" s="3" t="s">
        <v>670</v>
      </c>
      <c r="O82" s="5">
        <v>45212</v>
      </c>
      <c r="P82" s="6">
        <v>2702.18</v>
      </c>
      <c r="Q82" s="7">
        <v>0</v>
      </c>
    </row>
    <row r="83" s="1" customFormat="1" ht="13.5" spans="1:17">
      <c r="A83" s="3" t="s">
        <v>1826</v>
      </c>
      <c r="B83" s="3" t="s">
        <v>747</v>
      </c>
      <c r="C83" s="3" t="s">
        <v>1768</v>
      </c>
      <c r="D83" s="3" t="s">
        <v>660</v>
      </c>
      <c r="E83" s="3" t="s">
        <v>661</v>
      </c>
      <c r="F83" s="3" t="s">
        <v>703</v>
      </c>
      <c r="G83" s="3" t="s">
        <v>1822</v>
      </c>
      <c r="H83" s="3" t="s">
        <v>1770</v>
      </c>
      <c r="I83" s="3" t="s">
        <v>1775</v>
      </c>
      <c r="J83" s="3" t="s">
        <v>508</v>
      </c>
      <c r="K83" s="3" t="s">
        <v>748</v>
      </c>
      <c r="L83" s="3" t="s">
        <v>508</v>
      </c>
      <c r="M83" s="3" t="s">
        <v>1820</v>
      </c>
      <c r="N83" s="3" t="s">
        <v>670</v>
      </c>
      <c r="O83" s="5">
        <v>45212</v>
      </c>
      <c r="P83" s="6">
        <v>747.17</v>
      </c>
      <c r="Q83" s="7">
        <v>0</v>
      </c>
    </row>
    <row r="84" s="1" customFormat="1" ht="13.5" spans="1:17">
      <c r="A84" s="3" t="s">
        <v>1827</v>
      </c>
      <c r="B84" s="3" t="s">
        <v>682</v>
      </c>
      <c r="C84" s="3" t="s">
        <v>1768</v>
      </c>
      <c r="D84" s="3" t="s">
        <v>660</v>
      </c>
      <c r="E84" s="3" t="s">
        <v>661</v>
      </c>
      <c r="F84" s="3" t="s">
        <v>669</v>
      </c>
      <c r="G84" s="3" t="s">
        <v>1822</v>
      </c>
      <c r="H84" s="3" t="s">
        <v>1770</v>
      </c>
      <c r="I84" s="3" t="s">
        <v>1775</v>
      </c>
      <c r="J84" s="3" t="s">
        <v>508</v>
      </c>
      <c r="K84" s="3" t="s">
        <v>683</v>
      </c>
      <c r="L84" s="3" t="s">
        <v>508</v>
      </c>
      <c r="M84" s="3" t="s">
        <v>1820</v>
      </c>
      <c r="N84" s="3" t="s">
        <v>670</v>
      </c>
      <c r="O84" s="5">
        <v>45223</v>
      </c>
      <c r="P84" s="6">
        <v>3641.5</v>
      </c>
      <c r="Q84" s="7">
        <v>0</v>
      </c>
    </row>
    <row r="85" s="1" customFormat="1" ht="13.5" spans="1:17">
      <c r="A85" s="3" t="s">
        <v>1828</v>
      </c>
      <c r="B85" s="3" t="s">
        <v>684</v>
      </c>
      <c r="C85" s="3" t="s">
        <v>1768</v>
      </c>
      <c r="D85" s="3" t="s">
        <v>660</v>
      </c>
      <c r="E85" s="3" t="s">
        <v>661</v>
      </c>
      <c r="F85" s="3" t="s">
        <v>681</v>
      </c>
      <c r="G85" s="3" t="s">
        <v>1822</v>
      </c>
      <c r="H85" s="3" t="s">
        <v>1770</v>
      </c>
      <c r="I85" s="3" t="s">
        <v>1775</v>
      </c>
      <c r="J85" s="3" t="s">
        <v>508</v>
      </c>
      <c r="K85" s="3" t="s">
        <v>685</v>
      </c>
      <c r="L85" s="3" t="s">
        <v>508</v>
      </c>
      <c r="M85" s="3" t="s">
        <v>1820</v>
      </c>
      <c r="N85" s="3" t="s">
        <v>670</v>
      </c>
      <c r="O85" s="5">
        <v>45223</v>
      </c>
      <c r="P85" s="6">
        <v>3050.56</v>
      </c>
      <c r="Q85" s="7">
        <v>0</v>
      </c>
    </row>
    <row r="86" s="1" customFormat="1" ht="13.5" spans="1:17">
      <c r="A86" s="3" t="s">
        <v>1829</v>
      </c>
      <c r="B86" s="3" t="s">
        <v>686</v>
      </c>
      <c r="C86" s="3" t="s">
        <v>1768</v>
      </c>
      <c r="D86" s="3" t="s">
        <v>660</v>
      </c>
      <c r="E86" s="3" t="s">
        <v>661</v>
      </c>
      <c r="F86" s="3" t="s">
        <v>688</v>
      </c>
      <c r="G86" s="3" t="s">
        <v>1822</v>
      </c>
      <c r="H86" s="3" t="s">
        <v>1770</v>
      </c>
      <c r="I86" s="3" t="s">
        <v>1775</v>
      </c>
      <c r="J86" s="3" t="s">
        <v>508</v>
      </c>
      <c r="K86" s="3" t="s">
        <v>687</v>
      </c>
      <c r="L86" s="3" t="s">
        <v>508</v>
      </c>
      <c r="M86" s="3" t="s">
        <v>1820</v>
      </c>
      <c r="N86" s="3" t="s">
        <v>670</v>
      </c>
      <c r="O86" s="5">
        <v>45223</v>
      </c>
      <c r="P86" s="6">
        <v>6000</v>
      </c>
      <c r="Q86" s="7">
        <v>0</v>
      </c>
    </row>
    <row r="87" s="1" customFormat="1" ht="13.5" spans="1:17">
      <c r="A87" s="3" t="s">
        <v>1830</v>
      </c>
      <c r="B87" s="3" t="s">
        <v>689</v>
      </c>
      <c r="C87" s="3" t="s">
        <v>1768</v>
      </c>
      <c r="D87" s="3" t="s">
        <v>660</v>
      </c>
      <c r="E87" s="3" t="s">
        <v>661</v>
      </c>
      <c r="F87" s="3" t="s">
        <v>669</v>
      </c>
      <c r="G87" s="3" t="s">
        <v>1822</v>
      </c>
      <c r="H87" s="3" t="s">
        <v>1770</v>
      </c>
      <c r="I87" s="3" t="s">
        <v>1775</v>
      </c>
      <c r="J87" s="3" t="s">
        <v>508</v>
      </c>
      <c r="K87" s="3" t="s">
        <v>690</v>
      </c>
      <c r="L87" s="3" t="s">
        <v>508</v>
      </c>
      <c r="M87" s="3" t="s">
        <v>1820</v>
      </c>
      <c r="N87" s="3" t="s">
        <v>670</v>
      </c>
      <c r="O87" s="5">
        <v>45223</v>
      </c>
      <c r="P87" s="6">
        <v>1440.58</v>
      </c>
      <c r="Q87" s="7">
        <v>0</v>
      </c>
    </row>
    <row r="88" s="1" customFormat="1" ht="13.5" spans="1:17">
      <c r="A88" s="3" t="s">
        <v>1831</v>
      </c>
      <c r="B88" s="3" t="s">
        <v>691</v>
      </c>
      <c r="C88" s="3" t="s">
        <v>1768</v>
      </c>
      <c r="D88" s="3" t="s">
        <v>660</v>
      </c>
      <c r="E88" s="3" t="s">
        <v>661</v>
      </c>
      <c r="F88" s="3" t="s">
        <v>693</v>
      </c>
      <c r="G88" s="3" t="s">
        <v>1822</v>
      </c>
      <c r="H88" s="3" t="s">
        <v>1770</v>
      </c>
      <c r="I88" s="3" t="s">
        <v>1775</v>
      </c>
      <c r="J88" s="3" t="s">
        <v>508</v>
      </c>
      <c r="K88" s="3" t="s">
        <v>692</v>
      </c>
      <c r="L88" s="3" t="s">
        <v>508</v>
      </c>
      <c r="M88" s="3" t="s">
        <v>1820</v>
      </c>
      <c r="N88" s="3" t="s">
        <v>670</v>
      </c>
      <c r="O88" s="5">
        <v>45225</v>
      </c>
      <c r="P88" s="6">
        <v>6033.18</v>
      </c>
      <c r="Q88" s="7">
        <v>0</v>
      </c>
    </row>
    <row r="89" s="1" customFormat="1" ht="13.5" spans="1:17">
      <c r="A89" s="3" t="s">
        <v>1832</v>
      </c>
      <c r="B89" s="3" t="s">
        <v>694</v>
      </c>
      <c r="C89" s="3" t="s">
        <v>1768</v>
      </c>
      <c r="D89" s="3" t="s">
        <v>660</v>
      </c>
      <c r="E89" s="3" t="s">
        <v>661</v>
      </c>
      <c r="F89" s="3" t="s">
        <v>669</v>
      </c>
      <c r="G89" s="3" t="s">
        <v>1822</v>
      </c>
      <c r="H89" s="3" t="s">
        <v>1770</v>
      </c>
      <c r="I89" s="3" t="s">
        <v>1775</v>
      </c>
      <c r="J89" s="3" t="s">
        <v>508</v>
      </c>
      <c r="K89" s="3" t="s">
        <v>695</v>
      </c>
      <c r="L89" s="3" t="s">
        <v>508</v>
      </c>
      <c r="M89" s="3" t="s">
        <v>1820</v>
      </c>
      <c r="N89" s="3" t="s">
        <v>670</v>
      </c>
      <c r="O89" s="5">
        <v>45224</v>
      </c>
      <c r="P89" s="6">
        <v>1708.92</v>
      </c>
      <c r="Q89" s="7">
        <v>0</v>
      </c>
    </row>
    <row r="90" s="1" customFormat="1" ht="13.5" spans="1:17">
      <c r="A90" s="3" t="s">
        <v>1833</v>
      </c>
      <c r="B90" s="3" t="s">
        <v>696</v>
      </c>
      <c r="C90" s="3" t="s">
        <v>1768</v>
      </c>
      <c r="D90" s="3" t="s">
        <v>660</v>
      </c>
      <c r="E90" s="3" t="s">
        <v>661</v>
      </c>
      <c r="F90" s="3" t="s">
        <v>669</v>
      </c>
      <c r="G90" s="3" t="s">
        <v>1822</v>
      </c>
      <c r="H90" s="3" t="s">
        <v>1770</v>
      </c>
      <c r="I90" s="3" t="s">
        <v>1775</v>
      </c>
      <c r="J90" s="3" t="s">
        <v>508</v>
      </c>
      <c r="K90" s="3" t="s">
        <v>697</v>
      </c>
      <c r="L90" s="3" t="s">
        <v>508</v>
      </c>
      <c r="M90" s="3" t="s">
        <v>1820</v>
      </c>
      <c r="N90" s="3" t="s">
        <v>670</v>
      </c>
      <c r="O90" s="5">
        <v>45223</v>
      </c>
      <c r="P90" s="6">
        <v>2860.57</v>
      </c>
      <c r="Q90" s="7">
        <v>0</v>
      </c>
    </row>
    <row r="91" s="1" customFormat="1" ht="13.5" spans="1:17">
      <c r="A91" s="3" t="s">
        <v>1834</v>
      </c>
      <c r="B91" s="3" t="s">
        <v>698</v>
      </c>
      <c r="C91" s="3" t="s">
        <v>1768</v>
      </c>
      <c r="D91" s="3" t="s">
        <v>660</v>
      </c>
      <c r="E91" s="3" t="s">
        <v>661</v>
      </c>
      <c r="F91" s="3" t="s">
        <v>700</v>
      </c>
      <c r="G91" s="3" t="s">
        <v>1822</v>
      </c>
      <c r="H91" s="3" t="s">
        <v>1770</v>
      </c>
      <c r="I91" s="3" t="s">
        <v>1775</v>
      </c>
      <c r="J91" s="3" t="s">
        <v>508</v>
      </c>
      <c r="K91" s="3" t="s">
        <v>699</v>
      </c>
      <c r="L91" s="3" t="s">
        <v>508</v>
      </c>
      <c r="M91" s="3" t="s">
        <v>1820</v>
      </c>
      <c r="N91" s="3" t="s">
        <v>670</v>
      </c>
      <c r="O91" s="5">
        <v>45238</v>
      </c>
      <c r="P91" s="6">
        <v>6386.14</v>
      </c>
      <c r="Q91" s="7">
        <v>0</v>
      </c>
    </row>
    <row r="92" s="1" customFormat="1" ht="13.5" spans="1:17">
      <c r="A92" s="3" t="s">
        <v>1835</v>
      </c>
      <c r="B92" s="3" t="s">
        <v>701</v>
      </c>
      <c r="C92" s="3" t="s">
        <v>1768</v>
      </c>
      <c r="D92" s="3" t="s">
        <v>660</v>
      </c>
      <c r="E92" s="3" t="s">
        <v>661</v>
      </c>
      <c r="F92" s="3" t="s">
        <v>703</v>
      </c>
      <c r="G92" s="3" t="s">
        <v>1822</v>
      </c>
      <c r="H92" s="3" t="s">
        <v>1770</v>
      </c>
      <c r="I92" s="3" t="s">
        <v>1775</v>
      </c>
      <c r="J92" s="3" t="s">
        <v>508</v>
      </c>
      <c r="K92" s="3" t="s">
        <v>702</v>
      </c>
      <c r="L92" s="3" t="s">
        <v>508</v>
      </c>
      <c r="M92" s="3" t="s">
        <v>1820</v>
      </c>
      <c r="N92" s="3" t="s">
        <v>670</v>
      </c>
      <c r="O92" s="5">
        <v>45238</v>
      </c>
      <c r="P92" s="6">
        <v>8873.98</v>
      </c>
      <c r="Q92" s="7">
        <v>0</v>
      </c>
    </row>
    <row r="93" s="1" customFormat="1" ht="13.5" spans="1:17">
      <c r="A93" s="3" t="s">
        <v>1836</v>
      </c>
      <c r="B93" s="3" t="s">
        <v>671</v>
      </c>
      <c r="C93" s="3" t="s">
        <v>1768</v>
      </c>
      <c r="D93" s="3" t="s">
        <v>660</v>
      </c>
      <c r="E93" s="3" t="s">
        <v>661</v>
      </c>
      <c r="F93" s="3" t="s">
        <v>673</v>
      </c>
      <c r="G93" s="3" t="s">
        <v>1822</v>
      </c>
      <c r="H93" s="3" t="s">
        <v>1770</v>
      </c>
      <c r="I93" s="3" t="s">
        <v>1775</v>
      </c>
      <c r="J93" s="3" t="s">
        <v>508</v>
      </c>
      <c r="K93" s="3" t="s">
        <v>672</v>
      </c>
      <c r="L93" s="3" t="s">
        <v>508</v>
      </c>
      <c r="M93" s="3" t="s">
        <v>1820</v>
      </c>
      <c r="N93" s="3" t="s">
        <v>670</v>
      </c>
      <c r="O93" s="5">
        <v>45253</v>
      </c>
      <c r="P93" s="6">
        <v>3681.91</v>
      </c>
      <c r="Q93" s="7">
        <v>0</v>
      </c>
    </row>
    <row r="94" s="1" customFormat="1" ht="13.5" spans="1:17">
      <c r="A94" s="3" t="s">
        <v>1837</v>
      </c>
      <c r="B94" s="3" t="s">
        <v>704</v>
      </c>
      <c r="C94" s="3" t="s">
        <v>1768</v>
      </c>
      <c r="D94" s="3" t="s">
        <v>660</v>
      </c>
      <c r="E94" s="3" t="s">
        <v>661</v>
      </c>
      <c r="F94" s="3" t="s">
        <v>706</v>
      </c>
      <c r="G94" s="3" t="s">
        <v>1822</v>
      </c>
      <c r="H94" s="3" t="s">
        <v>1770</v>
      </c>
      <c r="I94" s="3" t="s">
        <v>1775</v>
      </c>
      <c r="J94" s="3" t="s">
        <v>508</v>
      </c>
      <c r="K94" s="3" t="s">
        <v>705</v>
      </c>
      <c r="L94" s="3" t="s">
        <v>508</v>
      </c>
      <c r="M94" s="3" t="s">
        <v>1820</v>
      </c>
      <c r="N94" s="3" t="s">
        <v>670</v>
      </c>
      <c r="O94" s="5">
        <v>45247</v>
      </c>
      <c r="P94" s="6">
        <v>6055.55</v>
      </c>
      <c r="Q94" s="7">
        <v>0</v>
      </c>
    </row>
    <row r="95" s="1" customFormat="1" ht="13.5" spans="1:17">
      <c r="A95" s="3" t="s">
        <v>1838</v>
      </c>
      <c r="B95" s="3" t="s">
        <v>707</v>
      </c>
      <c r="C95" s="3" t="s">
        <v>1768</v>
      </c>
      <c r="D95" s="3" t="s">
        <v>660</v>
      </c>
      <c r="E95" s="3" t="s">
        <v>661</v>
      </c>
      <c r="F95" s="3" t="s">
        <v>700</v>
      </c>
      <c r="G95" s="3" t="s">
        <v>1822</v>
      </c>
      <c r="H95" s="3" t="s">
        <v>1770</v>
      </c>
      <c r="I95" s="3" t="s">
        <v>1775</v>
      </c>
      <c r="J95" s="3" t="s">
        <v>508</v>
      </c>
      <c r="K95" s="3" t="s">
        <v>708</v>
      </c>
      <c r="L95" s="3" t="s">
        <v>508</v>
      </c>
      <c r="M95" s="3" t="s">
        <v>1820</v>
      </c>
      <c r="N95" s="3" t="s">
        <v>670</v>
      </c>
      <c r="O95" s="5">
        <v>45247</v>
      </c>
      <c r="P95" s="6">
        <v>5521.79</v>
      </c>
      <c r="Q95" s="7">
        <v>0</v>
      </c>
    </row>
    <row r="96" s="1" customFormat="1" ht="13.5" spans="1:17">
      <c r="A96" s="3" t="s">
        <v>1839</v>
      </c>
      <c r="B96" s="3" t="s">
        <v>709</v>
      </c>
      <c r="C96" s="3" t="s">
        <v>1768</v>
      </c>
      <c r="D96" s="3" t="s">
        <v>660</v>
      </c>
      <c r="E96" s="3" t="s">
        <v>661</v>
      </c>
      <c r="F96" s="3" t="s">
        <v>706</v>
      </c>
      <c r="G96" s="3" t="s">
        <v>1822</v>
      </c>
      <c r="H96" s="3" t="s">
        <v>1770</v>
      </c>
      <c r="I96" s="3" t="s">
        <v>1775</v>
      </c>
      <c r="J96" s="3" t="s">
        <v>508</v>
      </c>
      <c r="K96" s="3" t="s">
        <v>710</v>
      </c>
      <c r="L96" s="3" t="s">
        <v>508</v>
      </c>
      <c r="M96" s="3" t="s">
        <v>1820</v>
      </c>
      <c r="N96" s="3" t="s">
        <v>670</v>
      </c>
      <c r="O96" s="5">
        <v>45250</v>
      </c>
      <c r="P96" s="6">
        <v>5635.14</v>
      </c>
      <c r="Q96" s="7">
        <v>0</v>
      </c>
    </row>
    <row r="97" s="1" customFormat="1" ht="13.5" spans="1:17">
      <c r="A97" s="3" t="s">
        <v>1840</v>
      </c>
      <c r="B97" s="3" t="s">
        <v>711</v>
      </c>
      <c r="C97" s="3" t="s">
        <v>1768</v>
      </c>
      <c r="D97" s="3" t="s">
        <v>660</v>
      </c>
      <c r="E97" s="3" t="s">
        <v>661</v>
      </c>
      <c r="F97" s="3" t="s">
        <v>713</v>
      </c>
      <c r="G97" s="3" t="s">
        <v>1822</v>
      </c>
      <c r="H97" s="3" t="s">
        <v>1770</v>
      </c>
      <c r="I97" s="3" t="s">
        <v>1775</v>
      </c>
      <c r="J97" s="3" t="s">
        <v>508</v>
      </c>
      <c r="K97" s="3" t="s">
        <v>712</v>
      </c>
      <c r="L97" s="3" t="s">
        <v>508</v>
      </c>
      <c r="M97" s="3" t="s">
        <v>1820</v>
      </c>
      <c r="N97" s="3" t="s">
        <v>670</v>
      </c>
      <c r="O97" s="5">
        <v>45238</v>
      </c>
      <c r="P97" s="6">
        <v>6257.31</v>
      </c>
      <c r="Q97" s="7">
        <v>0</v>
      </c>
    </row>
    <row r="98" s="1" customFormat="1" ht="13.5" spans="1:17">
      <c r="A98" s="3" t="s">
        <v>1841</v>
      </c>
      <c r="B98" s="3" t="s">
        <v>714</v>
      </c>
      <c r="C98" s="3" t="s">
        <v>1768</v>
      </c>
      <c r="D98" s="3" t="s">
        <v>660</v>
      </c>
      <c r="E98" s="3" t="s">
        <v>661</v>
      </c>
      <c r="F98" s="3" t="s">
        <v>716</v>
      </c>
      <c r="G98" s="3" t="s">
        <v>1822</v>
      </c>
      <c r="H98" s="3" t="s">
        <v>1770</v>
      </c>
      <c r="I98" s="3" t="s">
        <v>1775</v>
      </c>
      <c r="J98" s="3" t="s">
        <v>508</v>
      </c>
      <c r="K98" s="3" t="s">
        <v>715</v>
      </c>
      <c r="L98" s="3" t="s">
        <v>508</v>
      </c>
      <c r="M98" s="3" t="s">
        <v>1820</v>
      </c>
      <c r="N98" s="3" t="s">
        <v>670</v>
      </c>
      <c r="O98" s="5">
        <v>45238</v>
      </c>
      <c r="P98" s="6">
        <v>800.28</v>
      </c>
      <c r="Q98" s="7">
        <v>0</v>
      </c>
    </row>
    <row r="99" s="1" customFormat="1" ht="13.5" spans="1:17">
      <c r="A99" s="3" t="s">
        <v>1842</v>
      </c>
      <c r="B99" s="3" t="s">
        <v>717</v>
      </c>
      <c r="C99" s="3" t="s">
        <v>1768</v>
      </c>
      <c r="D99" s="3" t="s">
        <v>660</v>
      </c>
      <c r="E99" s="3" t="s">
        <v>661</v>
      </c>
      <c r="F99" s="3" t="s">
        <v>719</v>
      </c>
      <c r="G99" s="3" t="s">
        <v>1822</v>
      </c>
      <c r="H99" s="3" t="s">
        <v>1770</v>
      </c>
      <c r="I99" s="3" t="s">
        <v>1775</v>
      </c>
      <c r="J99" s="3" t="s">
        <v>508</v>
      </c>
      <c r="K99" s="3" t="s">
        <v>718</v>
      </c>
      <c r="L99" s="3" t="s">
        <v>508</v>
      </c>
      <c r="M99" s="3" t="s">
        <v>1820</v>
      </c>
      <c r="N99" s="3" t="s">
        <v>670</v>
      </c>
      <c r="O99" s="5">
        <v>45251</v>
      </c>
      <c r="P99" s="6">
        <v>8733.61</v>
      </c>
      <c r="Q99" s="7">
        <v>0</v>
      </c>
    </row>
    <row r="100" s="1" customFormat="1" ht="13.5" spans="1:17">
      <c r="A100" s="3" t="s">
        <v>1843</v>
      </c>
      <c r="B100" s="3" t="s">
        <v>720</v>
      </c>
      <c r="C100" s="3" t="s">
        <v>1768</v>
      </c>
      <c r="D100" s="3" t="s">
        <v>660</v>
      </c>
      <c r="E100" s="3" t="s">
        <v>661</v>
      </c>
      <c r="F100" s="3" t="s">
        <v>706</v>
      </c>
      <c r="G100" s="3" t="s">
        <v>1822</v>
      </c>
      <c r="H100" s="3" t="s">
        <v>1770</v>
      </c>
      <c r="I100" s="3" t="s">
        <v>1775</v>
      </c>
      <c r="J100" s="3" t="s">
        <v>508</v>
      </c>
      <c r="K100" s="3" t="s">
        <v>721</v>
      </c>
      <c r="L100" s="3" t="s">
        <v>508</v>
      </c>
      <c r="M100" s="3" t="s">
        <v>1820</v>
      </c>
      <c r="N100" s="3" t="s">
        <v>670</v>
      </c>
      <c r="O100" s="5">
        <v>45250</v>
      </c>
      <c r="P100" s="6">
        <v>6109.91</v>
      </c>
      <c r="Q100" s="7">
        <v>0</v>
      </c>
    </row>
    <row r="101" s="1" customFormat="1" ht="13.5" spans="1:17">
      <c r="A101" s="3" t="s">
        <v>1844</v>
      </c>
      <c r="B101" s="3" t="s">
        <v>722</v>
      </c>
      <c r="C101" s="3" t="s">
        <v>1768</v>
      </c>
      <c r="D101" s="3" t="s">
        <v>660</v>
      </c>
      <c r="E101" s="3" t="s">
        <v>661</v>
      </c>
      <c r="F101" s="3" t="s">
        <v>724</v>
      </c>
      <c r="G101" s="3" t="s">
        <v>1822</v>
      </c>
      <c r="H101" s="3" t="s">
        <v>1770</v>
      </c>
      <c r="I101" s="3" t="s">
        <v>1775</v>
      </c>
      <c r="J101" s="3" t="s">
        <v>508</v>
      </c>
      <c r="K101" s="3" t="s">
        <v>723</v>
      </c>
      <c r="L101" s="3" t="s">
        <v>508</v>
      </c>
      <c r="M101" s="3" t="s">
        <v>1820</v>
      </c>
      <c r="N101" s="3" t="s">
        <v>670</v>
      </c>
      <c r="O101" s="5">
        <v>45244</v>
      </c>
      <c r="P101" s="6">
        <v>1592.29</v>
      </c>
      <c r="Q101" s="7">
        <v>0</v>
      </c>
    </row>
    <row r="102" s="1" customFormat="1" ht="13.5" spans="1:17">
      <c r="A102" s="3" t="s">
        <v>1845</v>
      </c>
      <c r="B102" s="3" t="s">
        <v>725</v>
      </c>
      <c r="C102" s="3" t="s">
        <v>1768</v>
      </c>
      <c r="D102" s="3" t="s">
        <v>660</v>
      </c>
      <c r="E102" s="3" t="s">
        <v>661</v>
      </c>
      <c r="F102" s="3" t="s">
        <v>669</v>
      </c>
      <c r="G102" s="3" t="s">
        <v>1822</v>
      </c>
      <c r="H102" s="3" t="s">
        <v>1770</v>
      </c>
      <c r="I102" s="3" t="s">
        <v>1775</v>
      </c>
      <c r="J102" s="3" t="s">
        <v>508</v>
      </c>
      <c r="K102" s="3" t="s">
        <v>726</v>
      </c>
      <c r="L102" s="3" t="s">
        <v>508</v>
      </c>
      <c r="M102" s="3" t="s">
        <v>1820</v>
      </c>
      <c r="N102" s="3" t="s">
        <v>670</v>
      </c>
      <c r="O102" s="5">
        <v>45239</v>
      </c>
      <c r="P102" s="6">
        <v>1869.14</v>
      </c>
      <c r="Q102" s="7">
        <v>0</v>
      </c>
    </row>
    <row r="103" s="1" customFormat="1" ht="13.5" spans="1:17">
      <c r="A103" s="3" t="s">
        <v>1846</v>
      </c>
      <c r="B103" s="3" t="s">
        <v>727</v>
      </c>
      <c r="C103" s="3" t="s">
        <v>1768</v>
      </c>
      <c r="D103" s="3" t="s">
        <v>660</v>
      </c>
      <c r="E103" s="3" t="s">
        <v>661</v>
      </c>
      <c r="F103" s="3" t="s">
        <v>669</v>
      </c>
      <c r="G103" s="3" t="s">
        <v>1822</v>
      </c>
      <c r="H103" s="3" t="s">
        <v>1770</v>
      </c>
      <c r="I103" s="3" t="s">
        <v>1775</v>
      </c>
      <c r="J103" s="3" t="s">
        <v>508</v>
      </c>
      <c r="K103" s="3" t="s">
        <v>728</v>
      </c>
      <c r="L103" s="3" t="s">
        <v>508</v>
      </c>
      <c r="M103" s="3" t="s">
        <v>1820</v>
      </c>
      <c r="N103" s="3" t="s">
        <v>670</v>
      </c>
      <c r="O103" s="5">
        <v>45239</v>
      </c>
      <c r="P103" s="6">
        <v>2967.71</v>
      </c>
      <c r="Q103" s="7">
        <v>0</v>
      </c>
    </row>
    <row r="104" s="1" customFormat="1" ht="13.5" spans="1:17">
      <c r="A104" s="3" t="s">
        <v>1847</v>
      </c>
      <c r="B104" s="3" t="s">
        <v>729</v>
      </c>
      <c r="C104" s="3" t="s">
        <v>1768</v>
      </c>
      <c r="D104" s="3" t="s">
        <v>660</v>
      </c>
      <c r="E104" s="3" t="s">
        <v>661</v>
      </c>
      <c r="F104" s="3" t="s">
        <v>731</v>
      </c>
      <c r="G104" s="3" t="s">
        <v>1822</v>
      </c>
      <c r="H104" s="3" t="s">
        <v>1770</v>
      </c>
      <c r="I104" s="3" t="s">
        <v>1775</v>
      </c>
      <c r="J104" s="3" t="s">
        <v>508</v>
      </c>
      <c r="K104" s="3" t="s">
        <v>730</v>
      </c>
      <c r="L104" s="3" t="s">
        <v>508</v>
      </c>
      <c r="M104" s="3" t="s">
        <v>1820</v>
      </c>
      <c r="N104" s="3" t="s">
        <v>670</v>
      </c>
      <c r="O104" s="5">
        <v>45244</v>
      </c>
      <c r="P104" s="6">
        <v>2785.17</v>
      </c>
      <c r="Q104" s="7">
        <v>0</v>
      </c>
    </row>
    <row r="105" s="1" customFormat="1" ht="13.5" spans="1:17">
      <c r="A105" s="3" t="s">
        <v>1848</v>
      </c>
      <c r="B105" s="3" t="s">
        <v>732</v>
      </c>
      <c r="C105" s="3" t="s">
        <v>1768</v>
      </c>
      <c r="D105" s="3" t="s">
        <v>660</v>
      </c>
      <c r="E105" s="3" t="s">
        <v>661</v>
      </c>
      <c r="F105" s="3" t="s">
        <v>734</v>
      </c>
      <c r="G105" s="3" t="s">
        <v>1822</v>
      </c>
      <c r="H105" s="3" t="s">
        <v>1770</v>
      </c>
      <c r="I105" s="3" t="s">
        <v>1775</v>
      </c>
      <c r="J105" s="3" t="s">
        <v>508</v>
      </c>
      <c r="K105" s="3" t="s">
        <v>733</v>
      </c>
      <c r="L105" s="3" t="s">
        <v>508</v>
      </c>
      <c r="M105" s="3" t="s">
        <v>1820</v>
      </c>
      <c r="N105" s="3" t="s">
        <v>670</v>
      </c>
      <c r="O105" s="5">
        <v>45244</v>
      </c>
      <c r="P105" s="6">
        <v>6055.54</v>
      </c>
      <c r="Q105" s="7">
        <v>0</v>
      </c>
    </row>
    <row r="106" s="1" customFormat="1" ht="13.5" spans="1:17">
      <c r="A106" s="3" t="s">
        <v>1849</v>
      </c>
      <c r="B106" s="3" t="s">
        <v>735</v>
      </c>
      <c r="C106" s="3" t="s">
        <v>1768</v>
      </c>
      <c r="D106" s="3" t="s">
        <v>660</v>
      </c>
      <c r="E106" s="3" t="s">
        <v>661</v>
      </c>
      <c r="F106" s="3" t="s">
        <v>700</v>
      </c>
      <c r="G106" s="3" t="s">
        <v>1822</v>
      </c>
      <c r="H106" s="3" t="s">
        <v>1770</v>
      </c>
      <c r="I106" s="3" t="s">
        <v>1775</v>
      </c>
      <c r="J106" s="3" t="s">
        <v>508</v>
      </c>
      <c r="K106" s="3" t="s">
        <v>736</v>
      </c>
      <c r="L106" s="3" t="s">
        <v>508</v>
      </c>
      <c r="M106" s="3" t="s">
        <v>1820</v>
      </c>
      <c r="N106" s="3" t="s">
        <v>670</v>
      </c>
      <c r="O106" s="5">
        <v>45244</v>
      </c>
      <c r="P106" s="6">
        <v>6109.9</v>
      </c>
      <c r="Q106" s="7">
        <v>0</v>
      </c>
    </row>
    <row r="107" s="1" customFormat="1" ht="13.5" spans="1:17">
      <c r="A107" s="3" t="s">
        <v>1850</v>
      </c>
      <c r="B107" s="3" t="s">
        <v>737</v>
      </c>
      <c r="C107" s="3" t="s">
        <v>1768</v>
      </c>
      <c r="D107" s="3" t="s">
        <v>660</v>
      </c>
      <c r="E107" s="3" t="s">
        <v>661</v>
      </c>
      <c r="F107" s="3" t="s">
        <v>731</v>
      </c>
      <c r="G107" s="3" t="s">
        <v>1822</v>
      </c>
      <c r="H107" s="3" t="s">
        <v>1770</v>
      </c>
      <c r="I107" s="3" t="s">
        <v>1775</v>
      </c>
      <c r="J107" s="3" t="s">
        <v>508</v>
      </c>
      <c r="K107" s="3" t="s">
        <v>738</v>
      </c>
      <c r="L107" s="3" t="s">
        <v>508</v>
      </c>
      <c r="M107" s="3" t="s">
        <v>1820</v>
      </c>
      <c r="N107" s="3" t="s">
        <v>670</v>
      </c>
      <c r="O107" s="5">
        <v>45266</v>
      </c>
      <c r="P107" s="6">
        <v>353.74</v>
      </c>
      <c r="Q107" s="7">
        <v>0</v>
      </c>
    </row>
    <row r="108" s="1" customFormat="1" ht="13.5" spans="1:17">
      <c r="A108" s="3" t="s">
        <v>1851</v>
      </c>
      <c r="B108" s="3" t="s">
        <v>749</v>
      </c>
      <c r="C108" s="3" t="s">
        <v>1768</v>
      </c>
      <c r="D108" s="3" t="s">
        <v>660</v>
      </c>
      <c r="E108" s="3" t="s">
        <v>661</v>
      </c>
      <c r="F108" s="3" t="s">
        <v>751</v>
      </c>
      <c r="G108" s="3" t="s">
        <v>1822</v>
      </c>
      <c r="H108" s="3" t="s">
        <v>1770</v>
      </c>
      <c r="I108" s="3" t="s">
        <v>1775</v>
      </c>
      <c r="J108" s="3" t="s">
        <v>508</v>
      </c>
      <c r="K108" s="3" t="s">
        <v>750</v>
      </c>
      <c r="L108" s="3" t="s">
        <v>508</v>
      </c>
      <c r="M108" s="3" t="s">
        <v>1820</v>
      </c>
      <c r="N108" s="3" t="s">
        <v>670</v>
      </c>
      <c r="O108" s="5">
        <v>45264</v>
      </c>
      <c r="P108" s="6">
        <v>8800</v>
      </c>
      <c r="Q108" s="7">
        <v>0</v>
      </c>
    </row>
    <row r="109" s="1" customFormat="1" ht="13.5" spans="1:17">
      <c r="A109" s="3" t="s">
        <v>1816</v>
      </c>
      <c r="B109" s="3" t="s">
        <v>752</v>
      </c>
      <c r="C109" s="3" t="s">
        <v>1768</v>
      </c>
      <c r="D109" s="3" t="s">
        <v>660</v>
      </c>
      <c r="E109" s="3" t="s">
        <v>661</v>
      </c>
      <c r="F109" s="3" t="s">
        <v>754</v>
      </c>
      <c r="G109" s="3" t="s">
        <v>1822</v>
      </c>
      <c r="H109" s="3" t="s">
        <v>1770</v>
      </c>
      <c r="I109" s="3" t="s">
        <v>1775</v>
      </c>
      <c r="J109" s="3" t="s">
        <v>508</v>
      </c>
      <c r="K109" s="3" t="s">
        <v>753</v>
      </c>
      <c r="L109" s="3" t="s">
        <v>508</v>
      </c>
      <c r="M109" s="3" t="s">
        <v>1820</v>
      </c>
      <c r="N109" s="3" t="s">
        <v>670</v>
      </c>
      <c r="O109" s="5">
        <v>45275</v>
      </c>
      <c r="P109" s="6">
        <v>3340.37</v>
      </c>
      <c r="Q109" s="7">
        <v>0</v>
      </c>
    </row>
    <row r="110" s="1" customFormat="1" ht="13.5" spans="1:17">
      <c r="A110" s="3" t="s">
        <v>1852</v>
      </c>
      <c r="B110" s="3" t="s">
        <v>739</v>
      </c>
      <c r="C110" s="3" t="s">
        <v>1768</v>
      </c>
      <c r="D110" s="3" t="s">
        <v>660</v>
      </c>
      <c r="E110" s="3" t="s">
        <v>661</v>
      </c>
      <c r="F110" s="3" t="s">
        <v>741</v>
      </c>
      <c r="G110" s="3" t="s">
        <v>1822</v>
      </c>
      <c r="H110" s="3" t="s">
        <v>1770</v>
      </c>
      <c r="I110" s="3" t="s">
        <v>1775</v>
      </c>
      <c r="J110" s="3" t="s">
        <v>508</v>
      </c>
      <c r="K110" s="3" t="s">
        <v>740</v>
      </c>
      <c r="L110" s="3" t="s">
        <v>508</v>
      </c>
      <c r="M110" s="3" t="s">
        <v>1820</v>
      </c>
      <c r="N110" s="3" t="s">
        <v>670</v>
      </c>
      <c r="O110" s="5">
        <v>45279</v>
      </c>
      <c r="P110" s="6">
        <v>753.04</v>
      </c>
      <c r="Q110" s="7">
        <v>0</v>
      </c>
    </row>
    <row r="111" s="1" customFormat="1" ht="13.5" spans="1:17">
      <c r="A111" s="3" t="s">
        <v>1853</v>
      </c>
      <c r="B111" s="3" t="s">
        <v>755</v>
      </c>
      <c r="C111" s="3" t="s">
        <v>1768</v>
      </c>
      <c r="D111" s="3" t="s">
        <v>660</v>
      </c>
      <c r="E111" s="3" t="s">
        <v>661</v>
      </c>
      <c r="F111" s="3" t="s">
        <v>757</v>
      </c>
      <c r="G111" s="3" t="s">
        <v>1822</v>
      </c>
      <c r="H111" s="3" t="s">
        <v>1770</v>
      </c>
      <c r="I111" s="3" t="s">
        <v>1775</v>
      </c>
      <c r="J111" s="3" t="s">
        <v>508</v>
      </c>
      <c r="K111" s="3" t="s">
        <v>756</v>
      </c>
      <c r="L111" s="3" t="s">
        <v>508</v>
      </c>
      <c r="M111" s="3" t="s">
        <v>1820</v>
      </c>
      <c r="N111" s="3" t="s">
        <v>670</v>
      </c>
      <c r="O111" s="5">
        <v>45275</v>
      </c>
      <c r="P111" s="6">
        <v>12163.76</v>
      </c>
      <c r="Q111" s="7">
        <v>0</v>
      </c>
    </row>
    <row r="112" s="1" customFormat="1" ht="13.5" spans="1:17">
      <c r="A112" s="3" t="s">
        <v>1854</v>
      </c>
      <c r="B112" s="3" t="s">
        <v>742</v>
      </c>
      <c r="C112" s="3" t="s">
        <v>1768</v>
      </c>
      <c r="D112" s="3" t="s">
        <v>660</v>
      </c>
      <c r="E112" s="3" t="s">
        <v>661</v>
      </c>
      <c r="F112" s="3" t="s">
        <v>744</v>
      </c>
      <c r="G112" s="3" t="s">
        <v>1822</v>
      </c>
      <c r="H112" s="3" t="s">
        <v>1770</v>
      </c>
      <c r="I112" s="3" t="s">
        <v>1775</v>
      </c>
      <c r="J112" s="3" t="s">
        <v>508</v>
      </c>
      <c r="K112" s="3" t="s">
        <v>743</v>
      </c>
      <c r="L112" s="3" t="s">
        <v>508</v>
      </c>
      <c r="M112" s="3" t="s">
        <v>1820</v>
      </c>
      <c r="N112" s="3" t="s">
        <v>670</v>
      </c>
      <c r="O112" s="5">
        <v>45275</v>
      </c>
      <c r="P112" s="6">
        <v>495.05</v>
      </c>
      <c r="Q112" s="7">
        <v>0</v>
      </c>
    </row>
    <row r="113" s="1" customFormat="1" ht="13.5" spans="1:17">
      <c r="A113" s="3" t="s">
        <v>1855</v>
      </c>
      <c r="B113" s="3" t="s">
        <v>775</v>
      </c>
      <c r="C113" s="3" t="s">
        <v>1768</v>
      </c>
      <c r="D113" s="3" t="s">
        <v>660</v>
      </c>
      <c r="E113" s="3" t="s">
        <v>661</v>
      </c>
      <c r="F113" s="3" t="s">
        <v>777</v>
      </c>
      <c r="G113" s="3" t="s">
        <v>1822</v>
      </c>
      <c r="H113" s="3" t="s">
        <v>1770</v>
      </c>
      <c r="I113" s="3" t="s">
        <v>1775</v>
      </c>
      <c r="J113" s="3" t="s">
        <v>508</v>
      </c>
      <c r="K113" s="3" t="s">
        <v>776</v>
      </c>
      <c r="L113" s="3" t="s">
        <v>508</v>
      </c>
      <c r="M113" s="3" t="s">
        <v>1820</v>
      </c>
      <c r="N113" s="3" t="s">
        <v>670</v>
      </c>
      <c r="O113" s="5">
        <v>45278</v>
      </c>
      <c r="P113" s="6">
        <v>1885.73</v>
      </c>
      <c r="Q113" s="7">
        <v>0</v>
      </c>
    </row>
    <row r="114" s="1" customFormat="1" ht="13.5" spans="1:17">
      <c r="A114" s="3" t="s">
        <v>1856</v>
      </c>
      <c r="B114" s="3" t="s">
        <v>758</v>
      </c>
      <c r="C114" s="3" t="s">
        <v>1768</v>
      </c>
      <c r="D114" s="3" t="s">
        <v>660</v>
      </c>
      <c r="E114" s="3" t="s">
        <v>661</v>
      </c>
      <c r="F114" s="3" t="s">
        <v>760</v>
      </c>
      <c r="G114" s="3" t="s">
        <v>1822</v>
      </c>
      <c r="H114" s="3" t="s">
        <v>1770</v>
      </c>
      <c r="I114" s="3" t="s">
        <v>1775</v>
      </c>
      <c r="J114" s="3" t="s">
        <v>508</v>
      </c>
      <c r="K114" s="3" t="s">
        <v>759</v>
      </c>
      <c r="L114" s="3" t="s">
        <v>508</v>
      </c>
      <c r="M114" s="3" t="s">
        <v>1820</v>
      </c>
      <c r="N114" s="3" t="s">
        <v>670</v>
      </c>
      <c r="O114" s="5">
        <v>45280</v>
      </c>
      <c r="P114" s="6">
        <v>600</v>
      </c>
      <c r="Q114" s="7">
        <v>0</v>
      </c>
    </row>
    <row r="115" s="1" customFormat="1" ht="13.5" spans="1:17">
      <c r="A115" s="3" t="s">
        <v>1857</v>
      </c>
      <c r="B115" s="3" t="s">
        <v>761</v>
      </c>
      <c r="C115" s="3" t="s">
        <v>1768</v>
      </c>
      <c r="D115" s="3" t="s">
        <v>660</v>
      </c>
      <c r="E115" s="3" t="s">
        <v>661</v>
      </c>
      <c r="F115" s="3" t="s">
        <v>763</v>
      </c>
      <c r="G115" s="3" t="s">
        <v>1822</v>
      </c>
      <c r="H115" s="3" t="s">
        <v>1770</v>
      </c>
      <c r="I115" s="3" t="s">
        <v>1775</v>
      </c>
      <c r="J115" s="3" t="s">
        <v>508</v>
      </c>
      <c r="K115" s="3" t="s">
        <v>762</v>
      </c>
      <c r="L115" s="3" t="s">
        <v>508</v>
      </c>
      <c r="M115" s="3" t="s">
        <v>1820</v>
      </c>
      <c r="N115" s="3" t="s">
        <v>670</v>
      </c>
      <c r="O115" s="5">
        <v>45280</v>
      </c>
      <c r="P115" s="6">
        <v>3104.95</v>
      </c>
      <c r="Q115" s="7">
        <v>0</v>
      </c>
    </row>
    <row r="116" s="1" customFormat="1" ht="13.5" spans="1:17">
      <c r="A116" s="3" t="s">
        <v>1858</v>
      </c>
      <c r="B116" s="3" t="s">
        <v>764</v>
      </c>
      <c r="C116" s="3" t="s">
        <v>1768</v>
      </c>
      <c r="D116" s="3" t="s">
        <v>660</v>
      </c>
      <c r="E116" s="3" t="s">
        <v>661</v>
      </c>
      <c r="F116" s="3" t="s">
        <v>766</v>
      </c>
      <c r="G116" s="3" t="s">
        <v>1822</v>
      </c>
      <c r="H116" s="3" t="s">
        <v>1770</v>
      </c>
      <c r="I116" s="3" t="s">
        <v>1775</v>
      </c>
      <c r="J116" s="3" t="s">
        <v>508</v>
      </c>
      <c r="K116" s="3" t="s">
        <v>765</v>
      </c>
      <c r="L116" s="3" t="s">
        <v>508</v>
      </c>
      <c r="M116" s="3" t="s">
        <v>1820</v>
      </c>
      <c r="N116" s="3" t="s">
        <v>670</v>
      </c>
      <c r="O116" s="5">
        <v>45275</v>
      </c>
      <c r="P116" s="6">
        <v>8566.46</v>
      </c>
      <c r="Q116" s="7">
        <v>0</v>
      </c>
    </row>
    <row r="117" s="1" customFormat="1" ht="13.5" spans="1:17">
      <c r="A117" s="3" t="s">
        <v>1859</v>
      </c>
      <c r="B117" s="3" t="s">
        <v>879</v>
      </c>
      <c r="C117" s="3" t="s">
        <v>1768</v>
      </c>
      <c r="D117" s="3" t="s">
        <v>660</v>
      </c>
      <c r="E117" s="3" t="s">
        <v>661</v>
      </c>
      <c r="F117" s="3" t="s">
        <v>859</v>
      </c>
      <c r="G117" s="3" t="s">
        <v>1822</v>
      </c>
      <c r="H117" s="3" t="s">
        <v>1770</v>
      </c>
      <c r="I117" s="3" t="s">
        <v>1775</v>
      </c>
      <c r="J117" s="3" t="s">
        <v>521</v>
      </c>
      <c r="K117" s="3" t="s">
        <v>880</v>
      </c>
      <c r="L117" s="3" t="s">
        <v>521</v>
      </c>
      <c r="M117" s="3" t="s">
        <v>1820</v>
      </c>
      <c r="N117" s="3" t="s">
        <v>670</v>
      </c>
      <c r="O117" s="5">
        <v>45323</v>
      </c>
      <c r="P117" s="6">
        <v>4073.27</v>
      </c>
      <c r="Q117" s="7">
        <v>0</v>
      </c>
    </row>
    <row r="118" s="1" customFormat="1" ht="13.5" spans="1:17">
      <c r="A118" s="3" t="s">
        <v>1860</v>
      </c>
      <c r="B118" s="3" t="s">
        <v>772</v>
      </c>
      <c r="C118" s="3" t="s">
        <v>1768</v>
      </c>
      <c r="D118" s="3" t="s">
        <v>660</v>
      </c>
      <c r="E118" s="3" t="s">
        <v>661</v>
      </c>
      <c r="F118" s="3" t="s">
        <v>774</v>
      </c>
      <c r="G118" s="3" t="s">
        <v>1822</v>
      </c>
      <c r="H118" s="3" t="s">
        <v>1770</v>
      </c>
      <c r="I118" s="3" t="s">
        <v>1775</v>
      </c>
      <c r="J118" s="3" t="s">
        <v>508</v>
      </c>
      <c r="K118" s="3" t="s">
        <v>773</v>
      </c>
      <c r="L118" s="3" t="s">
        <v>508</v>
      </c>
      <c r="M118" s="3" t="s">
        <v>1820</v>
      </c>
      <c r="N118" s="3" t="s">
        <v>670</v>
      </c>
      <c r="O118" s="5">
        <v>45268</v>
      </c>
      <c r="P118" s="6">
        <v>2104.96</v>
      </c>
      <c r="Q118" s="7">
        <v>0</v>
      </c>
    </row>
    <row r="119" s="1" customFormat="1" ht="13.5" spans="1:17">
      <c r="A119" s="3" t="s">
        <v>1861</v>
      </c>
      <c r="B119" s="3" t="s">
        <v>778</v>
      </c>
      <c r="C119" s="3" t="s">
        <v>1768</v>
      </c>
      <c r="D119" s="3" t="s">
        <v>660</v>
      </c>
      <c r="E119" s="3" t="s">
        <v>661</v>
      </c>
      <c r="F119" s="3" t="s">
        <v>763</v>
      </c>
      <c r="G119" s="3" t="s">
        <v>1822</v>
      </c>
      <c r="H119" s="3" t="s">
        <v>1770</v>
      </c>
      <c r="I119" s="3" t="s">
        <v>1775</v>
      </c>
      <c r="J119" s="3" t="s">
        <v>508</v>
      </c>
      <c r="K119" s="3" t="s">
        <v>779</v>
      </c>
      <c r="L119" s="3" t="s">
        <v>508</v>
      </c>
      <c r="M119" s="3" t="s">
        <v>1820</v>
      </c>
      <c r="N119" s="3" t="s">
        <v>670</v>
      </c>
      <c r="O119" s="5">
        <v>45268</v>
      </c>
      <c r="P119" s="6">
        <v>4073.27</v>
      </c>
      <c r="Q119" s="7">
        <v>0</v>
      </c>
    </row>
    <row r="120" s="1" customFormat="1" ht="13.5" spans="1:17">
      <c r="A120" s="3" t="s">
        <v>1862</v>
      </c>
      <c r="B120" s="3" t="s">
        <v>780</v>
      </c>
      <c r="C120" s="3" t="s">
        <v>1768</v>
      </c>
      <c r="D120" s="3" t="s">
        <v>660</v>
      </c>
      <c r="E120" s="3" t="s">
        <v>661</v>
      </c>
      <c r="F120" s="3" t="s">
        <v>782</v>
      </c>
      <c r="G120" s="3" t="s">
        <v>1822</v>
      </c>
      <c r="H120" s="3" t="s">
        <v>1770</v>
      </c>
      <c r="I120" s="3" t="s">
        <v>1775</v>
      </c>
      <c r="J120" s="3" t="s">
        <v>508</v>
      </c>
      <c r="K120" s="3" t="s">
        <v>781</v>
      </c>
      <c r="L120" s="3" t="s">
        <v>508</v>
      </c>
      <c r="M120" s="3" t="s">
        <v>1820</v>
      </c>
      <c r="N120" s="3" t="s">
        <v>670</v>
      </c>
      <c r="O120" s="5">
        <v>45268</v>
      </c>
      <c r="P120" s="6">
        <v>831.57</v>
      </c>
      <c r="Q120" s="7">
        <v>0</v>
      </c>
    </row>
    <row r="121" s="1" customFormat="1" ht="13.5" spans="1:17">
      <c r="A121" s="3" t="s">
        <v>1863</v>
      </c>
      <c r="B121" s="3" t="s">
        <v>783</v>
      </c>
      <c r="C121" s="3" t="s">
        <v>1768</v>
      </c>
      <c r="D121" s="3" t="s">
        <v>660</v>
      </c>
      <c r="E121" s="3" t="s">
        <v>661</v>
      </c>
      <c r="F121" s="3" t="s">
        <v>681</v>
      </c>
      <c r="G121" s="3" t="s">
        <v>1822</v>
      </c>
      <c r="H121" s="3" t="s">
        <v>1770</v>
      </c>
      <c r="I121" s="3" t="s">
        <v>1775</v>
      </c>
      <c r="J121" s="3" t="s">
        <v>508</v>
      </c>
      <c r="K121" s="3" t="s">
        <v>784</v>
      </c>
      <c r="L121" s="3" t="s">
        <v>508</v>
      </c>
      <c r="M121" s="3" t="s">
        <v>1820</v>
      </c>
      <c r="N121" s="3" t="s">
        <v>670</v>
      </c>
      <c r="O121" s="5">
        <v>45265</v>
      </c>
      <c r="P121" s="6">
        <v>716.68</v>
      </c>
      <c r="Q121" s="7">
        <v>0</v>
      </c>
    </row>
    <row r="122" s="1" customFormat="1" ht="13.5" spans="1:17">
      <c r="A122" s="3" t="s">
        <v>1864</v>
      </c>
      <c r="B122" s="3" t="s">
        <v>785</v>
      </c>
      <c r="C122" s="3" t="s">
        <v>1768</v>
      </c>
      <c r="D122" s="3" t="s">
        <v>660</v>
      </c>
      <c r="E122" s="3" t="s">
        <v>661</v>
      </c>
      <c r="F122" s="3" t="s">
        <v>693</v>
      </c>
      <c r="G122" s="3" t="s">
        <v>1822</v>
      </c>
      <c r="H122" s="3" t="s">
        <v>1770</v>
      </c>
      <c r="I122" s="3" t="s">
        <v>1775</v>
      </c>
      <c r="J122" s="3" t="s">
        <v>508</v>
      </c>
      <c r="K122" s="3" t="s">
        <v>786</v>
      </c>
      <c r="L122" s="3" t="s">
        <v>508</v>
      </c>
      <c r="M122" s="3" t="s">
        <v>1820</v>
      </c>
      <c r="N122" s="3" t="s">
        <v>670</v>
      </c>
      <c r="O122" s="5">
        <v>45265</v>
      </c>
      <c r="P122" s="6">
        <v>1068.32</v>
      </c>
      <c r="Q122" s="7">
        <v>0</v>
      </c>
    </row>
    <row r="123" s="1" customFormat="1" ht="13.5" spans="1:17">
      <c r="A123" s="3" t="s">
        <v>1865</v>
      </c>
      <c r="B123" s="3" t="s">
        <v>787</v>
      </c>
      <c r="C123" s="3" t="s">
        <v>1768</v>
      </c>
      <c r="D123" s="3" t="s">
        <v>660</v>
      </c>
      <c r="E123" s="3" t="s">
        <v>661</v>
      </c>
      <c r="F123" s="3" t="s">
        <v>669</v>
      </c>
      <c r="G123" s="3" t="s">
        <v>1822</v>
      </c>
      <c r="H123" s="3" t="s">
        <v>1770</v>
      </c>
      <c r="I123" s="3" t="s">
        <v>1775</v>
      </c>
      <c r="J123" s="3" t="s">
        <v>508</v>
      </c>
      <c r="K123" s="3" t="s">
        <v>788</v>
      </c>
      <c r="L123" s="3" t="s">
        <v>508</v>
      </c>
      <c r="M123" s="3" t="s">
        <v>1820</v>
      </c>
      <c r="N123" s="3" t="s">
        <v>670</v>
      </c>
      <c r="O123" s="5">
        <v>45268</v>
      </c>
      <c r="P123" s="6">
        <v>3258.27</v>
      </c>
      <c r="Q123" s="7">
        <v>0</v>
      </c>
    </row>
    <row r="124" s="1" customFormat="1" ht="13.5" spans="1:17">
      <c r="A124" s="3" t="s">
        <v>1866</v>
      </c>
      <c r="B124" s="3" t="s">
        <v>789</v>
      </c>
      <c r="C124" s="3" t="s">
        <v>1768</v>
      </c>
      <c r="D124" s="3" t="s">
        <v>660</v>
      </c>
      <c r="E124" s="3" t="s">
        <v>661</v>
      </c>
      <c r="F124" s="3" t="s">
        <v>731</v>
      </c>
      <c r="G124" s="3" t="s">
        <v>1822</v>
      </c>
      <c r="H124" s="3" t="s">
        <v>1770</v>
      </c>
      <c r="I124" s="3" t="s">
        <v>1775</v>
      </c>
      <c r="J124" s="3" t="s">
        <v>508</v>
      </c>
      <c r="K124" s="3" t="s">
        <v>790</v>
      </c>
      <c r="L124" s="3" t="s">
        <v>508</v>
      </c>
      <c r="M124" s="3" t="s">
        <v>1820</v>
      </c>
      <c r="N124" s="3" t="s">
        <v>670</v>
      </c>
      <c r="O124" s="5">
        <v>45264</v>
      </c>
      <c r="P124" s="6">
        <v>345.66</v>
      </c>
      <c r="Q124" s="7">
        <v>0</v>
      </c>
    </row>
    <row r="125" s="1" customFormat="1" ht="13.5" spans="1:17">
      <c r="A125" s="3" t="s">
        <v>1867</v>
      </c>
      <c r="B125" s="3" t="s">
        <v>791</v>
      </c>
      <c r="C125" s="3" t="s">
        <v>1768</v>
      </c>
      <c r="D125" s="3" t="s">
        <v>660</v>
      </c>
      <c r="E125" s="3" t="s">
        <v>661</v>
      </c>
      <c r="F125" s="3" t="s">
        <v>731</v>
      </c>
      <c r="G125" s="3" t="s">
        <v>1822</v>
      </c>
      <c r="H125" s="3" t="s">
        <v>1770</v>
      </c>
      <c r="I125" s="3" t="s">
        <v>1775</v>
      </c>
      <c r="J125" s="3" t="s">
        <v>508</v>
      </c>
      <c r="K125" s="3" t="s">
        <v>792</v>
      </c>
      <c r="L125" s="3" t="s">
        <v>508</v>
      </c>
      <c r="M125" s="3" t="s">
        <v>1820</v>
      </c>
      <c r="N125" s="3" t="s">
        <v>670</v>
      </c>
      <c r="O125" s="5">
        <v>45264</v>
      </c>
      <c r="P125" s="6">
        <v>231.1</v>
      </c>
      <c r="Q125" s="7">
        <v>0</v>
      </c>
    </row>
    <row r="126" s="1" customFormat="1" ht="13.5" spans="1:17">
      <c r="A126" s="3" t="s">
        <v>1868</v>
      </c>
      <c r="B126" s="3" t="s">
        <v>793</v>
      </c>
      <c r="C126" s="3" t="s">
        <v>1768</v>
      </c>
      <c r="D126" s="3" t="s">
        <v>660</v>
      </c>
      <c r="E126" s="3" t="s">
        <v>661</v>
      </c>
      <c r="F126" s="3" t="s">
        <v>795</v>
      </c>
      <c r="G126" s="3" t="s">
        <v>1822</v>
      </c>
      <c r="H126" s="3" t="s">
        <v>1770</v>
      </c>
      <c r="I126" s="3" t="s">
        <v>1775</v>
      </c>
      <c r="J126" s="3" t="s">
        <v>508</v>
      </c>
      <c r="K126" s="3" t="s">
        <v>794</v>
      </c>
      <c r="L126" s="3" t="s">
        <v>508</v>
      </c>
      <c r="M126" s="3" t="s">
        <v>1820</v>
      </c>
      <c r="N126" s="3" t="s">
        <v>670</v>
      </c>
      <c r="O126" s="5">
        <v>45277</v>
      </c>
      <c r="P126" s="6">
        <v>1128.71</v>
      </c>
      <c r="Q126" s="7">
        <v>0</v>
      </c>
    </row>
    <row r="127" s="1" customFormat="1" ht="13.5" spans="1:17">
      <c r="A127" s="3" t="s">
        <v>1869</v>
      </c>
      <c r="B127" s="3" t="s">
        <v>796</v>
      </c>
      <c r="C127" s="3" t="s">
        <v>1768</v>
      </c>
      <c r="D127" s="3" t="s">
        <v>660</v>
      </c>
      <c r="E127" s="3" t="s">
        <v>661</v>
      </c>
      <c r="F127" s="3" t="s">
        <v>763</v>
      </c>
      <c r="G127" s="3" t="s">
        <v>1822</v>
      </c>
      <c r="H127" s="3" t="s">
        <v>1770</v>
      </c>
      <c r="I127" s="3" t="s">
        <v>1775</v>
      </c>
      <c r="J127" s="3" t="s">
        <v>508</v>
      </c>
      <c r="K127" s="3" t="s">
        <v>797</v>
      </c>
      <c r="L127" s="3" t="s">
        <v>508</v>
      </c>
      <c r="M127" s="3" t="s">
        <v>1820</v>
      </c>
      <c r="N127" s="3" t="s">
        <v>670</v>
      </c>
      <c r="O127" s="5">
        <v>45270</v>
      </c>
      <c r="P127" s="6">
        <v>2136.63</v>
      </c>
      <c r="Q127" s="7">
        <v>0</v>
      </c>
    </row>
    <row r="128" s="1" customFormat="1" ht="13.5" spans="1:17">
      <c r="A128" s="3" t="s">
        <v>1870</v>
      </c>
      <c r="B128" s="3" t="s">
        <v>798</v>
      </c>
      <c r="C128" s="3" t="s">
        <v>1768</v>
      </c>
      <c r="D128" s="3" t="s">
        <v>660</v>
      </c>
      <c r="E128" s="3" t="s">
        <v>661</v>
      </c>
      <c r="F128" s="3" t="s">
        <v>669</v>
      </c>
      <c r="G128" s="3" t="s">
        <v>1822</v>
      </c>
      <c r="H128" s="3" t="s">
        <v>1770</v>
      </c>
      <c r="I128" s="3" t="s">
        <v>1775</v>
      </c>
      <c r="J128" s="3" t="s">
        <v>508</v>
      </c>
      <c r="K128" s="3" t="s">
        <v>799</v>
      </c>
      <c r="L128" s="3" t="s">
        <v>508</v>
      </c>
      <c r="M128" s="3" t="s">
        <v>1820</v>
      </c>
      <c r="N128" s="3" t="s">
        <v>670</v>
      </c>
      <c r="O128" s="5">
        <v>45270</v>
      </c>
      <c r="P128" s="6">
        <v>2000.32</v>
      </c>
      <c r="Q128" s="7">
        <v>0</v>
      </c>
    </row>
    <row r="129" s="1" customFormat="1" ht="13.5" spans="1:17">
      <c r="A129" s="3" t="s">
        <v>1871</v>
      </c>
      <c r="B129" s="3" t="s">
        <v>800</v>
      </c>
      <c r="C129" s="3" t="s">
        <v>1768</v>
      </c>
      <c r="D129" s="3" t="s">
        <v>660</v>
      </c>
      <c r="E129" s="3" t="s">
        <v>661</v>
      </c>
      <c r="F129" s="3" t="s">
        <v>802</v>
      </c>
      <c r="G129" s="3" t="s">
        <v>1822</v>
      </c>
      <c r="H129" s="3" t="s">
        <v>1770</v>
      </c>
      <c r="I129" s="3" t="s">
        <v>1775</v>
      </c>
      <c r="J129" s="3" t="s">
        <v>508</v>
      </c>
      <c r="K129" s="3" t="s">
        <v>801</v>
      </c>
      <c r="L129" s="3" t="s">
        <v>508</v>
      </c>
      <c r="M129" s="3" t="s">
        <v>1820</v>
      </c>
      <c r="N129" s="3" t="s">
        <v>670</v>
      </c>
      <c r="O129" s="5">
        <v>45270</v>
      </c>
      <c r="P129" s="6">
        <v>1192.99</v>
      </c>
      <c r="Q129" s="7">
        <v>0</v>
      </c>
    </row>
    <row r="130" s="1" customFormat="1" ht="13.5" spans="1:17">
      <c r="A130" s="3" t="s">
        <v>1872</v>
      </c>
      <c r="B130" s="3" t="s">
        <v>803</v>
      </c>
      <c r="C130" s="3" t="s">
        <v>1768</v>
      </c>
      <c r="D130" s="3" t="s">
        <v>660</v>
      </c>
      <c r="E130" s="3" t="s">
        <v>661</v>
      </c>
      <c r="F130" s="3" t="s">
        <v>805</v>
      </c>
      <c r="G130" s="3" t="s">
        <v>1822</v>
      </c>
      <c r="H130" s="3" t="s">
        <v>1770</v>
      </c>
      <c r="I130" s="3" t="s">
        <v>1775</v>
      </c>
      <c r="J130" s="3" t="s">
        <v>508</v>
      </c>
      <c r="K130" s="3" t="s">
        <v>804</v>
      </c>
      <c r="L130" s="3" t="s">
        <v>508</v>
      </c>
      <c r="M130" s="3" t="s">
        <v>1820</v>
      </c>
      <c r="N130" s="3" t="s">
        <v>670</v>
      </c>
      <c r="O130" s="5">
        <v>45270</v>
      </c>
      <c r="P130" s="6">
        <v>10238.88</v>
      </c>
      <c r="Q130" s="7">
        <v>0</v>
      </c>
    </row>
    <row r="131" s="1" customFormat="1" ht="13.5" spans="1:17">
      <c r="A131" s="3" t="s">
        <v>1873</v>
      </c>
      <c r="B131" s="3" t="s">
        <v>806</v>
      </c>
      <c r="C131" s="3" t="s">
        <v>1768</v>
      </c>
      <c r="D131" s="3" t="s">
        <v>660</v>
      </c>
      <c r="E131" s="3" t="s">
        <v>661</v>
      </c>
      <c r="F131" s="3" t="s">
        <v>669</v>
      </c>
      <c r="G131" s="3" t="s">
        <v>1822</v>
      </c>
      <c r="H131" s="3" t="s">
        <v>1770</v>
      </c>
      <c r="I131" s="3" t="s">
        <v>1775</v>
      </c>
      <c r="J131" s="3" t="s">
        <v>508</v>
      </c>
      <c r="K131" s="3" t="s">
        <v>807</v>
      </c>
      <c r="L131" s="3" t="s">
        <v>508</v>
      </c>
      <c r="M131" s="3" t="s">
        <v>1820</v>
      </c>
      <c r="N131" s="3" t="s">
        <v>670</v>
      </c>
      <c r="O131" s="5">
        <v>45270</v>
      </c>
      <c r="P131" s="6">
        <v>3050.6</v>
      </c>
      <c r="Q131" s="7">
        <v>0</v>
      </c>
    </row>
    <row r="132" s="1" customFormat="1" ht="13.5" spans="1:17">
      <c r="A132" s="3" t="s">
        <v>1874</v>
      </c>
      <c r="B132" s="3" t="s">
        <v>808</v>
      </c>
      <c r="C132" s="3" t="s">
        <v>1768</v>
      </c>
      <c r="D132" s="3" t="s">
        <v>660</v>
      </c>
      <c r="E132" s="3" t="s">
        <v>661</v>
      </c>
      <c r="F132" s="3" t="s">
        <v>810</v>
      </c>
      <c r="G132" s="3" t="s">
        <v>1822</v>
      </c>
      <c r="H132" s="3" t="s">
        <v>1770</v>
      </c>
      <c r="I132" s="3" t="s">
        <v>1775</v>
      </c>
      <c r="J132" s="3" t="s">
        <v>508</v>
      </c>
      <c r="K132" s="3" t="s">
        <v>809</v>
      </c>
      <c r="L132" s="3" t="s">
        <v>508</v>
      </c>
      <c r="M132" s="3" t="s">
        <v>1820</v>
      </c>
      <c r="N132" s="3" t="s">
        <v>670</v>
      </c>
      <c r="O132" s="5">
        <v>45278</v>
      </c>
      <c r="P132" s="6">
        <v>3700</v>
      </c>
      <c r="Q132" s="7">
        <v>0</v>
      </c>
    </row>
    <row r="133" s="1" customFormat="1" ht="13.5" spans="1:17">
      <c r="A133" s="3" t="s">
        <v>1875</v>
      </c>
      <c r="B133" s="3" t="s">
        <v>811</v>
      </c>
      <c r="C133" s="3" t="s">
        <v>1768</v>
      </c>
      <c r="D133" s="3" t="s">
        <v>660</v>
      </c>
      <c r="E133" s="3" t="s">
        <v>661</v>
      </c>
      <c r="F133" s="3" t="s">
        <v>813</v>
      </c>
      <c r="G133" s="3" t="s">
        <v>1822</v>
      </c>
      <c r="H133" s="3" t="s">
        <v>1770</v>
      </c>
      <c r="I133" s="3" t="s">
        <v>1775</v>
      </c>
      <c r="J133" s="3" t="s">
        <v>508</v>
      </c>
      <c r="K133" s="3" t="s">
        <v>812</v>
      </c>
      <c r="L133" s="3" t="s">
        <v>508</v>
      </c>
      <c r="M133" s="3" t="s">
        <v>1820</v>
      </c>
      <c r="N133" s="3" t="s">
        <v>670</v>
      </c>
      <c r="O133" s="5">
        <v>45278</v>
      </c>
      <c r="P133" s="6">
        <v>10600</v>
      </c>
      <c r="Q133" s="7">
        <v>0</v>
      </c>
    </row>
    <row r="134" s="1" customFormat="1" ht="13.5" spans="1:17">
      <c r="A134" s="3" t="s">
        <v>1876</v>
      </c>
      <c r="B134" s="3" t="s">
        <v>814</v>
      </c>
      <c r="C134" s="3" t="s">
        <v>1768</v>
      </c>
      <c r="D134" s="3" t="s">
        <v>660</v>
      </c>
      <c r="E134" s="3" t="s">
        <v>661</v>
      </c>
      <c r="F134" s="3" t="s">
        <v>816</v>
      </c>
      <c r="G134" s="3" t="s">
        <v>1822</v>
      </c>
      <c r="H134" s="3" t="s">
        <v>1770</v>
      </c>
      <c r="I134" s="3" t="s">
        <v>1775</v>
      </c>
      <c r="J134" s="3" t="s">
        <v>508</v>
      </c>
      <c r="K134" s="3" t="s">
        <v>815</v>
      </c>
      <c r="L134" s="3" t="s">
        <v>508</v>
      </c>
      <c r="M134" s="3" t="s">
        <v>1820</v>
      </c>
      <c r="N134" s="3" t="s">
        <v>670</v>
      </c>
      <c r="O134" s="5">
        <v>45270</v>
      </c>
      <c r="P134" s="6">
        <v>1152.48</v>
      </c>
      <c r="Q134" s="7">
        <v>0</v>
      </c>
    </row>
    <row r="135" s="1" customFormat="1" ht="13.5" spans="1:17">
      <c r="A135" s="3" t="s">
        <v>1877</v>
      </c>
      <c r="B135" s="3" t="s">
        <v>817</v>
      </c>
      <c r="C135" s="3" t="s">
        <v>1768</v>
      </c>
      <c r="D135" s="3" t="s">
        <v>660</v>
      </c>
      <c r="E135" s="3" t="s">
        <v>661</v>
      </c>
      <c r="F135" s="3" t="s">
        <v>795</v>
      </c>
      <c r="G135" s="3" t="s">
        <v>1822</v>
      </c>
      <c r="H135" s="3" t="s">
        <v>1770</v>
      </c>
      <c r="I135" s="3" t="s">
        <v>1775</v>
      </c>
      <c r="J135" s="3" t="s">
        <v>508</v>
      </c>
      <c r="K135" s="3" t="s">
        <v>818</v>
      </c>
      <c r="L135" s="3" t="s">
        <v>508</v>
      </c>
      <c r="M135" s="3" t="s">
        <v>1820</v>
      </c>
      <c r="N135" s="3" t="s">
        <v>670</v>
      </c>
      <c r="O135" s="5">
        <v>45270</v>
      </c>
      <c r="P135" s="6">
        <v>1132.08</v>
      </c>
      <c r="Q135" s="7">
        <v>0</v>
      </c>
    </row>
    <row r="136" s="1" customFormat="1" ht="13.5" spans="1:17">
      <c r="A136" s="3" t="s">
        <v>1790</v>
      </c>
      <c r="B136" s="3" t="s">
        <v>824</v>
      </c>
      <c r="C136" s="3" t="s">
        <v>1768</v>
      </c>
      <c r="D136" s="3" t="s">
        <v>660</v>
      </c>
      <c r="E136" s="3" t="s">
        <v>661</v>
      </c>
      <c r="F136" s="3" t="s">
        <v>826</v>
      </c>
      <c r="G136" s="3" t="s">
        <v>1822</v>
      </c>
      <c r="H136" s="3" t="s">
        <v>1770</v>
      </c>
      <c r="I136" s="3" t="s">
        <v>1775</v>
      </c>
      <c r="J136" s="3" t="s">
        <v>521</v>
      </c>
      <c r="K136" s="3" t="s">
        <v>825</v>
      </c>
      <c r="L136" s="3" t="s">
        <v>521</v>
      </c>
      <c r="M136" s="3" t="s">
        <v>1820</v>
      </c>
      <c r="N136" s="3" t="s">
        <v>670</v>
      </c>
      <c r="O136" s="5">
        <v>45303</v>
      </c>
      <c r="P136" s="6">
        <v>504.48</v>
      </c>
      <c r="Q136" s="7">
        <v>0</v>
      </c>
    </row>
    <row r="137" s="1" customFormat="1" ht="13.5" spans="1:17">
      <c r="A137" s="3" t="s">
        <v>1878</v>
      </c>
      <c r="B137" s="3" t="s">
        <v>832</v>
      </c>
      <c r="C137" s="3" t="s">
        <v>1768</v>
      </c>
      <c r="D137" s="3" t="s">
        <v>660</v>
      </c>
      <c r="E137" s="3" t="s">
        <v>661</v>
      </c>
      <c r="F137" s="3" t="s">
        <v>669</v>
      </c>
      <c r="G137" s="3" t="s">
        <v>1822</v>
      </c>
      <c r="H137" s="3" t="s">
        <v>1770</v>
      </c>
      <c r="I137" s="3" t="s">
        <v>1775</v>
      </c>
      <c r="J137" s="3" t="s">
        <v>521</v>
      </c>
      <c r="K137" s="3" t="s">
        <v>833</v>
      </c>
      <c r="L137" s="3" t="s">
        <v>521</v>
      </c>
      <c r="M137" s="3" t="s">
        <v>1820</v>
      </c>
      <c r="N137" s="3" t="s">
        <v>670</v>
      </c>
      <c r="O137" s="5">
        <v>45310</v>
      </c>
      <c r="P137" s="6">
        <v>3188.57</v>
      </c>
      <c r="Q137" s="7">
        <v>0</v>
      </c>
    </row>
    <row r="138" s="1" customFormat="1" ht="13.5" spans="1:17">
      <c r="A138" s="3" t="s">
        <v>1879</v>
      </c>
      <c r="B138" s="3" t="s">
        <v>834</v>
      </c>
      <c r="C138" s="3" t="s">
        <v>1768</v>
      </c>
      <c r="D138" s="3" t="s">
        <v>660</v>
      </c>
      <c r="E138" s="3" t="s">
        <v>661</v>
      </c>
      <c r="F138" s="3" t="s">
        <v>836</v>
      </c>
      <c r="G138" s="3" t="s">
        <v>1822</v>
      </c>
      <c r="H138" s="3" t="s">
        <v>1770</v>
      </c>
      <c r="I138" s="3" t="s">
        <v>1775</v>
      </c>
      <c r="J138" s="3" t="s">
        <v>521</v>
      </c>
      <c r="K138" s="3" t="s">
        <v>835</v>
      </c>
      <c r="L138" s="3" t="s">
        <v>521</v>
      </c>
      <c r="M138" s="3" t="s">
        <v>1820</v>
      </c>
      <c r="N138" s="3" t="s">
        <v>670</v>
      </c>
      <c r="O138" s="5">
        <v>45310</v>
      </c>
      <c r="P138" s="6">
        <v>6947.56</v>
      </c>
      <c r="Q138" s="7">
        <v>0</v>
      </c>
    </row>
    <row r="139" s="1" customFormat="1" ht="13.5" spans="1:17">
      <c r="A139" s="3" t="s">
        <v>1880</v>
      </c>
      <c r="B139" s="3" t="s">
        <v>837</v>
      </c>
      <c r="C139" s="3" t="s">
        <v>1768</v>
      </c>
      <c r="D139" s="3" t="s">
        <v>660</v>
      </c>
      <c r="E139" s="3" t="s">
        <v>661</v>
      </c>
      <c r="F139" s="3" t="s">
        <v>669</v>
      </c>
      <c r="G139" s="3" t="s">
        <v>1822</v>
      </c>
      <c r="H139" s="3" t="s">
        <v>1770</v>
      </c>
      <c r="I139" s="3" t="s">
        <v>1775</v>
      </c>
      <c r="J139" s="3" t="s">
        <v>521</v>
      </c>
      <c r="K139" s="3" t="s">
        <v>838</v>
      </c>
      <c r="L139" s="3" t="s">
        <v>521</v>
      </c>
      <c r="M139" s="3" t="s">
        <v>1820</v>
      </c>
      <c r="N139" s="3" t="s">
        <v>670</v>
      </c>
      <c r="O139" s="5">
        <v>45310</v>
      </c>
      <c r="P139" s="6">
        <v>2388.1</v>
      </c>
      <c r="Q139" s="7">
        <v>0</v>
      </c>
    </row>
    <row r="140" s="1" customFormat="1" ht="13.5" spans="1:17">
      <c r="A140" s="3" t="s">
        <v>1881</v>
      </c>
      <c r="B140" s="3" t="s">
        <v>827</v>
      </c>
      <c r="C140" s="3" t="s">
        <v>1768</v>
      </c>
      <c r="D140" s="3" t="s">
        <v>660</v>
      </c>
      <c r="E140" s="3" t="s">
        <v>661</v>
      </c>
      <c r="F140" s="3" t="s">
        <v>829</v>
      </c>
      <c r="G140" s="3" t="s">
        <v>1822</v>
      </c>
      <c r="H140" s="3" t="s">
        <v>1770</v>
      </c>
      <c r="I140" s="3" t="s">
        <v>1775</v>
      </c>
      <c r="J140" s="3" t="s">
        <v>521</v>
      </c>
      <c r="K140" s="3" t="s">
        <v>828</v>
      </c>
      <c r="L140" s="3" t="s">
        <v>521</v>
      </c>
      <c r="M140" s="3" t="s">
        <v>1820</v>
      </c>
      <c r="N140" s="3" t="s">
        <v>670</v>
      </c>
      <c r="O140" s="5">
        <v>45310</v>
      </c>
      <c r="P140" s="6">
        <v>14600</v>
      </c>
      <c r="Q140" s="7">
        <v>0</v>
      </c>
    </row>
    <row r="141" s="1" customFormat="1" ht="13.5" spans="1:17">
      <c r="A141" s="3" t="s">
        <v>1882</v>
      </c>
      <c r="B141" s="3" t="s">
        <v>830</v>
      </c>
      <c r="C141" s="3" t="s">
        <v>1768</v>
      </c>
      <c r="D141" s="3" t="s">
        <v>660</v>
      </c>
      <c r="E141" s="3" t="s">
        <v>661</v>
      </c>
      <c r="F141" s="3" t="s">
        <v>810</v>
      </c>
      <c r="G141" s="3" t="s">
        <v>1822</v>
      </c>
      <c r="H141" s="3" t="s">
        <v>1770</v>
      </c>
      <c r="I141" s="3" t="s">
        <v>1775</v>
      </c>
      <c r="J141" s="3" t="s">
        <v>521</v>
      </c>
      <c r="K141" s="3" t="s">
        <v>831</v>
      </c>
      <c r="L141" s="3" t="s">
        <v>521</v>
      </c>
      <c r="M141" s="3" t="s">
        <v>1820</v>
      </c>
      <c r="N141" s="3" t="s">
        <v>670</v>
      </c>
      <c r="O141" s="5">
        <v>45310</v>
      </c>
      <c r="P141" s="6">
        <v>13500</v>
      </c>
      <c r="Q141" s="7">
        <v>0</v>
      </c>
    </row>
    <row r="142" s="1" customFormat="1" ht="13.5" spans="1:17">
      <c r="A142" s="3" t="s">
        <v>1883</v>
      </c>
      <c r="B142" s="3" t="s">
        <v>839</v>
      </c>
      <c r="C142" s="3" t="s">
        <v>1768</v>
      </c>
      <c r="D142" s="3" t="s">
        <v>660</v>
      </c>
      <c r="E142" s="3" t="s">
        <v>661</v>
      </c>
      <c r="F142" s="3" t="s">
        <v>841</v>
      </c>
      <c r="G142" s="3" t="s">
        <v>1822</v>
      </c>
      <c r="H142" s="3" t="s">
        <v>1770</v>
      </c>
      <c r="I142" s="3" t="s">
        <v>1775</v>
      </c>
      <c r="J142" s="3" t="s">
        <v>521</v>
      </c>
      <c r="K142" s="3" t="s">
        <v>840</v>
      </c>
      <c r="L142" s="3" t="s">
        <v>521</v>
      </c>
      <c r="M142" s="3" t="s">
        <v>1820</v>
      </c>
      <c r="N142" s="3" t="s">
        <v>670</v>
      </c>
      <c r="O142" s="5">
        <v>45310</v>
      </c>
      <c r="P142" s="6">
        <v>603.66</v>
      </c>
      <c r="Q142" s="7">
        <v>0</v>
      </c>
    </row>
    <row r="143" s="1" customFormat="1" ht="13.5" spans="1:17">
      <c r="A143" s="3" t="s">
        <v>1785</v>
      </c>
      <c r="B143" s="3" t="s">
        <v>842</v>
      </c>
      <c r="C143" s="3" t="s">
        <v>1768</v>
      </c>
      <c r="D143" s="3" t="s">
        <v>660</v>
      </c>
      <c r="E143" s="3" t="s">
        <v>661</v>
      </c>
      <c r="F143" s="3" t="s">
        <v>844</v>
      </c>
      <c r="G143" s="3" t="s">
        <v>1822</v>
      </c>
      <c r="H143" s="3" t="s">
        <v>1770</v>
      </c>
      <c r="I143" s="3" t="s">
        <v>1775</v>
      </c>
      <c r="J143" s="3" t="s">
        <v>521</v>
      </c>
      <c r="K143" s="3" t="s">
        <v>843</v>
      </c>
      <c r="L143" s="3" t="s">
        <v>521</v>
      </c>
      <c r="M143" s="3" t="s">
        <v>1820</v>
      </c>
      <c r="N143" s="3" t="s">
        <v>670</v>
      </c>
      <c r="O143" s="5">
        <v>45313</v>
      </c>
      <c r="P143" s="6">
        <v>576.24</v>
      </c>
      <c r="Q143" s="7">
        <v>0</v>
      </c>
    </row>
    <row r="144" s="1" customFormat="1" ht="13.5" spans="1:17">
      <c r="A144" s="3" t="s">
        <v>1884</v>
      </c>
      <c r="B144" s="3" t="s">
        <v>845</v>
      </c>
      <c r="C144" s="3" t="s">
        <v>1768</v>
      </c>
      <c r="D144" s="3" t="s">
        <v>660</v>
      </c>
      <c r="E144" s="3" t="s">
        <v>661</v>
      </c>
      <c r="F144" s="3" t="s">
        <v>847</v>
      </c>
      <c r="G144" s="3" t="s">
        <v>1822</v>
      </c>
      <c r="H144" s="3" t="s">
        <v>1770</v>
      </c>
      <c r="I144" s="3" t="s">
        <v>1775</v>
      </c>
      <c r="J144" s="3" t="s">
        <v>521</v>
      </c>
      <c r="K144" s="3" t="s">
        <v>846</v>
      </c>
      <c r="L144" s="3" t="s">
        <v>521</v>
      </c>
      <c r="M144" s="3" t="s">
        <v>1820</v>
      </c>
      <c r="N144" s="3" t="s">
        <v>670</v>
      </c>
      <c r="O144" s="5">
        <v>45310</v>
      </c>
      <c r="P144" s="6">
        <v>600</v>
      </c>
      <c r="Q144" s="7">
        <v>0</v>
      </c>
    </row>
    <row r="145" s="1" customFormat="1" ht="13.5" spans="1:17">
      <c r="A145" s="3" t="s">
        <v>1832</v>
      </c>
      <c r="B145" s="3" t="s">
        <v>848</v>
      </c>
      <c r="C145" s="3" t="s">
        <v>1768</v>
      </c>
      <c r="D145" s="3" t="s">
        <v>660</v>
      </c>
      <c r="E145" s="3" t="s">
        <v>661</v>
      </c>
      <c r="F145" s="3" t="s">
        <v>850</v>
      </c>
      <c r="G145" s="3" t="s">
        <v>1822</v>
      </c>
      <c r="H145" s="3" t="s">
        <v>1770</v>
      </c>
      <c r="I145" s="3" t="s">
        <v>1775</v>
      </c>
      <c r="J145" s="3" t="s">
        <v>521</v>
      </c>
      <c r="K145" s="3" t="s">
        <v>849</v>
      </c>
      <c r="L145" s="3" t="s">
        <v>521</v>
      </c>
      <c r="M145" s="3" t="s">
        <v>1820</v>
      </c>
      <c r="N145" s="3" t="s">
        <v>670</v>
      </c>
      <c r="O145" s="5">
        <v>45313</v>
      </c>
      <c r="P145" s="6">
        <v>1600</v>
      </c>
      <c r="Q145" s="7">
        <v>0</v>
      </c>
    </row>
    <row r="146" s="1" customFormat="1" ht="13.5" spans="1:17">
      <c r="A146" s="3" t="s">
        <v>1885</v>
      </c>
      <c r="B146" s="3" t="s">
        <v>851</v>
      </c>
      <c r="C146" s="3" t="s">
        <v>1768</v>
      </c>
      <c r="D146" s="3" t="s">
        <v>660</v>
      </c>
      <c r="E146" s="3" t="s">
        <v>661</v>
      </c>
      <c r="F146" s="3" t="s">
        <v>754</v>
      </c>
      <c r="G146" s="3" t="s">
        <v>1822</v>
      </c>
      <c r="H146" s="3" t="s">
        <v>1770</v>
      </c>
      <c r="I146" s="3" t="s">
        <v>1775</v>
      </c>
      <c r="J146" s="3" t="s">
        <v>521</v>
      </c>
      <c r="K146" s="3" t="s">
        <v>852</v>
      </c>
      <c r="L146" s="3" t="s">
        <v>521</v>
      </c>
      <c r="M146" s="3" t="s">
        <v>1820</v>
      </c>
      <c r="N146" s="3" t="s">
        <v>670</v>
      </c>
      <c r="O146" s="5">
        <v>45313</v>
      </c>
      <c r="P146" s="6">
        <v>1249.77</v>
      </c>
      <c r="Q146" s="7">
        <v>0</v>
      </c>
    </row>
    <row r="147" s="1" customFormat="1" ht="13.5" spans="1:17">
      <c r="A147" s="3" t="s">
        <v>1886</v>
      </c>
      <c r="B147" s="3" t="s">
        <v>853</v>
      </c>
      <c r="C147" s="3" t="s">
        <v>1768</v>
      </c>
      <c r="D147" s="3" t="s">
        <v>660</v>
      </c>
      <c r="E147" s="3" t="s">
        <v>661</v>
      </c>
      <c r="F147" s="3" t="s">
        <v>669</v>
      </c>
      <c r="G147" s="3" t="s">
        <v>1822</v>
      </c>
      <c r="H147" s="3" t="s">
        <v>1770</v>
      </c>
      <c r="I147" s="3" t="s">
        <v>1775</v>
      </c>
      <c r="J147" s="3" t="s">
        <v>521</v>
      </c>
      <c r="K147" s="3" t="s">
        <v>854</v>
      </c>
      <c r="L147" s="3" t="s">
        <v>521</v>
      </c>
      <c r="M147" s="3" t="s">
        <v>1820</v>
      </c>
      <c r="N147" s="3" t="s">
        <v>670</v>
      </c>
      <c r="O147" s="5">
        <v>45313</v>
      </c>
      <c r="P147" s="6">
        <v>2402.18</v>
      </c>
      <c r="Q147" s="7">
        <v>0</v>
      </c>
    </row>
    <row r="148" s="1" customFormat="1" ht="13.5" spans="1:17">
      <c r="A148" s="3" t="s">
        <v>1818</v>
      </c>
      <c r="B148" s="3" t="s">
        <v>855</v>
      </c>
      <c r="C148" s="3" t="s">
        <v>1768</v>
      </c>
      <c r="D148" s="3" t="s">
        <v>660</v>
      </c>
      <c r="E148" s="3" t="s">
        <v>661</v>
      </c>
      <c r="F148" s="3" t="s">
        <v>681</v>
      </c>
      <c r="G148" s="3" t="s">
        <v>1822</v>
      </c>
      <c r="H148" s="3" t="s">
        <v>1770</v>
      </c>
      <c r="I148" s="3" t="s">
        <v>1775</v>
      </c>
      <c r="J148" s="3" t="s">
        <v>521</v>
      </c>
      <c r="K148" s="3" t="s">
        <v>856</v>
      </c>
      <c r="L148" s="3" t="s">
        <v>521</v>
      </c>
      <c r="M148" s="3" t="s">
        <v>1820</v>
      </c>
      <c r="N148" s="3" t="s">
        <v>670</v>
      </c>
      <c r="O148" s="5">
        <v>45303</v>
      </c>
      <c r="P148" s="6">
        <v>3836.35</v>
      </c>
      <c r="Q148" s="7">
        <v>0</v>
      </c>
    </row>
    <row r="149" s="1" customFormat="1" ht="13.5" spans="1:17">
      <c r="A149" s="3" t="s">
        <v>1887</v>
      </c>
      <c r="B149" s="3" t="s">
        <v>857</v>
      </c>
      <c r="C149" s="3" t="s">
        <v>1768</v>
      </c>
      <c r="D149" s="3" t="s">
        <v>660</v>
      </c>
      <c r="E149" s="3" t="s">
        <v>661</v>
      </c>
      <c r="F149" s="3" t="s">
        <v>859</v>
      </c>
      <c r="G149" s="3" t="s">
        <v>1822</v>
      </c>
      <c r="H149" s="3" t="s">
        <v>1770</v>
      </c>
      <c r="I149" s="3" t="s">
        <v>1775</v>
      </c>
      <c r="J149" s="3" t="s">
        <v>521</v>
      </c>
      <c r="K149" s="3" t="s">
        <v>858</v>
      </c>
      <c r="L149" s="3" t="s">
        <v>521</v>
      </c>
      <c r="M149" s="3" t="s">
        <v>1820</v>
      </c>
      <c r="N149" s="3" t="s">
        <v>670</v>
      </c>
      <c r="O149" s="5">
        <v>45303</v>
      </c>
      <c r="P149" s="6">
        <v>4073.27</v>
      </c>
      <c r="Q149" s="7">
        <v>0</v>
      </c>
    </row>
    <row r="150" s="1" customFormat="1" ht="13.5" spans="1:17">
      <c r="A150" s="3" t="s">
        <v>1888</v>
      </c>
      <c r="B150" s="3" t="s">
        <v>860</v>
      </c>
      <c r="C150" s="3" t="s">
        <v>1768</v>
      </c>
      <c r="D150" s="3" t="s">
        <v>660</v>
      </c>
      <c r="E150" s="3" t="s">
        <v>661</v>
      </c>
      <c r="F150" s="3" t="s">
        <v>763</v>
      </c>
      <c r="G150" s="3" t="s">
        <v>1822</v>
      </c>
      <c r="H150" s="3" t="s">
        <v>1770</v>
      </c>
      <c r="I150" s="3" t="s">
        <v>1775</v>
      </c>
      <c r="J150" s="3" t="s">
        <v>521</v>
      </c>
      <c r="K150" s="3" t="s">
        <v>861</v>
      </c>
      <c r="L150" s="3" t="s">
        <v>521</v>
      </c>
      <c r="M150" s="3" t="s">
        <v>1820</v>
      </c>
      <c r="N150" s="3" t="s">
        <v>670</v>
      </c>
      <c r="O150" s="5">
        <v>45303</v>
      </c>
      <c r="P150" s="6">
        <v>4073.27</v>
      </c>
      <c r="Q150" s="7">
        <v>0</v>
      </c>
    </row>
    <row r="151" s="1" customFormat="1" ht="13.5" spans="1:17">
      <c r="A151" s="3" t="s">
        <v>1889</v>
      </c>
      <c r="B151" s="3" t="s">
        <v>862</v>
      </c>
      <c r="C151" s="3" t="s">
        <v>1768</v>
      </c>
      <c r="D151" s="3" t="s">
        <v>660</v>
      </c>
      <c r="E151" s="3" t="s">
        <v>661</v>
      </c>
      <c r="F151" s="3" t="s">
        <v>864</v>
      </c>
      <c r="G151" s="3" t="s">
        <v>1822</v>
      </c>
      <c r="H151" s="3" t="s">
        <v>1770</v>
      </c>
      <c r="I151" s="3" t="s">
        <v>1775</v>
      </c>
      <c r="J151" s="3" t="s">
        <v>521</v>
      </c>
      <c r="K151" s="3" t="s">
        <v>863</v>
      </c>
      <c r="L151" s="3" t="s">
        <v>521</v>
      </c>
      <c r="M151" s="3" t="s">
        <v>1820</v>
      </c>
      <c r="N151" s="3" t="s">
        <v>670</v>
      </c>
      <c r="O151" s="5">
        <v>45310</v>
      </c>
      <c r="P151" s="6">
        <v>1093.07</v>
      </c>
      <c r="Q151" s="7">
        <v>0</v>
      </c>
    </row>
    <row r="152" s="1" customFormat="1" ht="13.5" spans="1:17">
      <c r="A152" s="3" t="s">
        <v>1890</v>
      </c>
      <c r="B152" s="3" t="s">
        <v>865</v>
      </c>
      <c r="C152" s="3" t="s">
        <v>1768</v>
      </c>
      <c r="D152" s="3" t="s">
        <v>660</v>
      </c>
      <c r="E152" s="3" t="s">
        <v>661</v>
      </c>
      <c r="F152" s="3" t="s">
        <v>867</v>
      </c>
      <c r="G152" s="3" t="s">
        <v>1822</v>
      </c>
      <c r="H152" s="3" t="s">
        <v>1770</v>
      </c>
      <c r="I152" s="3" t="s">
        <v>1775</v>
      </c>
      <c r="J152" s="3" t="s">
        <v>521</v>
      </c>
      <c r="K152" s="3" t="s">
        <v>866</v>
      </c>
      <c r="L152" s="3" t="s">
        <v>521</v>
      </c>
      <c r="M152" s="3" t="s">
        <v>1820</v>
      </c>
      <c r="N152" s="3" t="s">
        <v>670</v>
      </c>
      <c r="O152" s="5">
        <v>45314</v>
      </c>
      <c r="P152" s="6">
        <v>4073.27</v>
      </c>
      <c r="Q152" s="7">
        <v>0</v>
      </c>
    </row>
    <row r="153" s="1" customFormat="1" ht="13.5" spans="1:17">
      <c r="A153" s="3" t="s">
        <v>1891</v>
      </c>
      <c r="B153" s="3" t="s">
        <v>868</v>
      </c>
      <c r="C153" s="3" t="s">
        <v>1768</v>
      </c>
      <c r="D153" s="3" t="s">
        <v>660</v>
      </c>
      <c r="E153" s="3" t="s">
        <v>661</v>
      </c>
      <c r="F153" s="3" t="s">
        <v>681</v>
      </c>
      <c r="G153" s="3" t="s">
        <v>1822</v>
      </c>
      <c r="H153" s="3" t="s">
        <v>1770</v>
      </c>
      <c r="I153" s="3" t="s">
        <v>1775</v>
      </c>
      <c r="J153" s="3" t="s">
        <v>521</v>
      </c>
      <c r="K153" s="3" t="s">
        <v>869</v>
      </c>
      <c r="L153" s="3" t="s">
        <v>521</v>
      </c>
      <c r="M153" s="3" t="s">
        <v>1820</v>
      </c>
      <c r="N153" s="3" t="s">
        <v>670</v>
      </c>
      <c r="O153" s="5">
        <v>45323</v>
      </c>
      <c r="P153" s="6">
        <v>771.11</v>
      </c>
      <c r="Q153" s="7">
        <v>0</v>
      </c>
    </row>
    <row r="154" s="1" customFormat="1" ht="13.5" spans="1:17">
      <c r="A154" s="3" t="s">
        <v>1892</v>
      </c>
      <c r="B154" s="3" t="s">
        <v>870</v>
      </c>
      <c r="C154" s="3" t="s">
        <v>1768</v>
      </c>
      <c r="D154" s="3" t="s">
        <v>660</v>
      </c>
      <c r="E154" s="3" t="s">
        <v>661</v>
      </c>
      <c r="F154" s="3" t="s">
        <v>763</v>
      </c>
      <c r="G154" s="3" t="s">
        <v>1822</v>
      </c>
      <c r="H154" s="3" t="s">
        <v>1770</v>
      </c>
      <c r="I154" s="3" t="s">
        <v>1775</v>
      </c>
      <c r="J154" s="3" t="s">
        <v>521</v>
      </c>
      <c r="K154" s="3" t="s">
        <v>871</v>
      </c>
      <c r="L154" s="3" t="s">
        <v>521</v>
      </c>
      <c r="M154" s="3" t="s">
        <v>1820</v>
      </c>
      <c r="N154" s="3" t="s">
        <v>670</v>
      </c>
      <c r="O154" s="5">
        <v>45323</v>
      </c>
      <c r="P154" s="6">
        <v>1168.32</v>
      </c>
      <c r="Q154" s="7">
        <v>0</v>
      </c>
    </row>
    <row r="155" s="1" customFormat="1" ht="13.5" spans="1:17">
      <c r="A155" s="3" t="s">
        <v>1893</v>
      </c>
      <c r="B155" s="3" t="s">
        <v>872</v>
      </c>
      <c r="C155" s="3" t="s">
        <v>1768</v>
      </c>
      <c r="D155" s="3" t="s">
        <v>660</v>
      </c>
      <c r="E155" s="3" t="s">
        <v>661</v>
      </c>
      <c r="F155" s="3" t="s">
        <v>669</v>
      </c>
      <c r="G155" s="3" t="s">
        <v>1822</v>
      </c>
      <c r="H155" s="3" t="s">
        <v>1770</v>
      </c>
      <c r="I155" s="3" t="s">
        <v>1775</v>
      </c>
      <c r="J155" s="3" t="s">
        <v>521</v>
      </c>
      <c r="K155" s="3" t="s">
        <v>873</v>
      </c>
      <c r="L155" s="3" t="s">
        <v>521</v>
      </c>
      <c r="M155" s="3" t="s">
        <v>1820</v>
      </c>
      <c r="N155" s="3" t="s">
        <v>670</v>
      </c>
      <c r="O155" s="5">
        <v>45323</v>
      </c>
      <c r="P155" s="6">
        <v>750.83</v>
      </c>
      <c r="Q155" s="7">
        <v>0</v>
      </c>
    </row>
    <row r="156" s="1" customFormat="1" ht="13.5" spans="1:17">
      <c r="A156" s="3" t="s">
        <v>1835</v>
      </c>
      <c r="B156" s="3" t="s">
        <v>874</v>
      </c>
      <c r="C156" s="3" t="s">
        <v>1768</v>
      </c>
      <c r="D156" s="3" t="s">
        <v>660</v>
      </c>
      <c r="E156" s="3" t="s">
        <v>661</v>
      </c>
      <c r="F156" s="3" t="s">
        <v>876</v>
      </c>
      <c r="G156" s="3" t="s">
        <v>1822</v>
      </c>
      <c r="H156" s="3" t="s">
        <v>1770</v>
      </c>
      <c r="I156" s="3" t="s">
        <v>1775</v>
      </c>
      <c r="J156" s="3" t="s">
        <v>521</v>
      </c>
      <c r="K156" s="3" t="s">
        <v>875</v>
      </c>
      <c r="L156" s="3" t="s">
        <v>521</v>
      </c>
      <c r="M156" s="3" t="s">
        <v>1820</v>
      </c>
      <c r="N156" s="3" t="s">
        <v>670</v>
      </c>
      <c r="O156" s="5">
        <v>45340</v>
      </c>
      <c r="P156" s="6">
        <v>721.26</v>
      </c>
      <c r="Q156" s="7">
        <v>0</v>
      </c>
    </row>
    <row r="157" s="1" customFormat="1" ht="13.5" spans="1:17">
      <c r="A157" s="3" t="s">
        <v>1894</v>
      </c>
      <c r="B157" s="3" t="s">
        <v>877</v>
      </c>
      <c r="C157" s="3" t="s">
        <v>1768</v>
      </c>
      <c r="D157" s="3" t="s">
        <v>660</v>
      </c>
      <c r="E157" s="3" t="s">
        <v>661</v>
      </c>
      <c r="F157" s="3" t="s">
        <v>693</v>
      </c>
      <c r="G157" s="3" t="s">
        <v>1822</v>
      </c>
      <c r="H157" s="3" t="s">
        <v>1770</v>
      </c>
      <c r="I157" s="3" t="s">
        <v>1775</v>
      </c>
      <c r="J157" s="3" t="s">
        <v>521</v>
      </c>
      <c r="K157" s="3" t="s">
        <v>878</v>
      </c>
      <c r="L157" s="3" t="s">
        <v>521</v>
      </c>
      <c r="M157" s="3" t="s">
        <v>1820</v>
      </c>
      <c r="N157" s="3" t="s">
        <v>670</v>
      </c>
      <c r="O157" s="5">
        <v>45323</v>
      </c>
      <c r="P157" s="6">
        <v>2036.63</v>
      </c>
      <c r="Q157" s="7">
        <v>0</v>
      </c>
    </row>
    <row r="158" s="1" customFormat="1" ht="13.5" spans="1:17">
      <c r="A158" s="3" t="s">
        <v>1895</v>
      </c>
      <c r="B158" s="3" t="s">
        <v>881</v>
      </c>
      <c r="C158" s="3" t="s">
        <v>1768</v>
      </c>
      <c r="D158" s="3" t="s">
        <v>660</v>
      </c>
      <c r="E158" s="3" t="s">
        <v>661</v>
      </c>
      <c r="F158" s="3" t="s">
        <v>883</v>
      </c>
      <c r="G158" s="3" t="s">
        <v>1822</v>
      </c>
      <c r="H158" s="3" t="s">
        <v>1770</v>
      </c>
      <c r="I158" s="3" t="s">
        <v>1775</v>
      </c>
      <c r="J158" s="3" t="s">
        <v>521</v>
      </c>
      <c r="K158" s="3" t="s">
        <v>882</v>
      </c>
      <c r="L158" s="3" t="s">
        <v>521</v>
      </c>
      <c r="M158" s="3" t="s">
        <v>1820</v>
      </c>
      <c r="N158" s="3" t="s">
        <v>670</v>
      </c>
      <c r="O158" s="5">
        <v>45356</v>
      </c>
      <c r="P158" s="6">
        <v>6900</v>
      </c>
      <c r="Q158" s="7">
        <v>0</v>
      </c>
    </row>
    <row r="159" s="1" customFormat="1" ht="13.5" spans="1:17">
      <c r="A159" s="3" t="s">
        <v>1896</v>
      </c>
      <c r="B159" s="3" t="s">
        <v>884</v>
      </c>
      <c r="C159" s="3" t="s">
        <v>1768</v>
      </c>
      <c r="D159" s="3" t="s">
        <v>660</v>
      </c>
      <c r="E159" s="3" t="s">
        <v>661</v>
      </c>
      <c r="F159" s="3" t="s">
        <v>669</v>
      </c>
      <c r="G159" s="3" t="s">
        <v>1822</v>
      </c>
      <c r="H159" s="3" t="s">
        <v>1770</v>
      </c>
      <c r="I159" s="3" t="s">
        <v>1775</v>
      </c>
      <c r="J159" s="3" t="s">
        <v>521</v>
      </c>
      <c r="K159" s="3" t="s">
        <v>885</v>
      </c>
      <c r="L159" s="3" t="s">
        <v>521</v>
      </c>
      <c r="M159" s="3" t="s">
        <v>1820</v>
      </c>
      <c r="N159" s="3" t="s">
        <v>670</v>
      </c>
      <c r="O159" s="5">
        <v>45356</v>
      </c>
      <c r="P159" s="6">
        <v>865.31</v>
      </c>
      <c r="Q159" s="7">
        <v>0</v>
      </c>
    </row>
    <row r="160" s="1" customFormat="1" ht="13.5" spans="1:17">
      <c r="A160" s="3" t="s">
        <v>1897</v>
      </c>
      <c r="B160" s="3" t="s">
        <v>889</v>
      </c>
      <c r="C160" s="3" t="s">
        <v>1768</v>
      </c>
      <c r="D160" s="3" t="s">
        <v>660</v>
      </c>
      <c r="E160" s="3" t="s">
        <v>661</v>
      </c>
      <c r="F160" s="3" t="s">
        <v>826</v>
      </c>
      <c r="G160" s="3" t="s">
        <v>1822</v>
      </c>
      <c r="H160" s="3" t="s">
        <v>1770</v>
      </c>
      <c r="I160" s="3" t="s">
        <v>1775</v>
      </c>
      <c r="J160" s="3" t="s">
        <v>521</v>
      </c>
      <c r="K160" s="3" t="s">
        <v>890</v>
      </c>
      <c r="L160" s="3" t="s">
        <v>521</v>
      </c>
      <c r="M160" s="3" t="s">
        <v>1820</v>
      </c>
      <c r="N160" s="3" t="s">
        <v>670</v>
      </c>
      <c r="O160" s="5">
        <v>45356</v>
      </c>
      <c r="P160" s="6">
        <v>6091.72</v>
      </c>
      <c r="Q160" s="7">
        <v>0</v>
      </c>
    </row>
    <row r="161" s="1" customFormat="1" ht="13.5" spans="1:17">
      <c r="A161" s="3" t="s">
        <v>1898</v>
      </c>
      <c r="B161" s="3" t="s">
        <v>886</v>
      </c>
      <c r="C161" s="3" t="s">
        <v>1768</v>
      </c>
      <c r="D161" s="3" t="s">
        <v>660</v>
      </c>
      <c r="E161" s="3" t="s">
        <v>661</v>
      </c>
      <c r="F161" s="3" t="s">
        <v>888</v>
      </c>
      <c r="G161" s="3" t="s">
        <v>1822</v>
      </c>
      <c r="H161" s="3" t="s">
        <v>1770</v>
      </c>
      <c r="I161" s="3" t="s">
        <v>1775</v>
      </c>
      <c r="J161" s="3" t="s">
        <v>521</v>
      </c>
      <c r="K161" s="3" t="s">
        <v>887</v>
      </c>
      <c r="L161" s="3" t="s">
        <v>521</v>
      </c>
      <c r="M161" s="3" t="s">
        <v>1820</v>
      </c>
      <c r="N161" s="3" t="s">
        <v>670</v>
      </c>
      <c r="O161" s="5">
        <v>45356</v>
      </c>
      <c r="P161" s="6">
        <v>1561.82</v>
      </c>
      <c r="Q161" s="7">
        <v>0</v>
      </c>
    </row>
    <row r="162" s="1" customFormat="1" ht="13.5" spans="1:17">
      <c r="A162" s="3" t="s">
        <v>1899</v>
      </c>
      <c r="B162" s="3" t="s">
        <v>900</v>
      </c>
      <c r="C162" s="3" t="s">
        <v>1768</v>
      </c>
      <c r="D162" s="3" t="s">
        <v>660</v>
      </c>
      <c r="E162" s="3" t="s">
        <v>661</v>
      </c>
      <c r="F162" s="3" t="s">
        <v>693</v>
      </c>
      <c r="G162" s="3" t="s">
        <v>1822</v>
      </c>
      <c r="H162" s="3" t="s">
        <v>1770</v>
      </c>
      <c r="I162" s="3" t="s">
        <v>1775</v>
      </c>
      <c r="J162" s="3" t="s">
        <v>521</v>
      </c>
      <c r="K162" s="3" t="s">
        <v>901</v>
      </c>
      <c r="L162" s="3" t="s">
        <v>521</v>
      </c>
      <c r="M162" s="3" t="s">
        <v>1820</v>
      </c>
      <c r="N162" s="3" t="s">
        <v>670</v>
      </c>
      <c r="O162" s="5">
        <v>45366</v>
      </c>
      <c r="P162" s="6">
        <v>1997.03</v>
      </c>
      <c r="Q162" s="7">
        <v>0</v>
      </c>
    </row>
    <row r="163" s="1" customFormat="1" ht="13.5" spans="1:17">
      <c r="A163" s="3" t="s">
        <v>1900</v>
      </c>
      <c r="B163" s="3" t="s">
        <v>902</v>
      </c>
      <c r="C163" s="3" t="s">
        <v>1768</v>
      </c>
      <c r="D163" s="3" t="s">
        <v>660</v>
      </c>
      <c r="E163" s="3" t="s">
        <v>661</v>
      </c>
      <c r="F163" s="3" t="s">
        <v>693</v>
      </c>
      <c r="G163" s="3" t="s">
        <v>1822</v>
      </c>
      <c r="H163" s="3" t="s">
        <v>1770</v>
      </c>
      <c r="I163" s="3" t="s">
        <v>1775</v>
      </c>
      <c r="J163" s="3" t="s">
        <v>521</v>
      </c>
      <c r="K163" s="3" t="s">
        <v>903</v>
      </c>
      <c r="L163" s="3" t="s">
        <v>521</v>
      </c>
      <c r="M163" s="3" t="s">
        <v>1820</v>
      </c>
      <c r="N163" s="3" t="s">
        <v>670</v>
      </c>
      <c r="O163" s="5">
        <v>45366</v>
      </c>
      <c r="P163" s="6">
        <v>1997.03</v>
      </c>
      <c r="Q163" s="7">
        <v>0</v>
      </c>
    </row>
    <row r="164" s="1" customFormat="1" ht="13.5" spans="1:17">
      <c r="A164" s="3" t="s">
        <v>1901</v>
      </c>
      <c r="B164" s="3" t="s">
        <v>898</v>
      </c>
      <c r="C164" s="3" t="s">
        <v>1768</v>
      </c>
      <c r="D164" s="3" t="s">
        <v>660</v>
      </c>
      <c r="E164" s="3" t="s">
        <v>661</v>
      </c>
      <c r="F164" s="3" t="s">
        <v>754</v>
      </c>
      <c r="G164" s="3" t="s">
        <v>1822</v>
      </c>
      <c r="H164" s="3" t="s">
        <v>1770</v>
      </c>
      <c r="I164" s="3" t="s">
        <v>1775</v>
      </c>
      <c r="J164" s="3" t="s">
        <v>521</v>
      </c>
      <c r="K164" s="3" t="s">
        <v>899</v>
      </c>
      <c r="L164" s="3" t="s">
        <v>521</v>
      </c>
      <c r="M164" s="3" t="s">
        <v>1820</v>
      </c>
      <c r="N164" s="3" t="s">
        <v>670</v>
      </c>
      <c r="O164" s="5">
        <v>45366</v>
      </c>
      <c r="P164" s="6">
        <v>1434.87</v>
      </c>
      <c r="Q164" s="7">
        <v>0</v>
      </c>
    </row>
    <row r="165" s="1" customFormat="1" ht="13.5" spans="1:17">
      <c r="A165" s="3" t="s">
        <v>1801</v>
      </c>
      <c r="B165" s="3" t="s">
        <v>904</v>
      </c>
      <c r="C165" s="3" t="s">
        <v>1768</v>
      </c>
      <c r="D165" s="3" t="s">
        <v>660</v>
      </c>
      <c r="E165" s="3" t="s">
        <v>661</v>
      </c>
      <c r="F165" s="3" t="s">
        <v>681</v>
      </c>
      <c r="G165" s="3" t="s">
        <v>1822</v>
      </c>
      <c r="H165" s="3" t="s">
        <v>1770</v>
      </c>
      <c r="I165" s="3" t="s">
        <v>1775</v>
      </c>
      <c r="J165" s="3" t="s">
        <v>521</v>
      </c>
      <c r="K165" s="3" t="s">
        <v>905</v>
      </c>
      <c r="L165" s="3" t="s">
        <v>521</v>
      </c>
      <c r="M165" s="3" t="s">
        <v>1820</v>
      </c>
      <c r="N165" s="3" t="s">
        <v>670</v>
      </c>
      <c r="O165" s="5">
        <v>45363</v>
      </c>
      <c r="P165" s="6">
        <v>1266.2</v>
      </c>
      <c r="Q165" s="7">
        <v>0</v>
      </c>
    </row>
    <row r="166" s="1" customFormat="1" ht="13.5" spans="1:17">
      <c r="A166" s="3" t="s">
        <v>1902</v>
      </c>
      <c r="B166" s="3" t="s">
        <v>906</v>
      </c>
      <c r="C166" s="3" t="s">
        <v>1768</v>
      </c>
      <c r="D166" s="3" t="s">
        <v>660</v>
      </c>
      <c r="E166" s="3" t="s">
        <v>661</v>
      </c>
      <c r="F166" s="3" t="s">
        <v>693</v>
      </c>
      <c r="G166" s="3" t="s">
        <v>1822</v>
      </c>
      <c r="H166" s="3" t="s">
        <v>1770</v>
      </c>
      <c r="I166" s="3" t="s">
        <v>1775</v>
      </c>
      <c r="J166" s="3" t="s">
        <v>521</v>
      </c>
      <c r="K166" s="3" t="s">
        <v>907</v>
      </c>
      <c r="L166" s="3" t="s">
        <v>521</v>
      </c>
      <c r="M166" s="3" t="s">
        <v>1820</v>
      </c>
      <c r="N166" s="3" t="s">
        <v>670</v>
      </c>
      <c r="O166" s="5">
        <v>45364</v>
      </c>
      <c r="P166" s="6">
        <v>1048.51</v>
      </c>
      <c r="Q166" s="7">
        <v>0</v>
      </c>
    </row>
    <row r="167" s="1" customFormat="1" ht="13.5" spans="1:17">
      <c r="A167" s="3" t="s">
        <v>1839</v>
      </c>
      <c r="B167" s="3" t="s">
        <v>908</v>
      </c>
      <c r="C167" s="3" t="s">
        <v>1768</v>
      </c>
      <c r="D167" s="3" t="s">
        <v>660</v>
      </c>
      <c r="E167" s="3" t="s">
        <v>661</v>
      </c>
      <c r="F167" s="3" t="s">
        <v>876</v>
      </c>
      <c r="G167" s="3" t="s">
        <v>1822</v>
      </c>
      <c r="H167" s="3" t="s">
        <v>1770</v>
      </c>
      <c r="I167" s="3" t="s">
        <v>1775</v>
      </c>
      <c r="J167" s="3" t="s">
        <v>521</v>
      </c>
      <c r="K167" s="3" t="s">
        <v>909</v>
      </c>
      <c r="L167" s="3" t="s">
        <v>521</v>
      </c>
      <c r="M167" s="3" t="s">
        <v>1820</v>
      </c>
      <c r="N167" s="3" t="s">
        <v>670</v>
      </c>
      <c r="O167" s="5">
        <v>45366</v>
      </c>
      <c r="P167" s="6">
        <v>774.4</v>
      </c>
      <c r="Q167" s="7">
        <v>0</v>
      </c>
    </row>
    <row r="168" s="1" customFormat="1" ht="13.5" spans="1:17">
      <c r="A168" s="3" t="s">
        <v>1903</v>
      </c>
      <c r="B168" s="3" t="s">
        <v>910</v>
      </c>
      <c r="C168" s="3" t="s">
        <v>1768</v>
      </c>
      <c r="D168" s="3" t="s">
        <v>660</v>
      </c>
      <c r="E168" s="3" t="s">
        <v>661</v>
      </c>
      <c r="F168" s="3" t="s">
        <v>731</v>
      </c>
      <c r="G168" s="3" t="s">
        <v>1822</v>
      </c>
      <c r="H168" s="3" t="s">
        <v>1770</v>
      </c>
      <c r="I168" s="3" t="s">
        <v>1775</v>
      </c>
      <c r="J168" s="3" t="s">
        <v>521</v>
      </c>
      <c r="K168" s="3" t="s">
        <v>911</v>
      </c>
      <c r="L168" s="3" t="s">
        <v>521</v>
      </c>
      <c r="M168" s="3" t="s">
        <v>1820</v>
      </c>
      <c r="N168" s="3" t="s">
        <v>670</v>
      </c>
      <c r="O168" s="5">
        <v>45376</v>
      </c>
      <c r="P168" s="6">
        <v>611.26</v>
      </c>
      <c r="Q168" s="7">
        <v>0</v>
      </c>
    </row>
    <row r="169" s="1" customFormat="1" ht="13.5" spans="1:17">
      <c r="A169" s="3" t="s">
        <v>1904</v>
      </c>
      <c r="B169" s="3" t="s">
        <v>912</v>
      </c>
      <c r="C169" s="3" t="s">
        <v>1768</v>
      </c>
      <c r="D169" s="3" t="s">
        <v>660</v>
      </c>
      <c r="E169" s="3" t="s">
        <v>661</v>
      </c>
      <c r="F169" s="3" t="s">
        <v>731</v>
      </c>
      <c r="G169" s="3" t="s">
        <v>1822</v>
      </c>
      <c r="H169" s="3" t="s">
        <v>1770</v>
      </c>
      <c r="I169" s="3" t="s">
        <v>1775</v>
      </c>
      <c r="J169" s="3" t="s">
        <v>521</v>
      </c>
      <c r="K169" s="3" t="s">
        <v>913</v>
      </c>
      <c r="L169" s="3" t="s">
        <v>521</v>
      </c>
      <c r="M169" s="3" t="s">
        <v>1820</v>
      </c>
      <c r="N169" s="3" t="s">
        <v>670</v>
      </c>
      <c r="O169" s="5">
        <v>45371</v>
      </c>
      <c r="P169" s="6">
        <v>556.44</v>
      </c>
      <c r="Q169" s="7">
        <v>0</v>
      </c>
    </row>
    <row r="170" s="1" customFormat="1" ht="13.5" spans="1:17">
      <c r="A170" s="3" t="s">
        <v>1905</v>
      </c>
      <c r="B170" s="3" t="s">
        <v>914</v>
      </c>
      <c r="C170" s="3" t="s">
        <v>1768</v>
      </c>
      <c r="D170" s="3" t="s">
        <v>660</v>
      </c>
      <c r="E170" s="3" t="s">
        <v>661</v>
      </c>
      <c r="F170" s="3" t="s">
        <v>693</v>
      </c>
      <c r="G170" s="3" t="s">
        <v>1822</v>
      </c>
      <c r="H170" s="3" t="s">
        <v>1770</v>
      </c>
      <c r="I170" s="3" t="s">
        <v>1775</v>
      </c>
      <c r="J170" s="3" t="s">
        <v>521</v>
      </c>
      <c r="K170" s="3" t="s">
        <v>915</v>
      </c>
      <c r="L170" s="3" t="s">
        <v>521</v>
      </c>
      <c r="M170" s="3" t="s">
        <v>1820</v>
      </c>
      <c r="N170" s="3" t="s">
        <v>670</v>
      </c>
      <c r="O170" s="5">
        <v>45366</v>
      </c>
      <c r="P170" s="6">
        <v>574.26</v>
      </c>
      <c r="Q170" s="7">
        <v>0</v>
      </c>
    </row>
    <row r="171" s="1" customFormat="1" ht="13.5" spans="1:17">
      <c r="A171" s="3" t="s">
        <v>1906</v>
      </c>
      <c r="B171" s="3" t="s">
        <v>916</v>
      </c>
      <c r="C171" s="3" t="s">
        <v>1768</v>
      </c>
      <c r="D171" s="3" t="s">
        <v>660</v>
      </c>
      <c r="E171" s="3" t="s">
        <v>661</v>
      </c>
      <c r="F171" s="3" t="s">
        <v>669</v>
      </c>
      <c r="G171" s="3" t="s">
        <v>1822</v>
      </c>
      <c r="H171" s="3" t="s">
        <v>1770</v>
      </c>
      <c r="I171" s="3" t="s">
        <v>1775</v>
      </c>
      <c r="J171" s="3" t="s">
        <v>521</v>
      </c>
      <c r="K171" s="3" t="s">
        <v>917</v>
      </c>
      <c r="L171" s="3" t="s">
        <v>521</v>
      </c>
      <c r="M171" s="3" t="s">
        <v>1820</v>
      </c>
      <c r="N171" s="3" t="s">
        <v>670</v>
      </c>
      <c r="O171" s="5">
        <v>45371</v>
      </c>
      <c r="P171" s="6">
        <v>342.25</v>
      </c>
      <c r="Q171" s="7">
        <v>0</v>
      </c>
    </row>
    <row r="172" s="1" customFormat="1" ht="13.5" spans="1:17">
      <c r="A172" s="3" t="s">
        <v>1865</v>
      </c>
      <c r="B172" s="3" t="s">
        <v>936</v>
      </c>
      <c r="C172" s="3" t="s">
        <v>1768</v>
      </c>
      <c r="D172" s="3" t="s">
        <v>660</v>
      </c>
      <c r="E172" s="3" t="s">
        <v>661</v>
      </c>
      <c r="F172" s="3" t="s">
        <v>669</v>
      </c>
      <c r="G172" s="3" t="s">
        <v>1822</v>
      </c>
      <c r="H172" s="3" t="s">
        <v>1770</v>
      </c>
      <c r="I172" s="3" t="s">
        <v>1775</v>
      </c>
      <c r="J172" s="3" t="s">
        <v>521</v>
      </c>
      <c r="K172" s="3" t="s">
        <v>937</v>
      </c>
      <c r="L172" s="3" t="s">
        <v>521</v>
      </c>
      <c r="M172" s="3" t="s">
        <v>1820</v>
      </c>
      <c r="N172" s="3" t="s">
        <v>670</v>
      </c>
      <c r="O172" s="5">
        <v>45394</v>
      </c>
      <c r="P172" s="6">
        <v>2035.28</v>
      </c>
      <c r="Q172" s="7">
        <v>0</v>
      </c>
    </row>
    <row r="173" s="1" customFormat="1" ht="13.5" spans="1:17">
      <c r="A173" s="3" t="s">
        <v>1876</v>
      </c>
      <c r="B173" s="3" t="s">
        <v>938</v>
      </c>
      <c r="C173" s="3" t="s">
        <v>1768</v>
      </c>
      <c r="D173" s="3" t="s">
        <v>660</v>
      </c>
      <c r="E173" s="3" t="s">
        <v>661</v>
      </c>
      <c r="F173" s="3" t="s">
        <v>940</v>
      </c>
      <c r="G173" s="3" t="s">
        <v>1822</v>
      </c>
      <c r="H173" s="3" t="s">
        <v>1770</v>
      </c>
      <c r="I173" s="3" t="s">
        <v>1775</v>
      </c>
      <c r="J173" s="3" t="s">
        <v>521</v>
      </c>
      <c r="K173" s="3" t="s">
        <v>939</v>
      </c>
      <c r="L173" s="3" t="s">
        <v>521</v>
      </c>
      <c r="M173" s="3" t="s">
        <v>1820</v>
      </c>
      <c r="N173" s="3" t="s">
        <v>670</v>
      </c>
      <c r="O173" s="5">
        <v>45394</v>
      </c>
      <c r="P173" s="6">
        <v>3044.15</v>
      </c>
      <c r="Q173" s="7">
        <v>0</v>
      </c>
    </row>
    <row r="174" s="1" customFormat="1" ht="13.5" spans="1:17">
      <c r="A174" s="3" t="s">
        <v>1805</v>
      </c>
      <c r="B174" s="3" t="s">
        <v>918</v>
      </c>
      <c r="C174" s="3" t="s">
        <v>1768</v>
      </c>
      <c r="D174" s="3" t="s">
        <v>660</v>
      </c>
      <c r="E174" s="3" t="s">
        <v>661</v>
      </c>
      <c r="F174" s="3" t="s">
        <v>693</v>
      </c>
      <c r="G174" s="3" t="s">
        <v>1822</v>
      </c>
      <c r="H174" s="3" t="s">
        <v>1770</v>
      </c>
      <c r="I174" s="3" t="s">
        <v>1775</v>
      </c>
      <c r="J174" s="3" t="s">
        <v>521</v>
      </c>
      <c r="K174" s="3" t="s">
        <v>919</v>
      </c>
      <c r="L174" s="3" t="s">
        <v>521</v>
      </c>
      <c r="M174" s="3" t="s">
        <v>1820</v>
      </c>
      <c r="N174" s="3" t="s">
        <v>670</v>
      </c>
      <c r="O174" s="5">
        <v>45401</v>
      </c>
      <c r="P174" s="6">
        <v>1997.03</v>
      </c>
      <c r="Q174" s="7">
        <v>0</v>
      </c>
    </row>
    <row r="175" s="1" customFormat="1" ht="13.5" spans="1:17">
      <c r="A175" s="3" t="s">
        <v>1860</v>
      </c>
      <c r="B175" s="3" t="s">
        <v>920</v>
      </c>
      <c r="C175" s="3" t="s">
        <v>1768</v>
      </c>
      <c r="D175" s="3" t="s">
        <v>660</v>
      </c>
      <c r="E175" s="3" t="s">
        <v>661</v>
      </c>
      <c r="F175" s="3" t="s">
        <v>922</v>
      </c>
      <c r="G175" s="3" t="s">
        <v>1822</v>
      </c>
      <c r="H175" s="3" t="s">
        <v>1770</v>
      </c>
      <c r="I175" s="3" t="s">
        <v>1775</v>
      </c>
      <c r="J175" s="3" t="s">
        <v>521</v>
      </c>
      <c r="K175" s="3" t="s">
        <v>921</v>
      </c>
      <c r="L175" s="3" t="s">
        <v>521</v>
      </c>
      <c r="M175" s="3" t="s">
        <v>1820</v>
      </c>
      <c r="N175" s="3" t="s">
        <v>670</v>
      </c>
      <c r="O175" s="5">
        <v>45385</v>
      </c>
      <c r="P175" s="6">
        <v>300</v>
      </c>
      <c r="Q175" s="7">
        <v>0</v>
      </c>
    </row>
    <row r="176" s="1" customFormat="1" ht="13.5" spans="1:17">
      <c r="A176" s="3" t="s">
        <v>1907</v>
      </c>
      <c r="B176" s="3" t="s">
        <v>923</v>
      </c>
      <c r="C176" s="3" t="s">
        <v>1768</v>
      </c>
      <c r="D176" s="3" t="s">
        <v>660</v>
      </c>
      <c r="E176" s="3" t="s">
        <v>661</v>
      </c>
      <c r="F176" s="3" t="s">
        <v>693</v>
      </c>
      <c r="G176" s="3" t="s">
        <v>1822</v>
      </c>
      <c r="H176" s="3" t="s">
        <v>1770</v>
      </c>
      <c r="I176" s="3" t="s">
        <v>1775</v>
      </c>
      <c r="J176" s="3" t="s">
        <v>521</v>
      </c>
      <c r="K176" s="3" t="s">
        <v>924</v>
      </c>
      <c r="L176" s="3" t="s">
        <v>521</v>
      </c>
      <c r="M176" s="3" t="s">
        <v>1820</v>
      </c>
      <c r="N176" s="3" t="s">
        <v>670</v>
      </c>
      <c r="O176" s="5">
        <v>45385</v>
      </c>
      <c r="P176" s="6">
        <v>1422.77</v>
      </c>
      <c r="Q176" s="7">
        <v>0</v>
      </c>
    </row>
    <row r="177" s="1" customFormat="1" ht="13.5" spans="1:17">
      <c r="A177" s="3" t="s">
        <v>1908</v>
      </c>
      <c r="B177" s="3" t="s">
        <v>925</v>
      </c>
      <c r="C177" s="3" t="s">
        <v>1768</v>
      </c>
      <c r="D177" s="3" t="s">
        <v>660</v>
      </c>
      <c r="E177" s="3" t="s">
        <v>661</v>
      </c>
      <c r="F177" s="3" t="s">
        <v>754</v>
      </c>
      <c r="G177" s="3" t="s">
        <v>1822</v>
      </c>
      <c r="H177" s="3" t="s">
        <v>1770</v>
      </c>
      <c r="I177" s="3" t="s">
        <v>1775</v>
      </c>
      <c r="J177" s="3" t="s">
        <v>521</v>
      </c>
      <c r="K177" s="3" t="s">
        <v>926</v>
      </c>
      <c r="L177" s="3" t="s">
        <v>521</v>
      </c>
      <c r="M177" s="3" t="s">
        <v>1820</v>
      </c>
      <c r="N177" s="3" t="s">
        <v>670</v>
      </c>
      <c r="O177" s="5">
        <v>45385</v>
      </c>
      <c r="P177" s="6">
        <v>10272.17</v>
      </c>
      <c r="Q177" s="7">
        <v>0</v>
      </c>
    </row>
    <row r="178" s="1" customFormat="1" ht="13.5" spans="1:17">
      <c r="A178" s="3" t="s">
        <v>1909</v>
      </c>
      <c r="B178" s="3" t="s">
        <v>927</v>
      </c>
      <c r="C178" s="3" t="s">
        <v>1768</v>
      </c>
      <c r="D178" s="3" t="s">
        <v>660</v>
      </c>
      <c r="E178" s="3" t="s">
        <v>661</v>
      </c>
      <c r="F178" s="3" t="s">
        <v>763</v>
      </c>
      <c r="G178" s="3" t="s">
        <v>1822</v>
      </c>
      <c r="H178" s="3" t="s">
        <v>1770</v>
      </c>
      <c r="I178" s="3" t="s">
        <v>1775</v>
      </c>
      <c r="J178" s="3" t="s">
        <v>521</v>
      </c>
      <c r="K178" s="3" t="s">
        <v>928</v>
      </c>
      <c r="L178" s="3" t="s">
        <v>521</v>
      </c>
      <c r="M178" s="3" t="s">
        <v>1820</v>
      </c>
      <c r="N178" s="3" t="s">
        <v>670</v>
      </c>
      <c r="O178" s="5">
        <v>45385</v>
      </c>
      <c r="P178" s="6">
        <v>200</v>
      </c>
      <c r="Q178" s="7">
        <v>0</v>
      </c>
    </row>
    <row r="179" s="1" customFormat="1" ht="13.5" spans="1:17">
      <c r="A179" s="3" t="s">
        <v>1910</v>
      </c>
      <c r="B179" s="3" t="s">
        <v>941</v>
      </c>
      <c r="C179" s="3" t="s">
        <v>1768</v>
      </c>
      <c r="D179" s="3" t="s">
        <v>660</v>
      </c>
      <c r="E179" s="3" t="s">
        <v>661</v>
      </c>
      <c r="F179" s="3" t="s">
        <v>943</v>
      </c>
      <c r="G179" s="3" t="s">
        <v>1822</v>
      </c>
      <c r="H179" s="3" t="s">
        <v>1770</v>
      </c>
      <c r="I179" s="3" t="s">
        <v>1775</v>
      </c>
      <c r="J179" s="3" t="s">
        <v>521</v>
      </c>
      <c r="K179" s="3" t="s">
        <v>942</v>
      </c>
      <c r="L179" s="3" t="s">
        <v>521</v>
      </c>
      <c r="M179" s="3" t="s">
        <v>1820</v>
      </c>
      <c r="N179" s="3" t="s">
        <v>670</v>
      </c>
      <c r="O179" s="5">
        <v>45423</v>
      </c>
      <c r="P179" s="6">
        <v>500</v>
      </c>
      <c r="Q179" s="7">
        <v>0</v>
      </c>
    </row>
    <row r="180" s="1" customFormat="1" ht="13.5" spans="1:17">
      <c r="A180" s="3" t="s">
        <v>1911</v>
      </c>
      <c r="B180" s="3" t="s">
        <v>931</v>
      </c>
      <c r="C180" s="3" t="s">
        <v>1768</v>
      </c>
      <c r="D180" s="3" t="s">
        <v>660</v>
      </c>
      <c r="E180" s="3" t="s">
        <v>661</v>
      </c>
      <c r="F180" s="3" t="s">
        <v>933</v>
      </c>
      <c r="G180" s="3" t="s">
        <v>1822</v>
      </c>
      <c r="H180" s="3" t="s">
        <v>1770</v>
      </c>
      <c r="I180" s="3" t="s">
        <v>1775</v>
      </c>
      <c r="J180" s="3" t="s">
        <v>521</v>
      </c>
      <c r="K180" s="3" t="s">
        <v>932</v>
      </c>
      <c r="L180" s="3" t="s">
        <v>521</v>
      </c>
      <c r="M180" s="3" t="s">
        <v>1820</v>
      </c>
      <c r="N180" s="3" t="s">
        <v>670</v>
      </c>
      <c r="O180" s="5">
        <v>45423</v>
      </c>
      <c r="P180" s="6">
        <v>1055.85</v>
      </c>
      <c r="Q180" s="7">
        <v>0</v>
      </c>
    </row>
    <row r="181" s="1" customFormat="1" ht="13.5" spans="1:17">
      <c r="A181" s="3" t="s">
        <v>1912</v>
      </c>
      <c r="B181" s="3" t="s">
        <v>944</v>
      </c>
      <c r="C181" s="3" t="s">
        <v>1768</v>
      </c>
      <c r="D181" s="3" t="s">
        <v>946</v>
      </c>
      <c r="E181" s="3" t="s">
        <v>947</v>
      </c>
      <c r="F181" s="3" t="s">
        <v>948</v>
      </c>
      <c r="G181" s="3" t="s">
        <v>1913</v>
      </c>
      <c r="H181" s="3" t="s">
        <v>1770</v>
      </c>
      <c r="I181" s="3" t="s">
        <v>1775</v>
      </c>
      <c r="J181" s="3" t="s">
        <v>508</v>
      </c>
      <c r="K181" s="3" t="s">
        <v>945</v>
      </c>
      <c r="L181" s="3" t="s">
        <v>508</v>
      </c>
      <c r="M181" s="3" t="s">
        <v>1820</v>
      </c>
      <c r="N181" s="3" t="s">
        <v>949</v>
      </c>
      <c r="O181" s="5">
        <v>45279</v>
      </c>
      <c r="P181" s="6">
        <v>1117.44</v>
      </c>
      <c r="Q181" s="7">
        <v>0</v>
      </c>
    </row>
    <row r="182" s="1" customFormat="1" ht="13.5" spans="1:17">
      <c r="A182" s="3" t="s">
        <v>1914</v>
      </c>
      <c r="B182" s="3" t="s">
        <v>950</v>
      </c>
      <c r="C182" s="3" t="s">
        <v>1768</v>
      </c>
      <c r="D182" s="3" t="s">
        <v>946</v>
      </c>
      <c r="E182" s="3" t="s">
        <v>947</v>
      </c>
      <c r="F182" s="3" t="s">
        <v>952</v>
      </c>
      <c r="G182" s="3" t="s">
        <v>1913</v>
      </c>
      <c r="H182" s="3" t="s">
        <v>1770</v>
      </c>
      <c r="I182" s="3" t="s">
        <v>1775</v>
      </c>
      <c r="J182" s="3" t="s">
        <v>508</v>
      </c>
      <c r="K182" s="3" t="s">
        <v>951</v>
      </c>
      <c r="L182" s="3" t="s">
        <v>508</v>
      </c>
      <c r="M182" s="3" t="s">
        <v>1820</v>
      </c>
      <c r="N182" s="3" t="s">
        <v>949</v>
      </c>
      <c r="O182" s="5">
        <v>45275</v>
      </c>
      <c r="P182" s="6">
        <v>7200</v>
      </c>
      <c r="Q182" s="7">
        <v>0</v>
      </c>
    </row>
    <row r="183" s="1" customFormat="1" ht="13.5" spans="1:17">
      <c r="A183" s="3" t="s">
        <v>1915</v>
      </c>
      <c r="B183" s="3" t="s">
        <v>956</v>
      </c>
      <c r="C183" s="3" t="s">
        <v>1768</v>
      </c>
      <c r="D183" s="3" t="s">
        <v>946</v>
      </c>
      <c r="E183" s="3" t="s">
        <v>947</v>
      </c>
      <c r="F183" s="3" t="s">
        <v>958</v>
      </c>
      <c r="G183" s="3" t="s">
        <v>1913</v>
      </c>
      <c r="H183" s="3" t="s">
        <v>1770</v>
      </c>
      <c r="I183" s="3" t="s">
        <v>1775</v>
      </c>
      <c r="J183" s="3" t="s">
        <v>508</v>
      </c>
      <c r="K183" s="3" t="s">
        <v>957</v>
      </c>
      <c r="L183" s="3" t="s">
        <v>508</v>
      </c>
      <c r="M183" s="3" t="s">
        <v>1820</v>
      </c>
      <c r="N183" s="3" t="s">
        <v>949</v>
      </c>
      <c r="O183" s="5">
        <v>45275</v>
      </c>
      <c r="P183" s="6">
        <v>13411.78</v>
      </c>
      <c r="Q183" s="7">
        <v>0</v>
      </c>
    </row>
    <row r="184" s="1" customFormat="1" ht="13.5" spans="1:17">
      <c r="A184" s="3" t="s">
        <v>1916</v>
      </c>
      <c r="B184" s="3" t="s">
        <v>963</v>
      </c>
      <c r="C184" s="3" t="s">
        <v>1768</v>
      </c>
      <c r="D184" s="3" t="s">
        <v>946</v>
      </c>
      <c r="E184" s="3" t="s">
        <v>947</v>
      </c>
      <c r="F184" s="3" t="s">
        <v>314</v>
      </c>
      <c r="G184" s="3" t="s">
        <v>1913</v>
      </c>
      <c r="H184" s="3" t="s">
        <v>1770</v>
      </c>
      <c r="I184" s="3" t="s">
        <v>1775</v>
      </c>
      <c r="J184" s="3" t="s">
        <v>521</v>
      </c>
      <c r="K184" s="3" t="s">
        <v>964</v>
      </c>
      <c r="L184" s="3" t="s">
        <v>521</v>
      </c>
      <c r="M184" s="3" t="s">
        <v>1820</v>
      </c>
      <c r="N184" s="3" t="s">
        <v>949</v>
      </c>
      <c r="O184" s="5">
        <v>45314</v>
      </c>
      <c r="P184" s="6">
        <v>11785.05</v>
      </c>
      <c r="Q184" s="7">
        <v>0</v>
      </c>
    </row>
    <row r="185" s="1" customFormat="1" ht="13.5" spans="1:17">
      <c r="A185" s="3" t="s">
        <v>1917</v>
      </c>
      <c r="B185" s="3" t="s">
        <v>965</v>
      </c>
      <c r="C185" s="3" t="s">
        <v>1768</v>
      </c>
      <c r="D185" s="3" t="s">
        <v>946</v>
      </c>
      <c r="E185" s="3" t="s">
        <v>947</v>
      </c>
      <c r="F185" s="3" t="s">
        <v>967</v>
      </c>
      <c r="G185" s="3" t="s">
        <v>1913</v>
      </c>
      <c r="H185" s="3" t="s">
        <v>1770</v>
      </c>
      <c r="I185" s="3" t="s">
        <v>1775</v>
      </c>
      <c r="J185" s="3" t="s">
        <v>508</v>
      </c>
      <c r="K185" s="3" t="s">
        <v>966</v>
      </c>
      <c r="L185" s="3" t="s">
        <v>508</v>
      </c>
      <c r="M185" s="3" t="s">
        <v>1820</v>
      </c>
      <c r="N185" s="3" t="s">
        <v>949</v>
      </c>
      <c r="O185" s="5">
        <v>45278</v>
      </c>
      <c r="P185" s="6">
        <v>1128.72</v>
      </c>
      <c r="Q185" s="7">
        <v>0</v>
      </c>
    </row>
    <row r="186" s="1" customFormat="1" ht="13.5" spans="1:17">
      <c r="A186" s="3" t="s">
        <v>1918</v>
      </c>
      <c r="B186" s="3" t="s">
        <v>968</v>
      </c>
      <c r="C186" s="3" t="s">
        <v>1768</v>
      </c>
      <c r="D186" s="3" t="s">
        <v>946</v>
      </c>
      <c r="E186" s="3" t="s">
        <v>947</v>
      </c>
      <c r="F186" s="3" t="s">
        <v>970</v>
      </c>
      <c r="G186" s="3" t="s">
        <v>1913</v>
      </c>
      <c r="H186" s="3" t="s">
        <v>1770</v>
      </c>
      <c r="I186" s="3" t="s">
        <v>1775</v>
      </c>
      <c r="J186" s="3" t="s">
        <v>508</v>
      </c>
      <c r="K186" s="3" t="s">
        <v>969</v>
      </c>
      <c r="L186" s="3" t="s">
        <v>508</v>
      </c>
      <c r="M186" s="3" t="s">
        <v>1820</v>
      </c>
      <c r="N186" s="3" t="s">
        <v>949</v>
      </c>
      <c r="O186" s="5">
        <v>45288</v>
      </c>
      <c r="P186" s="6">
        <v>11.28</v>
      </c>
      <c r="Q186" s="7">
        <v>0</v>
      </c>
    </row>
    <row r="187" s="1" customFormat="1" ht="13.5" spans="1:17">
      <c r="A187" s="3" t="s">
        <v>1919</v>
      </c>
      <c r="B187" s="3" t="s">
        <v>971</v>
      </c>
      <c r="C187" s="3" t="s">
        <v>1768</v>
      </c>
      <c r="D187" s="3" t="s">
        <v>973</v>
      </c>
      <c r="E187" s="3" t="s">
        <v>974</v>
      </c>
      <c r="F187" s="3" t="s">
        <v>975</v>
      </c>
      <c r="G187" s="3" t="s">
        <v>1920</v>
      </c>
      <c r="H187" s="3" t="s">
        <v>1770</v>
      </c>
      <c r="I187" s="3" t="s">
        <v>1775</v>
      </c>
      <c r="J187" s="3" t="s">
        <v>508</v>
      </c>
      <c r="K187" s="3" t="s">
        <v>972</v>
      </c>
      <c r="L187" s="3" t="s">
        <v>508</v>
      </c>
      <c r="M187" s="3" t="s">
        <v>1820</v>
      </c>
      <c r="N187" s="3" t="s">
        <v>976</v>
      </c>
      <c r="O187" s="5">
        <v>45247</v>
      </c>
      <c r="P187" s="6">
        <v>287.12</v>
      </c>
      <c r="Q187" s="7">
        <v>0</v>
      </c>
    </row>
    <row r="188" s="1" customFormat="1" ht="13.5" spans="1:17">
      <c r="A188" s="3" t="s">
        <v>1887</v>
      </c>
      <c r="B188" s="3" t="s">
        <v>989</v>
      </c>
      <c r="C188" s="3" t="s">
        <v>1768</v>
      </c>
      <c r="D188" s="3" t="s">
        <v>991</v>
      </c>
      <c r="E188" s="3" t="s">
        <v>992</v>
      </c>
      <c r="F188" s="3" t="s">
        <v>993</v>
      </c>
      <c r="G188" s="3" t="s">
        <v>1921</v>
      </c>
      <c r="H188" s="3" t="s">
        <v>1770</v>
      </c>
      <c r="I188" s="3" t="s">
        <v>1775</v>
      </c>
      <c r="J188" s="3" t="s">
        <v>508</v>
      </c>
      <c r="K188" s="3" t="s">
        <v>990</v>
      </c>
      <c r="L188" s="3" t="s">
        <v>508</v>
      </c>
      <c r="M188" s="3" t="s">
        <v>1820</v>
      </c>
      <c r="N188" s="3" t="s">
        <v>994</v>
      </c>
      <c r="O188" s="5">
        <v>45189</v>
      </c>
      <c r="P188" s="6">
        <v>740</v>
      </c>
      <c r="Q188" s="7">
        <v>0</v>
      </c>
    </row>
    <row r="189" s="1" customFormat="1" ht="13.5" spans="1:17">
      <c r="A189" s="3" t="s">
        <v>1922</v>
      </c>
      <c r="B189" s="3" t="s">
        <v>995</v>
      </c>
      <c r="C189" s="3" t="s">
        <v>1768</v>
      </c>
      <c r="D189" s="3" t="s">
        <v>991</v>
      </c>
      <c r="E189" s="3" t="s">
        <v>992</v>
      </c>
      <c r="F189" s="3" t="s">
        <v>997</v>
      </c>
      <c r="G189" s="3" t="s">
        <v>1921</v>
      </c>
      <c r="H189" s="3" t="s">
        <v>1770</v>
      </c>
      <c r="I189" s="3" t="s">
        <v>1775</v>
      </c>
      <c r="J189" s="3" t="s">
        <v>508</v>
      </c>
      <c r="K189" s="3" t="s">
        <v>996</v>
      </c>
      <c r="L189" s="3" t="s">
        <v>508</v>
      </c>
      <c r="M189" s="3" t="s">
        <v>1820</v>
      </c>
      <c r="N189" s="3" t="s">
        <v>994</v>
      </c>
      <c r="O189" s="5">
        <v>45208</v>
      </c>
      <c r="P189" s="6">
        <v>980</v>
      </c>
      <c r="Q189" s="7">
        <v>0</v>
      </c>
    </row>
    <row r="190" s="1" customFormat="1" ht="13.5" spans="1:17">
      <c r="A190" s="3" t="s">
        <v>1923</v>
      </c>
      <c r="B190" s="3" t="s">
        <v>998</v>
      </c>
      <c r="C190" s="3" t="s">
        <v>1768</v>
      </c>
      <c r="D190" s="3" t="s">
        <v>991</v>
      </c>
      <c r="E190" s="3" t="s">
        <v>992</v>
      </c>
      <c r="F190" s="3" t="s">
        <v>1000</v>
      </c>
      <c r="G190" s="3" t="s">
        <v>1921</v>
      </c>
      <c r="H190" s="3" t="s">
        <v>1770</v>
      </c>
      <c r="I190" s="3" t="s">
        <v>1775</v>
      </c>
      <c r="J190" s="3" t="s">
        <v>508</v>
      </c>
      <c r="K190" s="3" t="s">
        <v>999</v>
      </c>
      <c r="L190" s="3" t="s">
        <v>508</v>
      </c>
      <c r="M190" s="3" t="s">
        <v>1820</v>
      </c>
      <c r="N190" s="3" t="s">
        <v>994</v>
      </c>
      <c r="O190" s="5">
        <v>45270</v>
      </c>
      <c r="P190" s="6">
        <v>1165</v>
      </c>
      <c r="Q190" s="7">
        <v>0</v>
      </c>
    </row>
    <row r="191" s="1" customFormat="1" ht="13.5" spans="1:17">
      <c r="A191" s="3" t="s">
        <v>1924</v>
      </c>
      <c r="B191" s="3" t="s">
        <v>1008</v>
      </c>
      <c r="C191" s="3" t="s">
        <v>1768</v>
      </c>
      <c r="D191" s="3" t="s">
        <v>991</v>
      </c>
      <c r="E191" s="3" t="s">
        <v>992</v>
      </c>
      <c r="F191" s="3" t="s">
        <v>1010</v>
      </c>
      <c r="G191" s="3" t="s">
        <v>1921</v>
      </c>
      <c r="H191" s="3" t="s">
        <v>1770</v>
      </c>
      <c r="I191" s="3" t="s">
        <v>1775</v>
      </c>
      <c r="J191" s="3" t="s">
        <v>521</v>
      </c>
      <c r="K191" s="3" t="s">
        <v>1009</v>
      </c>
      <c r="L191" s="3" t="s">
        <v>521</v>
      </c>
      <c r="M191" s="3" t="s">
        <v>1820</v>
      </c>
      <c r="N191" s="3" t="s">
        <v>994</v>
      </c>
      <c r="O191" s="5">
        <v>45310</v>
      </c>
      <c r="P191" s="6">
        <v>1570</v>
      </c>
      <c r="Q191" s="7">
        <v>0</v>
      </c>
    </row>
    <row r="192" s="1" customFormat="1" ht="13.5" spans="1:17">
      <c r="A192" s="3" t="s">
        <v>1925</v>
      </c>
      <c r="B192" s="3" t="s">
        <v>1011</v>
      </c>
      <c r="C192" s="3" t="s">
        <v>1768</v>
      </c>
      <c r="D192" s="3" t="s">
        <v>991</v>
      </c>
      <c r="E192" s="3" t="s">
        <v>992</v>
      </c>
      <c r="F192" s="3" t="s">
        <v>1013</v>
      </c>
      <c r="G192" s="3" t="s">
        <v>1921</v>
      </c>
      <c r="H192" s="3" t="s">
        <v>1770</v>
      </c>
      <c r="I192" s="3" t="s">
        <v>1775</v>
      </c>
      <c r="J192" s="3" t="s">
        <v>508</v>
      </c>
      <c r="K192" s="3" t="s">
        <v>1012</v>
      </c>
      <c r="L192" s="3" t="s">
        <v>508</v>
      </c>
      <c r="M192" s="3" t="s">
        <v>1820</v>
      </c>
      <c r="N192" s="3" t="s">
        <v>994</v>
      </c>
      <c r="O192" s="5">
        <v>45209</v>
      </c>
      <c r="P192" s="6">
        <v>700</v>
      </c>
      <c r="Q192" s="7">
        <v>0</v>
      </c>
    </row>
    <row r="193" s="1" customFormat="1" ht="13.5" spans="1:17">
      <c r="A193" s="3" t="s">
        <v>1926</v>
      </c>
      <c r="B193" s="3" t="s">
        <v>1014</v>
      </c>
      <c r="C193" s="3" t="s">
        <v>1768</v>
      </c>
      <c r="D193" s="3" t="s">
        <v>991</v>
      </c>
      <c r="E193" s="3" t="s">
        <v>992</v>
      </c>
      <c r="F193" s="3" t="s">
        <v>1016</v>
      </c>
      <c r="G193" s="3" t="s">
        <v>1921</v>
      </c>
      <c r="H193" s="3" t="s">
        <v>1770</v>
      </c>
      <c r="I193" s="3" t="s">
        <v>1775</v>
      </c>
      <c r="J193" s="3" t="s">
        <v>508</v>
      </c>
      <c r="K193" s="3" t="s">
        <v>1015</v>
      </c>
      <c r="L193" s="3" t="s">
        <v>508</v>
      </c>
      <c r="M193" s="3" t="s">
        <v>1820</v>
      </c>
      <c r="N193" s="3" t="s">
        <v>994</v>
      </c>
      <c r="O193" s="5">
        <v>45212</v>
      </c>
      <c r="P193" s="6">
        <v>1196</v>
      </c>
      <c r="Q193" s="7">
        <v>0</v>
      </c>
    </row>
    <row r="194" s="1" customFormat="1" ht="13.5" spans="1:17">
      <c r="A194" s="3" t="s">
        <v>1927</v>
      </c>
      <c r="B194" s="3" t="s">
        <v>1017</v>
      </c>
      <c r="C194" s="3" t="s">
        <v>1768</v>
      </c>
      <c r="D194" s="3" t="s">
        <v>991</v>
      </c>
      <c r="E194" s="3" t="s">
        <v>992</v>
      </c>
      <c r="F194" s="3" t="s">
        <v>1016</v>
      </c>
      <c r="G194" s="3" t="s">
        <v>1921</v>
      </c>
      <c r="H194" s="3" t="s">
        <v>1770</v>
      </c>
      <c r="I194" s="3" t="s">
        <v>1775</v>
      </c>
      <c r="J194" s="3" t="s">
        <v>508</v>
      </c>
      <c r="K194" s="3" t="s">
        <v>1018</v>
      </c>
      <c r="L194" s="3" t="s">
        <v>508</v>
      </c>
      <c r="M194" s="3" t="s">
        <v>1820</v>
      </c>
      <c r="N194" s="3" t="s">
        <v>994</v>
      </c>
      <c r="O194" s="5">
        <v>45212</v>
      </c>
      <c r="P194" s="6">
        <v>1097</v>
      </c>
      <c r="Q194" s="7">
        <v>0</v>
      </c>
    </row>
    <row r="195" s="1" customFormat="1" ht="13.5" spans="1:17">
      <c r="A195" s="3" t="s">
        <v>1928</v>
      </c>
      <c r="B195" s="3" t="s">
        <v>1019</v>
      </c>
      <c r="C195" s="3" t="s">
        <v>1768</v>
      </c>
      <c r="D195" s="3" t="s">
        <v>991</v>
      </c>
      <c r="E195" s="3" t="s">
        <v>992</v>
      </c>
      <c r="F195" s="3" t="s">
        <v>1016</v>
      </c>
      <c r="G195" s="3" t="s">
        <v>1921</v>
      </c>
      <c r="H195" s="3" t="s">
        <v>1770</v>
      </c>
      <c r="I195" s="3" t="s">
        <v>1775</v>
      </c>
      <c r="J195" s="3" t="s">
        <v>508</v>
      </c>
      <c r="K195" s="3" t="s">
        <v>1020</v>
      </c>
      <c r="L195" s="3" t="s">
        <v>508</v>
      </c>
      <c r="M195" s="3" t="s">
        <v>1820</v>
      </c>
      <c r="N195" s="3" t="s">
        <v>994</v>
      </c>
      <c r="O195" s="5">
        <v>45225</v>
      </c>
      <c r="P195" s="6">
        <v>996</v>
      </c>
      <c r="Q195" s="7">
        <v>0</v>
      </c>
    </row>
    <row r="196" s="1" customFormat="1" ht="13.5" spans="1:17">
      <c r="A196" s="3" t="s">
        <v>1929</v>
      </c>
      <c r="B196" s="3" t="s">
        <v>1021</v>
      </c>
      <c r="C196" s="3" t="s">
        <v>1768</v>
      </c>
      <c r="D196" s="3" t="s">
        <v>991</v>
      </c>
      <c r="E196" s="3" t="s">
        <v>992</v>
      </c>
      <c r="F196" s="3" t="s">
        <v>1023</v>
      </c>
      <c r="G196" s="3" t="s">
        <v>1921</v>
      </c>
      <c r="H196" s="3" t="s">
        <v>1770</v>
      </c>
      <c r="I196" s="3" t="s">
        <v>1775</v>
      </c>
      <c r="J196" s="3" t="s">
        <v>508</v>
      </c>
      <c r="K196" s="3" t="s">
        <v>1022</v>
      </c>
      <c r="L196" s="3" t="s">
        <v>508</v>
      </c>
      <c r="M196" s="3" t="s">
        <v>1820</v>
      </c>
      <c r="N196" s="3" t="s">
        <v>994</v>
      </c>
      <c r="O196" s="5">
        <v>45244</v>
      </c>
      <c r="P196" s="6">
        <v>680</v>
      </c>
      <c r="Q196" s="7">
        <v>0</v>
      </c>
    </row>
    <row r="197" s="1" customFormat="1" ht="13.5" spans="1:17">
      <c r="A197" s="3" t="s">
        <v>1930</v>
      </c>
      <c r="B197" s="3" t="s">
        <v>1024</v>
      </c>
      <c r="C197" s="3" t="s">
        <v>1768</v>
      </c>
      <c r="D197" s="3" t="s">
        <v>991</v>
      </c>
      <c r="E197" s="3" t="s">
        <v>992</v>
      </c>
      <c r="F197" s="3" t="s">
        <v>1026</v>
      </c>
      <c r="G197" s="3" t="s">
        <v>1921</v>
      </c>
      <c r="H197" s="3" t="s">
        <v>1770</v>
      </c>
      <c r="I197" s="3" t="s">
        <v>1775</v>
      </c>
      <c r="J197" s="3" t="s">
        <v>508</v>
      </c>
      <c r="K197" s="3" t="s">
        <v>1025</v>
      </c>
      <c r="L197" s="3" t="s">
        <v>508</v>
      </c>
      <c r="M197" s="3" t="s">
        <v>1820</v>
      </c>
      <c r="N197" s="3" t="s">
        <v>994</v>
      </c>
      <c r="O197" s="5">
        <v>45244</v>
      </c>
      <c r="P197" s="6">
        <v>1816</v>
      </c>
      <c r="Q197" s="7">
        <v>0</v>
      </c>
    </row>
    <row r="198" s="1" customFormat="1" ht="13.5" spans="1:17">
      <c r="A198" s="3" t="s">
        <v>1931</v>
      </c>
      <c r="B198" s="3" t="s">
        <v>1028</v>
      </c>
      <c r="C198" s="3" t="s">
        <v>1768</v>
      </c>
      <c r="D198" s="3" t="s">
        <v>991</v>
      </c>
      <c r="E198" s="3" t="s">
        <v>992</v>
      </c>
      <c r="F198" s="3" t="s">
        <v>1030</v>
      </c>
      <c r="G198" s="3" t="s">
        <v>1921</v>
      </c>
      <c r="H198" s="3" t="s">
        <v>1770</v>
      </c>
      <c r="I198" s="3" t="s">
        <v>1775</v>
      </c>
      <c r="J198" s="3" t="s">
        <v>508</v>
      </c>
      <c r="K198" s="3" t="s">
        <v>1029</v>
      </c>
      <c r="L198" s="3" t="s">
        <v>508</v>
      </c>
      <c r="M198" s="3" t="s">
        <v>1820</v>
      </c>
      <c r="N198" s="3" t="s">
        <v>994</v>
      </c>
      <c r="O198" s="5">
        <v>45264</v>
      </c>
      <c r="P198" s="6">
        <v>1000</v>
      </c>
      <c r="Q198" s="7">
        <v>0</v>
      </c>
    </row>
    <row r="199" s="1" customFormat="1" ht="13.5" spans="1:17">
      <c r="A199" s="3" t="s">
        <v>1932</v>
      </c>
      <c r="B199" s="3" t="s">
        <v>1031</v>
      </c>
      <c r="C199" s="3" t="s">
        <v>1768</v>
      </c>
      <c r="D199" s="3" t="s">
        <v>991</v>
      </c>
      <c r="E199" s="3" t="s">
        <v>992</v>
      </c>
      <c r="F199" s="3" t="s">
        <v>997</v>
      </c>
      <c r="G199" s="3" t="s">
        <v>1921</v>
      </c>
      <c r="H199" s="3" t="s">
        <v>1770</v>
      </c>
      <c r="I199" s="3" t="s">
        <v>1775</v>
      </c>
      <c r="J199" s="3" t="s">
        <v>508</v>
      </c>
      <c r="K199" s="3" t="s">
        <v>1032</v>
      </c>
      <c r="L199" s="3" t="s">
        <v>508</v>
      </c>
      <c r="M199" s="3" t="s">
        <v>1820</v>
      </c>
      <c r="N199" s="3" t="s">
        <v>994</v>
      </c>
      <c r="O199" s="5">
        <v>45277</v>
      </c>
      <c r="P199" s="6">
        <v>1480</v>
      </c>
      <c r="Q199" s="7">
        <v>0</v>
      </c>
    </row>
    <row r="200" s="1" customFormat="1" ht="13.5" spans="1:17">
      <c r="A200" s="3" t="s">
        <v>1933</v>
      </c>
      <c r="B200" s="3" t="s">
        <v>1033</v>
      </c>
      <c r="C200" s="3" t="s">
        <v>1768</v>
      </c>
      <c r="D200" s="3" t="s">
        <v>991</v>
      </c>
      <c r="E200" s="3" t="s">
        <v>992</v>
      </c>
      <c r="F200" s="3" t="s">
        <v>1030</v>
      </c>
      <c r="G200" s="3" t="s">
        <v>1921</v>
      </c>
      <c r="H200" s="3" t="s">
        <v>1770</v>
      </c>
      <c r="I200" s="3" t="s">
        <v>1775</v>
      </c>
      <c r="J200" s="3" t="s">
        <v>508</v>
      </c>
      <c r="K200" s="3" t="s">
        <v>1034</v>
      </c>
      <c r="L200" s="3" t="s">
        <v>508</v>
      </c>
      <c r="M200" s="3" t="s">
        <v>1820</v>
      </c>
      <c r="N200" s="3" t="s">
        <v>994</v>
      </c>
      <c r="O200" s="5">
        <v>45275</v>
      </c>
      <c r="P200" s="6">
        <v>1480</v>
      </c>
      <c r="Q200" s="7">
        <v>0</v>
      </c>
    </row>
    <row r="201" s="1" customFormat="1" ht="13.5" spans="1:17">
      <c r="A201" s="3" t="s">
        <v>1934</v>
      </c>
      <c r="B201" s="3" t="s">
        <v>1035</v>
      </c>
      <c r="C201" s="3" t="s">
        <v>1768</v>
      </c>
      <c r="D201" s="3" t="s">
        <v>991</v>
      </c>
      <c r="E201" s="3" t="s">
        <v>992</v>
      </c>
      <c r="F201" s="3" t="s">
        <v>1037</v>
      </c>
      <c r="G201" s="3" t="s">
        <v>1921</v>
      </c>
      <c r="H201" s="3" t="s">
        <v>1770</v>
      </c>
      <c r="I201" s="3" t="s">
        <v>1775</v>
      </c>
      <c r="J201" s="3" t="s">
        <v>508</v>
      </c>
      <c r="K201" s="3" t="s">
        <v>1036</v>
      </c>
      <c r="L201" s="3" t="s">
        <v>508</v>
      </c>
      <c r="M201" s="3" t="s">
        <v>1820</v>
      </c>
      <c r="N201" s="3" t="s">
        <v>994</v>
      </c>
      <c r="O201" s="5">
        <v>45277</v>
      </c>
      <c r="P201" s="6">
        <v>1860</v>
      </c>
      <c r="Q201" s="7">
        <v>0</v>
      </c>
    </row>
    <row r="202" s="1" customFormat="1" ht="13.5" spans="1:17">
      <c r="A202" s="3" t="s">
        <v>1935</v>
      </c>
      <c r="B202" s="3" t="s">
        <v>1040</v>
      </c>
      <c r="C202" s="3" t="s">
        <v>1768</v>
      </c>
      <c r="D202" s="3" t="s">
        <v>991</v>
      </c>
      <c r="E202" s="3" t="s">
        <v>992</v>
      </c>
      <c r="F202" s="3" t="s">
        <v>1042</v>
      </c>
      <c r="G202" s="3" t="s">
        <v>1921</v>
      </c>
      <c r="H202" s="3" t="s">
        <v>1770</v>
      </c>
      <c r="I202" s="3" t="s">
        <v>1775</v>
      </c>
      <c r="J202" s="3" t="s">
        <v>521</v>
      </c>
      <c r="K202" s="3" t="s">
        <v>1041</v>
      </c>
      <c r="L202" s="3" t="s">
        <v>521</v>
      </c>
      <c r="M202" s="3" t="s">
        <v>1820</v>
      </c>
      <c r="N202" s="3" t="s">
        <v>994</v>
      </c>
      <c r="O202" s="5">
        <v>45310</v>
      </c>
      <c r="P202" s="6">
        <v>1752</v>
      </c>
      <c r="Q202" s="7">
        <v>0</v>
      </c>
    </row>
    <row r="203" s="1" customFormat="1" ht="13.5" spans="1:17">
      <c r="A203" s="3" t="s">
        <v>1824</v>
      </c>
      <c r="B203" s="3" t="s">
        <v>1044</v>
      </c>
      <c r="C203" s="3" t="s">
        <v>1768</v>
      </c>
      <c r="D203" s="3" t="s">
        <v>991</v>
      </c>
      <c r="E203" s="3" t="s">
        <v>992</v>
      </c>
      <c r="F203" s="3" t="s">
        <v>1000</v>
      </c>
      <c r="G203" s="3" t="s">
        <v>1921</v>
      </c>
      <c r="H203" s="3" t="s">
        <v>1770</v>
      </c>
      <c r="I203" s="3" t="s">
        <v>1775</v>
      </c>
      <c r="J203" s="3" t="s">
        <v>521</v>
      </c>
      <c r="K203" s="3" t="s">
        <v>1045</v>
      </c>
      <c r="L203" s="3" t="s">
        <v>521</v>
      </c>
      <c r="M203" s="3" t="s">
        <v>1820</v>
      </c>
      <c r="N203" s="3" t="s">
        <v>994</v>
      </c>
      <c r="O203" s="5">
        <v>45310</v>
      </c>
      <c r="P203" s="6">
        <v>1368</v>
      </c>
      <c r="Q203" s="7">
        <v>0</v>
      </c>
    </row>
    <row r="204" s="1" customFormat="1" ht="13.5" spans="1:17">
      <c r="A204" s="3" t="s">
        <v>1936</v>
      </c>
      <c r="B204" s="3" t="s">
        <v>1046</v>
      </c>
      <c r="C204" s="3" t="s">
        <v>1768</v>
      </c>
      <c r="D204" s="3" t="s">
        <v>991</v>
      </c>
      <c r="E204" s="3" t="s">
        <v>992</v>
      </c>
      <c r="F204" s="3" t="s">
        <v>1023</v>
      </c>
      <c r="G204" s="3" t="s">
        <v>1921</v>
      </c>
      <c r="H204" s="3" t="s">
        <v>1770</v>
      </c>
      <c r="I204" s="3" t="s">
        <v>1775</v>
      </c>
      <c r="J204" s="3" t="s">
        <v>521</v>
      </c>
      <c r="K204" s="3" t="s">
        <v>1047</v>
      </c>
      <c r="L204" s="3" t="s">
        <v>521</v>
      </c>
      <c r="M204" s="3" t="s">
        <v>1820</v>
      </c>
      <c r="N204" s="3" t="s">
        <v>994</v>
      </c>
      <c r="O204" s="5">
        <v>45303</v>
      </c>
      <c r="P204" s="6">
        <v>1138</v>
      </c>
      <c r="Q204" s="7">
        <v>0</v>
      </c>
    </row>
    <row r="205" s="1" customFormat="1" ht="13.5" spans="1:17">
      <c r="A205" s="3" t="s">
        <v>1937</v>
      </c>
      <c r="B205" s="3" t="s">
        <v>1048</v>
      </c>
      <c r="C205" s="3" t="s">
        <v>1768</v>
      </c>
      <c r="D205" s="3" t="s">
        <v>991</v>
      </c>
      <c r="E205" s="3" t="s">
        <v>992</v>
      </c>
      <c r="F205" s="3" t="s">
        <v>1013</v>
      </c>
      <c r="G205" s="3" t="s">
        <v>1921</v>
      </c>
      <c r="H205" s="3" t="s">
        <v>1770</v>
      </c>
      <c r="I205" s="3" t="s">
        <v>1775</v>
      </c>
      <c r="J205" s="3" t="s">
        <v>521</v>
      </c>
      <c r="K205" s="3" t="s">
        <v>1049</v>
      </c>
      <c r="L205" s="3" t="s">
        <v>521</v>
      </c>
      <c r="M205" s="3" t="s">
        <v>1820</v>
      </c>
      <c r="N205" s="3" t="s">
        <v>994</v>
      </c>
      <c r="O205" s="5">
        <v>45313</v>
      </c>
      <c r="P205" s="6">
        <v>900</v>
      </c>
      <c r="Q205" s="7">
        <v>0</v>
      </c>
    </row>
    <row r="206" s="1" customFormat="1" ht="13.5" spans="1:17">
      <c r="A206" s="3" t="s">
        <v>1938</v>
      </c>
      <c r="B206" s="3" t="s">
        <v>1050</v>
      </c>
      <c r="C206" s="3" t="s">
        <v>1768</v>
      </c>
      <c r="D206" s="3" t="s">
        <v>991</v>
      </c>
      <c r="E206" s="3" t="s">
        <v>992</v>
      </c>
      <c r="F206" s="3" t="s">
        <v>1052</v>
      </c>
      <c r="G206" s="3" t="s">
        <v>1921</v>
      </c>
      <c r="H206" s="3" t="s">
        <v>1770</v>
      </c>
      <c r="I206" s="3" t="s">
        <v>1775</v>
      </c>
      <c r="J206" s="3" t="s">
        <v>521</v>
      </c>
      <c r="K206" s="3" t="s">
        <v>1051</v>
      </c>
      <c r="L206" s="3" t="s">
        <v>521</v>
      </c>
      <c r="M206" s="3" t="s">
        <v>1820</v>
      </c>
      <c r="N206" s="3" t="s">
        <v>994</v>
      </c>
      <c r="O206" s="5">
        <v>45323</v>
      </c>
      <c r="P206" s="6">
        <v>1700</v>
      </c>
      <c r="Q206" s="7">
        <v>0</v>
      </c>
    </row>
    <row r="207" s="1" customFormat="1" ht="13.5" spans="1:17">
      <c r="A207" s="3" t="s">
        <v>1847</v>
      </c>
      <c r="B207" s="3" t="s">
        <v>1054</v>
      </c>
      <c r="C207" s="3" t="s">
        <v>1768</v>
      </c>
      <c r="D207" s="3" t="s">
        <v>991</v>
      </c>
      <c r="E207" s="3" t="s">
        <v>992</v>
      </c>
      <c r="F207" s="3" t="s">
        <v>1056</v>
      </c>
      <c r="G207" s="3" t="s">
        <v>1921</v>
      </c>
      <c r="H207" s="3" t="s">
        <v>1770</v>
      </c>
      <c r="I207" s="3" t="s">
        <v>1775</v>
      </c>
      <c r="J207" s="3" t="s">
        <v>521</v>
      </c>
      <c r="K207" s="3" t="s">
        <v>1055</v>
      </c>
      <c r="L207" s="3" t="s">
        <v>521</v>
      </c>
      <c r="M207" s="3" t="s">
        <v>1820</v>
      </c>
      <c r="N207" s="3" t="s">
        <v>994</v>
      </c>
      <c r="O207" s="5">
        <v>45356</v>
      </c>
      <c r="P207" s="6">
        <v>1380</v>
      </c>
      <c r="Q207" s="7">
        <v>0</v>
      </c>
    </row>
    <row r="208" s="1" customFormat="1" ht="13.5" spans="1:17">
      <c r="A208" s="3" t="s">
        <v>1939</v>
      </c>
      <c r="B208" s="3" t="s">
        <v>1057</v>
      </c>
      <c r="C208" s="3" t="s">
        <v>1768</v>
      </c>
      <c r="D208" s="3" t="s">
        <v>991</v>
      </c>
      <c r="E208" s="3" t="s">
        <v>992</v>
      </c>
      <c r="F208" s="3" t="s">
        <v>1059</v>
      </c>
      <c r="G208" s="3" t="s">
        <v>1921</v>
      </c>
      <c r="H208" s="3" t="s">
        <v>1770</v>
      </c>
      <c r="I208" s="3" t="s">
        <v>1775</v>
      </c>
      <c r="J208" s="3" t="s">
        <v>521</v>
      </c>
      <c r="K208" s="3" t="s">
        <v>1058</v>
      </c>
      <c r="L208" s="3" t="s">
        <v>521</v>
      </c>
      <c r="M208" s="3" t="s">
        <v>1820</v>
      </c>
      <c r="N208" s="3" t="s">
        <v>994</v>
      </c>
      <c r="O208" s="5">
        <v>45356</v>
      </c>
      <c r="P208" s="6">
        <v>1400</v>
      </c>
      <c r="Q208" s="7">
        <v>0</v>
      </c>
    </row>
    <row r="209" s="1" customFormat="1" ht="13.5" spans="1:17">
      <c r="A209" s="3" t="s">
        <v>1843</v>
      </c>
      <c r="B209" s="3" t="s">
        <v>1060</v>
      </c>
      <c r="C209" s="3" t="s">
        <v>1768</v>
      </c>
      <c r="D209" s="3" t="s">
        <v>991</v>
      </c>
      <c r="E209" s="3" t="s">
        <v>992</v>
      </c>
      <c r="F209" s="3" t="s">
        <v>997</v>
      </c>
      <c r="G209" s="3" t="s">
        <v>1921</v>
      </c>
      <c r="H209" s="3" t="s">
        <v>1770</v>
      </c>
      <c r="I209" s="3" t="s">
        <v>1775</v>
      </c>
      <c r="J209" s="3" t="s">
        <v>521</v>
      </c>
      <c r="K209" s="3" t="s">
        <v>1061</v>
      </c>
      <c r="L209" s="3" t="s">
        <v>521</v>
      </c>
      <c r="M209" s="3" t="s">
        <v>1820</v>
      </c>
      <c r="N209" s="3" t="s">
        <v>994</v>
      </c>
      <c r="O209" s="5">
        <v>45366</v>
      </c>
      <c r="P209" s="6">
        <v>1380</v>
      </c>
      <c r="Q209" s="7">
        <v>0</v>
      </c>
    </row>
    <row r="210" s="1" customFormat="1" ht="13.5" spans="1:17">
      <c r="A210" s="3" t="s">
        <v>1940</v>
      </c>
      <c r="B210" s="3" t="s">
        <v>1062</v>
      </c>
      <c r="C210" s="3" t="s">
        <v>1768</v>
      </c>
      <c r="D210" s="3" t="s">
        <v>991</v>
      </c>
      <c r="E210" s="3" t="s">
        <v>992</v>
      </c>
      <c r="F210" s="3" t="s">
        <v>1016</v>
      </c>
      <c r="G210" s="3" t="s">
        <v>1921</v>
      </c>
      <c r="H210" s="3" t="s">
        <v>1770</v>
      </c>
      <c r="I210" s="3" t="s">
        <v>1775</v>
      </c>
      <c r="J210" s="3" t="s">
        <v>521</v>
      </c>
      <c r="K210" s="3" t="s">
        <v>1063</v>
      </c>
      <c r="L210" s="3" t="s">
        <v>521</v>
      </c>
      <c r="M210" s="3" t="s">
        <v>1820</v>
      </c>
      <c r="N210" s="3" t="s">
        <v>994</v>
      </c>
      <c r="O210" s="5">
        <v>45356</v>
      </c>
      <c r="P210" s="6">
        <v>1275</v>
      </c>
      <c r="Q210" s="7">
        <v>0</v>
      </c>
    </row>
    <row r="211" s="1" customFormat="1" ht="13.5" spans="1:17">
      <c r="A211" s="3" t="s">
        <v>1941</v>
      </c>
      <c r="B211" s="3" t="s">
        <v>1072</v>
      </c>
      <c r="C211" s="3" t="s">
        <v>1768</v>
      </c>
      <c r="D211" s="3" t="s">
        <v>991</v>
      </c>
      <c r="E211" s="3" t="s">
        <v>992</v>
      </c>
      <c r="F211" s="3" t="s">
        <v>1000</v>
      </c>
      <c r="G211" s="3" t="s">
        <v>1921</v>
      </c>
      <c r="H211" s="3" t="s">
        <v>1770</v>
      </c>
      <c r="I211" s="3" t="s">
        <v>1775</v>
      </c>
      <c r="J211" s="3" t="s">
        <v>521</v>
      </c>
      <c r="K211" s="3" t="s">
        <v>1073</v>
      </c>
      <c r="L211" s="3" t="s">
        <v>521</v>
      </c>
      <c r="M211" s="3" t="s">
        <v>1820</v>
      </c>
      <c r="N211" s="3" t="s">
        <v>994</v>
      </c>
      <c r="O211" s="5">
        <v>45303</v>
      </c>
      <c r="P211" s="6">
        <v>1278</v>
      </c>
      <c r="Q211" s="7">
        <v>0</v>
      </c>
    </row>
    <row r="212" s="1" customFormat="1" ht="13.5" spans="1:17">
      <c r="A212" s="3" t="s">
        <v>1942</v>
      </c>
      <c r="B212" s="3" t="s">
        <v>1074</v>
      </c>
      <c r="C212" s="3" t="s">
        <v>1768</v>
      </c>
      <c r="D212" s="3" t="s">
        <v>991</v>
      </c>
      <c r="E212" s="3" t="s">
        <v>992</v>
      </c>
      <c r="F212" s="3" t="s">
        <v>1076</v>
      </c>
      <c r="G212" s="3" t="s">
        <v>1921</v>
      </c>
      <c r="H212" s="3" t="s">
        <v>1770</v>
      </c>
      <c r="I212" s="3" t="s">
        <v>1775</v>
      </c>
      <c r="J212" s="3" t="s">
        <v>521</v>
      </c>
      <c r="K212" s="3" t="s">
        <v>1075</v>
      </c>
      <c r="L212" s="3" t="s">
        <v>521</v>
      </c>
      <c r="M212" s="3" t="s">
        <v>1820</v>
      </c>
      <c r="N212" s="3" t="s">
        <v>994</v>
      </c>
      <c r="O212" s="5">
        <v>45394</v>
      </c>
      <c r="P212" s="6">
        <v>1789</v>
      </c>
      <c r="Q212" s="7">
        <v>0</v>
      </c>
    </row>
    <row r="213" s="1" customFormat="1" ht="13.5" spans="1:17">
      <c r="A213" s="3" t="s">
        <v>1943</v>
      </c>
      <c r="B213" s="3" t="s">
        <v>1216</v>
      </c>
      <c r="C213" s="3" t="s">
        <v>1768</v>
      </c>
      <c r="D213" s="3" t="s">
        <v>991</v>
      </c>
      <c r="E213" s="3" t="s">
        <v>992</v>
      </c>
      <c r="F213" s="3" t="s">
        <v>1037</v>
      </c>
      <c r="G213" s="3" t="s">
        <v>1921</v>
      </c>
      <c r="H213" s="3" t="s">
        <v>1770</v>
      </c>
      <c r="I213" s="3" t="s">
        <v>1775</v>
      </c>
      <c r="J213" s="3" t="s">
        <v>521</v>
      </c>
      <c r="K213" s="3" t="s">
        <v>1217</v>
      </c>
      <c r="L213" s="3" t="s">
        <v>521</v>
      </c>
      <c r="M213" s="3" t="s">
        <v>1820</v>
      </c>
      <c r="N213" s="3" t="s">
        <v>994</v>
      </c>
      <c r="O213" s="5">
        <v>45394</v>
      </c>
      <c r="P213" s="6">
        <v>950</v>
      </c>
      <c r="Q213" s="7">
        <v>0</v>
      </c>
    </row>
    <row r="214" s="1" customFormat="1" ht="13.5" spans="1:17">
      <c r="A214" s="3" t="s">
        <v>1944</v>
      </c>
      <c r="B214" s="3" t="s">
        <v>1078</v>
      </c>
      <c r="C214" s="3" t="s">
        <v>1768</v>
      </c>
      <c r="D214" s="3" t="s">
        <v>991</v>
      </c>
      <c r="E214" s="3" t="s">
        <v>992</v>
      </c>
      <c r="F214" s="3" t="s">
        <v>1016</v>
      </c>
      <c r="G214" s="3" t="s">
        <v>1921</v>
      </c>
      <c r="H214" s="3" t="s">
        <v>1770</v>
      </c>
      <c r="I214" s="3" t="s">
        <v>1775</v>
      </c>
      <c r="J214" s="3" t="s">
        <v>508</v>
      </c>
      <c r="K214" s="3" t="s">
        <v>1079</v>
      </c>
      <c r="L214" s="3" t="s">
        <v>508</v>
      </c>
      <c r="M214" s="3" t="s">
        <v>1820</v>
      </c>
      <c r="N214" s="3" t="s">
        <v>994</v>
      </c>
      <c r="O214" s="5">
        <v>45212</v>
      </c>
      <c r="P214" s="6">
        <v>894</v>
      </c>
      <c r="Q214" s="7">
        <v>0</v>
      </c>
    </row>
    <row r="215" s="1" customFormat="1" ht="13.5" spans="1:17">
      <c r="A215" s="3" t="s">
        <v>1888</v>
      </c>
      <c r="B215" s="3" t="s">
        <v>1080</v>
      </c>
      <c r="C215" s="3" t="s">
        <v>1768</v>
      </c>
      <c r="D215" s="3" t="s">
        <v>991</v>
      </c>
      <c r="E215" s="3" t="s">
        <v>992</v>
      </c>
      <c r="F215" s="3" t="s">
        <v>1082</v>
      </c>
      <c r="G215" s="3" t="s">
        <v>1921</v>
      </c>
      <c r="H215" s="3" t="s">
        <v>1770</v>
      </c>
      <c r="I215" s="3" t="s">
        <v>1775</v>
      </c>
      <c r="J215" s="3" t="s">
        <v>508</v>
      </c>
      <c r="K215" s="3" t="s">
        <v>1081</v>
      </c>
      <c r="L215" s="3" t="s">
        <v>508</v>
      </c>
      <c r="M215" s="3" t="s">
        <v>1820</v>
      </c>
      <c r="N215" s="3" t="s">
        <v>994</v>
      </c>
      <c r="O215" s="5">
        <v>45209</v>
      </c>
      <c r="P215" s="6">
        <v>650</v>
      </c>
      <c r="Q215" s="7">
        <v>0</v>
      </c>
    </row>
    <row r="216" s="1" customFormat="1" ht="13.5" spans="1:17">
      <c r="A216" s="3" t="s">
        <v>1945</v>
      </c>
      <c r="B216" s="3" t="s">
        <v>1083</v>
      </c>
      <c r="C216" s="3" t="s">
        <v>1768</v>
      </c>
      <c r="D216" s="3" t="s">
        <v>991</v>
      </c>
      <c r="E216" s="3" t="s">
        <v>992</v>
      </c>
      <c r="F216" s="3" t="s">
        <v>1016</v>
      </c>
      <c r="G216" s="3" t="s">
        <v>1921</v>
      </c>
      <c r="H216" s="3" t="s">
        <v>1770</v>
      </c>
      <c r="I216" s="3" t="s">
        <v>1775</v>
      </c>
      <c r="J216" s="3" t="s">
        <v>508</v>
      </c>
      <c r="K216" s="3" t="s">
        <v>1084</v>
      </c>
      <c r="L216" s="3" t="s">
        <v>508</v>
      </c>
      <c r="M216" s="3" t="s">
        <v>1820</v>
      </c>
      <c r="N216" s="3" t="s">
        <v>994</v>
      </c>
      <c r="O216" s="5">
        <v>45223</v>
      </c>
      <c r="P216" s="6">
        <v>897</v>
      </c>
      <c r="Q216" s="7">
        <v>0</v>
      </c>
    </row>
    <row r="217" s="1" customFormat="1" ht="13.5" spans="1:17">
      <c r="A217" s="3" t="s">
        <v>1946</v>
      </c>
      <c r="B217" s="3" t="s">
        <v>1085</v>
      </c>
      <c r="C217" s="3" t="s">
        <v>1768</v>
      </c>
      <c r="D217" s="3" t="s">
        <v>991</v>
      </c>
      <c r="E217" s="3" t="s">
        <v>992</v>
      </c>
      <c r="F217" s="3" t="s">
        <v>1087</v>
      </c>
      <c r="G217" s="3" t="s">
        <v>1921</v>
      </c>
      <c r="H217" s="3" t="s">
        <v>1770</v>
      </c>
      <c r="I217" s="3" t="s">
        <v>1775</v>
      </c>
      <c r="J217" s="3" t="s">
        <v>508</v>
      </c>
      <c r="K217" s="3" t="s">
        <v>1086</v>
      </c>
      <c r="L217" s="3" t="s">
        <v>508</v>
      </c>
      <c r="M217" s="3" t="s">
        <v>1820</v>
      </c>
      <c r="N217" s="3" t="s">
        <v>994</v>
      </c>
      <c r="O217" s="5">
        <v>45223</v>
      </c>
      <c r="P217" s="6">
        <v>1790</v>
      </c>
      <c r="Q217" s="7">
        <v>0</v>
      </c>
    </row>
    <row r="218" s="1" customFormat="1" ht="13.5" spans="1:17">
      <c r="A218" s="3" t="s">
        <v>1947</v>
      </c>
      <c r="B218" s="3" t="s">
        <v>1089</v>
      </c>
      <c r="C218" s="3" t="s">
        <v>1768</v>
      </c>
      <c r="D218" s="3" t="s">
        <v>991</v>
      </c>
      <c r="E218" s="3" t="s">
        <v>992</v>
      </c>
      <c r="F218" s="3" t="s">
        <v>1000</v>
      </c>
      <c r="G218" s="3" t="s">
        <v>1921</v>
      </c>
      <c r="H218" s="3" t="s">
        <v>1770</v>
      </c>
      <c r="I218" s="3" t="s">
        <v>1775</v>
      </c>
      <c r="J218" s="3" t="s">
        <v>508</v>
      </c>
      <c r="K218" s="3" t="s">
        <v>1090</v>
      </c>
      <c r="L218" s="3" t="s">
        <v>508</v>
      </c>
      <c r="M218" s="3" t="s">
        <v>1820</v>
      </c>
      <c r="N218" s="3" t="s">
        <v>994</v>
      </c>
      <c r="O218" s="5">
        <v>45223</v>
      </c>
      <c r="P218" s="6">
        <v>1565</v>
      </c>
      <c r="Q218" s="7">
        <v>0</v>
      </c>
    </row>
    <row r="219" s="1" customFormat="1" ht="13.5" spans="1:17">
      <c r="A219" s="3" t="s">
        <v>1948</v>
      </c>
      <c r="B219" s="3" t="s">
        <v>1091</v>
      </c>
      <c r="C219" s="3" t="s">
        <v>1768</v>
      </c>
      <c r="D219" s="3" t="s">
        <v>991</v>
      </c>
      <c r="E219" s="3" t="s">
        <v>992</v>
      </c>
      <c r="F219" s="3" t="s">
        <v>1037</v>
      </c>
      <c r="G219" s="3" t="s">
        <v>1921</v>
      </c>
      <c r="H219" s="3" t="s">
        <v>1770</v>
      </c>
      <c r="I219" s="3" t="s">
        <v>1775</v>
      </c>
      <c r="J219" s="3" t="s">
        <v>508</v>
      </c>
      <c r="K219" s="3" t="s">
        <v>1092</v>
      </c>
      <c r="L219" s="3" t="s">
        <v>508</v>
      </c>
      <c r="M219" s="3" t="s">
        <v>1820</v>
      </c>
      <c r="N219" s="3" t="s">
        <v>994</v>
      </c>
      <c r="O219" s="5">
        <v>45223</v>
      </c>
      <c r="P219" s="6">
        <v>1280</v>
      </c>
      <c r="Q219" s="7">
        <v>0</v>
      </c>
    </row>
    <row r="220" s="1" customFormat="1" ht="13.5" spans="1:17">
      <c r="A220" s="3" t="s">
        <v>1949</v>
      </c>
      <c r="B220" s="3" t="s">
        <v>1093</v>
      </c>
      <c r="C220" s="3" t="s">
        <v>1768</v>
      </c>
      <c r="D220" s="3" t="s">
        <v>991</v>
      </c>
      <c r="E220" s="3" t="s">
        <v>992</v>
      </c>
      <c r="F220" s="3" t="s">
        <v>1030</v>
      </c>
      <c r="G220" s="3" t="s">
        <v>1921</v>
      </c>
      <c r="H220" s="3" t="s">
        <v>1770</v>
      </c>
      <c r="I220" s="3" t="s">
        <v>1775</v>
      </c>
      <c r="J220" s="3" t="s">
        <v>508</v>
      </c>
      <c r="K220" s="3" t="s">
        <v>1094</v>
      </c>
      <c r="L220" s="3" t="s">
        <v>508</v>
      </c>
      <c r="M220" s="3" t="s">
        <v>1820</v>
      </c>
      <c r="N220" s="3" t="s">
        <v>994</v>
      </c>
      <c r="O220" s="5">
        <v>45223</v>
      </c>
      <c r="P220" s="6">
        <v>998</v>
      </c>
      <c r="Q220" s="7">
        <v>0</v>
      </c>
    </row>
    <row r="221" s="1" customFormat="1" ht="13.5" spans="1:17">
      <c r="A221" s="3" t="s">
        <v>1950</v>
      </c>
      <c r="B221" s="3" t="s">
        <v>1095</v>
      </c>
      <c r="C221" s="3" t="s">
        <v>1768</v>
      </c>
      <c r="D221" s="3" t="s">
        <v>991</v>
      </c>
      <c r="E221" s="3" t="s">
        <v>992</v>
      </c>
      <c r="F221" s="3" t="s">
        <v>1023</v>
      </c>
      <c r="G221" s="3" t="s">
        <v>1921</v>
      </c>
      <c r="H221" s="3" t="s">
        <v>1770</v>
      </c>
      <c r="I221" s="3" t="s">
        <v>1775</v>
      </c>
      <c r="J221" s="3" t="s">
        <v>508</v>
      </c>
      <c r="K221" s="3" t="s">
        <v>1096</v>
      </c>
      <c r="L221" s="3" t="s">
        <v>508</v>
      </c>
      <c r="M221" s="3" t="s">
        <v>1820</v>
      </c>
      <c r="N221" s="3" t="s">
        <v>994</v>
      </c>
      <c r="O221" s="5">
        <v>45225</v>
      </c>
      <c r="P221" s="6">
        <v>1094</v>
      </c>
      <c r="Q221" s="7">
        <v>0</v>
      </c>
    </row>
    <row r="222" s="1" customFormat="1" ht="13.5" spans="1:17">
      <c r="A222" s="3" t="s">
        <v>1951</v>
      </c>
      <c r="B222" s="3" t="s">
        <v>1097</v>
      </c>
      <c r="C222" s="3" t="s">
        <v>1768</v>
      </c>
      <c r="D222" s="3" t="s">
        <v>991</v>
      </c>
      <c r="E222" s="3" t="s">
        <v>992</v>
      </c>
      <c r="F222" s="3" t="s">
        <v>1000</v>
      </c>
      <c r="G222" s="3" t="s">
        <v>1921</v>
      </c>
      <c r="H222" s="3" t="s">
        <v>1770</v>
      </c>
      <c r="I222" s="3" t="s">
        <v>1775</v>
      </c>
      <c r="J222" s="3" t="s">
        <v>508</v>
      </c>
      <c r="K222" s="3" t="s">
        <v>1098</v>
      </c>
      <c r="L222" s="3" t="s">
        <v>508</v>
      </c>
      <c r="M222" s="3" t="s">
        <v>1820</v>
      </c>
      <c r="N222" s="3" t="s">
        <v>994</v>
      </c>
      <c r="O222" s="5">
        <v>45225</v>
      </c>
      <c r="P222" s="6">
        <v>1580</v>
      </c>
      <c r="Q222" s="7">
        <v>0</v>
      </c>
    </row>
    <row r="223" s="1" customFormat="1" ht="13.5" spans="1:17">
      <c r="A223" s="3" t="s">
        <v>1952</v>
      </c>
      <c r="B223" s="3" t="s">
        <v>1099</v>
      </c>
      <c r="C223" s="3" t="s">
        <v>1768</v>
      </c>
      <c r="D223" s="3" t="s">
        <v>991</v>
      </c>
      <c r="E223" s="3" t="s">
        <v>992</v>
      </c>
      <c r="F223" s="3" t="s">
        <v>1082</v>
      </c>
      <c r="G223" s="3" t="s">
        <v>1921</v>
      </c>
      <c r="H223" s="3" t="s">
        <v>1770</v>
      </c>
      <c r="I223" s="3" t="s">
        <v>1775</v>
      </c>
      <c r="J223" s="3" t="s">
        <v>508</v>
      </c>
      <c r="K223" s="3" t="s">
        <v>1100</v>
      </c>
      <c r="L223" s="3" t="s">
        <v>508</v>
      </c>
      <c r="M223" s="3" t="s">
        <v>1820</v>
      </c>
      <c r="N223" s="3" t="s">
        <v>994</v>
      </c>
      <c r="O223" s="5">
        <v>45225</v>
      </c>
      <c r="P223" s="6">
        <v>600</v>
      </c>
      <c r="Q223" s="7">
        <v>0</v>
      </c>
    </row>
    <row r="224" s="1" customFormat="1" ht="13.5" spans="1:17">
      <c r="A224" s="3" t="s">
        <v>1953</v>
      </c>
      <c r="B224" s="3" t="s">
        <v>1101</v>
      </c>
      <c r="C224" s="3" t="s">
        <v>1768</v>
      </c>
      <c r="D224" s="3" t="s">
        <v>991</v>
      </c>
      <c r="E224" s="3" t="s">
        <v>992</v>
      </c>
      <c r="F224" s="3" t="s">
        <v>1103</v>
      </c>
      <c r="G224" s="3" t="s">
        <v>1921</v>
      </c>
      <c r="H224" s="3" t="s">
        <v>1770</v>
      </c>
      <c r="I224" s="3" t="s">
        <v>1775</v>
      </c>
      <c r="J224" s="3" t="s">
        <v>508</v>
      </c>
      <c r="K224" s="3" t="s">
        <v>1102</v>
      </c>
      <c r="L224" s="3" t="s">
        <v>508</v>
      </c>
      <c r="M224" s="3" t="s">
        <v>1820</v>
      </c>
      <c r="N224" s="3" t="s">
        <v>994</v>
      </c>
      <c r="O224" s="5">
        <v>45223</v>
      </c>
      <c r="P224" s="6">
        <v>1243</v>
      </c>
      <c r="Q224" s="7">
        <v>0</v>
      </c>
    </row>
    <row r="225" s="1" customFormat="1" ht="13.5" spans="1:17">
      <c r="A225" s="3" t="s">
        <v>1954</v>
      </c>
      <c r="B225" s="3" t="s">
        <v>1104</v>
      </c>
      <c r="C225" s="3" t="s">
        <v>1768</v>
      </c>
      <c r="D225" s="3" t="s">
        <v>991</v>
      </c>
      <c r="E225" s="3" t="s">
        <v>992</v>
      </c>
      <c r="F225" s="3" t="s">
        <v>1000</v>
      </c>
      <c r="G225" s="3" t="s">
        <v>1921</v>
      </c>
      <c r="H225" s="3" t="s">
        <v>1770</v>
      </c>
      <c r="I225" s="3" t="s">
        <v>1775</v>
      </c>
      <c r="J225" s="3" t="s">
        <v>508</v>
      </c>
      <c r="K225" s="3" t="s">
        <v>1105</v>
      </c>
      <c r="L225" s="3" t="s">
        <v>508</v>
      </c>
      <c r="M225" s="3" t="s">
        <v>1820</v>
      </c>
      <c r="N225" s="3" t="s">
        <v>994</v>
      </c>
      <c r="O225" s="5">
        <v>45223</v>
      </c>
      <c r="P225" s="6">
        <v>600</v>
      </c>
      <c r="Q225" s="7">
        <v>0</v>
      </c>
    </row>
    <row r="226" s="1" customFormat="1" ht="13.5" spans="1:17">
      <c r="A226" s="3" t="s">
        <v>1955</v>
      </c>
      <c r="B226" s="3" t="s">
        <v>1106</v>
      </c>
      <c r="C226" s="3" t="s">
        <v>1768</v>
      </c>
      <c r="D226" s="3" t="s">
        <v>991</v>
      </c>
      <c r="E226" s="3" t="s">
        <v>992</v>
      </c>
      <c r="F226" s="3" t="s">
        <v>1013</v>
      </c>
      <c r="G226" s="3" t="s">
        <v>1921</v>
      </c>
      <c r="H226" s="3" t="s">
        <v>1770</v>
      </c>
      <c r="I226" s="3" t="s">
        <v>1775</v>
      </c>
      <c r="J226" s="3" t="s">
        <v>508</v>
      </c>
      <c r="K226" s="3" t="s">
        <v>1107</v>
      </c>
      <c r="L226" s="3" t="s">
        <v>508</v>
      </c>
      <c r="M226" s="3" t="s">
        <v>1820</v>
      </c>
      <c r="N226" s="3" t="s">
        <v>994</v>
      </c>
      <c r="O226" s="5">
        <v>45233</v>
      </c>
      <c r="P226" s="6">
        <v>1580</v>
      </c>
      <c r="Q226" s="7">
        <v>0</v>
      </c>
    </row>
    <row r="227" s="1" customFormat="1" ht="13.5" spans="1:17">
      <c r="A227" s="3" t="s">
        <v>1956</v>
      </c>
      <c r="B227" s="3" t="s">
        <v>1108</v>
      </c>
      <c r="C227" s="3" t="s">
        <v>1768</v>
      </c>
      <c r="D227" s="3" t="s">
        <v>991</v>
      </c>
      <c r="E227" s="3" t="s">
        <v>992</v>
      </c>
      <c r="F227" s="3" t="s">
        <v>1013</v>
      </c>
      <c r="G227" s="3" t="s">
        <v>1921</v>
      </c>
      <c r="H227" s="3" t="s">
        <v>1770</v>
      </c>
      <c r="I227" s="3" t="s">
        <v>1775</v>
      </c>
      <c r="J227" s="3" t="s">
        <v>508</v>
      </c>
      <c r="K227" s="3" t="s">
        <v>1109</v>
      </c>
      <c r="L227" s="3" t="s">
        <v>508</v>
      </c>
      <c r="M227" s="3" t="s">
        <v>1820</v>
      </c>
      <c r="N227" s="3" t="s">
        <v>994</v>
      </c>
      <c r="O227" s="5">
        <v>45233</v>
      </c>
      <c r="P227" s="6">
        <v>1780</v>
      </c>
      <c r="Q227" s="7">
        <v>0</v>
      </c>
    </row>
    <row r="228" s="1" customFormat="1" ht="13.5" spans="1:17">
      <c r="A228" s="3" t="s">
        <v>1783</v>
      </c>
      <c r="B228" s="3" t="s">
        <v>1110</v>
      </c>
      <c r="C228" s="3" t="s">
        <v>1768</v>
      </c>
      <c r="D228" s="3" t="s">
        <v>991</v>
      </c>
      <c r="E228" s="3" t="s">
        <v>992</v>
      </c>
      <c r="F228" s="3" t="s">
        <v>1016</v>
      </c>
      <c r="G228" s="3" t="s">
        <v>1921</v>
      </c>
      <c r="H228" s="3" t="s">
        <v>1770</v>
      </c>
      <c r="I228" s="3" t="s">
        <v>1775</v>
      </c>
      <c r="J228" s="3" t="s">
        <v>508</v>
      </c>
      <c r="K228" s="3" t="s">
        <v>1111</v>
      </c>
      <c r="L228" s="3" t="s">
        <v>508</v>
      </c>
      <c r="M228" s="3" t="s">
        <v>1820</v>
      </c>
      <c r="N228" s="3" t="s">
        <v>994</v>
      </c>
      <c r="O228" s="5">
        <v>45233</v>
      </c>
      <c r="P228" s="6">
        <v>997</v>
      </c>
      <c r="Q228" s="7">
        <v>0</v>
      </c>
    </row>
    <row r="229" s="1" customFormat="1" ht="13.5" spans="1:17">
      <c r="A229" s="3" t="s">
        <v>1957</v>
      </c>
      <c r="B229" s="3" t="s">
        <v>1112</v>
      </c>
      <c r="C229" s="3" t="s">
        <v>1768</v>
      </c>
      <c r="D229" s="3" t="s">
        <v>991</v>
      </c>
      <c r="E229" s="3" t="s">
        <v>992</v>
      </c>
      <c r="F229" s="3" t="s">
        <v>1114</v>
      </c>
      <c r="G229" s="3" t="s">
        <v>1921</v>
      </c>
      <c r="H229" s="3" t="s">
        <v>1770</v>
      </c>
      <c r="I229" s="3" t="s">
        <v>1775</v>
      </c>
      <c r="J229" s="3" t="s">
        <v>508</v>
      </c>
      <c r="K229" s="3" t="s">
        <v>1113</v>
      </c>
      <c r="L229" s="3" t="s">
        <v>508</v>
      </c>
      <c r="M229" s="3" t="s">
        <v>1820</v>
      </c>
      <c r="N229" s="3" t="s">
        <v>994</v>
      </c>
      <c r="O229" s="5">
        <v>45233</v>
      </c>
      <c r="P229" s="6">
        <v>1176</v>
      </c>
      <c r="Q229" s="7">
        <v>0</v>
      </c>
    </row>
    <row r="230" s="1" customFormat="1" ht="13.5" spans="1:17">
      <c r="A230" s="3" t="s">
        <v>1958</v>
      </c>
      <c r="B230" s="3" t="s">
        <v>1115</v>
      </c>
      <c r="C230" s="3" t="s">
        <v>1768</v>
      </c>
      <c r="D230" s="3" t="s">
        <v>991</v>
      </c>
      <c r="E230" s="3" t="s">
        <v>992</v>
      </c>
      <c r="F230" s="3" t="s">
        <v>1013</v>
      </c>
      <c r="G230" s="3" t="s">
        <v>1921</v>
      </c>
      <c r="H230" s="3" t="s">
        <v>1770</v>
      </c>
      <c r="I230" s="3" t="s">
        <v>1775</v>
      </c>
      <c r="J230" s="3" t="s">
        <v>508</v>
      </c>
      <c r="K230" s="3" t="s">
        <v>1116</v>
      </c>
      <c r="L230" s="3" t="s">
        <v>508</v>
      </c>
      <c r="M230" s="3" t="s">
        <v>1820</v>
      </c>
      <c r="N230" s="3" t="s">
        <v>994</v>
      </c>
      <c r="O230" s="5">
        <v>45233</v>
      </c>
      <c r="P230" s="6">
        <v>1000</v>
      </c>
      <c r="Q230" s="7">
        <v>0</v>
      </c>
    </row>
    <row r="231" s="1" customFormat="1" ht="13.5" spans="1:17">
      <c r="A231" s="3" t="s">
        <v>1959</v>
      </c>
      <c r="B231" s="3" t="s">
        <v>1117</v>
      </c>
      <c r="C231" s="3" t="s">
        <v>1768</v>
      </c>
      <c r="D231" s="3" t="s">
        <v>991</v>
      </c>
      <c r="E231" s="3" t="s">
        <v>992</v>
      </c>
      <c r="F231" s="3" t="s">
        <v>1119</v>
      </c>
      <c r="G231" s="3" t="s">
        <v>1921</v>
      </c>
      <c r="H231" s="3" t="s">
        <v>1770</v>
      </c>
      <c r="I231" s="3" t="s">
        <v>1775</v>
      </c>
      <c r="J231" s="3" t="s">
        <v>508</v>
      </c>
      <c r="K231" s="3" t="s">
        <v>1118</v>
      </c>
      <c r="L231" s="3" t="s">
        <v>508</v>
      </c>
      <c r="M231" s="3" t="s">
        <v>1820</v>
      </c>
      <c r="N231" s="3" t="s">
        <v>994</v>
      </c>
      <c r="O231" s="5">
        <v>45233</v>
      </c>
      <c r="P231" s="6">
        <v>1484</v>
      </c>
      <c r="Q231" s="7">
        <v>0</v>
      </c>
    </row>
    <row r="232" s="1" customFormat="1" ht="13.5" spans="1:17">
      <c r="A232" s="3" t="s">
        <v>1960</v>
      </c>
      <c r="B232" s="3" t="s">
        <v>1121</v>
      </c>
      <c r="C232" s="3" t="s">
        <v>1768</v>
      </c>
      <c r="D232" s="3" t="s">
        <v>991</v>
      </c>
      <c r="E232" s="3" t="s">
        <v>992</v>
      </c>
      <c r="F232" s="3" t="s">
        <v>1037</v>
      </c>
      <c r="G232" s="3" t="s">
        <v>1921</v>
      </c>
      <c r="H232" s="3" t="s">
        <v>1770</v>
      </c>
      <c r="I232" s="3" t="s">
        <v>1775</v>
      </c>
      <c r="J232" s="3" t="s">
        <v>508</v>
      </c>
      <c r="K232" s="3" t="s">
        <v>1122</v>
      </c>
      <c r="L232" s="3" t="s">
        <v>508</v>
      </c>
      <c r="M232" s="3" t="s">
        <v>1820</v>
      </c>
      <c r="N232" s="3" t="s">
        <v>994</v>
      </c>
      <c r="O232" s="5">
        <v>45233</v>
      </c>
      <c r="P232" s="6">
        <v>1350</v>
      </c>
      <c r="Q232" s="7">
        <v>0</v>
      </c>
    </row>
    <row r="233" s="1" customFormat="1" ht="13.5" spans="1:17">
      <c r="A233" s="3" t="s">
        <v>1961</v>
      </c>
      <c r="B233" s="3" t="s">
        <v>1123</v>
      </c>
      <c r="C233" s="3" t="s">
        <v>1768</v>
      </c>
      <c r="D233" s="3" t="s">
        <v>991</v>
      </c>
      <c r="E233" s="3" t="s">
        <v>992</v>
      </c>
      <c r="F233" s="3" t="s">
        <v>1013</v>
      </c>
      <c r="G233" s="3" t="s">
        <v>1921</v>
      </c>
      <c r="H233" s="3" t="s">
        <v>1770</v>
      </c>
      <c r="I233" s="3" t="s">
        <v>1775</v>
      </c>
      <c r="J233" s="3" t="s">
        <v>508</v>
      </c>
      <c r="K233" s="3" t="s">
        <v>1124</v>
      </c>
      <c r="L233" s="3" t="s">
        <v>508</v>
      </c>
      <c r="M233" s="3" t="s">
        <v>1820</v>
      </c>
      <c r="N233" s="3" t="s">
        <v>994</v>
      </c>
      <c r="O233" s="5">
        <v>45233</v>
      </c>
      <c r="P233" s="6">
        <v>890</v>
      </c>
      <c r="Q233" s="7">
        <v>0</v>
      </c>
    </row>
    <row r="234" s="1" customFormat="1" ht="13.5" spans="1:17">
      <c r="A234" s="3" t="s">
        <v>1962</v>
      </c>
      <c r="B234" s="3" t="s">
        <v>1125</v>
      </c>
      <c r="C234" s="3" t="s">
        <v>1768</v>
      </c>
      <c r="D234" s="3" t="s">
        <v>991</v>
      </c>
      <c r="E234" s="3" t="s">
        <v>992</v>
      </c>
      <c r="F234" s="3" t="s">
        <v>1127</v>
      </c>
      <c r="G234" s="3" t="s">
        <v>1921</v>
      </c>
      <c r="H234" s="3" t="s">
        <v>1770</v>
      </c>
      <c r="I234" s="3" t="s">
        <v>1775</v>
      </c>
      <c r="J234" s="3" t="s">
        <v>508</v>
      </c>
      <c r="K234" s="3" t="s">
        <v>1126</v>
      </c>
      <c r="L234" s="3" t="s">
        <v>508</v>
      </c>
      <c r="M234" s="3" t="s">
        <v>1820</v>
      </c>
      <c r="N234" s="3" t="s">
        <v>994</v>
      </c>
      <c r="O234" s="5">
        <v>45233</v>
      </c>
      <c r="P234" s="6">
        <v>1204</v>
      </c>
      <c r="Q234" s="7">
        <v>0</v>
      </c>
    </row>
    <row r="235" s="1" customFormat="1" ht="13.5" spans="1:17">
      <c r="A235" s="3" t="s">
        <v>1963</v>
      </c>
      <c r="B235" s="3" t="s">
        <v>1129</v>
      </c>
      <c r="C235" s="3" t="s">
        <v>1768</v>
      </c>
      <c r="D235" s="3" t="s">
        <v>991</v>
      </c>
      <c r="E235" s="3" t="s">
        <v>992</v>
      </c>
      <c r="F235" s="3" t="s">
        <v>1013</v>
      </c>
      <c r="G235" s="3" t="s">
        <v>1921</v>
      </c>
      <c r="H235" s="3" t="s">
        <v>1770</v>
      </c>
      <c r="I235" s="3" t="s">
        <v>1775</v>
      </c>
      <c r="J235" s="3" t="s">
        <v>508</v>
      </c>
      <c r="K235" s="3" t="s">
        <v>1130</v>
      </c>
      <c r="L235" s="3" t="s">
        <v>508</v>
      </c>
      <c r="M235" s="3" t="s">
        <v>1820</v>
      </c>
      <c r="N235" s="3" t="s">
        <v>994</v>
      </c>
      <c r="O235" s="5">
        <v>45233</v>
      </c>
      <c r="P235" s="6">
        <v>1420</v>
      </c>
      <c r="Q235" s="7">
        <v>0</v>
      </c>
    </row>
    <row r="236" s="1" customFormat="1" ht="13.5" spans="1:17">
      <c r="A236" s="3" t="s">
        <v>1964</v>
      </c>
      <c r="B236" s="3" t="s">
        <v>1131</v>
      </c>
      <c r="C236" s="3" t="s">
        <v>1768</v>
      </c>
      <c r="D236" s="3" t="s">
        <v>991</v>
      </c>
      <c r="E236" s="3" t="s">
        <v>992</v>
      </c>
      <c r="F236" s="3" t="s">
        <v>1133</v>
      </c>
      <c r="G236" s="3" t="s">
        <v>1921</v>
      </c>
      <c r="H236" s="3" t="s">
        <v>1770</v>
      </c>
      <c r="I236" s="3" t="s">
        <v>1775</v>
      </c>
      <c r="J236" s="3" t="s">
        <v>508</v>
      </c>
      <c r="K236" s="3" t="s">
        <v>1132</v>
      </c>
      <c r="L236" s="3" t="s">
        <v>508</v>
      </c>
      <c r="M236" s="3" t="s">
        <v>1820</v>
      </c>
      <c r="N236" s="3" t="s">
        <v>994</v>
      </c>
      <c r="O236" s="5">
        <v>45251</v>
      </c>
      <c r="P236" s="6">
        <v>700</v>
      </c>
      <c r="Q236" s="7">
        <v>0</v>
      </c>
    </row>
    <row r="237" s="1" customFormat="1" ht="13.5" spans="1:17">
      <c r="A237" s="3" t="s">
        <v>1965</v>
      </c>
      <c r="B237" s="3" t="s">
        <v>1134</v>
      </c>
      <c r="C237" s="3" t="s">
        <v>1768</v>
      </c>
      <c r="D237" s="3" t="s">
        <v>991</v>
      </c>
      <c r="E237" s="3" t="s">
        <v>992</v>
      </c>
      <c r="F237" s="3" t="s">
        <v>1133</v>
      </c>
      <c r="G237" s="3" t="s">
        <v>1921</v>
      </c>
      <c r="H237" s="3" t="s">
        <v>1770</v>
      </c>
      <c r="I237" s="3" t="s">
        <v>1775</v>
      </c>
      <c r="J237" s="3" t="s">
        <v>508</v>
      </c>
      <c r="K237" s="3" t="s">
        <v>1135</v>
      </c>
      <c r="L237" s="3" t="s">
        <v>508</v>
      </c>
      <c r="M237" s="3" t="s">
        <v>1820</v>
      </c>
      <c r="N237" s="3" t="s">
        <v>994</v>
      </c>
      <c r="O237" s="5">
        <v>45250</v>
      </c>
      <c r="P237" s="6">
        <v>1000</v>
      </c>
      <c r="Q237" s="7">
        <v>0</v>
      </c>
    </row>
    <row r="238" s="1" customFormat="1" ht="13.5" spans="1:17">
      <c r="A238" s="3" t="s">
        <v>1966</v>
      </c>
      <c r="B238" s="3" t="s">
        <v>1136</v>
      </c>
      <c r="C238" s="3" t="s">
        <v>1768</v>
      </c>
      <c r="D238" s="3" t="s">
        <v>991</v>
      </c>
      <c r="E238" s="3" t="s">
        <v>992</v>
      </c>
      <c r="F238" s="3" t="s">
        <v>1030</v>
      </c>
      <c r="G238" s="3" t="s">
        <v>1921</v>
      </c>
      <c r="H238" s="3" t="s">
        <v>1770</v>
      </c>
      <c r="I238" s="3" t="s">
        <v>1775</v>
      </c>
      <c r="J238" s="3" t="s">
        <v>508</v>
      </c>
      <c r="K238" s="3" t="s">
        <v>1137</v>
      </c>
      <c r="L238" s="3" t="s">
        <v>508</v>
      </c>
      <c r="M238" s="3" t="s">
        <v>1820</v>
      </c>
      <c r="N238" s="3" t="s">
        <v>994</v>
      </c>
      <c r="O238" s="5">
        <v>45244</v>
      </c>
      <c r="P238" s="6">
        <v>990</v>
      </c>
      <c r="Q238" s="7">
        <v>0</v>
      </c>
    </row>
    <row r="239" s="1" customFormat="1" ht="13.5" spans="1:17">
      <c r="A239" s="3" t="s">
        <v>1967</v>
      </c>
      <c r="B239" s="3" t="s">
        <v>1138</v>
      </c>
      <c r="C239" s="3" t="s">
        <v>1768</v>
      </c>
      <c r="D239" s="3" t="s">
        <v>991</v>
      </c>
      <c r="E239" s="3" t="s">
        <v>992</v>
      </c>
      <c r="F239" s="3" t="s">
        <v>1037</v>
      </c>
      <c r="G239" s="3" t="s">
        <v>1921</v>
      </c>
      <c r="H239" s="3" t="s">
        <v>1770</v>
      </c>
      <c r="I239" s="3" t="s">
        <v>1775</v>
      </c>
      <c r="J239" s="3" t="s">
        <v>508</v>
      </c>
      <c r="K239" s="3" t="s">
        <v>1139</v>
      </c>
      <c r="L239" s="3" t="s">
        <v>508</v>
      </c>
      <c r="M239" s="3" t="s">
        <v>1820</v>
      </c>
      <c r="N239" s="3" t="s">
        <v>994</v>
      </c>
      <c r="O239" s="5">
        <v>45244</v>
      </c>
      <c r="P239" s="6">
        <v>1850</v>
      </c>
      <c r="Q239" s="7">
        <v>0</v>
      </c>
    </row>
    <row r="240" s="1" customFormat="1" ht="13.5" spans="1:17">
      <c r="A240" s="3" t="s">
        <v>1968</v>
      </c>
      <c r="B240" s="3" t="s">
        <v>1140</v>
      </c>
      <c r="C240" s="3" t="s">
        <v>1768</v>
      </c>
      <c r="D240" s="3" t="s">
        <v>991</v>
      </c>
      <c r="E240" s="3" t="s">
        <v>992</v>
      </c>
      <c r="F240" s="3" t="s">
        <v>1037</v>
      </c>
      <c r="G240" s="3" t="s">
        <v>1921</v>
      </c>
      <c r="H240" s="3" t="s">
        <v>1770</v>
      </c>
      <c r="I240" s="3" t="s">
        <v>1775</v>
      </c>
      <c r="J240" s="3" t="s">
        <v>508</v>
      </c>
      <c r="K240" s="3" t="s">
        <v>1141</v>
      </c>
      <c r="L240" s="3" t="s">
        <v>508</v>
      </c>
      <c r="M240" s="3" t="s">
        <v>1820</v>
      </c>
      <c r="N240" s="3" t="s">
        <v>994</v>
      </c>
      <c r="O240" s="5">
        <v>45244</v>
      </c>
      <c r="P240" s="6">
        <v>1900</v>
      </c>
      <c r="Q240" s="7">
        <v>0</v>
      </c>
    </row>
    <row r="241" s="1" customFormat="1" ht="13.5" spans="1:17">
      <c r="A241" s="3" t="s">
        <v>1815</v>
      </c>
      <c r="B241" s="3" t="s">
        <v>1142</v>
      </c>
      <c r="C241" s="3" t="s">
        <v>1768</v>
      </c>
      <c r="D241" s="3" t="s">
        <v>991</v>
      </c>
      <c r="E241" s="3" t="s">
        <v>992</v>
      </c>
      <c r="F241" s="3" t="s">
        <v>1030</v>
      </c>
      <c r="G241" s="3" t="s">
        <v>1921</v>
      </c>
      <c r="H241" s="3" t="s">
        <v>1770</v>
      </c>
      <c r="I241" s="3" t="s">
        <v>1775</v>
      </c>
      <c r="J241" s="3" t="s">
        <v>508</v>
      </c>
      <c r="K241" s="3" t="s">
        <v>1143</v>
      </c>
      <c r="L241" s="3" t="s">
        <v>508</v>
      </c>
      <c r="M241" s="3" t="s">
        <v>1820</v>
      </c>
      <c r="N241" s="3" t="s">
        <v>994</v>
      </c>
      <c r="O241" s="5">
        <v>45245</v>
      </c>
      <c r="P241" s="6">
        <v>1180</v>
      </c>
      <c r="Q241" s="7">
        <v>0</v>
      </c>
    </row>
    <row r="242" s="1" customFormat="1" ht="13.5" spans="1:17">
      <c r="A242" s="3" t="s">
        <v>1969</v>
      </c>
      <c r="B242" s="3" t="s">
        <v>1144</v>
      </c>
      <c r="C242" s="3" t="s">
        <v>1768</v>
      </c>
      <c r="D242" s="3" t="s">
        <v>991</v>
      </c>
      <c r="E242" s="3" t="s">
        <v>992</v>
      </c>
      <c r="F242" s="3" t="s">
        <v>1146</v>
      </c>
      <c r="G242" s="3" t="s">
        <v>1921</v>
      </c>
      <c r="H242" s="3" t="s">
        <v>1770</v>
      </c>
      <c r="I242" s="3" t="s">
        <v>1775</v>
      </c>
      <c r="J242" s="3" t="s">
        <v>508</v>
      </c>
      <c r="K242" s="3" t="s">
        <v>1145</v>
      </c>
      <c r="L242" s="3" t="s">
        <v>508</v>
      </c>
      <c r="M242" s="3" t="s">
        <v>1820</v>
      </c>
      <c r="N242" s="3" t="s">
        <v>994</v>
      </c>
      <c r="O242" s="5">
        <v>45245</v>
      </c>
      <c r="P242" s="6">
        <v>1980</v>
      </c>
      <c r="Q242" s="7">
        <v>0</v>
      </c>
    </row>
    <row r="243" s="1" customFormat="1" ht="13.5" spans="1:17">
      <c r="A243" s="3" t="s">
        <v>1970</v>
      </c>
      <c r="B243" s="3" t="s">
        <v>1147</v>
      </c>
      <c r="C243" s="3" t="s">
        <v>1768</v>
      </c>
      <c r="D243" s="3" t="s">
        <v>991</v>
      </c>
      <c r="E243" s="3" t="s">
        <v>992</v>
      </c>
      <c r="F243" s="3" t="s">
        <v>1030</v>
      </c>
      <c r="G243" s="3" t="s">
        <v>1921</v>
      </c>
      <c r="H243" s="3" t="s">
        <v>1770</v>
      </c>
      <c r="I243" s="3" t="s">
        <v>1775</v>
      </c>
      <c r="J243" s="3" t="s">
        <v>508</v>
      </c>
      <c r="K243" s="3" t="s">
        <v>1148</v>
      </c>
      <c r="L243" s="3" t="s">
        <v>508</v>
      </c>
      <c r="M243" s="3" t="s">
        <v>1820</v>
      </c>
      <c r="N243" s="3" t="s">
        <v>994</v>
      </c>
      <c r="O243" s="5">
        <v>45244</v>
      </c>
      <c r="P243" s="6">
        <v>1190</v>
      </c>
      <c r="Q243" s="7">
        <v>0</v>
      </c>
    </row>
    <row r="244" s="1" customFormat="1" ht="13.5" spans="1:17">
      <c r="A244" s="3" t="s">
        <v>1971</v>
      </c>
      <c r="B244" s="3" t="s">
        <v>1149</v>
      </c>
      <c r="C244" s="3" t="s">
        <v>1768</v>
      </c>
      <c r="D244" s="3" t="s">
        <v>991</v>
      </c>
      <c r="E244" s="3" t="s">
        <v>992</v>
      </c>
      <c r="F244" s="3" t="s">
        <v>1010</v>
      </c>
      <c r="G244" s="3" t="s">
        <v>1921</v>
      </c>
      <c r="H244" s="3" t="s">
        <v>1770</v>
      </c>
      <c r="I244" s="3" t="s">
        <v>1775</v>
      </c>
      <c r="J244" s="3" t="s">
        <v>508</v>
      </c>
      <c r="K244" s="3" t="s">
        <v>1150</v>
      </c>
      <c r="L244" s="3" t="s">
        <v>508</v>
      </c>
      <c r="M244" s="3" t="s">
        <v>1820</v>
      </c>
      <c r="N244" s="3" t="s">
        <v>994</v>
      </c>
      <c r="O244" s="5">
        <v>45245</v>
      </c>
      <c r="P244" s="6">
        <v>1450</v>
      </c>
      <c r="Q244" s="7">
        <v>0</v>
      </c>
    </row>
    <row r="245" s="1" customFormat="1" ht="13.5" spans="1:17">
      <c r="A245" s="3" t="s">
        <v>1972</v>
      </c>
      <c r="B245" s="3" t="s">
        <v>1151</v>
      </c>
      <c r="C245" s="3" t="s">
        <v>1768</v>
      </c>
      <c r="D245" s="3" t="s">
        <v>991</v>
      </c>
      <c r="E245" s="3" t="s">
        <v>992</v>
      </c>
      <c r="F245" s="3" t="s">
        <v>1153</v>
      </c>
      <c r="G245" s="3" t="s">
        <v>1921</v>
      </c>
      <c r="H245" s="3" t="s">
        <v>1770</v>
      </c>
      <c r="I245" s="3" t="s">
        <v>1775</v>
      </c>
      <c r="J245" s="3" t="s">
        <v>508</v>
      </c>
      <c r="K245" s="3" t="s">
        <v>1152</v>
      </c>
      <c r="L245" s="3" t="s">
        <v>508</v>
      </c>
      <c r="M245" s="3" t="s">
        <v>1820</v>
      </c>
      <c r="N245" s="3" t="s">
        <v>994</v>
      </c>
      <c r="O245" s="5">
        <v>45265</v>
      </c>
      <c r="P245" s="6">
        <v>1588</v>
      </c>
      <c r="Q245" s="7">
        <v>0</v>
      </c>
    </row>
    <row r="246" s="1" customFormat="1" ht="13.5" spans="1:17">
      <c r="A246" s="3" t="s">
        <v>1973</v>
      </c>
      <c r="B246" s="3" t="s">
        <v>1155</v>
      </c>
      <c r="C246" s="3" t="s">
        <v>1768</v>
      </c>
      <c r="D246" s="3" t="s">
        <v>991</v>
      </c>
      <c r="E246" s="3" t="s">
        <v>992</v>
      </c>
      <c r="F246" s="3" t="s">
        <v>1133</v>
      </c>
      <c r="G246" s="3" t="s">
        <v>1921</v>
      </c>
      <c r="H246" s="3" t="s">
        <v>1770</v>
      </c>
      <c r="I246" s="3" t="s">
        <v>1775</v>
      </c>
      <c r="J246" s="3" t="s">
        <v>508</v>
      </c>
      <c r="K246" s="3" t="s">
        <v>1156</v>
      </c>
      <c r="L246" s="3" t="s">
        <v>508</v>
      </c>
      <c r="M246" s="3" t="s">
        <v>1820</v>
      </c>
      <c r="N246" s="3" t="s">
        <v>994</v>
      </c>
      <c r="O246" s="5">
        <v>45265</v>
      </c>
      <c r="P246" s="6">
        <v>1288</v>
      </c>
      <c r="Q246" s="7">
        <v>0</v>
      </c>
    </row>
    <row r="247" s="1" customFormat="1" ht="13.5" spans="1:17">
      <c r="A247" s="3" t="s">
        <v>1974</v>
      </c>
      <c r="B247" s="3" t="s">
        <v>1157</v>
      </c>
      <c r="C247" s="3" t="s">
        <v>1768</v>
      </c>
      <c r="D247" s="3" t="s">
        <v>991</v>
      </c>
      <c r="E247" s="3" t="s">
        <v>992</v>
      </c>
      <c r="F247" s="3" t="s">
        <v>1016</v>
      </c>
      <c r="G247" s="3" t="s">
        <v>1921</v>
      </c>
      <c r="H247" s="3" t="s">
        <v>1770</v>
      </c>
      <c r="I247" s="3" t="s">
        <v>1775</v>
      </c>
      <c r="J247" s="3" t="s">
        <v>508</v>
      </c>
      <c r="K247" s="3" t="s">
        <v>1158</v>
      </c>
      <c r="L247" s="3" t="s">
        <v>508</v>
      </c>
      <c r="M247" s="3" t="s">
        <v>1820</v>
      </c>
      <c r="N247" s="3" t="s">
        <v>994</v>
      </c>
      <c r="O247" s="5">
        <v>45273</v>
      </c>
      <c r="P247" s="6">
        <v>1284</v>
      </c>
      <c r="Q247" s="7">
        <v>0</v>
      </c>
    </row>
    <row r="248" s="1" customFormat="1" ht="13.5" spans="1:17">
      <c r="A248" s="3" t="s">
        <v>1975</v>
      </c>
      <c r="B248" s="3" t="s">
        <v>1159</v>
      </c>
      <c r="C248" s="3" t="s">
        <v>1768</v>
      </c>
      <c r="D248" s="3" t="s">
        <v>991</v>
      </c>
      <c r="E248" s="3" t="s">
        <v>992</v>
      </c>
      <c r="F248" s="3" t="s">
        <v>1023</v>
      </c>
      <c r="G248" s="3" t="s">
        <v>1921</v>
      </c>
      <c r="H248" s="3" t="s">
        <v>1770</v>
      </c>
      <c r="I248" s="3" t="s">
        <v>1775</v>
      </c>
      <c r="J248" s="3" t="s">
        <v>508</v>
      </c>
      <c r="K248" s="3" t="s">
        <v>1160</v>
      </c>
      <c r="L248" s="3" t="s">
        <v>508</v>
      </c>
      <c r="M248" s="3" t="s">
        <v>1820</v>
      </c>
      <c r="N248" s="3" t="s">
        <v>994</v>
      </c>
      <c r="O248" s="5">
        <v>45275</v>
      </c>
      <c r="P248" s="6">
        <v>1194</v>
      </c>
      <c r="Q248" s="7">
        <v>0</v>
      </c>
    </row>
    <row r="249" s="1" customFormat="1" ht="13.5" spans="1:17">
      <c r="A249" s="3" t="s">
        <v>1976</v>
      </c>
      <c r="B249" s="3" t="s">
        <v>1161</v>
      </c>
      <c r="C249" s="3" t="s">
        <v>1768</v>
      </c>
      <c r="D249" s="3" t="s">
        <v>991</v>
      </c>
      <c r="E249" s="3" t="s">
        <v>992</v>
      </c>
      <c r="F249" s="3" t="s">
        <v>1082</v>
      </c>
      <c r="G249" s="3" t="s">
        <v>1921</v>
      </c>
      <c r="H249" s="3" t="s">
        <v>1770</v>
      </c>
      <c r="I249" s="3" t="s">
        <v>1775</v>
      </c>
      <c r="J249" s="3" t="s">
        <v>508</v>
      </c>
      <c r="K249" s="3" t="s">
        <v>1162</v>
      </c>
      <c r="L249" s="3" t="s">
        <v>508</v>
      </c>
      <c r="M249" s="3" t="s">
        <v>1820</v>
      </c>
      <c r="N249" s="3" t="s">
        <v>994</v>
      </c>
      <c r="O249" s="5">
        <v>45264</v>
      </c>
      <c r="P249" s="6">
        <v>820</v>
      </c>
      <c r="Q249" s="7">
        <v>0</v>
      </c>
    </row>
    <row r="250" s="1" customFormat="1" ht="13.5" spans="1:17">
      <c r="A250" s="3" t="s">
        <v>1977</v>
      </c>
      <c r="B250" s="3" t="s">
        <v>1163</v>
      </c>
      <c r="C250" s="3" t="s">
        <v>1768</v>
      </c>
      <c r="D250" s="3" t="s">
        <v>991</v>
      </c>
      <c r="E250" s="3" t="s">
        <v>992</v>
      </c>
      <c r="F250" s="3" t="s">
        <v>1000</v>
      </c>
      <c r="G250" s="3" t="s">
        <v>1921</v>
      </c>
      <c r="H250" s="3" t="s">
        <v>1770</v>
      </c>
      <c r="I250" s="3" t="s">
        <v>1775</v>
      </c>
      <c r="J250" s="3" t="s">
        <v>508</v>
      </c>
      <c r="K250" s="3" t="s">
        <v>1164</v>
      </c>
      <c r="L250" s="3" t="s">
        <v>508</v>
      </c>
      <c r="M250" s="3" t="s">
        <v>1820</v>
      </c>
      <c r="N250" s="3" t="s">
        <v>994</v>
      </c>
      <c r="O250" s="5">
        <v>45279</v>
      </c>
      <c r="P250" s="6">
        <v>1300</v>
      </c>
      <c r="Q250" s="7">
        <v>0</v>
      </c>
    </row>
    <row r="251" s="1" customFormat="1" ht="13.5" spans="1:17">
      <c r="A251" s="3" t="s">
        <v>1978</v>
      </c>
      <c r="B251" s="3" t="s">
        <v>1165</v>
      </c>
      <c r="C251" s="3" t="s">
        <v>1768</v>
      </c>
      <c r="D251" s="3" t="s">
        <v>991</v>
      </c>
      <c r="E251" s="3" t="s">
        <v>992</v>
      </c>
      <c r="F251" s="3" t="s">
        <v>1000</v>
      </c>
      <c r="G251" s="3" t="s">
        <v>1921</v>
      </c>
      <c r="H251" s="3" t="s">
        <v>1770</v>
      </c>
      <c r="I251" s="3" t="s">
        <v>1775</v>
      </c>
      <c r="J251" s="3" t="s">
        <v>508</v>
      </c>
      <c r="K251" s="3" t="s">
        <v>1166</v>
      </c>
      <c r="L251" s="3" t="s">
        <v>508</v>
      </c>
      <c r="M251" s="3" t="s">
        <v>1820</v>
      </c>
      <c r="N251" s="3" t="s">
        <v>994</v>
      </c>
      <c r="O251" s="5">
        <v>45279</v>
      </c>
      <c r="P251" s="6">
        <v>1208</v>
      </c>
      <c r="Q251" s="7">
        <v>0</v>
      </c>
    </row>
    <row r="252" s="1" customFormat="1" ht="13.5" spans="1:17">
      <c r="A252" s="3" t="s">
        <v>1979</v>
      </c>
      <c r="B252" s="3" t="s">
        <v>1167</v>
      </c>
      <c r="C252" s="3" t="s">
        <v>1768</v>
      </c>
      <c r="D252" s="3" t="s">
        <v>991</v>
      </c>
      <c r="E252" s="3" t="s">
        <v>992</v>
      </c>
      <c r="F252" s="3" t="s">
        <v>1133</v>
      </c>
      <c r="G252" s="3" t="s">
        <v>1921</v>
      </c>
      <c r="H252" s="3" t="s">
        <v>1770</v>
      </c>
      <c r="I252" s="3" t="s">
        <v>1775</v>
      </c>
      <c r="J252" s="3" t="s">
        <v>508</v>
      </c>
      <c r="K252" s="3" t="s">
        <v>1168</v>
      </c>
      <c r="L252" s="3" t="s">
        <v>508</v>
      </c>
      <c r="M252" s="3" t="s">
        <v>1820</v>
      </c>
      <c r="N252" s="3" t="s">
        <v>994</v>
      </c>
      <c r="O252" s="5">
        <v>45280</v>
      </c>
      <c r="P252" s="6">
        <v>915</v>
      </c>
      <c r="Q252" s="7">
        <v>0</v>
      </c>
    </row>
    <row r="253" s="1" customFormat="1" ht="13.5" spans="1:17">
      <c r="A253" s="3" t="s">
        <v>1980</v>
      </c>
      <c r="B253" s="3" t="s">
        <v>1169</v>
      </c>
      <c r="C253" s="3" t="s">
        <v>1768</v>
      </c>
      <c r="D253" s="3" t="s">
        <v>991</v>
      </c>
      <c r="E253" s="3" t="s">
        <v>992</v>
      </c>
      <c r="F253" s="3" t="s">
        <v>1133</v>
      </c>
      <c r="G253" s="3" t="s">
        <v>1921</v>
      </c>
      <c r="H253" s="3" t="s">
        <v>1770</v>
      </c>
      <c r="I253" s="3" t="s">
        <v>1775</v>
      </c>
      <c r="J253" s="3" t="s">
        <v>508</v>
      </c>
      <c r="K253" s="3" t="s">
        <v>1170</v>
      </c>
      <c r="L253" s="3" t="s">
        <v>508</v>
      </c>
      <c r="M253" s="3" t="s">
        <v>1820</v>
      </c>
      <c r="N253" s="3" t="s">
        <v>994</v>
      </c>
      <c r="O253" s="5">
        <v>45264</v>
      </c>
      <c r="P253" s="6">
        <v>600</v>
      </c>
      <c r="Q253" s="7">
        <v>0</v>
      </c>
    </row>
    <row r="254" s="1" customFormat="1" ht="13.5" spans="1:17">
      <c r="A254" s="3" t="s">
        <v>1981</v>
      </c>
      <c r="B254" s="3" t="s">
        <v>1171</v>
      </c>
      <c r="C254" s="3" t="s">
        <v>1768</v>
      </c>
      <c r="D254" s="3" t="s">
        <v>991</v>
      </c>
      <c r="E254" s="3" t="s">
        <v>992</v>
      </c>
      <c r="F254" s="3" t="s">
        <v>1010</v>
      </c>
      <c r="G254" s="3" t="s">
        <v>1921</v>
      </c>
      <c r="H254" s="3" t="s">
        <v>1770</v>
      </c>
      <c r="I254" s="3" t="s">
        <v>1775</v>
      </c>
      <c r="J254" s="3" t="s">
        <v>508</v>
      </c>
      <c r="K254" s="3" t="s">
        <v>1172</v>
      </c>
      <c r="L254" s="3" t="s">
        <v>508</v>
      </c>
      <c r="M254" s="3" t="s">
        <v>1820</v>
      </c>
      <c r="N254" s="3" t="s">
        <v>994</v>
      </c>
      <c r="O254" s="5">
        <v>45270</v>
      </c>
      <c r="P254" s="6">
        <v>1870</v>
      </c>
      <c r="Q254" s="7">
        <v>0</v>
      </c>
    </row>
    <row r="255" s="1" customFormat="1" ht="13.5" spans="1:17">
      <c r="A255" s="3" t="s">
        <v>1982</v>
      </c>
      <c r="B255" s="3" t="s">
        <v>1173</v>
      </c>
      <c r="C255" s="3" t="s">
        <v>1768</v>
      </c>
      <c r="D255" s="3" t="s">
        <v>991</v>
      </c>
      <c r="E255" s="3" t="s">
        <v>992</v>
      </c>
      <c r="F255" s="3" t="s">
        <v>1000</v>
      </c>
      <c r="G255" s="3" t="s">
        <v>1921</v>
      </c>
      <c r="H255" s="3" t="s">
        <v>1770</v>
      </c>
      <c r="I255" s="3" t="s">
        <v>1775</v>
      </c>
      <c r="J255" s="3" t="s">
        <v>508</v>
      </c>
      <c r="K255" s="3" t="s">
        <v>1174</v>
      </c>
      <c r="L255" s="3" t="s">
        <v>508</v>
      </c>
      <c r="M255" s="3" t="s">
        <v>1820</v>
      </c>
      <c r="N255" s="3" t="s">
        <v>994</v>
      </c>
      <c r="O255" s="5">
        <v>45270</v>
      </c>
      <c r="P255" s="6">
        <v>1320</v>
      </c>
      <c r="Q255" s="7">
        <v>0</v>
      </c>
    </row>
    <row r="256" s="1" customFormat="1" ht="13.5" spans="1:17">
      <c r="A256" s="3" t="s">
        <v>1983</v>
      </c>
      <c r="B256" s="3" t="s">
        <v>1175</v>
      </c>
      <c r="C256" s="3" t="s">
        <v>1768</v>
      </c>
      <c r="D256" s="3" t="s">
        <v>991</v>
      </c>
      <c r="E256" s="3" t="s">
        <v>992</v>
      </c>
      <c r="F256" s="3" t="s">
        <v>1177</v>
      </c>
      <c r="G256" s="3" t="s">
        <v>1921</v>
      </c>
      <c r="H256" s="3" t="s">
        <v>1770</v>
      </c>
      <c r="I256" s="3" t="s">
        <v>1775</v>
      </c>
      <c r="J256" s="3" t="s">
        <v>508</v>
      </c>
      <c r="K256" s="3" t="s">
        <v>1176</v>
      </c>
      <c r="L256" s="3" t="s">
        <v>508</v>
      </c>
      <c r="M256" s="3" t="s">
        <v>1820</v>
      </c>
      <c r="N256" s="3" t="s">
        <v>994</v>
      </c>
      <c r="O256" s="5">
        <v>45268</v>
      </c>
      <c r="P256" s="6">
        <v>1850</v>
      </c>
      <c r="Q256" s="7">
        <v>0</v>
      </c>
    </row>
    <row r="257" s="1" customFormat="1" ht="13.5" spans="1:17">
      <c r="A257" s="3" t="s">
        <v>1984</v>
      </c>
      <c r="B257" s="3" t="s">
        <v>1179</v>
      </c>
      <c r="C257" s="3" t="s">
        <v>1768</v>
      </c>
      <c r="D257" s="3" t="s">
        <v>991</v>
      </c>
      <c r="E257" s="3" t="s">
        <v>992</v>
      </c>
      <c r="F257" s="3" t="s">
        <v>1013</v>
      </c>
      <c r="G257" s="3" t="s">
        <v>1921</v>
      </c>
      <c r="H257" s="3" t="s">
        <v>1770</v>
      </c>
      <c r="I257" s="3" t="s">
        <v>1775</v>
      </c>
      <c r="J257" s="3" t="s">
        <v>508</v>
      </c>
      <c r="K257" s="3" t="s">
        <v>1180</v>
      </c>
      <c r="L257" s="3" t="s">
        <v>508</v>
      </c>
      <c r="M257" s="3" t="s">
        <v>1820</v>
      </c>
      <c r="N257" s="3" t="s">
        <v>994</v>
      </c>
      <c r="O257" s="5">
        <v>45268</v>
      </c>
      <c r="P257" s="6">
        <v>1480</v>
      </c>
      <c r="Q257" s="7">
        <v>0</v>
      </c>
    </row>
    <row r="258" s="1" customFormat="1" ht="13.5" spans="1:17">
      <c r="A258" s="3" t="s">
        <v>1907</v>
      </c>
      <c r="B258" s="3" t="s">
        <v>1181</v>
      </c>
      <c r="C258" s="3" t="s">
        <v>1768</v>
      </c>
      <c r="D258" s="3" t="s">
        <v>991</v>
      </c>
      <c r="E258" s="3" t="s">
        <v>992</v>
      </c>
      <c r="F258" s="3" t="s">
        <v>1133</v>
      </c>
      <c r="G258" s="3" t="s">
        <v>1921</v>
      </c>
      <c r="H258" s="3" t="s">
        <v>1770</v>
      </c>
      <c r="I258" s="3" t="s">
        <v>1775</v>
      </c>
      <c r="J258" s="3" t="s">
        <v>508</v>
      </c>
      <c r="K258" s="3" t="s">
        <v>1182</v>
      </c>
      <c r="L258" s="3" t="s">
        <v>508</v>
      </c>
      <c r="M258" s="3" t="s">
        <v>1820</v>
      </c>
      <c r="N258" s="3" t="s">
        <v>994</v>
      </c>
      <c r="O258" s="5">
        <v>45268</v>
      </c>
      <c r="P258" s="6">
        <v>700</v>
      </c>
      <c r="Q258" s="7">
        <v>0</v>
      </c>
    </row>
    <row r="259" s="1" customFormat="1" ht="13.5" spans="1:17">
      <c r="A259" s="3" t="s">
        <v>1985</v>
      </c>
      <c r="B259" s="3" t="s">
        <v>1183</v>
      </c>
      <c r="C259" s="3" t="s">
        <v>1768</v>
      </c>
      <c r="D259" s="3" t="s">
        <v>991</v>
      </c>
      <c r="E259" s="3" t="s">
        <v>992</v>
      </c>
      <c r="F259" s="3" t="s">
        <v>1023</v>
      </c>
      <c r="G259" s="3" t="s">
        <v>1921</v>
      </c>
      <c r="H259" s="3" t="s">
        <v>1770</v>
      </c>
      <c r="I259" s="3" t="s">
        <v>1775</v>
      </c>
      <c r="J259" s="3" t="s">
        <v>508</v>
      </c>
      <c r="K259" s="3" t="s">
        <v>1184</v>
      </c>
      <c r="L259" s="3" t="s">
        <v>508</v>
      </c>
      <c r="M259" s="3" t="s">
        <v>1820</v>
      </c>
      <c r="N259" s="3" t="s">
        <v>994</v>
      </c>
      <c r="O259" s="5">
        <v>45268</v>
      </c>
      <c r="P259" s="6">
        <v>986</v>
      </c>
      <c r="Q259" s="7">
        <v>0</v>
      </c>
    </row>
    <row r="260" s="1" customFormat="1" ht="13.5" spans="1:17">
      <c r="A260" s="3" t="s">
        <v>1909</v>
      </c>
      <c r="B260" s="3" t="s">
        <v>1185</v>
      </c>
      <c r="C260" s="3" t="s">
        <v>1768</v>
      </c>
      <c r="D260" s="3" t="s">
        <v>991</v>
      </c>
      <c r="E260" s="3" t="s">
        <v>992</v>
      </c>
      <c r="F260" s="3" t="s">
        <v>1000</v>
      </c>
      <c r="G260" s="3" t="s">
        <v>1921</v>
      </c>
      <c r="H260" s="3" t="s">
        <v>1770</v>
      </c>
      <c r="I260" s="3" t="s">
        <v>1775</v>
      </c>
      <c r="J260" s="3" t="s">
        <v>508</v>
      </c>
      <c r="K260" s="3" t="s">
        <v>1186</v>
      </c>
      <c r="L260" s="3" t="s">
        <v>508</v>
      </c>
      <c r="M260" s="3" t="s">
        <v>1820</v>
      </c>
      <c r="N260" s="3" t="s">
        <v>994</v>
      </c>
      <c r="O260" s="5">
        <v>45268</v>
      </c>
      <c r="P260" s="6">
        <v>937</v>
      </c>
      <c r="Q260" s="7">
        <v>0</v>
      </c>
    </row>
    <row r="261" s="1" customFormat="1" ht="13.5" spans="1:17">
      <c r="A261" s="3" t="s">
        <v>1986</v>
      </c>
      <c r="B261" s="3" t="s">
        <v>1187</v>
      </c>
      <c r="C261" s="3" t="s">
        <v>1768</v>
      </c>
      <c r="D261" s="3" t="s">
        <v>991</v>
      </c>
      <c r="E261" s="3" t="s">
        <v>992</v>
      </c>
      <c r="F261" s="3" t="s">
        <v>1037</v>
      </c>
      <c r="G261" s="3" t="s">
        <v>1921</v>
      </c>
      <c r="H261" s="3" t="s">
        <v>1770</v>
      </c>
      <c r="I261" s="3" t="s">
        <v>1775</v>
      </c>
      <c r="J261" s="3" t="s">
        <v>508</v>
      </c>
      <c r="K261" s="3" t="s">
        <v>1188</v>
      </c>
      <c r="L261" s="3" t="s">
        <v>508</v>
      </c>
      <c r="M261" s="3" t="s">
        <v>1820</v>
      </c>
      <c r="N261" s="3" t="s">
        <v>994</v>
      </c>
      <c r="O261" s="5">
        <v>45276</v>
      </c>
      <c r="P261" s="6">
        <v>1900</v>
      </c>
      <c r="Q261" s="7">
        <v>0</v>
      </c>
    </row>
    <row r="262" s="1" customFormat="1" ht="13.5" spans="1:17">
      <c r="A262" s="3" t="s">
        <v>1987</v>
      </c>
      <c r="B262" s="3" t="s">
        <v>1189</v>
      </c>
      <c r="C262" s="3" t="s">
        <v>1768</v>
      </c>
      <c r="D262" s="3" t="s">
        <v>991</v>
      </c>
      <c r="E262" s="3" t="s">
        <v>992</v>
      </c>
      <c r="F262" s="3" t="s">
        <v>1133</v>
      </c>
      <c r="G262" s="3" t="s">
        <v>1921</v>
      </c>
      <c r="H262" s="3" t="s">
        <v>1770</v>
      </c>
      <c r="I262" s="3" t="s">
        <v>1775</v>
      </c>
      <c r="J262" s="3" t="s">
        <v>508</v>
      </c>
      <c r="K262" s="3" t="s">
        <v>1190</v>
      </c>
      <c r="L262" s="3" t="s">
        <v>508</v>
      </c>
      <c r="M262" s="3" t="s">
        <v>1820</v>
      </c>
      <c r="N262" s="3" t="s">
        <v>994</v>
      </c>
      <c r="O262" s="5">
        <v>45280</v>
      </c>
      <c r="P262" s="6">
        <v>1195</v>
      </c>
      <c r="Q262" s="7">
        <v>0</v>
      </c>
    </row>
    <row r="263" s="1" customFormat="1" ht="13.5" spans="1:17">
      <c r="A263" s="3" t="s">
        <v>1988</v>
      </c>
      <c r="B263" s="3" t="s">
        <v>1191</v>
      </c>
      <c r="C263" s="3" t="s">
        <v>1768</v>
      </c>
      <c r="D263" s="3" t="s">
        <v>991</v>
      </c>
      <c r="E263" s="3" t="s">
        <v>992</v>
      </c>
      <c r="F263" s="3" t="s">
        <v>1133</v>
      </c>
      <c r="G263" s="3" t="s">
        <v>1921</v>
      </c>
      <c r="H263" s="3" t="s">
        <v>1770</v>
      </c>
      <c r="I263" s="3" t="s">
        <v>1775</v>
      </c>
      <c r="J263" s="3" t="s">
        <v>508</v>
      </c>
      <c r="K263" s="3" t="s">
        <v>1192</v>
      </c>
      <c r="L263" s="3" t="s">
        <v>508</v>
      </c>
      <c r="M263" s="3" t="s">
        <v>1820</v>
      </c>
      <c r="N263" s="3" t="s">
        <v>994</v>
      </c>
      <c r="O263" s="5">
        <v>45275</v>
      </c>
      <c r="P263" s="6">
        <v>296</v>
      </c>
      <c r="Q263" s="7">
        <v>0</v>
      </c>
    </row>
    <row r="264" s="1" customFormat="1" ht="13.5" spans="1:17">
      <c r="A264" s="3" t="s">
        <v>1942</v>
      </c>
      <c r="B264" s="3" t="s">
        <v>1193</v>
      </c>
      <c r="C264" s="3" t="s">
        <v>1768</v>
      </c>
      <c r="D264" s="3" t="s">
        <v>991</v>
      </c>
      <c r="E264" s="3" t="s">
        <v>992</v>
      </c>
      <c r="F264" s="3" t="s">
        <v>1082</v>
      </c>
      <c r="G264" s="3" t="s">
        <v>1921</v>
      </c>
      <c r="H264" s="3" t="s">
        <v>1770</v>
      </c>
      <c r="I264" s="3" t="s">
        <v>1775</v>
      </c>
      <c r="J264" s="3" t="s">
        <v>508</v>
      </c>
      <c r="K264" s="3" t="s">
        <v>1194</v>
      </c>
      <c r="L264" s="3" t="s">
        <v>508</v>
      </c>
      <c r="M264" s="3" t="s">
        <v>1820</v>
      </c>
      <c r="N264" s="3" t="s">
        <v>994</v>
      </c>
      <c r="O264" s="5">
        <v>45268</v>
      </c>
      <c r="P264" s="6">
        <v>800</v>
      </c>
      <c r="Q264" s="7">
        <v>0</v>
      </c>
    </row>
    <row r="265" s="1" customFormat="1" ht="13.5" spans="1:17">
      <c r="A265" s="3" t="s">
        <v>1827</v>
      </c>
      <c r="B265" s="3" t="s">
        <v>1195</v>
      </c>
      <c r="C265" s="3" t="s">
        <v>1768</v>
      </c>
      <c r="D265" s="3" t="s">
        <v>991</v>
      </c>
      <c r="E265" s="3" t="s">
        <v>992</v>
      </c>
      <c r="F265" s="3" t="s">
        <v>1010</v>
      </c>
      <c r="G265" s="3" t="s">
        <v>1921</v>
      </c>
      <c r="H265" s="3" t="s">
        <v>1770</v>
      </c>
      <c r="I265" s="3" t="s">
        <v>1775</v>
      </c>
      <c r="J265" s="3" t="s">
        <v>521</v>
      </c>
      <c r="K265" s="3" t="s">
        <v>1196</v>
      </c>
      <c r="L265" s="3" t="s">
        <v>521</v>
      </c>
      <c r="M265" s="3" t="s">
        <v>1820</v>
      </c>
      <c r="N265" s="3" t="s">
        <v>994</v>
      </c>
      <c r="O265" s="5">
        <v>45310</v>
      </c>
      <c r="P265" s="6">
        <v>1480</v>
      </c>
      <c r="Q265" s="7">
        <v>0</v>
      </c>
    </row>
    <row r="266" s="1" customFormat="1" ht="13.5" spans="1:17">
      <c r="A266" s="3" t="s">
        <v>1989</v>
      </c>
      <c r="B266" s="3" t="s">
        <v>1197</v>
      </c>
      <c r="C266" s="3" t="s">
        <v>1768</v>
      </c>
      <c r="D266" s="3" t="s">
        <v>991</v>
      </c>
      <c r="E266" s="3" t="s">
        <v>992</v>
      </c>
      <c r="F266" s="3" t="s">
        <v>1000</v>
      </c>
      <c r="G266" s="3" t="s">
        <v>1921</v>
      </c>
      <c r="H266" s="3" t="s">
        <v>1770</v>
      </c>
      <c r="I266" s="3" t="s">
        <v>1775</v>
      </c>
      <c r="J266" s="3" t="s">
        <v>521</v>
      </c>
      <c r="K266" s="3" t="s">
        <v>1198</v>
      </c>
      <c r="L266" s="3" t="s">
        <v>521</v>
      </c>
      <c r="M266" s="3" t="s">
        <v>1820</v>
      </c>
      <c r="N266" s="3" t="s">
        <v>994</v>
      </c>
      <c r="O266" s="5">
        <v>45303</v>
      </c>
      <c r="P266" s="6">
        <v>1185</v>
      </c>
      <c r="Q266" s="7">
        <v>0</v>
      </c>
    </row>
    <row r="267" s="1" customFormat="1" ht="13.5" spans="1:17">
      <c r="A267" s="3" t="s">
        <v>1990</v>
      </c>
      <c r="B267" s="3" t="s">
        <v>1199</v>
      </c>
      <c r="C267" s="3" t="s">
        <v>1768</v>
      </c>
      <c r="D267" s="3" t="s">
        <v>991</v>
      </c>
      <c r="E267" s="3" t="s">
        <v>992</v>
      </c>
      <c r="F267" s="3" t="s">
        <v>1082</v>
      </c>
      <c r="G267" s="3" t="s">
        <v>1921</v>
      </c>
      <c r="H267" s="3" t="s">
        <v>1770</v>
      </c>
      <c r="I267" s="3" t="s">
        <v>1775</v>
      </c>
      <c r="J267" s="3" t="s">
        <v>521</v>
      </c>
      <c r="K267" s="3" t="s">
        <v>1200</v>
      </c>
      <c r="L267" s="3" t="s">
        <v>521</v>
      </c>
      <c r="M267" s="3" t="s">
        <v>1820</v>
      </c>
      <c r="N267" s="3" t="s">
        <v>994</v>
      </c>
      <c r="O267" s="5">
        <v>45303</v>
      </c>
      <c r="P267" s="6">
        <v>1200</v>
      </c>
      <c r="Q267" s="7">
        <v>0</v>
      </c>
    </row>
    <row r="268" s="1" customFormat="1" ht="13.5" spans="1:17">
      <c r="A268" s="3" t="s">
        <v>1991</v>
      </c>
      <c r="B268" s="3" t="s">
        <v>1201</v>
      </c>
      <c r="C268" s="3" t="s">
        <v>1768</v>
      </c>
      <c r="D268" s="3" t="s">
        <v>991</v>
      </c>
      <c r="E268" s="3" t="s">
        <v>992</v>
      </c>
      <c r="F268" s="3" t="s">
        <v>1133</v>
      </c>
      <c r="G268" s="3" t="s">
        <v>1921</v>
      </c>
      <c r="H268" s="3" t="s">
        <v>1770</v>
      </c>
      <c r="I268" s="3" t="s">
        <v>1775</v>
      </c>
      <c r="J268" s="3" t="s">
        <v>521</v>
      </c>
      <c r="K268" s="3" t="s">
        <v>1202</v>
      </c>
      <c r="L268" s="3" t="s">
        <v>521</v>
      </c>
      <c r="M268" s="3" t="s">
        <v>1820</v>
      </c>
      <c r="N268" s="3" t="s">
        <v>994</v>
      </c>
      <c r="O268" s="5">
        <v>45303</v>
      </c>
      <c r="P268" s="6">
        <v>1146</v>
      </c>
      <c r="Q268" s="7">
        <v>0</v>
      </c>
    </row>
    <row r="269" s="1" customFormat="1" ht="13.5" spans="1:17">
      <c r="A269" s="3" t="s">
        <v>1992</v>
      </c>
      <c r="B269" s="3" t="s">
        <v>1203</v>
      </c>
      <c r="C269" s="3" t="s">
        <v>1768</v>
      </c>
      <c r="D269" s="3" t="s">
        <v>991</v>
      </c>
      <c r="E269" s="3" t="s">
        <v>992</v>
      </c>
      <c r="F269" s="3" t="s">
        <v>1205</v>
      </c>
      <c r="G269" s="3" t="s">
        <v>1921</v>
      </c>
      <c r="H269" s="3" t="s">
        <v>1770</v>
      </c>
      <c r="I269" s="3" t="s">
        <v>1775</v>
      </c>
      <c r="J269" s="3" t="s">
        <v>521</v>
      </c>
      <c r="K269" s="3" t="s">
        <v>1204</v>
      </c>
      <c r="L269" s="3" t="s">
        <v>521</v>
      </c>
      <c r="M269" s="3" t="s">
        <v>1820</v>
      </c>
      <c r="N269" s="3" t="s">
        <v>994</v>
      </c>
      <c r="O269" s="5">
        <v>45363</v>
      </c>
      <c r="P269" s="6">
        <v>1940</v>
      </c>
      <c r="Q269" s="7">
        <v>0</v>
      </c>
    </row>
    <row r="270" s="1" customFormat="1" ht="13.5" spans="1:17">
      <c r="A270" s="3" t="s">
        <v>1993</v>
      </c>
      <c r="B270" s="3" t="s">
        <v>1207</v>
      </c>
      <c r="C270" s="3" t="s">
        <v>1768</v>
      </c>
      <c r="D270" s="3" t="s">
        <v>991</v>
      </c>
      <c r="E270" s="3" t="s">
        <v>992</v>
      </c>
      <c r="F270" s="3" t="s">
        <v>1209</v>
      </c>
      <c r="G270" s="3" t="s">
        <v>1921</v>
      </c>
      <c r="H270" s="3" t="s">
        <v>1770</v>
      </c>
      <c r="I270" s="3" t="s">
        <v>1775</v>
      </c>
      <c r="J270" s="3" t="s">
        <v>521</v>
      </c>
      <c r="K270" s="3" t="s">
        <v>1208</v>
      </c>
      <c r="L270" s="3" t="s">
        <v>521</v>
      </c>
      <c r="M270" s="3" t="s">
        <v>1820</v>
      </c>
      <c r="N270" s="3" t="s">
        <v>994</v>
      </c>
      <c r="O270" s="5">
        <v>45364</v>
      </c>
      <c r="P270" s="6">
        <v>968</v>
      </c>
      <c r="Q270" s="7">
        <v>0</v>
      </c>
    </row>
    <row r="271" s="1" customFormat="1" ht="13.5" spans="1:17">
      <c r="A271" s="3" t="s">
        <v>1994</v>
      </c>
      <c r="B271" s="3" t="s">
        <v>1210</v>
      </c>
      <c r="C271" s="3" t="s">
        <v>1768</v>
      </c>
      <c r="D271" s="3" t="s">
        <v>991</v>
      </c>
      <c r="E271" s="3" t="s">
        <v>992</v>
      </c>
      <c r="F271" s="3" t="s">
        <v>1082</v>
      </c>
      <c r="G271" s="3" t="s">
        <v>1921</v>
      </c>
      <c r="H271" s="3" t="s">
        <v>1770</v>
      </c>
      <c r="I271" s="3" t="s">
        <v>1775</v>
      </c>
      <c r="J271" s="3" t="s">
        <v>521</v>
      </c>
      <c r="K271" s="3" t="s">
        <v>1211</v>
      </c>
      <c r="L271" s="3" t="s">
        <v>521</v>
      </c>
      <c r="M271" s="3" t="s">
        <v>1820</v>
      </c>
      <c r="N271" s="3" t="s">
        <v>994</v>
      </c>
      <c r="O271" s="5">
        <v>45376</v>
      </c>
      <c r="P271" s="6">
        <v>1254</v>
      </c>
      <c r="Q271" s="7">
        <v>0</v>
      </c>
    </row>
    <row r="272" s="1" customFormat="1" ht="13.5" spans="1:17">
      <c r="A272" s="3" t="s">
        <v>1995</v>
      </c>
      <c r="B272" s="3" t="s">
        <v>1212</v>
      </c>
      <c r="C272" s="3" t="s">
        <v>1768</v>
      </c>
      <c r="D272" s="3" t="s">
        <v>991</v>
      </c>
      <c r="E272" s="3" t="s">
        <v>992</v>
      </c>
      <c r="F272" s="3" t="s">
        <v>1000</v>
      </c>
      <c r="G272" s="3" t="s">
        <v>1921</v>
      </c>
      <c r="H272" s="3" t="s">
        <v>1770</v>
      </c>
      <c r="I272" s="3" t="s">
        <v>1775</v>
      </c>
      <c r="J272" s="3" t="s">
        <v>521</v>
      </c>
      <c r="K272" s="3" t="s">
        <v>1213</v>
      </c>
      <c r="L272" s="3" t="s">
        <v>521</v>
      </c>
      <c r="M272" s="3" t="s">
        <v>1820</v>
      </c>
      <c r="N272" s="3" t="s">
        <v>994</v>
      </c>
      <c r="O272" s="5">
        <v>45376</v>
      </c>
      <c r="P272" s="6">
        <v>1150</v>
      </c>
      <c r="Q272" s="7">
        <v>0</v>
      </c>
    </row>
    <row r="273" s="1" customFormat="1" ht="13.5" spans="1:17">
      <c r="A273" s="3" t="s">
        <v>1996</v>
      </c>
      <c r="B273" s="3" t="s">
        <v>1214</v>
      </c>
      <c r="C273" s="3" t="s">
        <v>1768</v>
      </c>
      <c r="D273" s="3" t="s">
        <v>991</v>
      </c>
      <c r="E273" s="3" t="s">
        <v>992</v>
      </c>
      <c r="F273" s="3" t="s">
        <v>1037</v>
      </c>
      <c r="G273" s="3" t="s">
        <v>1921</v>
      </c>
      <c r="H273" s="3" t="s">
        <v>1770</v>
      </c>
      <c r="I273" s="3" t="s">
        <v>1775</v>
      </c>
      <c r="J273" s="3" t="s">
        <v>521</v>
      </c>
      <c r="K273" s="3" t="s">
        <v>1215</v>
      </c>
      <c r="L273" s="3" t="s">
        <v>521</v>
      </c>
      <c r="M273" s="3" t="s">
        <v>1820</v>
      </c>
      <c r="N273" s="3" t="s">
        <v>994</v>
      </c>
      <c r="O273" s="5">
        <v>45394</v>
      </c>
      <c r="P273" s="6">
        <v>960</v>
      </c>
      <c r="Q273" s="7">
        <v>0</v>
      </c>
    </row>
    <row r="274" s="1" customFormat="1" ht="13.5" spans="1:17">
      <c r="A274" s="3" t="s">
        <v>1997</v>
      </c>
      <c r="B274" s="3" t="s">
        <v>1230</v>
      </c>
      <c r="C274" s="3" t="s">
        <v>1768</v>
      </c>
      <c r="D274" s="3" t="s">
        <v>1232</v>
      </c>
      <c r="E274" s="3" t="s">
        <v>1233</v>
      </c>
      <c r="F274" s="3" t="s">
        <v>170</v>
      </c>
      <c r="G274" s="3" t="s">
        <v>1819</v>
      </c>
      <c r="H274" s="3" t="s">
        <v>1770</v>
      </c>
      <c r="I274" s="3" t="s">
        <v>1775</v>
      </c>
      <c r="J274" s="3" t="s">
        <v>508</v>
      </c>
      <c r="K274" s="3" t="s">
        <v>1231</v>
      </c>
      <c r="L274" s="3" t="s">
        <v>508</v>
      </c>
      <c r="M274" s="3" t="s">
        <v>1820</v>
      </c>
      <c r="N274" s="3" t="s">
        <v>647</v>
      </c>
      <c r="O274" s="5">
        <v>45216</v>
      </c>
      <c r="P274" s="6">
        <v>159281.3</v>
      </c>
      <c r="Q274" s="7">
        <v>0</v>
      </c>
    </row>
    <row r="275" s="1" customFormat="1" ht="13.5" spans="1:17">
      <c r="A275" s="3" t="s">
        <v>1998</v>
      </c>
      <c r="B275" s="3" t="s">
        <v>1237</v>
      </c>
      <c r="C275" s="3" t="s">
        <v>1768</v>
      </c>
      <c r="D275" s="3" t="s">
        <v>1239</v>
      </c>
      <c r="E275" s="3" t="s">
        <v>1240</v>
      </c>
      <c r="F275" s="3" t="s">
        <v>175</v>
      </c>
      <c r="G275" s="3" t="s">
        <v>1819</v>
      </c>
      <c r="H275" s="3" t="s">
        <v>1770</v>
      </c>
      <c r="I275" s="3" t="s">
        <v>1775</v>
      </c>
      <c r="J275" s="3" t="s">
        <v>508</v>
      </c>
      <c r="K275" s="3" t="s">
        <v>1238</v>
      </c>
      <c r="L275" s="3" t="s">
        <v>508</v>
      </c>
      <c r="M275" s="3" t="s">
        <v>1820</v>
      </c>
      <c r="N275" s="3" t="s">
        <v>647</v>
      </c>
      <c r="O275" s="5">
        <v>45273</v>
      </c>
      <c r="P275" s="6">
        <v>471858.4</v>
      </c>
      <c r="Q275" s="7">
        <v>0</v>
      </c>
    </row>
    <row r="276" s="1" customFormat="1" ht="13.5" spans="1:17">
      <c r="A276" s="3" t="s">
        <v>1999</v>
      </c>
      <c r="B276" s="3" t="s">
        <v>1257</v>
      </c>
      <c r="C276" s="3" t="s">
        <v>1768</v>
      </c>
      <c r="D276" s="3" t="s">
        <v>1259</v>
      </c>
      <c r="E276" s="3" t="s">
        <v>1260</v>
      </c>
      <c r="F276" s="3" t="s">
        <v>119</v>
      </c>
      <c r="G276" s="3" t="s">
        <v>1819</v>
      </c>
      <c r="H276" s="3" t="s">
        <v>1770</v>
      </c>
      <c r="I276" s="3" t="s">
        <v>1775</v>
      </c>
      <c r="J276" s="3" t="s">
        <v>508</v>
      </c>
      <c r="K276" s="3" t="s">
        <v>1258</v>
      </c>
      <c r="L276" s="3" t="s">
        <v>508</v>
      </c>
      <c r="M276" s="3" t="s">
        <v>1820</v>
      </c>
      <c r="N276" s="3" t="s">
        <v>647</v>
      </c>
      <c r="O276" s="5">
        <v>45223</v>
      </c>
      <c r="P276" s="6">
        <v>350943.4</v>
      </c>
      <c r="Q276" s="7">
        <v>0</v>
      </c>
    </row>
    <row r="277" s="1" customFormat="1" ht="13.5" spans="1:17">
      <c r="A277" s="3" t="s">
        <v>2000</v>
      </c>
      <c r="B277" s="3" t="s">
        <v>1261</v>
      </c>
      <c r="C277" s="3" t="s">
        <v>1768</v>
      </c>
      <c r="D277" s="3" t="s">
        <v>1259</v>
      </c>
      <c r="E277" s="3" t="s">
        <v>1260</v>
      </c>
      <c r="F277" s="3" t="s">
        <v>165</v>
      </c>
      <c r="G277" s="3" t="s">
        <v>1819</v>
      </c>
      <c r="H277" s="3" t="s">
        <v>1770</v>
      </c>
      <c r="I277" s="3" t="s">
        <v>1775</v>
      </c>
      <c r="J277" s="3" t="s">
        <v>508</v>
      </c>
      <c r="K277" s="3" t="s">
        <v>1262</v>
      </c>
      <c r="L277" s="3" t="s">
        <v>508</v>
      </c>
      <c r="M277" s="3" t="s">
        <v>1820</v>
      </c>
      <c r="N277" s="3" t="s">
        <v>647</v>
      </c>
      <c r="O277" s="5">
        <v>45244</v>
      </c>
      <c r="P277" s="6">
        <v>174757.28</v>
      </c>
      <c r="Q277" s="7">
        <v>0</v>
      </c>
    </row>
    <row r="278" s="1" customFormat="1" ht="13.5" spans="1:17">
      <c r="A278" s="3" t="s">
        <v>2001</v>
      </c>
      <c r="B278" s="3" t="s">
        <v>1268</v>
      </c>
      <c r="C278" s="3" t="s">
        <v>1768</v>
      </c>
      <c r="D278" s="3" t="s">
        <v>1259</v>
      </c>
      <c r="E278" s="3" t="s">
        <v>1260</v>
      </c>
      <c r="F278" s="3" t="s">
        <v>161</v>
      </c>
      <c r="G278" s="3" t="s">
        <v>1819</v>
      </c>
      <c r="H278" s="3" t="s">
        <v>1770</v>
      </c>
      <c r="I278" s="3" t="s">
        <v>1775</v>
      </c>
      <c r="J278" s="3" t="s">
        <v>508</v>
      </c>
      <c r="K278" s="3" t="s">
        <v>1269</v>
      </c>
      <c r="L278" s="3" t="s">
        <v>508</v>
      </c>
      <c r="M278" s="3" t="s">
        <v>1820</v>
      </c>
      <c r="N278" s="3" t="s">
        <v>647</v>
      </c>
      <c r="O278" s="5">
        <v>45244</v>
      </c>
      <c r="P278" s="6">
        <v>231067.96</v>
      </c>
      <c r="Q278" s="7">
        <v>0</v>
      </c>
    </row>
    <row r="279" s="1" customFormat="1" ht="13.5" spans="1:17">
      <c r="A279" s="3" t="s">
        <v>2002</v>
      </c>
      <c r="B279" s="3" t="s">
        <v>1270</v>
      </c>
      <c r="C279" s="3" t="s">
        <v>1768</v>
      </c>
      <c r="D279" s="3" t="s">
        <v>1259</v>
      </c>
      <c r="E279" s="3" t="s">
        <v>1260</v>
      </c>
      <c r="F279" s="3" t="s">
        <v>141</v>
      </c>
      <c r="G279" s="3" t="s">
        <v>1819</v>
      </c>
      <c r="H279" s="3" t="s">
        <v>1770</v>
      </c>
      <c r="I279" s="3" t="s">
        <v>1775</v>
      </c>
      <c r="J279" s="3" t="s">
        <v>508</v>
      </c>
      <c r="K279" s="3" t="s">
        <v>1271</v>
      </c>
      <c r="L279" s="3" t="s">
        <v>508</v>
      </c>
      <c r="M279" s="3" t="s">
        <v>1820</v>
      </c>
      <c r="N279" s="3" t="s">
        <v>647</v>
      </c>
      <c r="O279" s="5">
        <v>45239</v>
      </c>
      <c r="P279" s="6">
        <v>424528.3</v>
      </c>
      <c r="Q279" s="7">
        <v>0</v>
      </c>
    </row>
    <row r="280" s="1" customFormat="1" ht="13.5" spans="1:17">
      <c r="A280" s="3" t="s">
        <v>2003</v>
      </c>
      <c r="B280" s="3" t="s">
        <v>1278</v>
      </c>
      <c r="C280" s="3" t="s">
        <v>1768</v>
      </c>
      <c r="D280" s="3" t="s">
        <v>1259</v>
      </c>
      <c r="E280" s="3" t="s">
        <v>1260</v>
      </c>
      <c r="F280" s="3" t="s">
        <v>146</v>
      </c>
      <c r="G280" s="3" t="s">
        <v>1819</v>
      </c>
      <c r="H280" s="3" t="s">
        <v>1770</v>
      </c>
      <c r="I280" s="3" t="s">
        <v>1775</v>
      </c>
      <c r="J280" s="3" t="s">
        <v>508</v>
      </c>
      <c r="K280" s="3" t="s">
        <v>1279</v>
      </c>
      <c r="L280" s="3" t="s">
        <v>508</v>
      </c>
      <c r="M280" s="3" t="s">
        <v>1820</v>
      </c>
      <c r="N280" s="3" t="s">
        <v>647</v>
      </c>
      <c r="O280" s="5">
        <v>45279</v>
      </c>
      <c r="P280" s="6">
        <v>89622.64</v>
      </c>
      <c r="Q280" s="7">
        <v>0</v>
      </c>
    </row>
    <row r="281" s="1" customFormat="1" ht="13.5" spans="1:17">
      <c r="A281" s="3" t="s">
        <v>2004</v>
      </c>
      <c r="B281" s="3" t="s">
        <v>1280</v>
      </c>
      <c r="C281" s="3" t="s">
        <v>1768</v>
      </c>
      <c r="D281" s="3" t="s">
        <v>1259</v>
      </c>
      <c r="E281" s="3" t="s">
        <v>1260</v>
      </c>
      <c r="F281" s="3" t="s">
        <v>151</v>
      </c>
      <c r="G281" s="3" t="s">
        <v>1819</v>
      </c>
      <c r="H281" s="3" t="s">
        <v>1770</v>
      </c>
      <c r="I281" s="3" t="s">
        <v>1775</v>
      </c>
      <c r="J281" s="3" t="s">
        <v>508</v>
      </c>
      <c r="K281" s="3" t="s">
        <v>1281</v>
      </c>
      <c r="L281" s="3" t="s">
        <v>508</v>
      </c>
      <c r="M281" s="3" t="s">
        <v>1820</v>
      </c>
      <c r="N281" s="3" t="s">
        <v>647</v>
      </c>
      <c r="O281" s="5">
        <v>45272</v>
      </c>
      <c r="P281" s="6">
        <v>641509.43</v>
      </c>
      <c r="Q281" s="7">
        <v>0</v>
      </c>
    </row>
    <row r="282" s="1" customFormat="1" ht="13.5" spans="1:17">
      <c r="A282" s="3" t="s">
        <v>2005</v>
      </c>
      <c r="B282" s="3" t="s">
        <v>413</v>
      </c>
      <c r="C282" s="3" t="s">
        <v>1768</v>
      </c>
      <c r="D282" s="3" t="s">
        <v>1259</v>
      </c>
      <c r="E282" s="3" t="s">
        <v>1260</v>
      </c>
      <c r="F282" s="3" t="s">
        <v>194</v>
      </c>
      <c r="G282" s="3" t="s">
        <v>1819</v>
      </c>
      <c r="H282" s="3" t="s">
        <v>1770</v>
      </c>
      <c r="I282" s="3" t="s">
        <v>1775</v>
      </c>
      <c r="J282" s="3" t="s">
        <v>508</v>
      </c>
      <c r="K282" s="3" t="s">
        <v>1282</v>
      </c>
      <c r="L282" s="3" t="s">
        <v>508</v>
      </c>
      <c r="M282" s="3" t="s">
        <v>1820</v>
      </c>
      <c r="N282" s="3" t="s">
        <v>647</v>
      </c>
      <c r="O282" s="5">
        <v>45289</v>
      </c>
      <c r="P282" s="6">
        <v>1878069.73</v>
      </c>
      <c r="Q282" s="7">
        <v>0</v>
      </c>
    </row>
    <row r="283" s="1" customFormat="1" ht="13.5" spans="1:17">
      <c r="A283" s="3" t="s">
        <v>2006</v>
      </c>
      <c r="B283" s="3" t="s">
        <v>412</v>
      </c>
      <c r="C283" s="3" t="s">
        <v>1768</v>
      </c>
      <c r="D283" s="3" t="s">
        <v>1259</v>
      </c>
      <c r="E283" s="3" t="s">
        <v>1260</v>
      </c>
      <c r="F283" s="3" t="s">
        <v>194</v>
      </c>
      <c r="G283" s="3" t="s">
        <v>1819</v>
      </c>
      <c r="H283" s="3" t="s">
        <v>1770</v>
      </c>
      <c r="I283" s="3" t="s">
        <v>1775</v>
      </c>
      <c r="J283" s="3" t="s">
        <v>508</v>
      </c>
      <c r="K283" s="3" t="s">
        <v>1283</v>
      </c>
      <c r="L283" s="3" t="s">
        <v>508</v>
      </c>
      <c r="M283" s="3" t="s">
        <v>1820</v>
      </c>
      <c r="N283" s="3" t="s">
        <v>647</v>
      </c>
      <c r="O283" s="5">
        <v>45289</v>
      </c>
      <c r="P283" s="6">
        <v>460890.63</v>
      </c>
      <c r="Q283" s="7">
        <v>0</v>
      </c>
    </row>
    <row r="284" s="1" customFormat="1" ht="13.5" spans="1:17">
      <c r="A284" s="3" t="s">
        <v>2007</v>
      </c>
      <c r="B284" s="3" t="s">
        <v>1287</v>
      </c>
      <c r="C284" s="3" t="s">
        <v>1768</v>
      </c>
      <c r="D284" s="3" t="s">
        <v>1289</v>
      </c>
      <c r="E284" s="3" t="s">
        <v>1290</v>
      </c>
      <c r="F284" s="3" t="s">
        <v>115</v>
      </c>
      <c r="G284" s="3" t="s">
        <v>1819</v>
      </c>
      <c r="H284" s="3" t="s">
        <v>1770</v>
      </c>
      <c r="I284" s="3" t="s">
        <v>1775</v>
      </c>
      <c r="J284" s="3" t="s">
        <v>508</v>
      </c>
      <c r="K284" s="3" t="s">
        <v>1288</v>
      </c>
      <c r="L284" s="3" t="s">
        <v>508</v>
      </c>
      <c r="M284" s="3" t="s">
        <v>1820</v>
      </c>
      <c r="N284" s="3" t="s">
        <v>647</v>
      </c>
      <c r="O284" s="5">
        <v>45222</v>
      </c>
      <c r="P284" s="6">
        <v>165094.34</v>
      </c>
      <c r="Q284" s="7">
        <v>0</v>
      </c>
    </row>
    <row r="285" s="1" customFormat="1" ht="13.5" spans="1:17">
      <c r="A285" s="3" t="s">
        <v>2008</v>
      </c>
      <c r="B285" s="3" t="s">
        <v>1294</v>
      </c>
      <c r="C285" s="3" t="s">
        <v>1768</v>
      </c>
      <c r="D285" s="3" t="s">
        <v>1296</v>
      </c>
      <c r="E285" s="3" t="s">
        <v>1297</v>
      </c>
      <c r="F285" s="3" t="s">
        <v>100</v>
      </c>
      <c r="G285" s="3" t="s">
        <v>1819</v>
      </c>
      <c r="H285" s="3" t="s">
        <v>1770</v>
      </c>
      <c r="I285" s="3" t="s">
        <v>1775</v>
      </c>
      <c r="J285" s="3" t="s">
        <v>508</v>
      </c>
      <c r="K285" s="3" t="s">
        <v>1295</v>
      </c>
      <c r="L285" s="3" t="s">
        <v>508</v>
      </c>
      <c r="M285" s="3" t="s">
        <v>1820</v>
      </c>
      <c r="N285" s="3" t="s">
        <v>647</v>
      </c>
      <c r="O285" s="5">
        <v>45222</v>
      </c>
      <c r="P285" s="6">
        <v>35754.72</v>
      </c>
      <c r="Q285" s="7">
        <v>0</v>
      </c>
    </row>
    <row r="286" s="1" customFormat="1" ht="13.5" spans="1:17">
      <c r="A286" s="3" t="s">
        <v>1878</v>
      </c>
      <c r="B286" s="3" t="s">
        <v>1308</v>
      </c>
      <c r="C286" s="3" t="s">
        <v>1768</v>
      </c>
      <c r="D286" s="3" t="s">
        <v>1310</v>
      </c>
      <c r="E286" s="3" t="s">
        <v>1311</v>
      </c>
      <c r="F286" s="3" t="s">
        <v>90</v>
      </c>
      <c r="G286" s="3" t="s">
        <v>1819</v>
      </c>
      <c r="H286" s="3" t="s">
        <v>1770</v>
      </c>
      <c r="I286" s="3" t="s">
        <v>1775</v>
      </c>
      <c r="J286" s="3" t="s">
        <v>508</v>
      </c>
      <c r="K286" s="3" t="s">
        <v>1309</v>
      </c>
      <c r="L286" s="3" t="s">
        <v>508</v>
      </c>
      <c r="M286" s="3" t="s">
        <v>1820</v>
      </c>
      <c r="N286" s="3" t="s">
        <v>647</v>
      </c>
      <c r="O286" s="5">
        <v>45223</v>
      </c>
      <c r="P286" s="6">
        <v>627358.49</v>
      </c>
      <c r="Q286" s="7">
        <v>0</v>
      </c>
    </row>
    <row r="287" s="1" customFormat="1" ht="13.5" spans="1:17">
      <c r="A287" s="3" t="s">
        <v>2009</v>
      </c>
      <c r="B287" s="3" t="s">
        <v>1312</v>
      </c>
      <c r="C287" s="3" t="s">
        <v>1768</v>
      </c>
      <c r="D287" s="3" t="s">
        <v>1310</v>
      </c>
      <c r="E287" s="3" t="s">
        <v>1311</v>
      </c>
      <c r="F287" s="3" t="s">
        <v>1314</v>
      </c>
      <c r="G287" s="3" t="s">
        <v>1819</v>
      </c>
      <c r="H287" s="3" t="s">
        <v>1770</v>
      </c>
      <c r="I287" s="3" t="s">
        <v>1775</v>
      </c>
      <c r="J287" s="3" t="s">
        <v>508</v>
      </c>
      <c r="K287" s="3" t="s">
        <v>1313</v>
      </c>
      <c r="L287" s="3" t="s">
        <v>508</v>
      </c>
      <c r="M287" s="3" t="s">
        <v>1820</v>
      </c>
      <c r="N287" s="3" t="s">
        <v>647</v>
      </c>
      <c r="O287" s="5">
        <v>45246</v>
      </c>
      <c r="P287" s="6">
        <v>141509.43</v>
      </c>
      <c r="Q287" s="7">
        <v>0</v>
      </c>
    </row>
    <row r="288" s="1" customFormat="1" ht="13.5" spans="1:17">
      <c r="A288" s="3" t="s">
        <v>2010</v>
      </c>
      <c r="B288" s="3" t="s">
        <v>360</v>
      </c>
      <c r="C288" s="3" t="s">
        <v>1768</v>
      </c>
      <c r="D288" s="3" t="s">
        <v>1322</v>
      </c>
      <c r="E288" s="3" t="s">
        <v>1323</v>
      </c>
      <c r="F288" s="3" t="s">
        <v>361</v>
      </c>
      <c r="G288" s="3" t="s">
        <v>1819</v>
      </c>
      <c r="H288" s="3" t="s">
        <v>1770</v>
      </c>
      <c r="I288" s="3" t="s">
        <v>1775</v>
      </c>
      <c r="J288" s="3" t="s">
        <v>521</v>
      </c>
      <c r="K288" s="3" t="s">
        <v>1321</v>
      </c>
      <c r="L288" s="3" t="s">
        <v>521</v>
      </c>
      <c r="M288" s="3" t="s">
        <v>1820</v>
      </c>
      <c r="N288" s="3" t="s">
        <v>647</v>
      </c>
      <c r="O288" s="5">
        <v>45362</v>
      </c>
      <c r="P288" s="6">
        <v>94339.62</v>
      </c>
      <c r="Q288" s="7">
        <v>0</v>
      </c>
    </row>
    <row r="289" s="1" customFormat="1" ht="13.5" spans="1:17">
      <c r="A289" s="3" t="s">
        <v>2011</v>
      </c>
      <c r="B289" s="3" t="s">
        <v>414</v>
      </c>
      <c r="C289" s="3" t="s">
        <v>1768</v>
      </c>
      <c r="D289" s="3" t="s">
        <v>1322</v>
      </c>
      <c r="E289" s="3" t="s">
        <v>1323</v>
      </c>
      <c r="F289" s="3" t="s">
        <v>415</v>
      </c>
      <c r="G289" s="3" t="s">
        <v>1819</v>
      </c>
      <c r="H289" s="3" t="s">
        <v>1770</v>
      </c>
      <c r="I289" s="3" t="s">
        <v>1775</v>
      </c>
      <c r="J289" s="3" t="s">
        <v>521</v>
      </c>
      <c r="K289" s="3" t="s">
        <v>1324</v>
      </c>
      <c r="L289" s="3" t="s">
        <v>521</v>
      </c>
      <c r="M289" s="3" t="s">
        <v>1820</v>
      </c>
      <c r="N289" s="3" t="s">
        <v>647</v>
      </c>
      <c r="O289" s="5">
        <v>45429</v>
      </c>
      <c r="P289" s="6">
        <v>229950.5</v>
      </c>
      <c r="Q289" s="7">
        <v>0</v>
      </c>
    </row>
    <row r="290" s="1" customFormat="1" ht="13.5" spans="1:17">
      <c r="A290" s="3" t="s">
        <v>1935</v>
      </c>
      <c r="B290" s="3" t="s">
        <v>1330</v>
      </c>
      <c r="C290" s="3" t="s">
        <v>1768</v>
      </c>
      <c r="D290" s="3" t="s">
        <v>1332</v>
      </c>
      <c r="E290" s="3" t="s">
        <v>1333</v>
      </c>
      <c r="F290" s="3" t="s">
        <v>110</v>
      </c>
      <c r="G290" s="3" t="s">
        <v>1819</v>
      </c>
      <c r="H290" s="3" t="s">
        <v>1770</v>
      </c>
      <c r="I290" s="3" t="s">
        <v>1775</v>
      </c>
      <c r="J290" s="3" t="s">
        <v>508</v>
      </c>
      <c r="K290" s="3" t="s">
        <v>1331</v>
      </c>
      <c r="L290" s="3" t="s">
        <v>508</v>
      </c>
      <c r="M290" s="3" t="s">
        <v>1820</v>
      </c>
      <c r="N290" s="3" t="s">
        <v>647</v>
      </c>
      <c r="O290" s="5">
        <v>45223</v>
      </c>
      <c r="P290" s="6">
        <v>83207.55</v>
      </c>
      <c r="Q290" s="7">
        <v>0</v>
      </c>
    </row>
    <row r="291" s="1" customFormat="1" ht="13.5" spans="1:17">
      <c r="A291" s="3" t="s">
        <v>2012</v>
      </c>
      <c r="B291" s="3" t="s">
        <v>1337</v>
      </c>
      <c r="C291" s="3" t="s">
        <v>1768</v>
      </c>
      <c r="D291" s="3" t="s">
        <v>1339</v>
      </c>
      <c r="E291" s="3" t="s">
        <v>1340</v>
      </c>
      <c r="F291" s="3" t="s">
        <v>105</v>
      </c>
      <c r="G291" s="3" t="s">
        <v>1819</v>
      </c>
      <c r="H291" s="3" t="s">
        <v>1770</v>
      </c>
      <c r="I291" s="3" t="s">
        <v>1775</v>
      </c>
      <c r="J291" s="3" t="s">
        <v>508</v>
      </c>
      <c r="K291" s="3" t="s">
        <v>1338</v>
      </c>
      <c r="L291" s="3" t="s">
        <v>508</v>
      </c>
      <c r="M291" s="3" t="s">
        <v>1820</v>
      </c>
      <c r="N291" s="3" t="s">
        <v>647</v>
      </c>
      <c r="O291" s="5">
        <v>45222</v>
      </c>
      <c r="P291" s="6">
        <v>131132.08</v>
      </c>
      <c r="Q291" s="7">
        <v>0</v>
      </c>
    </row>
    <row r="292" s="1" customFormat="1" ht="13.5" spans="1:17">
      <c r="A292" s="3" t="s">
        <v>2013</v>
      </c>
      <c r="B292" s="3" t="s">
        <v>1353</v>
      </c>
      <c r="C292" s="3" t="s">
        <v>1768</v>
      </c>
      <c r="D292" s="3" t="s">
        <v>1355</v>
      </c>
      <c r="E292" s="3" t="s">
        <v>1356</v>
      </c>
      <c r="F292" s="3" t="s">
        <v>1357</v>
      </c>
      <c r="G292" s="3" t="s">
        <v>1822</v>
      </c>
      <c r="H292" s="3" t="s">
        <v>1770</v>
      </c>
      <c r="I292" s="3" t="s">
        <v>1775</v>
      </c>
      <c r="J292" s="3" t="s">
        <v>508</v>
      </c>
      <c r="K292" s="3" t="s">
        <v>1354</v>
      </c>
      <c r="L292" s="3" t="s">
        <v>508</v>
      </c>
      <c r="M292" s="3" t="s">
        <v>1820</v>
      </c>
      <c r="N292" s="3" t="s">
        <v>670</v>
      </c>
      <c r="O292" s="5">
        <v>45278</v>
      </c>
      <c r="P292" s="6">
        <v>3171.16</v>
      </c>
      <c r="Q292" s="7">
        <v>0</v>
      </c>
    </row>
    <row r="293" s="1" customFormat="1" ht="13.5" spans="1:17">
      <c r="A293" s="3" t="s">
        <v>2014</v>
      </c>
      <c r="B293" s="3" t="s">
        <v>1358</v>
      </c>
      <c r="C293" s="3" t="s">
        <v>1768</v>
      </c>
      <c r="D293" s="3" t="s">
        <v>1355</v>
      </c>
      <c r="E293" s="3" t="s">
        <v>1356</v>
      </c>
      <c r="F293" s="3" t="s">
        <v>1360</v>
      </c>
      <c r="G293" s="3" t="s">
        <v>1822</v>
      </c>
      <c r="H293" s="3" t="s">
        <v>1770</v>
      </c>
      <c r="I293" s="3" t="s">
        <v>1775</v>
      </c>
      <c r="J293" s="3" t="s">
        <v>508</v>
      </c>
      <c r="K293" s="3" t="s">
        <v>1359</v>
      </c>
      <c r="L293" s="3" t="s">
        <v>508</v>
      </c>
      <c r="M293" s="3" t="s">
        <v>1820</v>
      </c>
      <c r="N293" s="3" t="s">
        <v>670</v>
      </c>
      <c r="O293" s="5">
        <v>45278</v>
      </c>
      <c r="P293" s="6">
        <v>3408.78</v>
      </c>
      <c r="Q293" s="7">
        <v>0</v>
      </c>
    </row>
    <row r="294" s="1" customFormat="1" ht="13.5" spans="1:17">
      <c r="A294" s="3" t="s">
        <v>2015</v>
      </c>
      <c r="B294" s="3" t="s">
        <v>1375</v>
      </c>
      <c r="C294" s="3" t="s">
        <v>1768</v>
      </c>
      <c r="D294" s="3" t="s">
        <v>1355</v>
      </c>
      <c r="E294" s="3" t="s">
        <v>1356</v>
      </c>
      <c r="F294" s="3" t="s">
        <v>922</v>
      </c>
      <c r="G294" s="3" t="s">
        <v>1822</v>
      </c>
      <c r="H294" s="3" t="s">
        <v>1770</v>
      </c>
      <c r="I294" s="3" t="s">
        <v>1775</v>
      </c>
      <c r="J294" s="3" t="s">
        <v>521</v>
      </c>
      <c r="K294" s="3" t="s">
        <v>1376</v>
      </c>
      <c r="L294" s="3" t="s">
        <v>521</v>
      </c>
      <c r="M294" s="3" t="s">
        <v>1820</v>
      </c>
      <c r="N294" s="3" t="s">
        <v>670</v>
      </c>
      <c r="O294" s="5">
        <v>45450</v>
      </c>
      <c r="P294" s="6">
        <v>800</v>
      </c>
      <c r="Q294" s="7">
        <v>0</v>
      </c>
    </row>
    <row r="295" s="1" customFormat="1" ht="13.5" spans="1:17">
      <c r="A295" s="3" t="s">
        <v>2016</v>
      </c>
      <c r="B295" s="3" t="s">
        <v>1366</v>
      </c>
      <c r="C295" s="3" t="s">
        <v>1768</v>
      </c>
      <c r="D295" s="3" t="s">
        <v>1355</v>
      </c>
      <c r="E295" s="3" t="s">
        <v>1356</v>
      </c>
      <c r="F295" s="3" t="s">
        <v>1368</v>
      </c>
      <c r="G295" s="3" t="s">
        <v>1822</v>
      </c>
      <c r="H295" s="3" t="s">
        <v>1770</v>
      </c>
      <c r="I295" s="3" t="s">
        <v>1775</v>
      </c>
      <c r="J295" s="3" t="s">
        <v>521</v>
      </c>
      <c r="K295" s="3" t="s">
        <v>1367</v>
      </c>
      <c r="L295" s="3" t="s">
        <v>521</v>
      </c>
      <c r="M295" s="3" t="s">
        <v>1820</v>
      </c>
      <c r="N295" s="3" t="s">
        <v>670</v>
      </c>
      <c r="O295" s="5">
        <v>45394</v>
      </c>
      <c r="P295" s="6">
        <v>688.77</v>
      </c>
      <c r="Q295" s="7">
        <v>0</v>
      </c>
    </row>
    <row r="296" s="1" customFormat="1" ht="13.5" spans="1:17">
      <c r="A296" s="3" t="s">
        <v>2017</v>
      </c>
      <c r="B296" s="3" t="s">
        <v>1369</v>
      </c>
      <c r="C296" s="3" t="s">
        <v>1768</v>
      </c>
      <c r="D296" s="3" t="s">
        <v>1355</v>
      </c>
      <c r="E296" s="3" t="s">
        <v>1356</v>
      </c>
      <c r="F296" s="3" t="s">
        <v>1371</v>
      </c>
      <c r="G296" s="3" t="s">
        <v>1822</v>
      </c>
      <c r="H296" s="3" t="s">
        <v>1770</v>
      </c>
      <c r="I296" s="3" t="s">
        <v>1775</v>
      </c>
      <c r="J296" s="3" t="s">
        <v>521</v>
      </c>
      <c r="K296" s="3" t="s">
        <v>1370</v>
      </c>
      <c r="L296" s="3" t="s">
        <v>521</v>
      </c>
      <c r="M296" s="3" t="s">
        <v>1820</v>
      </c>
      <c r="N296" s="3" t="s">
        <v>670</v>
      </c>
      <c r="O296" s="5">
        <v>45423</v>
      </c>
      <c r="P296" s="6">
        <v>690.54</v>
      </c>
      <c r="Q296" s="7">
        <v>0</v>
      </c>
    </row>
    <row r="297" s="1" customFormat="1" ht="13.5" spans="1:17">
      <c r="A297" s="3" t="s">
        <v>2018</v>
      </c>
      <c r="B297" s="3" t="s">
        <v>1372</v>
      </c>
      <c r="C297" s="3" t="s">
        <v>1768</v>
      </c>
      <c r="D297" s="3" t="s">
        <v>1355</v>
      </c>
      <c r="E297" s="3" t="s">
        <v>1356</v>
      </c>
      <c r="F297" s="3" t="s">
        <v>1374</v>
      </c>
      <c r="G297" s="3" t="s">
        <v>1822</v>
      </c>
      <c r="H297" s="3" t="s">
        <v>1770</v>
      </c>
      <c r="I297" s="3" t="s">
        <v>1775</v>
      </c>
      <c r="J297" s="3" t="s">
        <v>521</v>
      </c>
      <c r="K297" s="3" t="s">
        <v>1373</v>
      </c>
      <c r="L297" s="3" t="s">
        <v>521</v>
      </c>
      <c r="M297" s="3" t="s">
        <v>1820</v>
      </c>
      <c r="N297" s="3" t="s">
        <v>670</v>
      </c>
      <c r="O297" s="5">
        <v>45423</v>
      </c>
      <c r="P297" s="6">
        <v>7634</v>
      </c>
      <c r="Q297" s="7">
        <v>0</v>
      </c>
    </row>
    <row r="298" s="1" customFormat="1" ht="13.5" spans="1:17">
      <c r="A298" s="3" t="s">
        <v>2019</v>
      </c>
      <c r="B298" s="3" t="s">
        <v>1412</v>
      </c>
      <c r="C298" s="3" t="s">
        <v>1768</v>
      </c>
      <c r="D298" s="3" t="s">
        <v>1414</v>
      </c>
      <c r="E298" s="3" t="s">
        <v>1415</v>
      </c>
      <c r="F298" s="3" t="s">
        <v>1416</v>
      </c>
      <c r="G298" s="3" t="s">
        <v>1819</v>
      </c>
      <c r="H298" s="3" t="s">
        <v>1770</v>
      </c>
      <c r="I298" s="3" t="s">
        <v>1775</v>
      </c>
      <c r="J298" s="3" t="s">
        <v>521</v>
      </c>
      <c r="K298" s="3" t="s">
        <v>1413</v>
      </c>
      <c r="L298" s="3" t="s">
        <v>521</v>
      </c>
      <c r="M298" s="3" t="s">
        <v>1820</v>
      </c>
      <c r="N298" s="3" t="s">
        <v>647</v>
      </c>
      <c r="O298" s="5">
        <v>45371</v>
      </c>
      <c r="P298" s="6">
        <v>2442.48</v>
      </c>
      <c r="Q298" s="7">
        <v>0</v>
      </c>
    </row>
    <row r="299" s="1" customFormat="1" ht="13.5" spans="1:17">
      <c r="A299" s="3" t="s">
        <v>2020</v>
      </c>
      <c r="B299" s="3" t="s">
        <v>1417</v>
      </c>
      <c r="C299" s="3" t="s">
        <v>1768</v>
      </c>
      <c r="D299" s="3" t="s">
        <v>1414</v>
      </c>
      <c r="E299" s="3" t="s">
        <v>1415</v>
      </c>
      <c r="F299" s="3" t="s">
        <v>1419</v>
      </c>
      <c r="G299" s="3" t="s">
        <v>1819</v>
      </c>
      <c r="H299" s="3" t="s">
        <v>1770</v>
      </c>
      <c r="I299" s="3" t="s">
        <v>1775</v>
      </c>
      <c r="J299" s="3" t="s">
        <v>521</v>
      </c>
      <c r="K299" s="3" t="s">
        <v>1418</v>
      </c>
      <c r="L299" s="3" t="s">
        <v>521</v>
      </c>
      <c r="M299" s="3" t="s">
        <v>1820</v>
      </c>
      <c r="N299" s="3" t="s">
        <v>647</v>
      </c>
      <c r="O299" s="5">
        <v>45371</v>
      </c>
      <c r="P299" s="6">
        <v>41592.92</v>
      </c>
      <c r="Q299" s="7">
        <v>0</v>
      </c>
    </row>
    <row r="300" s="1" customFormat="1" ht="13.5" spans="1:17">
      <c r="A300" s="3" t="s">
        <v>2021</v>
      </c>
      <c r="B300" s="3" t="s">
        <v>1425</v>
      </c>
      <c r="C300" s="3" t="s">
        <v>1768</v>
      </c>
      <c r="D300" s="3" t="s">
        <v>1414</v>
      </c>
      <c r="E300" s="3" t="s">
        <v>1415</v>
      </c>
      <c r="F300" s="3" t="s">
        <v>1427</v>
      </c>
      <c r="G300" s="3" t="s">
        <v>1819</v>
      </c>
      <c r="H300" s="3" t="s">
        <v>1770</v>
      </c>
      <c r="I300" s="3" t="s">
        <v>1775</v>
      </c>
      <c r="J300" s="3" t="s">
        <v>521</v>
      </c>
      <c r="K300" s="3" t="s">
        <v>1426</v>
      </c>
      <c r="L300" s="3" t="s">
        <v>521</v>
      </c>
      <c r="M300" s="3" t="s">
        <v>1820</v>
      </c>
      <c r="N300" s="3" t="s">
        <v>647</v>
      </c>
      <c r="O300" s="5">
        <v>45371</v>
      </c>
      <c r="P300" s="6">
        <v>9150.44</v>
      </c>
      <c r="Q300" s="7">
        <v>0</v>
      </c>
    </row>
    <row r="301" s="1" customFormat="1" ht="13.5" spans="1:17">
      <c r="A301" s="3" t="s">
        <v>1790</v>
      </c>
      <c r="B301" s="3" t="s">
        <v>510</v>
      </c>
      <c r="C301" s="3" t="s">
        <v>1768</v>
      </c>
      <c r="D301" s="3" t="s">
        <v>1455</v>
      </c>
      <c r="E301" s="3" t="s">
        <v>1456</v>
      </c>
      <c r="F301" s="3" t="s">
        <v>514</v>
      </c>
      <c r="G301" s="3" t="s">
        <v>1819</v>
      </c>
      <c r="H301" s="3" t="s">
        <v>1770</v>
      </c>
      <c r="I301" s="3" t="s">
        <v>1775</v>
      </c>
      <c r="J301" s="3" t="s">
        <v>508</v>
      </c>
      <c r="K301" s="3" t="s">
        <v>511</v>
      </c>
      <c r="L301" s="3" t="s">
        <v>508</v>
      </c>
      <c r="M301" s="3" t="s">
        <v>1820</v>
      </c>
      <c r="N301" s="3" t="s">
        <v>647</v>
      </c>
      <c r="O301" s="5">
        <v>45207</v>
      </c>
      <c r="P301" s="6">
        <v>764150.94</v>
      </c>
      <c r="Q301" s="7">
        <v>0</v>
      </c>
    </row>
    <row r="302" s="1" customFormat="1" ht="13.5" spans="1:17">
      <c r="A302" s="3" t="s">
        <v>2022</v>
      </c>
      <c r="B302" s="3" t="s">
        <v>1469</v>
      </c>
      <c r="C302" s="3" t="s">
        <v>1768</v>
      </c>
      <c r="D302" s="3" t="s">
        <v>1471</v>
      </c>
      <c r="E302" s="3" t="s">
        <v>1472</v>
      </c>
      <c r="F302" s="3" t="s">
        <v>124</v>
      </c>
      <c r="G302" s="3" t="s">
        <v>1819</v>
      </c>
      <c r="H302" s="3" t="s">
        <v>1770</v>
      </c>
      <c r="I302" s="3" t="s">
        <v>1775</v>
      </c>
      <c r="J302" s="3" t="s">
        <v>508</v>
      </c>
      <c r="K302" s="3" t="s">
        <v>1470</v>
      </c>
      <c r="L302" s="3" t="s">
        <v>508</v>
      </c>
      <c r="M302" s="3" t="s">
        <v>1820</v>
      </c>
      <c r="N302" s="3" t="s">
        <v>647</v>
      </c>
      <c r="O302" s="5">
        <v>45223</v>
      </c>
      <c r="P302" s="6">
        <v>472680</v>
      </c>
      <c r="Q302" s="7">
        <v>0</v>
      </c>
    </row>
    <row r="303" s="1" customFormat="1" ht="13.5" spans="1:17">
      <c r="A303" s="3" t="s">
        <v>2023</v>
      </c>
      <c r="B303" s="3" t="s">
        <v>1473</v>
      </c>
      <c r="C303" s="3" t="s">
        <v>1768</v>
      </c>
      <c r="D303" s="3" t="s">
        <v>1471</v>
      </c>
      <c r="E303" s="3" t="s">
        <v>1472</v>
      </c>
      <c r="F303" s="3" t="s">
        <v>1475</v>
      </c>
      <c r="G303" s="3" t="s">
        <v>1819</v>
      </c>
      <c r="H303" s="3" t="s">
        <v>1770</v>
      </c>
      <c r="I303" s="3" t="s">
        <v>1775</v>
      </c>
      <c r="J303" s="3" t="s">
        <v>508</v>
      </c>
      <c r="K303" s="3" t="s">
        <v>1474</v>
      </c>
      <c r="L303" s="3" t="s">
        <v>508</v>
      </c>
      <c r="M303" s="3" t="s">
        <v>1820</v>
      </c>
      <c r="N303" s="3" t="s">
        <v>647</v>
      </c>
      <c r="O303" s="5">
        <v>45279</v>
      </c>
      <c r="P303" s="6">
        <v>48750</v>
      </c>
      <c r="Q303" s="7">
        <v>0</v>
      </c>
    </row>
    <row r="304" s="1" customFormat="1" ht="13.5" spans="1:17">
      <c r="A304" s="3" t="s">
        <v>2024</v>
      </c>
      <c r="B304" s="3" t="s">
        <v>1677</v>
      </c>
      <c r="C304" s="3" t="s">
        <v>1768</v>
      </c>
      <c r="D304" s="3" t="s">
        <v>1679</v>
      </c>
      <c r="E304" s="3" t="s">
        <v>1680</v>
      </c>
      <c r="F304" s="3" t="s">
        <v>1681</v>
      </c>
      <c r="G304" s="3" t="s">
        <v>1819</v>
      </c>
      <c r="H304" s="3" t="s">
        <v>1770</v>
      </c>
      <c r="I304" s="3" t="s">
        <v>1775</v>
      </c>
      <c r="J304" s="3" t="s">
        <v>508</v>
      </c>
      <c r="K304" s="3" t="s">
        <v>1678</v>
      </c>
      <c r="L304" s="3" t="s">
        <v>508</v>
      </c>
      <c r="M304" s="3" t="s">
        <v>1820</v>
      </c>
      <c r="N304" s="3" t="s">
        <v>647</v>
      </c>
      <c r="O304" s="5">
        <v>45197</v>
      </c>
      <c r="P304" s="6">
        <v>150</v>
      </c>
      <c r="Q304" s="7">
        <v>0</v>
      </c>
    </row>
    <row r="305" s="1" customFormat="1" ht="13.5" spans="1:17">
      <c r="A305" s="3" t="s">
        <v>2025</v>
      </c>
      <c r="B305" s="3" t="s">
        <v>1221</v>
      </c>
      <c r="C305" s="3" t="s">
        <v>1768</v>
      </c>
      <c r="D305" s="3" t="s">
        <v>1223</v>
      </c>
      <c r="E305" s="3" t="s">
        <v>1224</v>
      </c>
      <c r="F305" s="3" t="s">
        <v>1225</v>
      </c>
      <c r="G305" s="3" t="s">
        <v>2026</v>
      </c>
      <c r="H305" s="3" t="s">
        <v>1770</v>
      </c>
      <c r="I305" s="3" t="s">
        <v>1775</v>
      </c>
      <c r="J305" s="3" t="s">
        <v>508</v>
      </c>
      <c r="K305" s="3" t="s">
        <v>1222</v>
      </c>
      <c r="L305" s="3" t="s">
        <v>508</v>
      </c>
      <c r="M305" s="3" t="s">
        <v>1226</v>
      </c>
      <c r="N305" s="3" t="s">
        <v>1226</v>
      </c>
      <c r="O305" s="5">
        <v>45271</v>
      </c>
      <c r="P305" s="6">
        <v>61468.44</v>
      </c>
      <c r="Q305" s="7">
        <v>0</v>
      </c>
    </row>
    <row r="306" s="1" customFormat="1" ht="13.5" spans="1:17">
      <c r="A306" s="3" t="s">
        <v>1846</v>
      </c>
      <c r="B306" s="3" t="s">
        <v>1379</v>
      </c>
      <c r="C306" s="3" t="s">
        <v>1768</v>
      </c>
      <c r="D306" s="3" t="s">
        <v>1381</v>
      </c>
      <c r="E306" s="3" t="s">
        <v>1382</v>
      </c>
      <c r="F306" s="3" t="s">
        <v>970</v>
      </c>
      <c r="G306" s="3" t="s">
        <v>2027</v>
      </c>
      <c r="H306" s="3" t="s">
        <v>1770</v>
      </c>
      <c r="I306" s="3" t="s">
        <v>1775</v>
      </c>
      <c r="J306" s="3" t="s">
        <v>521</v>
      </c>
      <c r="K306" s="3" t="s">
        <v>1380</v>
      </c>
      <c r="L306" s="3" t="s">
        <v>521</v>
      </c>
      <c r="M306" s="3" t="s">
        <v>2028</v>
      </c>
      <c r="N306" s="3" t="s">
        <v>1383</v>
      </c>
      <c r="O306" s="5">
        <v>45345</v>
      </c>
      <c r="P306" s="6">
        <v>31416.34</v>
      </c>
      <c r="Q306" s="7">
        <v>0</v>
      </c>
    </row>
    <row r="307" s="1" customFormat="1" ht="13.5" spans="1:17">
      <c r="A307" s="3" t="s">
        <v>2029</v>
      </c>
      <c r="B307" s="3" t="s">
        <v>980</v>
      </c>
      <c r="C307" s="3" t="s">
        <v>1768</v>
      </c>
      <c r="D307" s="3" t="s">
        <v>982</v>
      </c>
      <c r="E307" s="3" t="s">
        <v>983</v>
      </c>
      <c r="F307" s="3" t="s">
        <v>984</v>
      </c>
      <c r="G307" s="3" t="s">
        <v>2030</v>
      </c>
      <c r="H307" s="3" t="s">
        <v>1770</v>
      </c>
      <c r="I307" s="3" t="s">
        <v>1775</v>
      </c>
      <c r="J307" s="3" t="s">
        <v>521</v>
      </c>
      <c r="K307" s="3" t="s">
        <v>981</v>
      </c>
      <c r="L307" s="3" t="s">
        <v>521</v>
      </c>
      <c r="M307" s="3" t="s">
        <v>985</v>
      </c>
      <c r="N307" s="3" t="s">
        <v>985</v>
      </c>
      <c r="O307" s="5">
        <v>45345</v>
      </c>
      <c r="P307" s="6">
        <v>3345.19</v>
      </c>
      <c r="Q307" s="7">
        <v>3</v>
      </c>
    </row>
    <row r="308" s="1" customFormat="1" ht="13.5" spans="1:17">
      <c r="A308" s="3" t="s">
        <v>2031</v>
      </c>
      <c r="B308" s="3" t="s">
        <v>1387</v>
      </c>
      <c r="C308" s="3" t="s">
        <v>1768</v>
      </c>
      <c r="D308" s="3" t="s">
        <v>1389</v>
      </c>
      <c r="E308" s="3" t="s">
        <v>1390</v>
      </c>
      <c r="F308" s="3" t="s">
        <v>427</v>
      </c>
      <c r="G308" s="3" t="s">
        <v>2030</v>
      </c>
      <c r="H308" s="3" t="s">
        <v>1770</v>
      </c>
      <c r="I308" s="3" t="s">
        <v>1775</v>
      </c>
      <c r="J308" s="3" t="s">
        <v>521</v>
      </c>
      <c r="K308" s="3" t="s">
        <v>1388</v>
      </c>
      <c r="L308" s="3" t="s">
        <v>521</v>
      </c>
      <c r="M308" s="3" t="s">
        <v>985</v>
      </c>
      <c r="N308" s="3" t="s">
        <v>985</v>
      </c>
      <c r="O308" s="5">
        <v>45429</v>
      </c>
      <c r="P308" s="6">
        <v>5299.15</v>
      </c>
      <c r="Q308" s="7">
        <v>0</v>
      </c>
    </row>
    <row r="309" s="1" customFormat="1" ht="13.5" spans="1:17">
      <c r="A309" s="3" t="s">
        <v>2032</v>
      </c>
      <c r="B309" s="3" t="s">
        <v>428</v>
      </c>
      <c r="C309" s="3" t="s">
        <v>1768</v>
      </c>
      <c r="D309" s="3" t="s">
        <v>1389</v>
      </c>
      <c r="E309" s="3" t="s">
        <v>1390</v>
      </c>
      <c r="F309" s="3" t="s">
        <v>429</v>
      </c>
      <c r="G309" s="3" t="s">
        <v>2030</v>
      </c>
      <c r="H309" s="3" t="s">
        <v>1770</v>
      </c>
      <c r="I309" s="3" t="s">
        <v>1775</v>
      </c>
      <c r="J309" s="3" t="s">
        <v>521</v>
      </c>
      <c r="K309" s="3" t="s">
        <v>1391</v>
      </c>
      <c r="L309" s="3" t="s">
        <v>521</v>
      </c>
      <c r="M309" s="3" t="s">
        <v>985</v>
      </c>
      <c r="N309" s="3" t="s">
        <v>985</v>
      </c>
      <c r="O309" s="5">
        <v>45429</v>
      </c>
      <c r="P309" s="6">
        <v>1196.7</v>
      </c>
      <c r="Q309" s="7">
        <v>0</v>
      </c>
    </row>
    <row r="310" s="1" customFormat="1" ht="13.5" spans="1:17">
      <c r="A310" s="3" t="s">
        <v>2033</v>
      </c>
      <c r="B310" s="3" t="s">
        <v>430</v>
      </c>
      <c r="C310" s="3" t="s">
        <v>1768</v>
      </c>
      <c r="D310" s="3" t="s">
        <v>1389</v>
      </c>
      <c r="E310" s="3" t="s">
        <v>1390</v>
      </c>
      <c r="F310" s="3" t="s">
        <v>1393</v>
      </c>
      <c r="G310" s="3" t="s">
        <v>2030</v>
      </c>
      <c r="H310" s="3" t="s">
        <v>1770</v>
      </c>
      <c r="I310" s="3" t="s">
        <v>1775</v>
      </c>
      <c r="J310" s="3" t="s">
        <v>521</v>
      </c>
      <c r="K310" s="3" t="s">
        <v>1392</v>
      </c>
      <c r="L310" s="3" t="s">
        <v>521</v>
      </c>
      <c r="M310" s="3" t="s">
        <v>985</v>
      </c>
      <c r="N310" s="3" t="s">
        <v>985</v>
      </c>
      <c r="O310" s="5">
        <v>45429</v>
      </c>
      <c r="P310" s="6">
        <v>10045.06</v>
      </c>
      <c r="Q310" s="7">
        <v>0</v>
      </c>
    </row>
    <row r="311" s="1" customFormat="1" ht="13.5" spans="1:17">
      <c r="A311" s="3" t="s">
        <v>2034</v>
      </c>
      <c r="B311" s="3" t="s">
        <v>432</v>
      </c>
      <c r="C311" s="3" t="s">
        <v>1768</v>
      </c>
      <c r="D311" s="3" t="s">
        <v>1389</v>
      </c>
      <c r="E311" s="3" t="s">
        <v>1390</v>
      </c>
      <c r="F311" s="3" t="s">
        <v>433</v>
      </c>
      <c r="G311" s="3" t="s">
        <v>2030</v>
      </c>
      <c r="H311" s="3" t="s">
        <v>1770</v>
      </c>
      <c r="I311" s="3" t="s">
        <v>1775</v>
      </c>
      <c r="J311" s="3" t="s">
        <v>521</v>
      </c>
      <c r="K311" s="3" t="s">
        <v>1394</v>
      </c>
      <c r="L311" s="3" t="s">
        <v>521</v>
      </c>
      <c r="M311" s="3" t="s">
        <v>985</v>
      </c>
      <c r="N311" s="3" t="s">
        <v>985</v>
      </c>
      <c r="O311" s="5">
        <v>45429</v>
      </c>
      <c r="P311" s="6">
        <v>2654.87</v>
      </c>
      <c r="Q311" s="7">
        <v>0</v>
      </c>
    </row>
    <row r="312" s="1" customFormat="1" ht="13.5" spans="1:17">
      <c r="A312" s="3" t="s">
        <v>2035</v>
      </c>
      <c r="B312" s="3" t="s">
        <v>434</v>
      </c>
      <c r="C312" s="3" t="s">
        <v>1768</v>
      </c>
      <c r="D312" s="3" t="s">
        <v>1389</v>
      </c>
      <c r="E312" s="3" t="s">
        <v>1390</v>
      </c>
      <c r="F312" s="3" t="s">
        <v>435</v>
      </c>
      <c r="G312" s="3" t="s">
        <v>2030</v>
      </c>
      <c r="H312" s="3" t="s">
        <v>1770</v>
      </c>
      <c r="I312" s="3" t="s">
        <v>1775</v>
      </c>
      <c r="J312" s="3" t="s">
        <v>521</v>
      </c>
      <c r="K312" s="3" t="s">
        <v>1395</v>
      </c>
      <c r="L312" s="3" t="s">
        <v>521</v>
      </c>
      <c r="M312" s="3" t="s">
        <v>985</v>
      </c>
      <c r="N312" s="3" t="s">
        <v>985</v>
      </c>
      <c r="O312" s="5">
        <v>45429</v>
      </c>
      <c r="P312" s="6">
        <v>9551.14</v>
      </c>
      <c r="Q312" s="7">
        <v>0</v>
      </c>
    </row>
    <row r="313" s="1" customFormat="1" ht="13.5" spans="1:17">
      <c r="A313" s="3" t="s">
        <v>2036</v>
      </c>
      <c r="B313" s="3" t="s">
        <v>436</v>
      </c>
      <c r="C313" s="3" t="s">
        <v>1768</v>
      </c>
      <c r="D313" s="3" t="s">
        <v>1389</v>
      </c>
      <c r="E313" s="3" t="s">
        <v>1390</v>
      </c>
      <c r="F313" s="3" t="s">
        <v>1397</v>
      </c>
      <c r="G313" s="3" t="s">
        <v>2030</v>
      </c>
      <c r="H313" s="3" t="s">
        <v>1770</v>
      </c>
      <c r="I313" s="3" t="s">
        <v>1775</v>
      </c>
      <c r="J313" s="3" t="s">
        <v>521</v>
      </c>
      <c r="K313" s="3" t="s">
        <v>1396</v>
      </c>
      <c r="L313" s="3" t="s">
        <v>521</v>
      </c>
      <c r="M313" s="3" t="s">
        <v>985</v>
      </c>
      <c r="N313" s="3" t="s">
        <v>985</v>
      </c>
      <c r="O313" s="5">
        <v>45429</v>
      </c>
      <c r="P313" s="6">
        <v>19400.34</v>
      </c>
      <c r="Q313" s="7">
        <v>0</v>
      </c>
    </row>
    <row r="314" s="1" customFormat="1" ht="13.5" spans="1:17">
      <c r="A314" s="3" t="s">
        <v>2037</v>
      </c>
      <c r="B314" s="3" t="s">
        <v>441</v>
      </c>
      <c r="C314" s="3" t="s">
        <v>1768</v>
      </c>
      <c r="D314" s="3" t="s">
        <v>1389</v>
      </c>
      <c r="E314" s="3" t="s">
        <v>1390</v>
      </c>
      <c r="F314" s="3" t="s">
        <v>442</v>
      </c>
      <c r="G314" s="3" t="s">
        <v>2030</v>
      </c>
      <c r="H314" s="3" t="s">
        <v>1770</v>
      </c>
      <c r="I314" s="3" t="s">
        <v>1775</v>
      </c>
      <c r="J314" s="3" t="s">
        <v>521</v>
      </c>
      <c r="K314" s="3" t="s">
        <v>1398</v>
      </c>
      <c r="L314" s="3" t="s">
        <v>521</v>
      </c>
      <c r="M314" s="3" t="s">
        <v>985</v>
      </c>
      <c r="N314" s="3" t="s">
        <v>985</v>
      </c>
      <c r="O314" s="5">
        <v>45429</v>
      </c>
      <c r="P314" s="6">
        <v>8264.3</v>
      </c>
      <c r="Q314" s="7">
        <v>0</v>
      </c>
    </row>
    <row r="315" s="1" customFormat="1" ht="13.5" spans="1:17">
      <c r="A315" s="3" t="s">
        <v>2038</v>
      </c>
      <c r="B315" s="3" t="s">
        <v>447</v>
      </c>
      <c r="C315" s="3" t="s">
        <v>1768</v>
      </c>
      <c r="D315" s="3" t="s">
        <v>1389</v>
      </c>
      <c r="E315" s="3" t="s">
        <v>1390</v>
      </c>
      <c r="F315" s="3" t="s">
        <v>448</v>
      </c>
      <c r="G315" s="3" t="s">
        <v>2030</v>
      </c>
      <c r="H315" s="3" t="s">
        <v>1770</v>
      </c>
      <c r="I315" s="3" t="s">
        <v>1775</v>
      </c>
      <c r="J315" s="3" t="s">
        <v>521</v>
      </c>
      <c r="K315" s="3" t="s">
        <v>1399</v>
      </c>
      <c r="L315" s="3" t="s">
        <v>521</v>
      </c>
      <c r="M315" s="3" t="s">
        <v>985</v>
      </c>
      <c r="N315" s="3" t="s">
        <v>985</v>
      </c>
      <c r="O315" s="5">
        <v>45429</v>
      </c>
      <c r="P315" s="6">
        <v>546.9</v>
      </c>
      <c r="Q315" s="7">
        <v>0</v>
      </c>
    </row>
    <row r="316" s="1" customFormat="1" ht="13.5" spans="1:17">
      <c r="A316" s="3" t="s">
        <v>2039</v>
      </c>
      <c r="B316" s="3" t="s">
        <v>449</v>
      </c>
      <c r="C316" s="3" t="s">
        <v>1768</v>
      </c>
      <c r="D316" s="3" t="s">
        <v>1389</v>
      </c>
      <c r="E316" s="3" t="s">
        <v>1390</v>
      </c>
      <c r="F316" s="3" t="s">
        <v>1410</v>
      </c>
      <c r="G316" s="3" t="s">
        <v>2030</v>
      </c>
      <c r="H316" s="3" t="s">
        <v>1770</v>
      </c>
      <c r="I316" s="3" t="s">
        <v>1775</v>
      </c>
      <c r="J316" s="3" t="s">
        <v>521</v>
      </c>
      <c r="K316" s="3" t="s">
        <v>1409</v>
      </c>
      <c r="L316" s="3" t="s">
        <v>521</v>
      </c>
      <c r="M316" s="3" t="s">
        <v>985</v>
      </c>
      <c r="N316" s="3" t="s">
        <v>985</v>
      </c>
      <c r="O316" s="5">
        <v>45429</v>
      </c>
      <c r="P316" s="6">
        <v>1191.13</v>
      </c>
      <c r="Q316" s="7">
        <v>0</v>
      </c>
    </row>
    <row r="317" s="1" customFormat="1" ht="13.5" spans="1:17">
      <c r="A317" s="3" t="s">
        <v>2006</v>
      </c>
      <c r="B317" s="3" t="s">
        <v>445</v>
      </c>
      <c r="C317" s="3" t="s">
        <v>1768</v>
      </c>
      <c r="D317" s="3" t="s">
        <v>1389</v>
      </c>
      <c r="E317" s="3" t="s">
        <v>1390</v>
      </c>
      <c r="F317" s="3" t="s">
        <v>446</v>
      </c>
      <c r="G317" s="3" t="s">
        <v>2030</v>
      </c>
      <c r="H317" s="3" t="s">
        <v>1770</v>
      </c>
      <c r="I317" s="3" t="s">
        <v>1775</v>
      </c>
      <c r="J317" s="3" t="s">
        <v>521</v>
      </c>
      <c r="K317" s="3" t="s">
        <v>1408</v>
      </c>
      <c r="L317" s="3" t="s">
        <v>521</v>
      </c>
      <c r="M317" s="3" t="s">
        <v>985</v>
      </c>
      <c r="N317" s="3" t="s">
        <v>985</v>
      </c>
      <c r="O317" s="5">
        <v>45429</v>
      </c>
      <c r="P317" s="6">
        <v>18304.91</v>
      </c>
      <c r="Q317" s="7">
        <v>0</v>
      </c>
    </row>
    <row r="318" s="1" customFormat="1" ht="13.5" spans="1:17">
      <c r="A318" s="3" t="s">
        <v>2040</v>
      </c>
      <c r="B318" s="3" t="s">
        <v>438</v>
      </c>
      <c r="C318" s="3" t="s">
        <v>1768</v>
      </c>
      <c r="D318" s="3" t="s">
        <v>1389</v>
      </c>
      <c r="E318" s="3" t="s">
        <v>1390</v>
      </c>
      <c r="F318" s="3" t="s">
        <v>439</v>
      </c>
      <c r="G318" s="3" t="s">
        <v>2030</v>
      </c>
      <c r="H318" s="3" t="s">
        <v>1770</v>
      </c>
      <c r="I318" s="3" t="s">
        <v>1775</v>
      </c>
      <c r="J318" s="3" t="s">
        <v>521</v>
      </c>
      <c r="K318" s="3" t="s">
        <v>1405</v>
      </c>
      <c r="L318" s="3" t="s">
        <v>521</v>
      </c>
      <c r="M318" s="3" t="s">
        <v>985</v>
      </c>
      <c r="N318" s="3" t="s">
        <v>985</v>
      </c>
      <c r="O318" s="5">
        <v>45435</v>
      </c>
      <c r="P318" s="6">
        <v>1078587.67</v>
      </c>
      <c r="Q318" s="7">
        <v>0</v>
      </c>
    </row>
    <row r="319" s="1" customFormat="1" ht="13.5" spans="1:17">
      <c r="A319" s="3" t="s">
        <v>2041</v>
      </c>
      <c r="B319" s="3" t="s">
        <v>440</v>
      </c>
      <c r="C319" s="3" t="s">
        <v>1768</v>
      </c>
      <c r="D319" s="3" t="s">
        <v>1389</v>
      </c>
      <c r="E319" s="3" t="s">
        <v>1390</v>
      </c>
      <c r="F319" s="3" t="s">
        <v>429</v>
      </c>
      <c r="G319" s="3" t="s">
        <v>2030</v>
      </c>
      <c r="H319" s="3" t="s">
        <v>1770</v>
      </c>
      <c r="I319" s="3" t="s">
        <v>1775</v>
      </c>
      <c r="J319" s="3" t="s">
        <v>521</v>
      </c>
      <c r="K319" s="3" t="s">
        <v>1406</v>
      </c>
      <c r="L319" s="3" t="s">
        <v>521</v>
      </c>
      <c r="M319" s="3" t="s">
        <v>985</v>
      </c>
      <c r="N319" s="3" t="s">
        <v>985</v>
      </c>
      <c r="O319" s="5">
        <v>45429</v>
      </c>
      <c r="P319" s="6">
        <v>756.79</v>
      </c>
      <c r="Q319" s="7">
        <v>0</v>
      </c>
    </row>
    <row r="320" s="1" customFormat="1" ht="13.5" spans="1:17">
      <c r="A320" s="3" t="s">
        <v>2041</v>
      </c>
      <c r="B320" s="3" t="s">
        <v>440</v>
      </c>
      <c r="C320" s="3" t="s">
        <v>1768</v>
      </c>
      <c r="D320" s="3" t="s">
        <v>1389</v>
      </c>
      <c r="E320" s="3" t="s">
        <v>1390</v>
      </c>
      <c r="F320" s="3" t="s">
        <v>429</v>
      </c>
      <c r="G320" s="3" t="s">
        <v>2030</v>
      </c>
      <c r="H320" s="3" t="s">
        <v>1770</v>
      </c>
      <c r="I320" s="3" t="s">
        <v>1775</v>
      </c>
      <c r="J320" s="3" t="s">
        <v>521</v>
      </c>
      <c r="K320" s="3" t="s">
        <v>1406</v>
      </c>
      <c r="L320" s="3" t="s">
        <v>521</v>
      </c>
      <c r="M320" s="3" t="s">
        <v>985</v>
      </c>
      <c r="N320" s="3" t="s">
        <v>985</v>
      </c>
      <c r="O320" s="5">
        <v>45429</v>
      </c>
      <c r="P320" s="6">
        <v>20121.04</v>
      </c>
      <c r="Q320" s="7">
        <v>0</v>
      </c>
    </row>
    <row r="321" s="1" customFormat="1" ht="13.5" spans="1:17">
      <c r="A321" s="3" t="s">
        <v>2042</v>
      </c>
      <c r="B321" s="3" t="s">
        <v>443</v>
      </c>
      <c r="C321" s="3" t="s">
        <v>1768</v>
      </c>
      <c r="D321" s="3" t="s">
        <v>1389</v>
      </c>
      <c r="E321" s="3" t="s">
        <v>1390</v>
      </c>
      <c r="F321" s="3" t="s">
        <v>444</v>
      </c>
      <c r="G321" s="3" t="s">
        <v>2030</v>
      </c>
      <c r="H321" s="3" t="s">
        <v>1770</v>
      </c>
      <c r="I321" s="3" t="s">
        <v>1775</v>
      </c>
      <c r="J321" s="3" t="s">
        <v>521</v>
      </c>
      <c r="K321" s="3" t="s">
        <v>1407</v>
      </c>
      <c r="L321" s="3" t="s">
        <v>521</v>
      </c>
      <c r="M321" s="3" t="s">
        <v>985</v>
      </c>
      <c r="N321" s="3" t="s">
        <v>985</v>
      </c>
      <c r="O321" s="5">
        <v>45429</v>
      </c>
      <c r="P321" s="6">
        <v>9327.44</v>
      </c>
      <c r="Q321" s="7">
        <v>0</v>
      </c>
    </row>
    <row r="322" s="1" customFormat="1" ht="13.5" spans="1:17">
      <c r="A322" s="3" t="s">
        <v>2043</v>
      </c>
      <c r="B322" s="3" t="s">
        <v>453</v>
      </c>
      <c r="C322" s="3" t="s">
        <v>1768</v>
      </c>
      <c r="D322" s="3" t="s">
        <v>1414</v>
      </c>
      <c r="E322" s="3" t="s">
        <v>1415</v>
      </c>
      <c r="F322" s="3" t="s">
        <v>454</v>
      </c>
      <c r="G322" s="3" t="s">
        <v>2030</v>
      </c>
      <c r="H322" s="3" t="s">
        <v>1770</v>
      </c>
      <c r="I322" s="3" t="s">
        <v>1775</v>
      </c>
      <c r="J322" s="3" t="s">
        <v>521</v>
      </c>
      <c r="K322" s="3" t="s">
        <v>1420</v>
      </c>
      <c r="L322" s="3" t="s">
        <v>521</v>
      </c>
      <c r="M322" s="3" t="s">
        <v>985</v>
      </c>
      <c r="N322" s="3" t="s">
        <v>985</v>
      </c>
      <c r="O322" s="5">
        <v>45429</v>
      </c>
      <c r="P322" s="6">
        <v>154.15</v>
      </c>
      <c r="Q322" s="7">
        <v>0</v>
      </c>
    </row>
    <row r="323" s="1" customFormat="1" ht="13.5" spans="1:17">
      <c r="A323" s="3" t="s">
        <v>2044</v>
      </c>
      <c r="B323" s="3" t="s">
        <v>455</v>
      </c>
      <c r="C323" s="3" t="s">
        <v>1768</v>
      </c>
      <c r="D323" s="3" t="s">
        <v>1414</v>
      </c>
      <c r="E323" s="3" t="s">
        <v>1415</v>
      </c>
      <c r="F323" s="3" t="s">
        <v>456</v>
      </c>
      <c r="G323" s="3" t="s">
        <v>2030</v>
      </c>
      <c r="H323" s="3" t="s">
        <v>1770</v>
      </c>
      <c r="I323" s="3" t="s">
        <v>1775</v>
      </c>
      <c r="J323" s="3" t="s">
        <v>521</v>
      </c>
      <c r="K323" s="3" t="s">
        <v>1421</v>
      </c>
      <c r="L323" s="3" t="s">
        <v>521</v>
      </c>
      <c r="M323" s="3" t="s">
        <v>985</v>
      </c>
      <c r="N323" s="3" t="s">
        <v>985</v>
      </c>
      <c r="O323" s="5">
        <v>45429</v>
      </c>
      <c r="P323" s="6">
        <v>784.07</v>
      </c>
      <c r="Q323" s="7">
        <v>0</v>
      </c>
    </row>
    <row r="324" s="1" customFormat="1" ht="13.5" spans="1:17">
      <c r="A324" s="3" t="s">
        <v>2045</v>
      </c>
      <c r="B324" s="3" t="s">
        <v>1434</v>
      </c>
      <c r="C324" s="3" t="s">
        <v>1768</v>
      </c>
      <c r="D324" s="3" t="s">
        <v>1414</v>
      </c>
      <c r="E324" s="3" t="s">
        <v>1415</v>
      </c>
      <c r="F324" s="3" t="s">
        <v>1436</v>
      </c>
      <c r="G324" s="3" t="s">
        <v>2030</v>
      </c>
      <c r="H324" s="3" t="s">
        <v>1770</v>
      </c>
      <c r="I324" s="3" t="s">
        <v>1775</v>
      </c>
      <c r="J324" s="3" t="s">
        <v>521</v>
      </c>
      <c r="K324" s="3" t="s">
        <v>1435</v>
      </c>
      <c r="L324" s="3" t="s">
        <v>521</v>
      </c>
      <c r="M324" s="3" t="s">
        <v>985</v>
      </c>
      <c r="N324" s="3" t="s">
        <v>985</v>
      </c>
      <c r="O324" s="5">
        <v>45316</v>
      </c>
      <c r="P324" s="6">
        <v>864.44</v>
      </c>
      <c r="Q324" s="7">
        <v>0</v>
      </c>
    </row>
    <row r="325" s="1" customFormat="1" ht="13.5" spans="1:17">
      <c r="A325" s="3" t="s">
        <v>2046</v>
      </c>
      <c r="B325" s="3" t="s">
        <v>1437</v>
      </c>
      <c r="C325" s="3" t="s">
        <v>1768</v>
      </c>
      <c r="D325" s="3" t="s">
        <v>1414</v>
      </c>
      <c r="E325" s="3" t="s">
        <v>1415</v>
      </c>
      <c r="F325" s="3" t="s">
        <v>1439</v>
      </c>
      <c r="G325" s="3" t="s">
        <v>2030</v>
      </c>
      <c r="H325" s="3" t="s">
        <v>1770</v>
      </c>
      <c r="I325" s="3" t="s">
        <v>1775</v>
      </c>
      <c r="J325" s="3" t="s">
        <v>521</v>
      </c>
      <c r="K325" s="3" t="s">
        <v>1438</v>
      </c>
      <c r="L325" s="3" t="s">
        <v>521</v>
      </c>
      <c r="M325" s="3" t="s">
        <v>985</v>
      </c>
      <c r="N325" s="3" t="s">
        <v>985</v>
      </c>
      <c r="O325" s="5">
        <v>45380</v>
      </c>
      <c r="P325" s="6">
        <v>220361.54</v>
      </c>
      <c r="Q325" s="7">
        <v>0</v>
      </c>
    </row>
    <row r="326" s="1" customFormat="1" ht="13.5" spans="1:17">
      <c r="A326" s="3" t="s">
        <v>2045</v>
      </c>
      <c r="B326" s="3" t="s">
        <v>1434</v>
      </c>
      <c r="C326" s="3" t="s">
        <v>1768</v>
      </c>
      <c r="D326" s="3" t="s">
        <v>1414</v>
      </c>
      <c r="E326" s="3" t="s">
        <v>1415</v>
      </c>
      <c r="F326" s="3" t="s">
        <v>1436</v>
      </c>
      <c r="G326" s="3" t="s">
        <v>2030</v>
      </c>
      <c r="H326" s="3" t="s">
        <v>1770</v>
      </c>
      <c r="I326" s="3" t="s">
        <v>1775</v>
      </c>
      <c r="J326" s="3" t="s">
        <v>521</v>
      </c>
      <c r="K326" s="3" t="s">
        <v>1435</v>
      </c>
      <c r="L326" s="3" t="s">
        <v>521</v>
      </c>
      <c r="M326" s="3" t="s">
        <v>985</v>
      </c>
      <c r="N326" s="3" t="s">
        <v>985</v>
      </c>
      <c r="O326" s="5">
        <v>45316</v>
      </c>
      <c r="P326" s="6">
        <v>81109.69</v>
      </c>
      <c r="Q326" s="7">
        <v>0</v>
      </c>
    </row>
    <row r="327" s="1" customFormat="1" ht="13.5" spans="1:17">
      <c r="A327" s="3" t="s">
        <v>2045</v>
      </c>
      <c r="B327" s="3" t="s">
        <v>1434</v>
      </c>
      <c r="C327" s="3" t="s">
        <v>1768</v>
      </c>
      <c r="D327" s="3" t="s">
        <v>1414</v>
      </c>
      <c r="E327" s="3" t="s">
        <v>1415</v>
      </c>
      <c r="F327" s="3" t="s">
        <v>1436</v>
      </c>
      <c r="G327" s="3" t="s">
        <v>2030</v>
      </c>
      <c r="H327" s="3" t="s">
        <v>1770</v>
      </c>
      <c r="I327" s="3" t="s">
        <v>1775</v>
      </c>
      <c r="J327" s="3" t="s">
        <v>521</v>
      </c>
      <c r="K327" s="3" t="s">
        <v>1435</v>
      </c>
      <c r="L327" s="3" t="s">
        <v>521</v>
      </c>
      <c r="M327" s="3" t="s">
        <v>985</v>
      </c>
      <c r="N327" s="3" t="s">
        <v>985</v>
      </c>
      <c r="O327" s="5">
        <v>45316</v>
      </c>
      <c r="P327" s="6">
        <v>2195.56</v>
      </c>
      <c r="Q327" s="7">
        <v>0</v>
      </c>
    </row>
    <row r="328" s="1" customFormat="1" ht="13.5" spans="1:17">
      <c r="A328" s="3" t="s">
        <v>2045</v>
      </c>
      <c r="B328" s="3" t="s">
        <v>1434</v>
      </c>
      <c r="C328" s="3" t="s">
        <v>1768</v>
      </c>
      <c r="D328" s="3" t="s">
        <v>1414</v>
      </c>
      <c r="E328" s="3" t="s">
        <v>1415</v>
      </c>
      <c r="F328" s="3" t="s">
        <v>1436</v>
      </c>
      <c r="G328" s="3" t="s">
        <v>2030</v>
      </c>
      <c r="H328" s="3" t="s">
        <v>1770</v>
      </c>
      <c r="I328" s="3" t="s">
        <v>1775</v>
      </c>
      <c r="J328" s="3" t="s">
        <v>521</v>
      </c>
      <c r="K328" s="3" t="s">
        <v>1435</v>
      </c>
      <c r="L328" s="3" t="s">
        <v>521</v>
      </c>
      <c r="M328" s="3" t="s">
        <v>985</v>
      </c>
      <c r="N328" s="3" t="s">
        <v>985</v>
      </c>
      <c r="O328" s="5">
        <v>45316</v>
      </c>
      <c r="P328" s="6">
        <v>158.72</v>
      </c>
      <c r="Q328" s="7">
        <v>0</v>
      </c>
    </row>
    <row r="329" s="1" customFormat="1" ht="13.5" spans="1:17">
      <c r="A329" s="3" t="s">
        <v>2047</v>
      </c>
      <c r="B329" s="3" t="s">
        <v>1481</v>
      </c>
      <c r="C329" s="3" t="s">
        <v>1768</v>
      </c>
      <c r="D329" s="3" t="s">
        <v>1483</v>
      </c>
      <c r="E329" s="3" t="s">
        <v>1484</v>
      </c>
      <c r="F329" s="3" t="s">
        <v>1485</v>
      </c>
      <c r="G329" s="3" t="s">
        <v>2048</v>
      </c>
      <c r="H329" s="3" t="s">
        <v>1770</v>
      </c>
      <c r="I329" s="3" t="s">
        <v>1775</v>
      </c>
      <c r="J329" s="3" t="s">
        <v>508</v>
      </c>
      <c r="K329" s="3" t="s">
        <v>1482</v>
      </c>
      <c r="L329" s="3" t="s">
        <v>508</v>
      </c>
      <c r="M329" s="3" t="s">
        <v>2049</v>
      </c>
      <c r="N329" s="3" t="s">
        <v>1486</v>
      </c>
      <c r="O329" s="5">
        <v>45260</v>
      </c>
      <c r="P329" s="6">
        <v>81083.33</v>
      </c>
      <c r="Q329" s="7">
        <v>0</v>
      </c>
    </row>
    <row r="330" s="1" customFormat="1" ht="13.5" spans="1:17">
      <c r="A330" s="3" t="s">
        <v>2047</v>
      </c>
      <c r="B330" s="3" t="s">
        <v>1487</v>
      </c>
      <c r="C330" s="3" t="s">
        <v>1768</v>
      </c>
      <c r="D330" s="3" t="s">
        <v>1483</v>
      </c>
      <c r="E330" s="3" t="s">
        <v>1484</v>
      </c>
      <c r="F330" s="3" t="s">
        <v>1489</v>
      </c>
      <c r="G330" s="3" t="s">
        <v>2048</v>
      </c>
      <c r="H330" s="3" t="s">
        <v>1770</v>
      </c>
      <c r="I330" s="3" t="s">
        <v>1775</v>
      </c>
      <c r="J330" s="3" t="s">
        <v>508</v>
      </c>
      <c r="K330" s="3" t="s">
        <v>1488</v>
      </c>
      <c r="L330" s="3" t="s">
        <v>508</v>
      </c>
      <c r="M330" s="3" t="s">
        <v>2049</v>
      </c>
      <c r="N330" s="3" t="s">
        <v>1486</v>
      </c>
      <c r="O330" s="5">
        <v>45261</v>
      </c>
      <c r="P330" s="6">
        <v>-81083.33</v>
      </c>
      <c r="Q330" s="7">
        <v>0</v>
      </c>
    </row>
    <row r="331" s="1" customFormat="1" ht="13.5" spans="1:17">
      <c r="A331" s="3" t="s">
        <v>2047</v>
      </c>
      <c r="B331" s="3" t="s">
        <v>1490</v>
      </c>
      <c r="C331" s="3" t="s">
        <v>1768</v>
      </c>
      <c r="D331" s="3" t="s">
        <v>1483</v>
      </c>
      <c r="E331" s="3" t="s">
        <v>1484</v>
      </c>
      <c r="F331" s="3" t="s">
        <v>1492</v>
      </c>
      <c r="G331" s="3" t="s">
        <v>2048</v>
      </c>
      <c r="H331" s="3" t="s">
        <v>1770</v>
      </c>
      <c r="I331" s="3" t="s">
        <v>1775</v>
      </c>
      <c r="J331" s="3" t="s">
        <v>508</v>
      </c>
      <c r="K331" s="3" t="s">
        <v>1491</v>
      </c>
      <c r="L331" s="3" t="s">
        <v>508</v>
      </c>
      <c r="M331" s="3" t="s">
        <v>2049</v>
      </c>
      <c r="N331" s="3" t="s">
        <v>1486</v>
      </c>
      <c r="O331" s="5">
        <v>45281</v>
      </c>
      <c r="P331" s="6">
        <v>158305.56</v>
      </c>
      <c r="Q331" s="7">
        <v>0</v>
      </c>
    </row>
    <row r="332" s="1" customFormat="1" ht="13.5" spans="1:17">
      <c r="A332" s="3" t="s">
        <v>2047</v>
      </c>
      <c r="B332" s="3" t="s">
        <v>1490</v>
      </c>
      <c r="C332" s="3" t="s">
        <v>1768</v>
      </c>
      <c r="D332" s="3" t="s">
        <v>1483</v>
      </c>
      <c r="E332" s="3" t="s">
        <v>1484</v>
      </c>
      <c r="F332" s="3" t="s">
        <v>1492</v>
      </c>
      <c r="G332" s="3" t="s">
        <v>2048</v>
      </c>
      <c r="H332" s="3" t="s">
        <v>1770</v>
      </c>
      <c r="I332" s="3" t="s">
        <v>1775</v>
      </c>
      <c r="J332" s="3" t="s">
        <v>508</v>
      </c>
      <c r="K332" s="3" t="s">
        <v>1496</v>
      </c>
      <c r="L332" s="3" t="s">
        <v>508</v>
      </c>
      <c r="M332" s="3" t="s">
        <v>2049</v>
      </c>
      <c r="N332" s="3" t="s">
        <v>1486</v>
      </c>
      <c r="O332" s="5">
        <v>45281</v>
      </c>
      <c r="P332" s="6">
        <v>7722.22</v>
      </c>
      <c r="Q332" s="7">
        <v>0</v>
      </c>
    </row>
    <row r="333" s="1" customFormat="1" ht="13.5" spans="1:17">
      <c r="A333" s="3" t="s">
        <v>2047</v>
      </c>
      <c r="B333" s="3" t="s">
        <v>1497</v>
      </c>
      <c r="C333" s="3" t="s">
        <v>1768</v>
      </c>
      <c r="D333" s="3" t="s">
        <v>1483</v>
      </c>
      <c r="E333" s="3" t="s">
        <v>1484</v>
      </c>
      <c r="F333" s="3" t="s">
        <v>1499</v>
      </c>
      <c r="G333" s="3" t="s">
        <v>2048</v>
      </c>
      <c r="H333" s="3" t="s">
        <v>1770</v>
      </c>
      <c r="I333" s="3" t="s">
        <v>1775</v>
      </c>
      <c r="J333" s="3" t="s">
        <v>508</v>
      </c>
      <c r="K333" s="3" t="s">
        <v>1498</v>
      </c>
      <c r="L333" s="3" t="s">
        <v>508</v>
      </c>
      <c r="M333" s="3" t="s">
        <v>2049</v>
      </c>
      <c r="N333" s="3" t="s">
        <v>1486</v>
      </c>
      <c r="O333" s="5">
        <v>45287</v>
      </c>
      <c r="P333" s="6">
        <v>92333.33</v>
      </c>
      <c r="Q333" s="7">
        <v>0</v>
      </c>
    </row>
    <row r="334" s="1" customFormat="1" ht="13.5" spans="1:17">
      <c r="A334" s="3" t="s">
        <v>2047</v>
      </c>
      <c r="B334" s="3" t="s">
        <v>1500</v>
      </c>
      <c r="C334" s="3" t="s">
        <v>1768</v>
      </c>
      <c r="D334" s="3" t="s">
        <v>1483</v>
      </c>
      <c r="E334" s="3" t="s">
        <v>1484</v>
      </c>
      <c r="F334" s="3" t="s">
        <v>1502</v>
      </c>
      <c r="G334" s="3" t="s">
        <v>2048</v>
      </c>
      <c r="H334" s="3" t="s">
        <v>1770</v>
      </c>
      <c r="I334" s="3" t="s">
        <v>1775</v>
      </c>
      <c r="J334" s="3" t="s">
        <v>521</v>
      </c>
      <c r="K334" s="3" t="s">
        <v>1501</v>
      </c>
      <c r="L334" s="3" t="s">
        <v>521</v>
      </c>
      <c r="M334" s="3" t="s">
        <v>2049</v>
      </c>
      <c r="N334" s="3" t="s">
        <v>1486</v>
      </c>
      <c r="O334" s="5">
        <v>45292</v>
      </c>
      <c r="P334" s="6">
        <v>-92333.33</v>
      </c>
      <c r="Q334" s="7">
        <v>0</v>
      </c>
    </row>
    <row r="335" s="1" customFormat="1" ht="13.5" spans="1:17">
      <c r="A335" s="3" t="s">
        <v>2047</v>
      </c>
      <c r="B335" s="3" t="s">
        <v>1497</v>
      </c>
      <c r="C335" s="3" t="s">
        <v>1768</v>
      </c>
      <c r="D335" s="3" t="s">
        <v>1483</v>
      </c>
      <c r="E335" s="3" t="s">
        <v>1484</v>
      </c>
      <c r="F335" s="3" t="s">
        <v>1499</v>
      </c>
      <c r="G335" s="3" t="s">
        <v>2048</v>
      </c>
      <c r="H335" s="3" t="s">
        <v>1770</v>
      </c>
      <c r="I335" s="3" t="s">
        <v>1775</v>
      </c>
      <c r="J335" s="3" t="s">
        <v>508</v>
      </c>
      <c r="K335" s="3" t="s">
        <v>1503</v>
      </c>
      <c r="L335" s="3" t="s">
        <v>508</v>
      </c>
      <c r="M335" s="3" t="s">
        <v>2049</v>
      </c>
      <c r="N335" s="3" t="s">
        <v>1486</v>
      </c>
      <c r="O335" s="5">
        <v>45287</v>
      </c>
      <c r="P335" s="6">
        <v>42472.22</v>
      </c>
      <c r="Q335" s="7">
        <v>0</v>
      </c>
    </row>
    <row r="336" s="1" customFormat="1" ht="13.5" spans="1:17">
      <c r="A336" s="3" t="s">
        <v>2047</v>
      </c>
      <c r="B336" s="3" t="s">
        <v>1497</v>
      </c>
      <c r="C336" s="3" t="s">
        <v>1768</v>
      </c>
      <c r="D336" s="3" t="s">
        <v>1483</v>
      </c>
      <c r="E336" s="3" t="s">
        <v>1484</v>
      </c>
      <c r="F336" s="3" t="s">
        <v>1499</v>
      </c>
      <c r="G336" s="3" t="s">
        <v>2048</v>
      </c>
      <c r="H336" s="3" t="s">
        <v>1770</v>
      </c>
      <c r="I336" s="3" t="s">
        <v>1775</v>
      </c>
      <c r="J336" s="3" t="s">
        <v>508</v>
      </c>
      <c r="K336" s="3" t="s">
        <v>1504</v>
      </c>
      <c r="L336" s="3" t="s">
        <v>508</v>
      </c>
      <c r="M336" s="3" t="s">
        <v>2049</v>
      </c>
      <c r="N336" s="3" t="s">
        <v>1486</v>
      </c>
      <c r="O336" s="5">
        <v>45287</v>
      </c>
      <c r="P336" s="6">
        <v>8494.44</v>
      </c>
      <c r="Q336" s="7">
        <v>0</v>
      </c>
    </row>
    <row r="337" s="1" customFormat="1" ht="13.5" spans="1:17">
      <c r="A337" s="3" t="s">
        <v>2047</v>
      </c>
      <c r="B337" s="3" t="s">
        <v>1500</v>
      </c>
      <c r="C337" s="3" t="s">
        <v>1768</v>
      </c>
      <c r="D337" s="3" t="s">
        <v>1483</v>
      </c>
      <c r="E337" s="3" t="s">
        <v>1484</v>
      </c>
      <c r="F337" s="3" t="s">
        <v>1502</v>
      </c>
      <c r="G337" s="3" t="s">
        <v>2048</v>
      </c>
      <c r="H337" s="3" t="s">
        <v>1770</v>
      </c>
      <c r="I337" s="3" t="s">
        <v>1775</v>
      </c>
      <c r="J337" s="3" t="s">
        <v>521</v>
      </c>
      <c r="K337" s="3" t="s">
        <v>1505</v>
      </c>
      <c r="L337" s="3" t="s">
        <v>521</v>
      </c>
      <c r="M337" s="3" t="s">
        <v>2049</v>
      </c>
      <c r="N337" s="3" t="s">
        <v>1486</v>
      </c>
      <c r="O337" s="5">
        <v>45292</v>
      </c>
      <c r="P337" s="6">
        <v>-42472.22</v>
      </c>
      <c r="Q337" s="7">
        <v>0</v>
      </c>
    </row>
    <row r="338" s="1" customFormat="1" ht="13.5" spans="1:17">
      <c r="A338" s="3" t="s">
        <v>2047</v>
      </c>
      <c r="B338" s="3" t="s">
        <v>1500</v>
      </c>
      <c r="C338" s="3" t="s">
        <v>1768</v>
      </c>
      <c r="D338" s="3" t="s">
        <v>1483</v>
      </c>
      <c r="E338" s="3" t="s">
        <v>1484</v>
      </c>
      <c r="F338" s="3" t="s">
        <v>1502</v>
      </c>
      <c r="G338" s="3" t="s">
        <v>2048</v>
      </c>
      <c r="H338" s="3" t="s">
        <v>1770</v>
      </c>
      <c r="I338" s="3" t="s">
        <v>1775</v>
      </c>
      <c r="J338" s="3" t="s">
        <v>521</v>
      </c>
      <c r="K338" s="3" t="s">
        <v>1506</v>
      </c>
      <c r="L338" s="3" t="s">
        <v>521</v>
      </c>
      <c r="M338" s="3" t="s">
        <v>2049</v>
      </c>
      <c r="N338" s="3" t="s">
        <v>1486</v>
      </c>
      <c r="O338" s="5">
        <v>45292</v>
      </c>
      <c r="P338" s="6">
        <v>-8494.44</v>
      </c>
      <c r="Q338" s="7">
        <v>0</v>
      </c>
    </row>
    <row r="339" s="1" customFormat="1" ht="13.5" spans="1:17">
      <c r="A339" s="3" t="s">
        <v>2047</v>
      </c>
      <c r="B339" s="3" t="s">
        <v>1509</v>
      </c>
      <c r="C339" s="3" t="s">
        <v>1768</v>
      </c>
      <c r="D339" s="3" t="s">
        <v>1483</v>
      </c>
      <c r="E339" s="3" t="s">
        <v>1484</v>
      </c>
      <c r="F339" s="3" t="s">
        <v>1511</v>
      </c>
      <c r="G339" s="3" t="s">
        <v>2048</v>
      </c>
      <c r="H339" s="3" t="s">
        <v>1770</v>
      </c>
      <c r="I339" s="3" t="s">
        <v>1775</v>
      </c>
      <c r="J339" s="3" t="s">
        <v>521</v>
      </c>
      <c r="K339" s="3" t="s">
        <v>1510</v>
      </c>
      <c r="L339" s="3" t="s">
        <v>521</v>
      </c>
      <c r="M339" s="3" t="s">
        <v>2049</v>
      </c>
      <c r="N339" s="3" t="s">
        <v>1486</v>
      </c>
      <c r="O339" s="5">
        <v>45322</v>
      </c>
      <c r="P339" s="6">
        <v>32433.33</v>
      </c>
      <c r="Q339" s="7">
        <v>0</v>
      </c>
    </row>
    <row r="340" s="1" customFormat="1" ht="13.5" spans="1:17">
      <c r="A340" s="3" t="s">
        <v>2047</v>
      </c>
      <c r="B340" s="3" t="s">
        <v>1509</v>
      </c>
      <c r="C340" s="3" t="s">
        <v>1768</v>
      </c>
      <c r="D340" s="3" t="s">
        <v>1483</v>
      </c>
      <c r="E340" s="3" t="s">
        <v>1484</v>
      </c>
      <c r="F340" s="3" t="s">
        <v>1511</v>
      </c>
      <c r="G340" s="3" t="s">
        <v>2048</v>
      </c>
      <c r="H340" s="3" t="s">
        <v>1770</v>
      </c>
      <c r="I340" s="3" t="s">
        <v>1775</v>
      </c>
      <c r="J340" s="3" t="s">
        <v>521</v>
      </c>
      <c r="K340" s="3" t="s">
        <v>1512</v>
      </c>
      <c r="L340" s="3" t="s">
        <v>521</v>
      </c>
      <c r="M340" s="3" t="s">
        <v>2049</v>
      </c>
      <c r="N340" s="3" t="s">
        <v>1486</v>
      </c>
      <c r="O340" s="5">
        <v>45322</v>
      </c>
      <c r="P340" s="6">
        <v>162166.67</v>
      </c>
      <c r="Q340" s="7">
        <v>0</v>
      </c>
    </row>
    <row r="341" s="1" customFormat="1" ht="13.5" spans="1:17">
      <c r="A341" s="3" t="s">
        <v>2047</v>
      </c>
      <c r="B341" s="3" t="s">
        <v>1513</v>
      </c>
      <c r="C341" s="3" t="s">
        <v>1768</v>
      </c>
      <c r="D341" s="3" t="s">
        <v>1483</v>
      </c>
      <c r="E341" s="3" t="s">
        <v>1484</v>
      </c>
      <c r="F341" s="3" t="s">
        <v>1515</v>
      </c>
      <c r="G341" s="3" t="s">
        <v>2048</v>
      </c>
      <c r="H341" s="3" t="s">
        <v>1770</v>
      </c>
      <c r="I341" s="3" t="s">
        <v>1775</v>
      </c>
      <c r="J341" s="3" t="s">
        <v>521</v>
      </c>
      <c r="K341" s="3" t="s">
        <v>1514</v>
      </c>
      <c r="L341" s="3" t="s">
        <v>521</v>
      </c>
      <c r="M341" s="3" t="s">
        <v>2049</v>
      </c>
      <c r="N341" s="3" t="s">
        <v>1486</v>
      </c>
      <c r="O341" s="5">
        <v>45323</v>
      </c>
      <c r="P341" s="6">
        <v>-162166.67</v>
      </c>
      <c r="Q341" s="7">
        <v>0</v>
      </c>
    </row>
    <row r="342" s="1" customFormat="1" ht="13.5" spans="1:17">
      <c r="A342" s="3" t="s">
        <v>2047</v>
      </c>
      <c r="B342" s="3" t="s">
        <v>1509</v>
      </c>
      <c r="C342" s="3" t="s">
        <v>1768</v>
      </c>
      <c r="D342" s="3" t="s">
        <v>1483</v>
      </c>
      <c r="E342" s="3" t="s">
        <v>1484</v>
      </c>
      <c r="F342" s="3" t="s">
        <v>1511</v>
      </c>
      <c r="G342" s="3" t="s">
        <v>2048</v>
      </c>
      <c r="H342" s="3" t="s">
        <v>1770</v>
      </c>
      <c r="I342" s="3" t="s">
        <v>1775</v>
      </c>
      <c r="J342" s="3" t="s">
        <v>521</v>
      </c>
      <c r="K342" s="3" t="s">
        <v>1516</v>
      </c>
      <c r="L342" s="3" t="s">
        <v>521</v>
      </c>
      <c r="M342" s="3" t="s">
        <v>2049</v>
      </c>
      <c r="N342" s="3" t="s">
        <v>1486</v>
      </c>
      <c r="O342" s="5">
        <v>45322</v>
      </c>
      <c r="P342" s="6">
        <v>46333.33</v>
      </c>
      <c r="Q342" s="7">
        <v>0</v>
      </c>
    </row>
    <row r="343" s="1" customFormat="1" ht="13.5" spans="1:17">
      <c r="A343" s="3" t="s">
        <v>2047</v>
      </c>
      <c r="B343" s="3" t="s">
        <v>1513</v>
      </c>
      <c r="C343" s="3" t="s">
        <v>1768</v>
      </c>
      <c r="D343" s="3" t="s">
        <v>1483</v>
      </c>
      <c r="E343" s="3" t="s">
        <v>1484</v>
      </c>
      <c r="F343" s="3" t="s">
        <v>1515</v>
      </c>
      <c r="G343" s="3" t="s">
        <v>2048</v>
      </c>
      <c r="H343" s="3" t="s">
        <v>1770</v>
      </c>
      <c r="I343" s="3" t="s">
        <v>1775</v>
      </c>
      <c r="J343" s="3" t="s">
        <v>521</v>
      </c>
      <c r="K343" s="3" t="s">
        <v>1517</v>
      </c>
      <c r="L343" s="3" t="s">
        <v>521</v>
      </c>
      <c r="M343" s="3" t="s">
        <v>2049</v>
      </c>
      <c r="N343" s="3" t="s">
        <v>1486</v>
      </c>
      <c r="O343" s="5">
        <v>45323</v>
      </c>
      <c r="P343" s="6">
        <v>-46333.33</v>
      </c>
      <c r="Q343" s="7">
        <v>0</v>
      </c>
    </row>
    <row r="344" s="1" customFormat="1" ht="13.5" spans="1:17">
      <c r="A344" s="3" t="s">
        <v>2047</v>
      </c>
      <c r="B344" s="3" t="s">
        <v>1509</v>
      </c>
      <c r="C344" s="3" t="s">
        <v>1768</v>
      </c>
      <c r="D344" s="3" t="s">
        <v>1483</v>
      </c>
      <c r="E344" s="3" t="s">
        <v>1484</v>
      </c>
      <c r="F344" s="3" t="s">
        <v>1511</v>
      </c>
      <c r="G344" s="3" t="s">
        <v>2048</v>
      </c>
      <c r="H344" s="3" t="s">
        <v>1770</v>
      </c>
      <c r="I344" s="3" t="s">
        <v>1775</v>
      </c>
      <c r="J344" s="3" t="s">
        <v>521</v>
      </c>
      <c r="K344" s="3" t="s">
        <v>1518</v>
      </c>
      <c r="L344" s="3" t="s">
        <v>521</v>
      </c>
      <c r="M344" s="3" t="s">
        <v>2049</v>
      </c>
      <c r="N344" s="3" t="s">
        <v>1486</v>
      </c>
      <c r="O344" s="5">
        <v>45322</v>
      </c>
      <c r="P344" s="6">
        <v>378566.67</v>
      </c>
      <c r="Q344" s="7">
        <v>0</v>
      </c>
    </row>
    <row r="345" s="1" customFormat="1" ht="13.5" spans="1:17">
      <c r="A345" s="3" t="s">
        <v>2047</v>
      </c>
      <c r="B345" s="3" t="s">
        <v>1513</v>
      </c>
      <c r="C345" s="3" t="s">
        <v>1768</v>
      </c>
      <c r="D345" s="3" t="s">
        <v>1483</v>
      </c>
      <c r="E345" s="3" t="s">
        <v>1484</v>
      </c>
      <c r="F345" s="3" t="s">
        <v>1515</v>
      </c>
      <c r="G345" s="3" t="s">
        <v>2048</v>
      </c>
      <c r="H345" s="3" t="s">
        <v>1770</v>
      </c>
      <c r="I345" s="3" t="s">
        <v>1775</v>
      </c>
      <c r="J345" s="3" t="s">
        <v>521</v>
      </c>
      <c r="K345" s="3" t="s">
        <v>1519</v>
      </c>
      <c r="L345" s="3" t="s">
        <v>521</v>
      </c>
      <c r="M345" s="3" t="s">
        <v>2049</v>
      </c>
      <c r="N345" s="3" t="s">
        <v>1486</v>
      </c>
      <c r="O345" s="5">
        <v>45323</v>
      </c>
      <c r="P345" s="6">
        <v>-378566.67</v>
      </c>
      <c r="Q345" s="7">
        <v>0</v>
      </c>
    </row>
    <row r="346" s="1" customFormat="1" ht="13.5" spans="1:17">
      <c r="A346" s="3" t="s">
        <v>2047</v>
      </c>
      <c r="B346" s="3" t="s">
        <v>1513</v>
      </c>
      <c r="C346" s="3" t="s">
        <v>1768</v>
      </c>
      <c r="D346" s="3" t="s">
        <v>1483</v>
      </c>
      <c r="E346" s="3" t="s">
        <v>1484</v>
      </c>
      <c r="F346" s="3" t="s">
        <v>1515</v>
      </c>
      <c r="G346" s="3" t="s">
        <v>2048</v>
      </c>
      <c r="H346" s="3" t="s">
        <v>1770</v>
      </c>
      <c r="I346" s="3" t="s">
        <v>1775</v>
      </c>
      <c r="J346" s="3" t="s">
        <v>521</v>
      </c>
      <c r="K346" s="3" t="s">
        <v>1520</v>
      </c>
      <c r="L346" s="3" t="s">
        <v>521</v>
      </c>
      <c r="M346" s="3" t="s">
        <v>2049</v>
      </c>
      <c r="N346" s="3" t="s">
        <v>1486</v>
      </c>
      <c r="O346" s="5">
        <v>45323</v>
      </c>
      <c r="P346" s="6">
        <v>-32433.33</v>
      </c>
      <c r="Q346" s="7">
        <v>0</v>
      </c>
    </row>
    <row r="347" s="1" customFormat="1" ht="13.5" spans="1:17">
      <c r="A347" s="3" t="s">
        <v>2047</v>
      </c>
      <c r="B347" s="3" t="s">
        <v>1521</v>
      </c>
      <c r="C347" s="3" t="s">
        <v>1768</v>
      </c>
      <c r="D347" s="3" t="s">
        <v>1483</v>
      </c>
      <c r="E347" s="3" t="s">
        <v>1484</v>
      </c>
      <c r="F347" s="3" t="s">
        <v>1523</v>
      </c>
      <c r="G347" s="3" t="s">
        <v>2048</v>
      </c>
      <c r="H347" s="3" t="s">
        <v>1770</v>
      </c>
      <c r="I347" s="3" t="s">
        <v>1775</v>
      </c>
      <c r="J347" s="3" t="s">
        <v>521</v>
      </c>
      <c r="K347" s="3" t="s">
        <v>1522</v>
      </c>
      <c r="L347" s="3" t="s">
        <v>521</v>
      </c>
      <c r="M347" s="3" t="s">
        <v>2049</v>
      </c>
      <c r="N347" s="3" t="s">
        <v>1486</v>
      </c>
      <c r="O347" s="5">
        <v>45352</v>
      </c>
      <c r="P347" s="6">
        <v>-54827.78</v>
      </c>
      <c r="Q347" s="7">
        <v>0</v>
      </c>
    </row>
    <row r="348" s="1" customFormat="1" ht="13.5" spans="1:17">
      <c r="A348" s="3" t="s">
        <v>2047</v>
      </c>
      <c r="B348" s="3" t="s">
        <v>1524</v>
      </c>
      <c r="C348" s="3" t="s">
        <v>1768</v>
      </c>
      <c r="D348" s="3" t="s">
        <v>1483</v>
      </c>
      <c r="E348" s="3" t="s">
        <v>1484</v>
      </c>
      <c r="F348" s="3" t="s">
        <v>1526</v>
      </c>
      <c r="G348" s="3" t="s">
        <v>2048</v>
      </c>
      <c r="H348" s="3" t="s">
        <v>1770</v>
      </c>
      <c r="I348" s="3" t="s">
        <v>1775</v>
      </c>
      <c r="J348" s="3" t="s">
        <v>521</v>
      </c>
      <c r="K348" s="3" t="s">
        <v>1525</v>
      </c>
      <c r="L348" s="3" t="s">
        <v>521</v>
      </c>
      <c r="M348" s="3" t="s">
        <v>2049</v>
      </c>
      <c r="N348" s="3" t="s">
        <v>1486</v>
      </c>
      <c r="O348" s="5">
        <v>45351</v>
      </c>
      <c r="P348" s="6">
        <v>54827.78</v>
      </c>
      <c r="Q348" s="7">
        <v>0</v>
      </c>
    </row>
    <row r="349" s="1" customFormat="1" ht="13.5" spans="1:17">
      <c r="A349" s="3" t="s">
        <v>2047</v>
      </c>
      <c r="B349" s="3" t="s">
        <v>1524</v>
      </c>
      <c r="C349" s="3" t="s">
        <v>1768</v>
      </c>
      <c r="D349" s="3" t="s">
        <v>1483</v>
      </c>
      <c r="E349" s="3" t="s">
        <v>1484</v>
      </c>
      <c r="F349" s="3" t="s">
        <v>1526</v>
      </c>
      <c r="G349" s="3" t="s">
        <v>2048</v>
      </c>
      <c r="H349" s="3" t="s">
        <v>1770</v>
      </c>
      <c r="I349" s="3" t="s">
        <v>1775</v>
      </c>
      <c r="J349" s="3" t="s">
        <v>521</v>
      </c>
      <c r="K349" s="3" t="s">
        <v>1527</v>
      </c>
      <c r="L349" s="3" t="s">
        <v>521</v>
      </c>
      <c r="M349" s="3" t="s">
        <v>2049</v>
      </c>
      <c r="N349" s="3" t="s">
        <v>1486</v>
      </c>
      <c r="O349" s="5">
        <v>45351</v>
      </c>
      <c r="P349" s="6">
        <v>91122.22</v>
      </c>
      <c r="Q349" s="7">
        <v>0</v>
      </c>
    </row>
    <row r="350" s="1" customFormat="1" ht="13.5" spans="1:17">
      <c r="A350" s="3" t="s">
        <v>2047</v>
      </c>
      <c r="B350" s="3" t="s">
        <v>1521</v>
      </c>
      <c r="C350" s="3" t="s">
        <v>1768</v>
      </c>
      <c r="D350" s="3" t="s">
        <v>1483</v>
      </c>
      <c r="E350" s="3" t="s">
        <v>1484</v>
      </c>
      <c r="F350" s="3" t="s">
        <v>1523</v>
      </c>
      <c r="G350" s="3" t="s">
        <v>2048</v>
      </c>
      <c r="H350" s="3" t="s">
        <v>1770</v>
      </c>
      <c r="I350" s="3" t="s">
        <v>1775</v>
      </c>
      <c r="J350" s="3" t="s">
        <v>521</v>
      </c>
      <c r="K350" s="3" t="s">
        <v>1528</v>
      </c>
      <c r="L350" s="3" t="s">
        <v>521</v>
      </c>
      <c r="M350" s="3" t="s">
        <v>2049</v>
      </c>
      <c r="N350" s="3" t="s">
        <v>1486</v>
      </c>
      <c r="O350" s="5">
        <v>45352</v>
      </c>
      <c r="P350" s="6">
        <v>-91122.22</v>
      </c>
      <c r="Q350" s="7">
        <v>0</v>
      </c>
    </row>
    <row r="351" s="1" customFormat="1" ht="13.5" spans="1:17">
      <c r="A351" s="3" t="s">
        <v>2047</v>
      </c>
      <c r="B351" s="3" t="s">
        <v>1524</v>
      </c>
      <c r="C351" s="3" t="s">
        <v>1768</v>
      </c>
      <c r="D351" s="3" t="s">
        <v>1483</v>
      </c>
      <c r="E351" s="3" t="s">
        <v>1484</v>
      </c>
      <c r="F351" s="3" t="s">
        <v>1526</v>
      </c>
      <c r="G351" s="3" t="s">
        <v>2048</v>
      </c>
      <c r="H351" s="3" t="s">
        <v>1770</v>
      </c>
      <c r="I351" s="3" t="s">
        <v>1775</v>
      </c>
      <c r="J351" s="3" t="s">
        <v>521</v>
      </c>
      <c r="K351" s="3" t="s">
        <v>1529</v>
      </c>
      <c r="L351" s="3" t="s">
        <v>521</v>
      </c>
      <c r="M351" s="3" t="s">
        <v>2049</v>
      </c>
      <c r="N351" s="3" t="s">
        <v>1486</v>
      </c>
      <c r="O351" s="5">
        <v>45351</v>
      </c>
      <c r="P351" s="6">
        <v>274138.89</v>
      </c>
      <c r="Q351" s="7">
        <v>0</v>
      </c>
    </row>
    <row r="352" s="1" customFormat="1" ht="13.5" spans="1:17">
      <c r="A352" s="3" t="s">
        <v>2047</v>
      </c>
      <c r="B352" s="3" t="s">
        <v>1521</v>
      </c>
      <c r="C352" s="3" t="s">
        <v>1768</v>
      </c>
      <c r="D352" s="3" t="s">
        <v>1483</v>
      </c>
      <c r="E352" s="3" t="s">
        <v>1484</v>
      </c>
      <c r="F352" s="3" t="s">
        <v>1523</v>
      </c>
      <c r="G352" s="3" t="s">
        <v>2048</v>
      </c>
      <c r="H352" s="3" t="s">
        <v>1770</v>
      </c>
      <c r="I352" s="3" t="s">
        <v>1775</v>
      </c>
      <c r="J352" s="3" t="s">
        <v>521</v>
      </c>
      <c r="K352" s="3" t="s">
        <v>1530</v>
      </c>
      <c r="L352" s="3" t="s">
        <v>521</v>
      </c>
      <c r="M352" s="3" t="s">
        <v>2049</v>
      </c>
      <c r="N352" s="3" t="s">
        <v>1486</v>
      </c>
      <c r="O352" s="5">
        <v>45352</v>
      </c>
      <c r="P352" s="6">
        <v>-274138.89</v>
      </c>
      <c r="Q352" s="7">
        <v>0</v>
      </c>
    </row>
    <row r="353" s="1" customFormat="1" ht="13.5" spans="1:17">
      <c r="A353" s="3" t="s">
        <v>2047</v>
      </c>
      <c r="B353" s="3" t="s">
        <v>1524</v>
      </c>
      <c r="C353" s="3" t="s">
        <v>1768</v>
      </c>
      <c r="D353" s="3" t="s">
        <v>1483</v>
      </c>
      <c r="E353" s="3" t="s">
        <v>1484</v>
      </c>
      <c r="F353" s="3" t="s">
        <v>1526</v>
      </c>
      <c r="G353" s="3" t="s">
        <v>2048</v>
      </c>
      <c r="H353" s="3" t="s">
        <v>1770</v>
      </c>
      <c r="I353" s="3" t="s">
        <v>1775</v>
      </c>
      <c r="J353" s="3" t="s">
        <v>521</v>
      </c>
      <c r="K353" s="3" t="s">
        <v>1531</v>
      </c>
      <c r="L353" s="3" t="s">
        <v>521</v>
      </c>
      <c r="M353" s="3" t="s">
        <v>2049</v>
      </c>
      <c r="N353" s="3" t="s">
        <v>1486</v>
      </c>
      <c r="O353" s="5">
        <v>45351</v>
      </c>
      <c r="P353" s="6">
        <v>646333.33</v>
      </c>
      <c r="Q353" s="7">
        <v>0</v>
      </c>
    </row>
    <row r="354" s="1" customFormat="1" ht="13.5" spans="1:17">
      <c r="A354" s="3" t="s">
        <v>2047</v>
      </c>
      <c r="B354" s="3" t="s">
        <v>1521</v>
      </c>
      <c r="C354" s="3" t="s">
        <v>1768</v>
      </c>
      <c r="D354" s="3" t="s">
        <v>1483</v>
      </c>
      <c r="E354" s="3" t="s">
        <v>1484</v>
      </c>
      <c r="F354" s="3" t="s">
        <v>1523</v>
      </c>
      <c r="G354" s="3" t="s">
        <v>2048</v>
      </c>
      <c r="H354" s="3" t="s">
        <v>1770</v>
      </c>
      <c r="I354" s="3" t="s">
        <v>1775</v>
      </c>
      <c r="J354" s="3" t="s">
        <v>521</v>
      </c>
      <c r="K354" s="3" t="s">
        <v>1532</v>
      </c>
      <c r="L354" s="3" t="s">
        <v>521</v>
      </c>
      <c r="M354" s="3" t="s">
        <v>2049</v>
      </c>
      <c r="N354" s="3" t="s">
        <v>1486</v>
      </c>
      <c r="O354" s="5">
        <v>45352</v>
      </c>
      <c r="P354" s="6">
        <v>-646333.33</v>
      </c>
      <c r="Q354" s="7">
        <v>0</v>
      </c>
    </row>
    <row r="355" s="1" customFormat="1" ht="13.5" spans="1:17">
      <c r="A355" s="3" t="s">
        <v>2047</v>
      </c>
      <c r="B355" s="3" t="s">
        <v>1533</v>
      </c>
      <c r="C355" s="3" t="s">
        <v>1768</v>
      </c>
      <c r="D355" s="3" t="s">
        <v>1483</v>
      </c>
      <c r="E355" s="3" t="s">
        <v>1484</v>
      </c>
      <c r="F355" s="3" t="s">
        <v>1542</v>
      </c>
      <c r="G355" s="3" t="s">
        <v>2048</v>
      </c>
      <c r="H355" s="3" t="s">
        <v>1770</v>
      </c>
      <c r="I355" s="3" t="s">
        <v>1775</v>
      </c>
      <c r="J355" s="3" t="s">
        <v>521</v>
      </c>
      <c r="K355" s="3" t="s">
        <v>1541</v>
      </c>
      <c r="L355" s="3" t="s">
        <v>521</v>
      </c>
      <c r="M355" s="3" t="s">
        <v>2049</v>
      </c>
      <c r="N355" s="3" t="s">
        <v>1486</v>
      </c>
      <c r="O355" s="5">
        <v>45372</v>
      </c>
      <c r="P355" s="6">
        <v>-122011.13</v>
      </c>
      <c r="Q355" s="7">
        <v>0</v>
      </c>
    </row>
    <row r="356" s="1" customFormat="1" ht="13.5" spans="1:17">
      <c r="A356" s="3" t="s">
        <v>2047</v>
      </c>
      <c r="B356" s="3" t="s">
        <v>1533</v>
      </c>
      <c r="C356" s="3" t="s">
        <v>1768</v>
      </c>
      <c r="D356" s="3" t="s">
        <v>1483</v>
      </c>
      <c r="E356" s="3" t="s">
        <v>1484</v>
      </c>
      <c r="F356" s="3" t="s">
        <v>1535</v>
      </c>
      <c r="G356" s="3" t="s">
        <v>2048</v>
      </c>
      <c r="H356" s="3" t="s">
        <v>1770</v>
      </c>
      <c r="I356" s="3" t="s">
        <v>1775</v>
      </c>
      <c r="J356" s="3" t="s">
        <v>521</v>
      </c>
      <c r="K356" s="3" t="s">
        <v>1534</v>
      </c>
      <c r="L356" s="3" t="s">
        <v>521</v>
      </c>
      <c r="M356" s="3" t="s">
        <v>2049</v>
      </c>
      <c r="N356" s="3" t="s">
        <v>1486</v>
      </c>
      <c r="O356" s="5">
        <v>45382</v>
      </c>
      <c r="P356" s="6">
        <v>351361.11</v>
      </c>
      <c r="Q356" s="7">
        <v>0</v>
      </c>
    </row>
    <row r="357" s="1" customFormat="1" ht="13.5" spans="1:17">
      <c r="A357" s="3" t="s">
        <v>2047</v>
      </c>
      <c r="B357" s="3" t="s">
        <v>1536</v>
      </c>
      <c r="C357" s="3" t="s">
        <v>1768</v>
      </c>
      <c r="D357" s="3" t="s">
        <v>1483</v>
      </c>
      <c r="E357" s="3" t="s">
        <v>1484</v>
      </c>
      <c r="F357" s="3" t="s">
        <v>1538</v>
      </c>
      <c r="G357" s="3" t="s">
        <v>2048</v>
      </c>
      <c r="H357" s="3" t="s">
        <v>1770</v>
      </c>
      <c r="I357" s="3" t="s">
        <v>1775</v>
      </c>
      <c r="J357" s="3" t="s">
        <v>521</v>
      </c>
      <c r="K357" s="3" t="s">
        <v>1537</v>
      </c>
      <c r="L357" s="3" t="s">
        <v>521</v>
      </c>
      <c r="M357" s="3" t="s">
        <v>2049</v>
      </c>
      <c r="N357" s="3" t="s">
        <v>1486</v>
      </c>
      <c r="O357" s="5">
        <v>45383</v>
      </c>
      <c r="P357" s="6">
        <v>-42472.22</v>
      </c>
      <c r="Q357" s="7">
        <v>0</v>
      </c>
    </row>
    <row r="358" s="1" customFormat="1" ht="13.5" spans="1:17">
      <c r="A358" s="3" t="s">
        <v>2047</v>
      </c>
      <c r="B358" s="3" t="s">
        <v>1533</v>
      </c>
      <c r="C358" s="3" t="s">
        <v>1768</v>
      </c>
      <c r="D358" s="3" t="s">
        <v>1483</v>
      </c>
      <c r="E358" s="3" t="s">
        <v>1484</v>
      </c>
      <c r="F358" s="3" t="s">
        <v>1540</v>
      </c>
      <c r="G358" s="3" t="s">
        <v>2048</v>
      </c>
      <c r="H358" s="3" t="s">
        <v>1770</v>
      </c>
      <c r="I358" s="3" t="s">
        <v>1775</v>
      </c>
      <c r="J358" s="3" t="s">
        <v>521</v>
      </c>
      <c r="K358" s="3" t="s">
        <v>1539</v>
      </c>
      <c r="L358" s="3" t="s">
        <v>521</v>
      </c>
      <c r="M358" s="3" t="s">
        <v>2049</v>
      </c>
      <c r="N358" s="3" t="s">
        <v>1486</v>
      </c>
      <c r="O358" s="5">
        <v>45382</v>
      </c>
      <c r="P358" s="6">
        <v>42472.22</v>
      </c>
      <c r="Q358" s="7">
        <v>0</v>
      </c>
    </row>
    <row r="359" s="1" customFormat="1" ht="13.5" spans="1:17">
      <c r="A359" s="3" t="s">
        <v>2047</v>
      </c>
      <c r="B359" s="3" t="s">
        <v>1533</v>
      </c>
      <c r="C359" s="3" t="s">
        <v>1768</v>
      </c>
      <c r="D359" s="3" t="s">
        <v>1483</v>
      </c>
      <c r="E359" s="3" t="s">
        <v>1484</v>
      </c>
      <c r="F359" s="3" t="s">
        <v>1544</v>
      </c>
      <c r="G359" s="3" t="s">
        <v>2048</v>
      </c>
      <c r="H359" s="3" t="s">
        <v>1770</v>
      </c>
      <c r="I359" s="3" t="s">
        <v>1775</v>
      </c>
      <c r="J359" s="3" t="s">
        <v>521</v>
      </c>
      <c r="K359" s="3" t="s">
        <v>1543</v>
      </c>
      <c r="L359" s="3" t="s">
        <v>521</v>
      </c>
      <c r="M359" s="3" t="s">
        <v>2049</v>
      </c>
      <c r="N359" s="3" t="s">
        <v>1486</v>
      </c>
      <c r="O359" s="5">
        <v>45372</v>
      </c>
      <c r="P359" s="6">
        <v>-122011.11</v>
      </c>
      <c r="Q359" s="7">
        <v>0</v>
      </c>
    </row>
    <row r="360" s="1" customFormat="1" ht="13.5" spans="1:17">
      <c r="A360" s="3" t="s">
        <v>2047</v>
      </c>
      <c r="B360" s="3" t="s">
        <v>1533</v>
      </c>
      <c r="C360" s="3" t="s">
        <v>1768</v>
      </c>
      <c r="D360" s="3" t="s">
        <v>1483</v>
      </c>
      <c r="E360" s="3" t="s">
        <v>1484</v>
      </c>
      <c r="F360" s="3" t="s">
        <v>1535</v>
      </c>
      <c r="G360" s="3" t="s">
        <v>2048</v>
      </c>
      <c r="H360" s="3" t="s">
        <v>1770</v>
      </c>
      <c r="I360" s="3" t="s">
        <v>1775</v>
      </c>
      <c r="J360" s="3" t="s">
        <v>521</v>
      </c>
      <c r="K360" s="3" t="s">
        <v>1545</v>
      </c>
      <c r="L360" s="3" t="s">
        <v>521</v>
      </c>
      <c r="M360" s="3" t="s">
        <v>2049</v>
      </c>
      <c r="N360" s="3" t="s">
        <v>1486</v>
      </c>
      <c r="O360" s="5">
        <v>45382</v>
      </c>
      <c r="P360" s="6">
        <v>122011.13</v>
      </c>
      <c r="Q360" s="7">
        <v>0</v>
      </c>
    </row>
    <row r="361" s="1" customFormat="1" ht="13.5" spans="1:17">
      <c r="A361" s="3" t="s">
        <v>2047</v>
      </c>
      <c r="B361" s="3" t="s">
        <v>1533</v>
      </c>
      <c r="C361" s="3" t="s">
        <v>1768</v>
      </c>
      <c r="D361" s="3" t="s">
        <v>1483</v>
      </c>
      <c r="E361" s="3" t="s">
        <v>1484</v>
      </c>
      <c r="F361" s="3" t="s">
        <v>1535</v>
      </c>
      <c r="G361" s="3" t="s">
        <v>2048</v>
      </c>
      <c r="H361" s="3" t="s">
        <v>1770</v>
      </c>
      <c r="I361" s="3" t="s">
        <v>1775</v>
      </c>
      <c r="J361" s="3" t="s">
        <v>521</v>
      </c>
      <c r="K361" s="3" t="s">
        <v>1546</v>
      </c>
      <c r="L361" s="3" t="s">
        <v>521</v>
      </c>
      <c r="M361" s="3" t="s">
        <v>2049</v>
      </c>
      <c r="N361" s="3" t="s">
        <v>1486</v>
      </c>
      <c r="O361" s="5">
        <v>45382</v>
      </c>
      <c r="P361" s="6">
        <v>70272.22</v>
      </c>
      <c r="Q361" s="7">
        <v>0</v>
      </c>
    </row>
    <row r="362" s="1" customFormat="1" ht="13.5" spans="1:17">
      <c r="A362" s="3" t="s">
        <v>2047</v>
      </c>
      <c r="B362" s="3" t="s">
        <v>1533</v>
      </c>
      <c r="C362" s="3" t="s">
        <v>1768</v>
      </c>
      <c r="D362" s="3" t="s">
        <v>1483</v>
      </c>
      <c r="E362" s="3" t="s">
        <v>1484</v>
      </c>
      <c r="F362" s="3" t="s">
        <v>1535</v>
      </c>
      <c r="G362" s="3" t="s">
        <v>2048</v>
      </c>
      <c r="H362" s="3" t="s">
        <v>1770</v>
      </c>
      <c r="I362" s="3" t="s">
        <v>1775</v>
      </c>
      <c r="J362" s="3" t="s">
        <v>521</v>
      </c>
      <c r="K362" s="3" t="s">
        <v>1546</v>
      </c>
      <c r="L362" s="3" t="s">
        <v>521</v>
      </c>
      <c r="M362" s="3" t="s">
        <v>2049</v>
      </c>
      <c r="N362" s="3" t="s">
        <v>1486</v>
      </c>
      <c r="O362" s="5">
        <v>45382</v>
      </c>
      <c r="P362" s="6">
        <v>122011.11</v>
      </c>
      <c r="Q362" s="7">
        <v>0</v>
      </c>
    </row>
    <row r="363" s="1" customFormat="1" ht="13.5" spans="1:17">
      <c r="A363" s="3" t="s">
        <v>2047</v>
      </c>
      <c r="B363" s="3" t="s">
        <v>1533</v>
      </c>
      <c r="C363" s="3" t="s">
        <v>1768</v>
      </c>
      <c r="D363" s="3" t="s">
        <v>1483</v>
      </c>
      <c r="E363" s="3" t="s">
        <v>1484</v>
      </c>
      <c r="F363" s="3" t="s">
        <v>1540</v>
      </c>
      <c r="G363" s="3" t="s">
        <v>2048</v>
      </c>
      <c r="H363" s="3" t="s">
        <v>1770</v>
      </c>
      <c r="I363" s="3" t="s">
        <v>1775</v>
      </c>
      <c r="J363" s="3" t="s">
        <v>521</v>
      </c>
      <c r="K363" s="3" t="s">
        <v>1547</v>
      </c>
      <c r="L363" s="3" t="s">
        <v>521</v>
      </c>
      <c r="M363" s="3" t="s">
        <v>2049</v>
      </c>
      <c r="N363" s="3" t="s">
        <v>1486</v>
      </c>
      <c r="O363" s="5">
        <v>45382</v>
      </c>
      <c r="P363" s="6">
        <v>3077.78</v>
      </c>
      <c r="Q363" s="7">
        <v>0</v>
      </c>
    </row>
    <row r="364" s="1" customFormat="1" ht="13.5" spans="1:17">
      <c r="A364" s="3" t="s">
        <v>2047</v>
      </c>
      <c r="B364" s="3" t="s">
        <v>1536</v>
      </c>
      <c r="C364" s="3" t="s">
        <v>1768</v>
      </c>
      <c r="D364" s="3" t="s">
        <v>1483</v>
      </c>
      <c r="E364" s="3" t="s">
        <v>1484</v>
      </c>
      <c r="F364" s="3" t="s">
        <v>1538</v>
      </c>
      <c r="G364" s="3" t="s">
        <v>2048</v>
      </c>
      <c r="H364" s="3" t="s">
        <v>1770</v>
      </c>
      <c r="I364" s="3" t="s">
        <v>1775</v>
      </c>
      <c r="J364" s="3" t="s">
        <v>521</v>
      </c>
      <c r="K364" s="3" t="s">
        <v>1548</v>
      </c>
      <c r="L364" s="3" t="s">
        <v>521</v>
      </c>
      <c r="M364" s="3" t="s">
        <v>2049</v>
      </c>
      <c r="N364" s="3" t="s">
        <v>1486</v>
      </c>
      <c r="O364" s="5">
        <v>45383</v>
      </c>
      <c r="P364" s="6">
        <v>-3077.78</v>
      </c>
      <c r="Q364" s="7">
        <v>0</v>
      </c>
    </row>
    <row r="365" s="1" customFormat="1" ht="13.5" spans="1:17">
      <c r="A365" s="3" t="s">
        <v>2047</v>
      </c>
      <c r="B365" s="3" t="s">
        <v>1533</v>
      </c>
      <c r="C365" s="3" t="s">
        <v>1768</v>
      </c>
      <c r="D365" s="3" t="s">
        <v>1483</v>
      </c>
      <c r="E365" s="3" t="s">
        <v>1484</v>
      </c>
      <c r="F365" s="3" t="s">
        <v>1540</v>
      </c>
      <c r="G365" s="3" t="s">
        <v>2048</v>
      </c>
      <c r="H365" s="3" t="s">
        <v>1770</v>
      </c>
      <c r="I365" s="3" t="s">
        <v>1775</v>
      </c>
      <c r="J365" s="3" t="s">
        <v>521</v>
      </c>
      <c r="K365" s="3" t="s">
        <v>1549</v>
      </c>
      <c r="L365" s="3" t="s">
        <v>521</v>
      </c>
      <c r="M365" s="3" t="s">
        <v>2049</v>
      </c>
      <c r="N365" s="3" t="s">
        <v>1486</v>
      </c>
      <c r="O365" s="5">
        <v>45382</v>
      </c>
      <c r="P365" s="6">
        <v>101566.67</v>
      </c>
      <c r="Q365" s="7">
        <v>0</v>
      </c>
    </row>
    <row r="366" s="1" customFormat="1" ht="13.5" spans="1:17">
      <c r="A366" s="3" t="s">
        <v>2047</v>
      </c>
      <c r="B366" s="3" t="s">
        <v>1536</v>
      </c>
      <c r="C366" s="3" t="s">
        <v>1768</v>
      </c>
      <c r="D366" s="3" t="s">
        <v>1483</v>
      </c>
      <c r="E366" s="3" t="s">
        <v>1484</v>
      </c>
      <c r="F366" s="3" t="s">
        <v>1538</v>
      </c>
      <c r="G366" s="3" t="s">
        <v>2048</v>
      </c>
      <c r="H366" s="3" t="s">
        <v>1770</v>
      </c>
      <c r="I366" s="3" t="s">
        <v>1775</v>
      </c>
      <c r="J366" s="3" t="s">
        <v>521</v>
      </c>
      <c r="K366" s="3" t="s">
        <v>1550</v>
      </c>
      <c r="L366" s="3" t="s">
        <v>521</v>
      </c>
      <c r="M366" s="3" t="s">
        <v>2049</v>
      </c>
      <c r="N366" s="3" t="s">
        <v>1486</v>
      </c>
      <c r="O366" s="5">
        <v>45383</v>
      </c>
      <c r="P366" s="6">
        <v>-101566.67</v>
      </c>
      <c r="Q366" s="7">
        <v>0</v>
      </c>
    </row>
    <row r="367" s="1" customFormat="1" ht="13.5" spans="1:17">
      <c r="A367" s="3" t="s">
        <v>2047</v>
      </c>
      <c r="B367" s="3" t="s">
        <v>1533</v>
      </c>
      <c r="C367" s="3" t="s">
        <v>1768</v>
      </c>
      <c r="D367" s="3" t="s">
        <v>1483</v>
      </c>
      <c r="E367" s="3" t="s">
        <v>1484</v>
      </c>
      <c r="F367" s="3" t="s">
        <v>1540</v>
      </c>
      <c r="G367" s="3" t="s">
        <v>2048</v>
      </c>
      <c r="H367" s="3" t="s">
        <v>1770</v>
      </c>
      <c r="I367" s="3" t="s">
        <v>1775</v>
      </c>
      <c r="J367" s="3" t="s">
        <v>521</v>
      </c>
      <c r="K367" s="3" t="s">
        <v>1551</v>
      </c>
      <c r="L367" s="3" t="s">
        <v>521</v>
      </c>
      <c r="M367" s="3" t="s">
        <v>2049</v>
      </c>
      <c r="N367" s="3" t="s">
        <v>1486</v>
      </c>
      <c r="O367" s="5">
        <v>45382</v>
      </c>
      <c r="P367" s="6">
        <v>16988.89</v>
      </c>
      <c r="Q367" s="7">
        <v>0</v>
      </c>
    </row>
    <row r="368" s="1" customFormat="1" ht="13.5" spans="1:17">
      <c r="A368" s="3" t="s">
        <v>2047</v>
      </c>
      <c r="B368" s="3" t="s">
        <v>1533</v>
      </c>
      <c r="C368" s="3" t="s">
        <v>1768</v>
      </c>
      <c r="D368" s="3" t="s">
        <v>1483</v>
      </c>
      <c r="E368" s="3" t="s">
        <v>1484</v>
      </c>
      <c r="F368" s="3" t="s">
        <v>1540</v>
      </c>
      <c r="G368" s="3" t="s">
        <v>2048</v>
      </c>
      <c r="H368" s="3" t="s">
        <v>1770</v>
      </c>
      <c r="I368" s="3" t="s">
        <v>1775</v>
      </c>
      <c r="J368" s="3" t="s">
        <v>521</v>
      </c>
      <c r="K368" s="3" t="s">
        <v>1552</v>
      </c>
      <c r="L368" s="3" t="s">
        <v>521</v>
      </c>
      <c r="M368" s="3" t="s">
        <v>2049</v>
      </c>
      <c r="N368" s="3" t="s">
        <v>1486</v>
      </c>
      <c r="O368" s="5">
        <v>45382</v>
      </c>
      <c r="P368" s="6">
        <v>8494.44</v>
      </c>
      <c r="Q368" s="7">
        <v>0</v>
      </c>
    </row>
    <row r="369" s="1" customFormat="1" ht="13.5" spans="1:17">
      <c r="A369" s="3" t="s">
        <v>2047</v>
      </c>
      <c r="B369" s="3" t="s">
        <v>1536</v>
      </c>
      <c r="C369" s="3" t="s">
        <v>1768</v>
      </c>
      <c r="D369" s="3" t="s">
        <v>1483</v>
      </c>
      <c r="E369" s="3" t="s">
        <v>1484</v>
      </c>
      <c r="F369" s="3" t="s">
        <v>1538</v>
      </c>
      <c r="G369" s="3" t="s">
        <v>2048</v>
      </c>
      <c r="H369" s="3" t="s">
        <v>1770</v>
      </c>
      <c r="I369" s="3" t="s">
        <v>1775</v>
      </c>
      <c r="J369" s="3" t="s">
        <v>521</v>
      </c>
      <c r="K369" s="3" t="s">
        <v>1553</v>
      </c>
      <c r="L369" s="3" t="s">
        <v>521</v>
      </c>
      <c r="M369" s="3" t="s">
        <v>2049</v>
      </c>
      <c r="N369" s="3" t="s">
        <v>1486</v>
      </c>
      <c r="O369" s="5">
        <v>45383</v>
      </c>
      <c r="P369" s="6">
        <v>-16988.89</v>
      </c>
      <c r="Q369" s="7">
        <v>0</v>
      </c>
    </row>
    <row r="370" s="1" customFormat="1" ht="13.5" spans="1:17">
      <c r="A370" s="3" t="s">
        <v>2047</v>
      </c>
      <c r="B370" s="3" t="s">
        <v>1536</v>
      </c>
      <c r="C370" s="3" t="s">
        <v>1768</v>
      </c>
      <c r="D370" s="3" t="s">
        <v>1483</v>
      </c>
      <c r="E370" s="3" t="s">
        <v>1484</v>
      </c>
      <c r="F370" s="3" t="s">
        <v>1538</v>
      </c>
      <c r="G370" s="3" t="s">
        <v>2048</v>
      </c>
      <c r="H370" s="3" t="s">
        <v>1770</v>
      </c>
      <c r="I370" s="3" t="s">
        <v>1775</v>
      </c>
      <c r="J370" s="3" t="s">
        <v>521</v>
      </c>
      <c r="K370" s="3" t="s">
        <v>1554</v>
      </c>
      <c r="L370" s="3" t="s">
        <v>521</v>
      </c>
      <c r="M370" s="3" t="s">
        <v>2049</v>
      </c>
      <c r="N370" s="3" t="s">
        <v>1486</v>
      </c>
      <c r="O370" s="5">
        <v>45383</v>
      </c>
      <c r="P370" s="6">
        <v>-8494.44</v>
      </c>
      <c r="Q370" s="7">
        <v>0</v>
      </c>
    </row>
    <row r="371" s="1" customFormat="1" ht="13.5" spans="1:17">
      <c r="A371" s="3" t="s">
        <v>2047</v>
      </c>
      <c r="B371" s="3" t="s">
        <v>1555</v>
      </c>
      <c r="C371" s="3" t="s">
        <v>1768</v>
      </c>
      <c r="D371" s="3" t="s">
        <v>1483</v>
      </c>
      <c r="E371" s="3" t="s">
        <v>1484</v>
      </c>
      <c r="F371" s="3" t="s">
        <v>1535</v>
      </c>
      <c r="G371" s="3" t="s">
        <v>2048</v>
      </c>
      <c r="H371" s="3" t="s">
        <v>1770</v>
      </c>
      <c r="I371" s="3" t="s">
        <v>1775</v>
      </c>
      <c r="J371" s="3" t="s">
        <v>521</v>
      </c>
      <c r="K371" s="3" t="s">
        <v>1556</v>
      </c>
      <c r="L371" s="3" t="s">
        <v>521</v>
      </c>
      <c r="M371" s="3" t="s">
        <v>2049</v>
      </c>
      <c r="N371" s="3" t="s">
        <v>1486</v>
      </c>
      <c r="O371" s="5">
        <v>45372</v>
      </c>
      <c r="P371" s="6">
        <v>122011.11</v>
      </c>
      <c r="Q371" s="7">
        <v>0</v>
      </c>
    </row>
    <row r="372" s="1" customFormat="1" ht="13.5" spans="1:17">
      <c r="A372" s="3" t="s">
        <v>2047</v>
      </c>
      <c r="B372" s="3" t="s">
        <v>1555</v>
      </c>
      <c r="C372" s="3" t="s">
        <v>1768</v>
      </c>
      <c r="D372" s="3" t="s">
        <v>1483</v>
      </c>
      <c r="E372" s="3" t="s">
        <v>1484</v>
      </c>
      <c r="F372" s="3" t="s">
        <v>1558</v>
      </c>
      <c r="G372" s="3" t="s">
        <v>2048</v>
      </c>
      <c r="H372" s="3" t="s">
        <v>1770</v>
      </c>
      <c r="I372" s="3" t="s">
        <v>1775</v>
      </c>
      <c r="J372" s="3" t="s">
        <v>521</v>
      </c>
      <c r="K372" s="3" t="s">
        <v>1557</v>
      </c>
      <c r="L372" s="3" t="s">
        <v>521</v>
      </c>
      <c r="M372" s="3" t="s">
        <v>2049</v>
      </c>
      <c r="N372" s="3" t="s">
        <v>1486</v>
      </c>
      <c r="O372" s="5">
        <v>45372</v>
      </c>
      <c r="P372" s="6">
        <v>831000</v>
      </c>
      <c r="Q372" s="7">
        <v>0</v>
      </c>
    </row>
    <row r="373" s="1" customFormat="1" ht="13.5" spans="1:17">
      <c r="A373" s="3" t="s">
        <v>2047</v>
      </c>
      <c r="B373" s="3" t="s">
        <v>1559</v>
      </c>
      <c r="C373" s="3" t="s">
        <v>1768</v>
      </c>
      <c r="D373" s="3" t="s">
        <v>1483</v>
      </c>
      <c r="E373" s="3" t="s">
        <v>1484</v>
      </c>
      <c r="F373" s="3" t="s">
        <v>1606</v>
      </c>
      <c r="G373" s="3" t="s">
        <v>2048</v>
      </c>
      <c r="H373" s="3" t="s">
        <v>1770</v>
      </c>
      <c r="I373" s="3" t="s">
        <v>1775</v>
      </c>
      <c r="J373" s="3" t="s">
        <v>521</v>
      </c>
      <c r="K373" s="3" t="s">
        <v>1605</v>
      </c>
      <c r="L373" s="3" t="s">
        <v>521</v>
      </c>
      <c r="M373" s="3" t="s">
        <v>2049</v>
      </c>
      <c r="N373" s="3" t="s">
        <v>1486</v>
      </c>
      <c r="O373" s="5">
        <v>45464</v>
      </c>
      <c r="P373" s="6">
        <v>28007.78</v>
      </c>
      <c r="Q373" s="7">
        <v>0</v>
      </c>
    </row>
    <row r="374" s="1" customFormat="1" ht="13.5" spans="1:17">
      <c r="A374" s="3" t="s">
        <v>2047</v>
      </c>
      <c r="B374" s="3" t="s">
        <v>1559</v>
      </c>
      <c r="C374" s="3" t="s">
        <v>1768</v>
      </c>
      <c r="D374" s="3" t="s">
        <v>1483</v>
      </c>
      <c r="E374" s="3" t="s">
        <v>1484</v>
      </c>
      <c r="F374" s="3" t="s">
        <v>1561</v>
      </c>
      <c r="G374" s="3" t="s">
        <v>2048</v>
      </c>
      <c r="H374" s="3" t="s">
        <v>1770</v>
      </c>
      <c r="I374" s="3" t="s">
        <v>1775</v>
      </c>
      <c r="J374" s="3" t="s">
        <v>521</v>
      </c>
      <c r="K374" s="3" t="s">
        <v>1560</v>
      </c>
      <c r="L374" s="3" t="s">
        <v>521</v>
      </c>
      <c r="M374" s="3" t="s">
        <v>2049</v>
      </c>
      <c r="N374" s="3" t="s">
        <v>1486</v>
      </c>
      <c r="O374" s="5">
        <v>45463</v>
      </c>
      <c r="P374" s="6">
        <v>71044.44</v>
      </c>
      <c r="Q374" s="7">
        <v>0</v>
      </c>
    </row>
    <row r="375" s="1" customFormat="1" ht="13.5" spans="1:17">
      <c r="A375" s="3" t="s">
        <v>2047</v>
      </c>
      <c r="B375" s="3" t="s">
        <v>1559</v>
      </c>
      <c r="C375" s="3" t="s">
        <v>1768</v>
      </c>
      <c r="D375" s="3" t="s">
        <v>1483</v>
      </c>
      <c r="E375" s="3" t="s">
        <v>1484</v>
      </c>
      <c r="F375" s="3" t="s">
        <v>1561</v>
      </c>
      <c r="G375" s="3" t="s">
        <v>2048</v>
      </c>
      <c r="H375" s="3" t="s">
        <v>1770</v>
      </c>
      <c r="I375" s="3" t="s">
        <v>1775</v>
      </c>
      <c r="J375" s="3" t="s">
        <v>521</v>
      </c>
      <c r="K375" s="3" t="s">
        <v>1560</v>
      </c>
      <c r="L375" s="3" t="s">
        <v>521</v>
      </c>
      <c r="M375" s="3" t="s">
        <v>2049</v>
      </c>
      <c r="N375" s="3" t="s">
        <v>1486</v>
      </c>
      <c r="O375" s="5">
        <v>45463</v>
      </c>
      <c r="P375" s="6">
        <v>142088.89</v>
      </c>
      <c r="Q375" s="7">
        <v>0</v>
      </c>
    </row>
    <row r="376" s="1" customFormat="1" ht="13.5" spans="1:17">
      <c r="A376" s="3" t="s">
        <v>2047</v>
      </c>
      <c r="B376" s="3" t="s">
        <v>1559</v>
      </c>
      <c r="C376" s="3" t="s">
        <v>1768</v>
      </c>
      <c r="D376" s="3" t="s">
        <v>1483</v>
      </c>
      <c r="E376" s="3" t="s">
        <v>1484</v>
      </c>
      <c r="F376" s="3" t="s">
        <v>1561</v>
      </c>
      <c r="G376" s="3" t="s">
        <v>2048</v>
      </c>
      <c r="H376" s="3" t="s">
        <v>1770</v>
      </c>
      <c r="I376" s="3" t="s">
        <v>1775</v>
      </c>
      <c r="J376" s="3" t="s">
        <v>521</v>
      </c>
      <c r="K376" s="3" t="s">
        <v>1607</v>
      </c>
      <c r="L376" s="3" t="s">
        <v>521</v>
      </c>
      <c r="M376" s="3" t="s">
        <v>2049</v>
      </c>
      <c r="N376" s="3" t="s">
        <v>1486</v>
      </c>
      <c r="O376" s="5">
        <v>45463</v>
      </c>
      <c r="P376" s="6">
        <v>355222.22</v>
      </c>
      <c r="Q376" s="7">
        <v>0</v>
      </c>
    </row>
    <row r="377" s="1" customFormat="1" ht="13.5" spans="1:17">
      <c r="A377" s="3" t="s">
        <v>2047</v>
      </c>
      <c r="B377" s="3" t="s">
        <v>1562</v>
      </c>
      <c r="C377" s="3" t="s">
        <v>1768</v>
      </c>
      <c r="D377" s="3" t="s">
        <v>1483</v>
      </c>
      <c r="E377" s="3" t="s">
        <v>1484</v>
      </c>
      <c r="F377" s="3" t="s">
        <v>1564</v>
      </c>
      <c r="G377" s="3" t="s">
        <v>2048</v>
      </c>
      <c r="H377" s="3" t="s">
        <v>1770</v>
      </c>
      <c r="I377" s="3" t="s">
        <v>1775</v>
      </c>
      <c r="J377" s="3" t="s">
        <v>521</v>
      </c>
      <c r="K377" s="3" t="s">
        <v>1575</v>
      </c>
      <c r="L377" s="3" t="s">
        <v>521</v>
      </c>
      <c r="M377" s="3" t="s">
        <v>2049</v>
      </c>
      <c r="N377" s="3" t="s">
        <v>1486</v>
      </c>
      <c r="O377" s="5">
        <v>45413</v>
      </c>
      <c r="P377" s="6">
        <v>-378566.67</v>
      </c>
      <c r="Q377" s="7">
        <v>0</v>
      </c>
    </row>
    <row r="378" s="1" customFormat="1" ht="13.5" spans="1:17">
      <c r="A378" s="3" t="s">
        <v>2047</v>
      </c>
      <c r="B378" s="3" t="s">
        <v>1565</v>
      </c>
      <c r="C378" s="3" t="s">
        <v>1768</v>
      </c>
      <c r="D378" s="3" t="s">
        <v>1483</v>
      </c>
      <c r="E378" s="3" t="s">
        <v>1484</v>
      </c>
      <c r="F378" s="3" t="s">
        <v>1564</v>
      </c>
      <c r="G378" s="3" t="s">
        <v>2048</v>
      </c>
      <c r="H378" s="3" t="s">
        <v>1770</v>
      </c>
      <c r="I378" s="3" t="s">
        <v>1775</v>
      </c>
      <c r="J378" s="3" t="s">
        <v>521</v>
      </c>
      <c r="K378" s="3" t="s">
        <v>1574</v>
      </c>
      <c r="L378" s="3" t="s">
        <v>521</v>
      </c>
      <c r="M378" s="3" t="s">
        <v>2049</v>
      </c>
      <c r="N378" s="3" t="s">
        <v>1486</v>
      </c>
      <c r="O378" s="5">
        <v>45412</v>
      </c>
      <c r="P378" s="6">
        <v>378566.67</v>
      </c>
      <c r="Q378" s="7">
        <v>0</v>
      </c>
    </row>
    <row r="379" s="1" customFormat="1" ht="13.5" spans="1:17">
      <c r="A379" s="3" t="s">
        <v>2050</v>
      </c>
      <c r="B379" s="3" t="s">
        <v>1567</v>
      </c>
      <c r="C379" s="3" t="s">
        <v>1768</v>
      </c>
      <c r="D379" s="3" t="s">
        <v>1483</v>
      </c>
      <c r="E379" s="3" t="s">
        <v>1484</v>
      </c>
      <c r="F379" s="3" t="s">
        <v>1569</v>
      </c>
      <c r="G379" s="3" t="s">
        <v>2048</v>
      </c>
      <c r="H379" s="3" t="s">
        <v>1770</v>
      </c>
      <c r="I379" s="3" t="s">
        <v>1775</v>
      </c>
      <c r="J379" s="3" t="s">
        <v>521</v>
      </c>
      <c r="K379" s="3" t="s">
        <v>1568</v>
      </c>
      <c r="L379" s="3" t="s">
        <v>521</v>
      </c>
      <c r="M379" s="3" t="s">
        <v>2049</v>
      </c>
      <c r="N379" s="3" t="s">
        <v>1486</v>
      </c>
      <c r="O379" s="5">
        <v>45404</v>
      </c>
      <c r="P379" s="6">
        <v>-119706.41</v>
      </c>
      <c r="Q379" s="7">
        <v>0</v>
      </c>
    </row>
    <row r="380" s="1" customFormat="1" ht="13.5" spans="1:17">
      <c r="A380" s="3" t="s">
        <v>2047</v>
      </c>
      <c r="B380" s="3" t="s">
        <v>1565</v>
      </c>
      <c r="C380" s="3" t="s">
        <v>1768</v>
      </c>
      <c r="D380" s="3" t="s">
        <v>1483</v>
      </c>
      <c r="E380" s="3" t="s">
        <v>1484</v>
      </c>
      <c r="F380" s="3" t="s">
        <v>1564</v>
      </c>
      <c r="G380" s="3" t="s">
        <v>2048</v>
      </c>
      <c r="H380" s="3" t="s">
        <v>1770</v>
      </c>
      <c r="I380" s="3" t="s">
        <v>1775</v>
      </c>
      <c r="J380" s="3" t="s">
        <v>521</v>
      </c>
      <c r="K380" s="3" t="s">
        <v>1570</v>
      </c>
      <c r="L380" s="3" t="s">
        <v>521</v>
      </c>
      <c r="M380" s="3" t="s">
        <v>2049</v>
      </c>
      <c r="N380" s="3" t="s">
        <v>1486</v>
      </c>
      <c r="O380" s="5">
        <v>45412</v>
      </c>
      <c r="P380" s="6">
        <v>158305.55</v>
      </c>
      <c r="Q380" s="7">
        <v>0</v>
      </c>
    </row>
    <row r="381" s="1" customFormat="1" ht="13.5" spans="1:17">
      <c r="A381" s="3" t="s">
        <v>2047</v>
      </c>
      <c r="B381" s="3" t="s">
        <v>1562</v>
      </c>
      <c r="C381" s="3" t="s">
        <v>1768</v>
      </c>
      <c r="D381" s="3" t="s">
        <v>1483</v>
      </c>
      <c r="E381" s="3" t="s">
        <v>1484</v>
      </c>
      <c r="F381" s="3" t="s">
        <v>1564</v>
      </c>
      <c r="G381" s="3" t="s">
        <v>2048</v>
      </c>
      <c r="H381" s="3" t="s">
        <v>1770</v>
      </c>
      <c r="I381" s="3" t="s">
        <v>1775</v>
      </c>
      <c r="J381" s="3" t="s">
        <v>521</v>
      </c>
      <c r="K381" s="3" t="s">
        <v>1571</v>
      </c>
      <c r="L381" s="3" t="s">
        <v>521</v>
      </c>
      <c r="M381" s="3" t="s">
        <v>2049</v>
      </c>
      <c r="N381" s="3" t="s">
        <v>1486</v>
      </c>
      <c r="O381" s="5">
        <v>45413</v>
      </c>
      <c r="P381" s="6">
        <v>-158305.55</v>
      </c>
      <c r="Q381" s="7">
        <v>0</v>
      </c>
    </row>
    <row r="382" s="1" customFormat="1" ht="13.5" spans="1:17">
      <c r="A382" s="3" t="s">
        <v>2047</v>
      </c>
      <c r="B382" s="3" t="s">
        <v>1565</v>
      </c>
      <c r="C382" s="3" t="s">
        <v>1768</v>
      </c>
      <c r="D382" s="3" t="s">
        <v>1483</v>
      </c>
      <c r="E382" s="3" t="s">
        <v>1484</v>
      </c>
      <c r="F382" s="3" t="s">
        <v>1564</v>
      </c>
      <c r="G382" s="3" t="s">
        <v>2048</v>
      </c>
      <c r="H382" s="3" t="s">
        <v>1770</v>
      </c>
      <c r="I382" s="3" t="s">
        <v>1775</v>
      </c>
      <c r="J382" s="3" t="s">
        <v>521</v>
      </c>
      <c r="K382" s="3" t="s">
        <v>1572</v>
      </c>
      <c r="L382" s="3" t="s">
        <v>521</v>
      </c>
      <c r="M382" s="3" t="s">
        <v>2049</v>
      </c>
      <c r="N382" s="3" t="s">
        <v>1486</v>
      </c>
      <c r="O382" s="5">
        <v>45412</v>
      </c>
      <c r="P382" s="6">
        <v>31661.11</v>
      </c>
      <c r="Q382" s="7">
        <v>0</v>
      </c>
    </row>
    <row r="383" s="1" customFormat="1" ht="13.5" spans="1:17">
      <c r="A383" s="3" t="s">
        <v>2047</v>
      </c>
      <c r="B383" s="3" t="s">
        <v>1562</v>
      </c>
      <c r="C383" s="3" t="s">
        <v>1768</v>
      </c>
      <c r="D383" s="3" t="s">
        <v>1483</v>
      </c>
      <c r="E383" s="3" t="s">
        <v>1484</v>
      </c>
      <c r="F383" s="3" t="s">
        <v>1564</v>
      </c>
      <c r="G383" s="3" t="s">
        <v>2048</v>
      </c>
      <c r="H383" s="3" t="s">
        <v>1770</v>
      </c>
      <c r="I383" s="3" t="s">
        <v>1775</v>
      </c>
      <c r="J383" s="3" t="s">
        <v>521</v>
      </c>
      <c r="K383" s="3" t="s">
        <v>1573</v>
      </c>
      <c r="L383" s="3" t="s">
        <v>521</v>
      </c>
      <c r="M383" s="3" t="s">
        <v>2049</v>
      </c>
      <c r="N383" s="3" t="s">
        <v>1486</v>
      </c>
      <c r="O383" s="5">
        <v>45413</v>
      </c>
      <c r="P383" s="6">
        <v>-31661.11</v>
      </c>
      <c r="Q383" s="7">
        <v>0</v>
      </c>
    </row>
    <row r="384" s="1" customFormat="1" ht="13.5" spans="1:17">
      <c r="A384" s="3" t="s">
        <v>2047</v>
      </c>
      <c r="B384" s="3" t="s">
        <v>1565</v>
      </c>
      <c r="C384" s="3" t="s">
        <v>1768</v>
      </c>
      <c r="D384" s="3" t="s">
        <v>1483</v>
      </c>
      <c r="E384" s="3" t="s">
        <v>1484</v>
      </c>
      <c r="F384" s="3" t="s">
        <v>1564</v>
      </c>
      <c r="G384" s="3" t="s">
        <v>2048</v>
      </c>
      <c r="H384" s="3" t="s">
        <v>1770</v>
      </c>
      <c r="I384" s="3" t="s">
        <v>1775</v>
      </c>
      <c r="J384" s="3" t="s">
        <v>521</v>
      </c>
      <c r="K384" s="3" t="s">
        <v>1576</v>
      </c>
      <c r="L384" s="3" t="s">
        <v>521</v>
      </c>
      <c r="M384" s="3" t="s">
        <v>2049</v>
      </c>
      <c r="N384" s="3" t="s">
        <v>1486</v>
      </c>
      <c r="O384" s="5">
        <v>45412</v>
      </c>
      <c r="P384" s="6">
        <v>12311.11</v>
      </c>
      <c r="Q384" s="7">
        <v>0</v>
      </c>
    </row>
    <row r="385" s="1" customFormat="1" ht="13.5" spans="1:17">
      <c r="A385" s="3" t="s">
        <v>2047</v>
      </c>
      <c r="B385" s="3" t="s">
        <v>1562</v>
      </c>
      <c r="C385" s="3" t="s">
        <v>1768</v>
      </c>
      <c r="D385" s="3" t="s">
        <v>1483</v>
      </c>
      <c r="E385" s="3" t="s">
        <v>1484</v>
      </c>
      <c r="F385" s="3" t="s">
        <v>1564</v>
      </c>
      <c r="G385" s="3" t="s">
        <v>2048</v>
      </c>
      <c r="H385" s="3" t="s">
        <v>1770</v>
      </c>
      <c r="I385" s="3" t="s">
        <v>1775</v>
      </c>
      <c r="J385" s="3" t="s">
        <v>521</v>
      </c>
      <c r="K385" s="3" t="s">
        <v>1577</v>
      </c>
      <c r="L385" s="3" t="s">
        <v>521</v>
      </c>
      <c r="M385" s="3" t="s">
        <v>2049</v>
      </c>
      <c r="N385" s="3" t="s">
        <v>1486</v>
      </c>
      <c r="O385" s="5">
        <v>45413</v>
      </c>
      <c r="P385" s="6">
        <v>-12311.11</v>
      </c>
      <c r="Q385" s="7">
        <v>0</v>
      </c>
    </row>
    <row r="386" s="1" customFormat="1" ht="13.5" spans="1:17">
      <c r="A386" s="3" t="s">
        <v>2047</v>
      </c>
      <c r="B386" s="3" t="s">
        <v>1565</v>
      </c>
      <c r="C386" s="3" t="s">
        <v>1768</v>
      </c>
      <c r="D386" s="3" t="s">
        <v>1483</v>
      </c>
      <c r="E386" s="3" t="s">
        <v>1484</v>
      </c>
      <c r="F386" s="3" t="s">
        <v>1564</v>
      </c>
      <c r="G386" s="3" t="s">
        <v>2048</v>
      </c>
      <c r="H386" s="3" t="s">
        <v>1770</v>
      </c>
      <c r="I386" s="3" t="s">
        <v>1775</v>
      </c>
      <c r="J386" s="3" t="s">
        <v>521</v>
      </c>
      <c r="K386" s="3" t="s">
        <v>1566</v>
      </c>
      <c r="L386" s="3" t="s">
        <v>521</v>
      </c>
      <c r="M386" s="3" t="s">
        <v>2049</v>
      </c>
      <c r="N386" s="3" t="s">
        <v>1486</v>
      </c>
      <c r="O386" s="5">
        <v>45412</v>
      </c>
      <c r="P386" s="6">
        <v>63322.22</v>
      </c>
      <c r="Q386" s="7">
        <v>0</v>
      </c>
    </row>
    <row r="387" s="1" customFormat="1" ht="13.5" spans="1:17">
      <c r="A387" s="3" t="s">
        <v>2047</v>
      </c>
      <c r="B387" s="3" t="s">
        <v>1562</v>
      </c>
      <c r="C387" s="3" t="s">
        <v>1768</v>
      </c>
      <c r="D387" s="3" t="s">
        <v>1483</v>
      </c>
      <c r="E387" s="3" t="s">
        <v>1484</v>
      </c>
      <c r="F387" s="3" t="s">
        <v>1564</v>
      </c>
      <c r="G387" s="3" t="s">
        <v>2048</v>
      </c>
      <c r="H387" s="3" t="s">
        <v>1770</v>
      </c>
      <c r="I387" s="3" t="s">
        <v>1775</v>
      </c>
      <c r="J387" s="3" t="s">
        <v>521</v>
      </c>
      <c r="K387" s="3" t="s">
        <v>1563</v>
      </c>
      <c r="L387" s="3" t="s">
        <v>521</v>
      </c>
      <c r="M387" s="3" t="s">
        <v>2049</v>
      </c>
      <c r="N387" s="3" t="s">
        <v>1486</v>
      </c>
      <c r="O387" s="5">
        <v>45413</v>
      </c>
      <c r="P387" s="6">
        <v>-63322.22</v>
      </c>
      <c r="Q387" s="7">
        <v>0</v>
      </c>
    </row>
    <row r="388" s="1" customFormat="1" ht="13.5" spans="1:17">
      <c r="A388" s="3" t="s">
        <v>2051</v>
      </c>
      <c r="B388" s="3" t="s">
        <v>1580</v>
      </c>
      <c r="C388" s="3" t="s">
        <v>1768</v>
      </c>
      <c r="D388" s="3" t="s">
        <v>1483</v>
      </c>
      <c r="E388" s="3" t="s">
        <v>1484</v>
      </c>
      <c r="F388" s="3" t="s">
        <v>1582</v>
      </c>
      <c r="G388" s="3" t="s">
        <v>2048</v>
      </c>
      <c r="H388" s="3" t="s">
        <v>1770</v>
      </c>
      <c r="I388" s="3" t="s">
        <v>1775</v>
      </c>
      <c r="J388" s="3" t="s">
        <v>521</v>
      </c>
      <c r="K388" s="3" t="s">
        <v>1581</v>
      </c>
      <c r="L388" s="3" t="s">
        <v>521</v>
      </c>
      <c r="M388" s="3" t="s">
        <v>2049</v>
      </c>
      <c r="N388" s="3" t="s">
        <v>1486</v>
      </c>
      <c r="O388" s="5">
        <v>45433</v>
      </c>
      <c r="P388" s="6">
        <v>-30668.58</v>
      </c>
      <c r="Q388" s="7">
        <v>0</v>
      </c>
    </row>
    <row r="389" s="1" customFormat="1" ht="13.5" spans="1:17">
      <c r="A389" s="3" t="s">
        <v>2047</v>
      </c>
      <c r="B389" s="3"/>
      <c r="C389" s="3" t="s">
        <v>1768</v>
      </c>
      <c r="D389" s="3" t="s">
        <v>1483</v>
      </c>
      <c r="E389" s="3" t="s">
        <v>1484</v>
      </c>
      <c r="F389" s="3" t="s">
        <v>1579</v>
      </c>
      <c r="G389" s="3" t="s">
        <v>2048</v>
      </c>
      <c r="H389" s="3" t="s">
        <v>1770</v>
      </c>
      <c r="I389" s="3" t="s">
        <v>1775</v>
      </c>
      <c r="J389" s="3" t="s">
        <v>521</v>
      </c>
      <c r="K389" s="3" t="s">
        <v>1578</v>
      </c>
      <c r="L389" s="3" t="s">
        <v>521</v>
      </c>
      <c r="M389" s="3" t="s">
        <v>2049</v>
      </c>
      <c r="N389" s="3" t="s">
        <v>1486</v>
      </c>
      <c r="O389" s="5">
        <v>45443</v>
      </c>
      <c r="P389" s="6">
        <v>-27084.45</v>
      </c>
      <c r="Q389" s="7">
        <v>0</v>
      </c>
    </row>
    <row r="390" s="1" customFormat="1" ht="13.5" spans="1:17">
      <c r="A390" s="3" t="s">
        <v>2047</v>
      </c>
      <c r="B390" s="3"/>
      <c r="C390" s="3" t="s">
        <v>1768</v>
      </c>
      <c r="D390" s="3" t="s">
        <v>1483</v>
      </c>
      <c r="E390" s="3" t="s">
        <v>1484</v>
      </c>
      <c r="F390" s="3" t="s">
        <v>1579</v>
      </c>
      <c r="G390" s="3" t="s">
        <v>2048</v>
      </c>
      <c r="H390" s="3" t="s">
        <v>1770</v>
      </c>
      <c r="I390" s="3" t="s">
        <v>1775</v>
      </c>
      <c r="J390" s="3" t="s">
        <v>521</v>
      </c>
      <c r="K390" s="3" t="s">
        <v>1578</v>
      </c>
      <c r="L390" s="3" t="s">
        <v>521</v>
      </c>
      <c r="M390" s="3" t="s">
        <v>2049</v>
      </c>
      <c r="N390" s="3" t="s">
        <v>1486</v>
      </c>
      <c r="O390" s="5">
        <v>45443</v>
      </c>
      <c r="P390" s="6">
        <v>27084.45</v>
      </c>
      <c r="Q390" s="7">
        <v>0</v>
      </c>
    </row>
    <row r="391" s="1" customFormat="1" ht="13.5" spans="1:17">
      <c r="A391" s="3" t="s">
        <v>2047</v>
      </c>
      <c r="B391" s="3" t="s">
        <v>1559</v>
      </c>
      <c r="C391" s="3" t="s">
        <v>1768</v>
      </c>
      <c r="D391" s="3" t="s">
        <v>1483</v>
      </c>
      <c r="E391" s="3" t="s">
        <v>1484</v>
      </c>
      <c r="F391" s="3" t="s">
        <v>1606</v>
      </c>
      <c r="G391" s="3" t="s">
        <v>2048</v>
      </c>
      <c r="H391" s="3" t="s">
        <v>1770</v>
      </c>
      <c r="I391" s="3" t="s">
        <v>1775</v>
      </c>
      <c r="J391" s="3" t="s">
        <v>521</v>
      </c>
      <c r="K391" s="3" t="s">
        <v>1608</v>
      </c>
      <c r="L391" s="3" t="s">
        <v>521</v>
      </c>
      <c r="M391" s="3" t="s">
        <v>2049</v>
      </c>
      <c r="N391" s="3" t="s">
        <v>1486</v>
      </c>
      <c r="O391" s="5">
        <v>45464</v>
      </c>
      <c r="P391" s="6">
        <v>849466.67</v>
      </c>
      <c r="Q391" s="7">
        <v>0</v>
      </c>
    </row>
    <row r="392" s="1" customFormat="1" ht="13.5" spans="1:17">
      <c r="A392" s="3" t="s">
        <v>2047</v>
      </c>
      <c r="B392" s="3" t="s">
        <v>1559</v>
      </c>
      <c r="C392" s="3" t="s">
        <v>1768</v>
      </c>
      <c r="D392" s="3" t="s">
        <v>1483</v>
      </c>
      <c r="E392" s="3" t="s">
        <v>1484</v>
      </c>
      <c r="F392" s="3" t="s">
        <v>1606</v>
      </c>
      <c r="G392" s="3" t="s">
        <v>2048</v>
      </c>
      <c r="H392" s="3" t="s">
        <v>1770</v>
      </c>
      <c r="I392" s="3" t="s">
        <v>1775</v>
      </c>
      <c r="J392" s="3" t="s">
        <v>521</v>
      </c>
      <c r="K392" s="3" t="s">
        <v>1609</v>
      </c>
      <c r="L392" s="3" t="s">
        <v>521</v>
      </c>
      <c r="M392" s="3" t="s">
        <v>2049</v>
      </c>
      <c r="N392" s="3" t="s">
        <v>1486</v>
      </c>
      <c r="O392" s="5">
        <v>45464</v>
      </c>
      <c r="P392" s="6">
        <v>51706.67</v>
      </c>
      <c r="Q392" s="7">
        <v>0</v>
      </c>
    </row>
    <row r="393" s="1" customFormat="1" ht="13.5" spans="1:17">
      <c r="A393" s="3" t="s">
        <v>2047</v>
      </c>
      <c r="B393" s="3" t="s">
        <v>1616</v>
      </c>
      <c r="C393" s="3" t="s">
        <v>1768</v>
      </c>
      <c r="D393" s="3" t="s">
        <v>1483</v>
      </c>
      <c r="E393" s="3" t="s">
        <v>1484</v>
      </c>
      <c r="F393" s="3" t="s">
        <v>1618</v>
      </c>
      <c r="G393" s="3" t="s">
        <v>2048</v>
      </c>
      <c r="H393" s="3" t="s">
        <v>1770</v>
      </c>
      <c r="I393" s="3" t="s">
        <v>1775</v>
      </c>
      <c r="J393" s="3" t="s">
        <v>521</v>
      </c>
      <c r="K393" s="3" t="s">
        <v>1623</v>
      </c>
      <c r="L393" s="3" t="s">
        <v>521</v>
      </c>
      <c r="M393" s="3" t="s">
        <v>2049</v>
      </c>
      <c r="N393" s="3" t="s">
        <v>1486</v>
      </c>
      <c r="O393" s="5">
        <v>45473</v>
      </c>
      <c r="P393" s="6">
        <v>64017.78</v>
      </c>
      <c r="Q393" s="7">
        <v>0</v>
      </c>
    </row>
    <row r="394" s="1" customFormat="1" ht="13.5" spans="1:17">
      <c r="A394" s="3" t="s">
        <v>2047</v>
      </c>
      <c r="B394" s="3" t="s">
        <v>1616</v>
      </c>
      <c r="C394" s="3" t="s">
        <v>1768</v>
      </c>
      <c r="D394" s="3" t="s">
        <v>1483</v>
      </c>
      <c r="E394" s="3" t="s">
        <v>1484</v>
      </c>
      <c r="F394" s="3" t="s">
        <v>1618</v>
      </c>
      <c r="G394" s="3" t="s">
        <v>2048</v>
      </c>
      <c r="H394" s="3" t="s">
        <v>1770</v>
      </c>
      <c r="I394" s="3" t="s">
        <v>1775</v>
      </c>
      <c r="J394" s="3" t="s">
        <v>521</v>
      </c>
      <c r="K394" s="3" t="s">
        <v>1622</v>
      </c>
      <c r="L394" s="3" t="s">
        <v>521</v>
      </c>
      <c r="M394" s="3" t="s">
        <v>2049</v>
      </c>
      <c r="N394" s="3" t="s">
        <v>1486</v>
      </c>
      <c r="O394" s="5">
        <v>45473</v>
      </c>
      <c r="P394" s="6">
        <v>941800</v>
      </c>
      <c r="Q394" s="7">
        <v>0</v>
      </c>
    </row>
    <row r="395" s="1" customFormat="1" ht="13.5" spans="1:17">
      <c r="A395" s="3" t="s">
        <v>2052</v>
      </c>
      <c r="B395" s="3" t="s">
        <v>1584</v>
      </c>
      <c r="C395" s="3" t="s">
        <v>1768</v>
      </c>
      <c r="D395" s="3" t="s">
        <v>1483</v>
      </c>
      <c r="E395" s="3" t="s">
        <v>1484</v>
      </c>
      <c r="F395" s="3" t="s">
        <v>1586</v>
      </c>
      <c r="G395" s="3" t="s">
        <v>2048</v>
      </c>
      <c r="H395" s="3" t="s">
        <v>1770</v>
      </c>
      <c r="I395" s="3" t="s">
        <v>1775</v>
      </c>
      <c r="J395" s="3" t="s">
        <v>521</v>
      </c>
      <c r="K395" s="3" t="s">
        <v>1585</v>
      </c>
      <c r="L395" s="3" t="s">
        <v>521</v>
      </c>
      <c r="M395" s="3" t="s">
        <v>2049</v>
      </c>
      <c r="N395" s="3" t="s">
        <v>1486</v>
      </c>
      <c r="O395" s="5">
        <v>45433</v>
      </c>
      <c r="P395" s="6">
        <v>-958852.22</v>
      </c>
      <c r="Q395" s="7">
        <v>0</v>
      </c>
    </row>
    <row r="396" s="1" customFormat="1" ht="13.5" spans="1:17">
      <c r="A396" s="3" t="s">
        <v>2047</v>
      </c>
      <c r="B396" s="3" t="s">
        <v>1587</v>
      </c>
      <c r="C396" s="3" t="s">
        <v>1768</v>
      </c>
      <c r="D396" s="3" t="s">
        <v>1483</v>
      </c>
      <c r="E396" s="3" t="s">
        <v>1484</v>
      </c>
      <c r="F396" s="3" t="s">
        <v>1589</v>
      </c>
      <c r="G396" s="3" t="s">
        <v>2048</v>
      </c>
      <c r="H396" s="3" t="s">
        <v>1770</v>
      </c>
      <c r="I396" s="3" t="s">
        <v>1775</v>
      </c>
      <c r="J396" s="3" t="s">
        <v>521</v>
      </c>
      <c r="K396" s="3" t="s">
        <v>1588</v>
      </c>
      <c r="L396" s="3" t="s">
        <v>521</v>
      </c>
      <c r="M396" s="3" t="s">
        <v>2049</v>
      </c>
      <c r="N396" s="3" t="s">
        <v>1486</v>
      </c>
      <c r="O396" s="5">
        <v>45443</v>
      </c>
      <c r="P396" s="6">
        <v>55600</v>
      </c>
      <c r="Q396" s="7">
        <v>0</v>
      </c>
    </row>
    <row r="397" s="1" customFormat="1" ht="13.5" spans="1:17">
      <c r="A397" s="3" t="s">
        <v>2047</v>
      </c>
      <c r="B397" s="3"/>
      <c r="C397" s="3" t="s">
        <v>1768</v>
      </c>
      <c r="D397" s="3" t="s">
        <v>1483</v>
      </c>
      <c r="E397" s="3" t="s">
        <v>1484</v>
      </c>
      <c r="F397" s="3" t="s">
        <v>1538</v>
      </c>
      <c r="G397" s="3" t="s">
        <v>2048</v>
      </c>
      <c r="H397" s="3" t="s">
        <v>1770</v>
      </c>
      <c r="I397" s="3" t="s">
        <v>1775</v>
      </c>
      <c r="J397" s="3" t="s">
        <v>521</v>
      </c>
      <c r="K397" s="3" t="s">
        <v>1590</v>
      </c>
      <c r="L397" s="3" t="s">
        <v>521</v>
      </c>
      <c r="M397" s="3" t="s">
        <v>2049</v>
      </c>
      <c r="N397" s="3" t="s">
        <v>1486</v>
      </c>
      <c r="O397" s="5">
        <v>45444</v>
      </c>
      <c r="P397" s="6">
        <v>-55600</v>
      </c>
      <c r="Q397" s="7">
        <v>0</v>
      </c>
    </row>
    <row r="398" s="1" customFormat="1" ht="13.5" spans="1:17">
      <c r="A398" s="3" t="s">
        <v>2047</v>
      </c>
      <c r="B398" s="3" t="s">
        <v>1587</v>
      </c>
      <c r="C398" s="3" t="s">
        <v>1768</v>
      </c>
      <c r="D398" s="3" t="s">
        <v>1483</v>
      </c>
      <c r="E398" s="3" t="s">
        <v>1484</v>
      </c>
      <c r="F398" s="3" t="s">
        <v>1589</v>
      </c>
      <c r="G398" s="3" t="s">
        <v>2048</v>
      </c>
      <c r="H398" s="3" t="s">
        <v>1770</v>
      </c>
      <c r="I398" s="3" t="s">
        <v>1775</v>
      </c>
      <c r="J398" s="3" t="s">
        <v>521</v>
      </c>
      <c r="K398" s="3" t="s">
        <v>1591</v>
      </c>
      <c r="L398" s="3" t="s">
        <v>521</v>
      </c>
      <c r="M398" s="3" t="s">
        <v>2049</v>
      </c>
      <c r="N398" s="3" t="s">
        <v>1486</v>
      </c>
      <c r="O398" s="5">
        <v>45443</v>
      </c>
      <c r="P398" s="6">
        <v>278000</v>
      </c>
      <c r="Q398" s="7">
        <v>0</v>
      </c>
    </row>
    <row r="399" s="1" customFormat="1" ht="13.5" spans="1:17">
      <c r="A399" s="3" t="s">
        <v>2047</v>
      </c>
      <c r="B399" s="3"/>
      <c r="C399" s="3" t="s">
        <v>1768</v>
      </c>
      <c r="D399" s="3" t="s">
        <v>1483</v>
      </c>
      <c r="E399" s="3" t="s">
        <v>1484</v>
      </c>
      <c r="F399" s="3" t="s">
        <v>1538</v>
      </c>
      <c r="G399" s="3" t="s">
        <v>2048</v>
      </c>
      <c r="H399" s="3" t="s">
        <v>1770</v>
      </c>
      <c r="I399" s="3" t="s">
        <v>1775</v>
      </c>
      <c r="J399" s="3" t="s">
        <v>521</v>
      </c>
      <c r="K399" s="3" t="s">
        <v>1592</v>
      </c>
      <c r="L399" s="3" t="s">
        <v>521</v>
      </c>
      <c r="M399" s="3" t="s">
        <v>2049</v>
      </c>
      <c r="N399" s="3" t="s">
        <v>1486</v>
      </c>
      <c r="O399" s="5">
        <v>45444</v>
      </c>
      <c r="P399" s="6">
        <v>-278000</v>
      </c>
      <c r="Q399" s="7">
        <v>0</v>
      </c>
    </row>
    <row r="400" s="1" customFormat="1" ht="13.5" spans="1:17">
      <c r="A400" s="3" t="s">
        <v>2053</v>
      </c>
      <c r="B400" s="3" t="s">
        <v>1593</v>
      </c>
      <c r="C400" s="3" t="s">
        <v>1768</v>
      </c>
      <c r="D400" s="3" t="s">
        <v>1483</v>
      </c>
      <c r="E400" s="3" t="s">
        <v>1484</v>
      </c>
      <c r="F400" s="3" t="s">
        <v>1595</v>
      </c>
      <c r="G400" s="3" t="s">
        <v>2048</v>
      </c>
      <c r="H400" s="3" t="s">
        <v>1770</v>
      </c>
      <c r="I400" s="3" t="s">
        <v>1775</v>
      </c>
      <c r="J400" s="3" t="s">
        <v>521</v>
      </c>
      <c r="K400" s="3" t="s">
        <v>1594</v>
      </c>
      <c r="L400" s="3" t="s">
        <v>521</v>
      </c>
      <c r="M400" s="3" t="s">
        <v>2049</v>
      </c>
      <c r="N400" s="3" t="s">
        <v>1486</v>
      </c>
      <c r="O400" s="5">
        <v>45433</v>
      </c>
      <c r="P400" s="6">
        <v>958852.22</v>
      </c>
      <c r="Q400" s="7">
        <v>0</v>
      </c>
    </row>
    <row r="401" s="1" customFormat="1" ht="13.5" spans="1:17">
      <c r="A401" s="3" t="s">
        <v>2047</v>
      </c>
      <c r="B401" s="3" t="s">
        <v>1587</v>
      </c>
      <c r="C401" s="3" t="s">
        <v>1768</v>
      </c>
      <c r="D401" s="3" t="s">
        <v>1483</v>
      </c>
      <c r="E401" s="3" t="s">
        <v>1484</v>
      </c>
      <c r="F401" s="3" t="s">
        <v>1589</v>
      </c>
      <c r="G401" s="3" t="s">
        <v>2048</v>
      </c>
      <c r="H401" s="3" t="s">
        <v>1770</v>
      </c>
      <c r="I401" s="3" t="s">
        <v>1775</v>
      </c>
      <c r="J401" s="3" t="s">
        <v>521</v>
      </c>
      <c r="K401" s="3" t="s">
        <v>1596</v>
      </c>
      <c r="L401" s="3" t="s">
        <v>521</v>
      </c>
      <c r="M401" s="3" t="s">
        <v>2049</v>
      </c>
      <c r="N401" s="3" t="s">
        <v>1486</v>
      </c>
      <c r="O401" s="5">
        <v>45443</v>
      </c>
      <c r="P401" s="6">
        <v>664800</v>
      </c>
      <c r="Q401" s="7">
        <v>0</v>
      </c>
    </row>
    <row r="402" s="1" customFormat="1" ht="13.5" spans="1:17">
      <c r="A402" s="3" t="s">
        <v>2047</v>
      </c>
      <c r="B402" s="3"/>
      <c r="C402" s="3" t="s">
        <v>1768</v>
      </c>
      <c r="D402" s="3" t="s">
        <v>1483</v>
      </c>
      <c r="E402" s="3" t="s">
        <v>1484</v>
      </c>
      <c r="F402" s="3" t="s">
        <v>1538</v>
      </c>
      <c r="G402" s="3" t="s">
        <v>2048</v>
      </c>
      <c r="H402" s="3" t="s">
        <v>1770</v>
      </c>
      <c r="I402" s="3" t="s">
        <v>1775</v>
      </c>
      <c r="J402" s="3" t="s">
        <v>521</v>
      </c>
      <c r="K402" s="3" t="s">
        <v>1597</v>
      </c>
      <c r="L402" s="3" t="s">
        <v>521</v>
      </c>
      <c r="M402" s="3" t="s">
        <v>2049</v>
      </c>
      <c r="N402" s="3" t="s">
        <v>1486</v>
      </c>
      <c r="O402" s="5">
        <v>45444</v>
      </c>
      <c r="P402" s="6">
        <v>-664800</v>
      </c>
      <c r="Q402" s="7">
        <v>0</v>
      </c>
    </row>
    <row r="403" s="1" customFormat="1" ht="13.5" spans="1:17">
      <c r="A403" s="3" t="s">
        <v>2047</v>
      </c>
      <c r="B403" s="3" t="s">
        <v>1587</v>
      </c>
      <c r="C403" s="3" t="s">
        <v>1768</v>
      </c>
      <c r="D403" s="3" t="s">
        <v>1483</v>
      </c>
      <c r="E403" s="3" t="s">
        <v>1484</v>
      </c>
      <c r="F403" s="3" t="s">
        <v>1589</v>
      </c>
      <c r="G403" s="3" t="s">
        <v>2048</v>
      </c>
      <c r="H403" s="3" t="s">
        <v>1770</v>
      </c>
      <c r="I403" s="3" t="s">
        <v>1775</v>
      </c>
      <c r="J403" s="3" t="s">
        <v>521</v>
      </c>
      <c r="K403" s="3" t="s">
        <v>1598</v>
      </c>
      <c r="L403" s="3" t="s">
        <v>521</v>
      </c>
      <c r="M403" s="3" t="s">
        <v>2049</v>
      </c>
      <c r="N403" s="3" t="s">
        <v>1486</v>
      </c>
      <c r="O403" s="5">
        <v>45443</v>
      </c>
      <c r="P403" s="6">
        <v>111200</v>
      </c>
      <c r="Q403" s="7">
        <v>0</v>
      </c>
    </row>
    <row r="404" s="1" customFormat="1" ht="13.5" spans="1:17">
      <c r="A404" s="3" t="s">
        <v>2047</v>
      </c>
      <c r="B404" s="3"/>
      <c r="C404" s="3" t="s">
        <v>1768</v>
      </c>
      <c r="D404" s="3" t="s">
        <v>1483</v>
      </c>
      <c r="E404" s="3" t="s">
        <v>1484</v>
      </c>
      <c r="F404" s="3" t="s">
        <v>1538</v>
      </c>
      <c r="G404" s="3" t="s">
        <v>2048</v>
      </c>
      <c r="H404" s="3" t="s">
        <v>1770</v>
      </c>
      <c r="I404" s="3" t="s">
        <v>1775</v>
      </c>
      <c r="J404" s="3" t="s">
        <v>521</v>
      </c>
      <c r="K404" s="3" t="s">
        <v>1599</v>
      </c>
      <c r="L404" s="3" t="s">
        <v>521</v>
      </c>
      <c r="M404" s="3" t="s">
        <v>2049</v>
      </c>
      <c r="N404" s="3" t="s">
        <v>1486</v>
      </c>
      <c r="O404" s="5">
        <v>45444</v>
      </c>
      <c r="P404" s="6">
        <v>-111200</v>
      </c>
      <c r="Q404" s="7">
        <v>0</v>
      </c>
    </row>
    <row r="405" s="1" customFormat="1" ht="13.5" spans="1:17">
      <c r="A405" s="3" t="s">
        <v>2047</v>
      </c>
      <c r="B405" s="3" t="s">
        <v>1587</v>
      </c>
      <c r="C405" s="3" t="s">
        <v>1768</v>
      </c>
      <c r="D405" s="3" t="s">
        <v>1483</v>
      </c>
      <c r="E405" s="3" t="s">
        <v>1484</v>
      </c>
      <c r="F405" s="3" t="s">
        <v>1589</v>
      </c>
      <c r="G405" s="3" t="s">
        <v>2048</v>
      </c>
      <c r="H405" s="3" t="s">
        <v>1770</v>
      </c>
      <c r="I405" s="3" t="s">
        <v>1775</v>
      </c>
      <c r="J405" s="3" t="s">
        <v>521</v>
      </c>
      <c r="K405" s="3" t="s">
        <v>1600</v>
      </c>
      <c r="L405" s="3" t="s">
        <v>521</v>
      </c>
      <c r="M405" s="3" t="s">
        <v>2049</v>
      </c>
      <c r="N405" s="3" t="s">
        <v>1486</v>
      </c>
      <c r="O405" s="5">
        <v>45443</v>
      </c>
      <c r="P405" s="6">
        <v>21852.22</v>
      </c>
      <c r="Q405" s="7">
        <v>0</v>
      </c>
    </row>
    <row r="406" s="1" customFormat="1" ht="13.5" spans="1:17">
      <c r="A406" s="3" t="s">
        <v>2047</v>
      </c>
      <c r="B406" s="3"/>
      <c r="C406" s="3" t="s">
        <v>1768</v>
      </c>
      <c r="D406" s="3" t="s">
        <v>1483</v>
      </c>
      <c r="E406" s="3" t="s">
        <v>1484</v>
      </c>
      <c r="F406" s="3" t="s">
        <v>1538</v>
      </c>
      <c r="G406" s="3" t="s">
        <v>2048</v>
      </c>
      <c r="H406" s="3" t="s">
        <v>1770</v>
      </c>
      <c r="I406" s="3" t="s">
        <v>1775</v>
      </c>
      <c r="J406" s="3" t="s">
        <v>521</v>
      </c>
      <c r="K406" s="3" t="s">
        <v>1601</v>
      </c>
      <c r="L406" s="3" t="s">
        <v>521</v>
      </c>
      <c r="M406" s="3" t="s">
        <v>2049</v>
      </c>
      <c r="N406" s="3" t="s">
        <v>1486</v>
      </c>
      <c r="O406" s="5">
        <v>45444</v>
      </c>
      <c r="P406" s="6">
        <v>-21852.22</v>
      </c>
      <c r="Q406" s="7">
        <v>0</v>
      </c>
    </row>
    <row r="407" s="1" customFormat="1" ht="13.5" spans="1:17">
      <c r="A407" s="3" t="s">
        <v>2054</v>
      </c>
      <c r="B407" s="3" t="s">
        <v>1602</v>
      </c>
      <c r="C407" s="3" t="s">
        <v>1768</v>
      </c>
      <c r="D407" s="3" t="s">
        <v>1483</v>
      </c>
      <c r="E407" s="3" t="s">
        <v>1484</v>
      </c>
      <c r="F407" s="3" t="s">
        <v>1604</v>
      </c>
      <c r="G407" s="3" t="s">
        <v>2048</v>
      </c>
      <c r="H407" s="3" t="s">
        <v>1770</v>
      </c>
      <c r="I407" s="3" t="s">
        <v>1775</v>
      </c>
      <c r="J407" s="3" t="s">
        <v>521</v>
      </c>
      <c r="K407" s="3" t="s">
        <v>1603</v>
      </c>
      <c r="L407" s="3" t="s">
        <v>521</v>
      </c>
      <c r="M407" s="3" t="s">
        <v>2049</v>
      </c>
      <c r="N407" s="3" t="s">
        <v>1486</v>
      </c>
      <c r="O407" s="5">
        <v>45437</v>
      </c>
      <c r="P407" s="6">
        <v>27084.45</v>
      </c>
      <c r="Q407" s="7">
        <v>0</v>
      </c>
    </row>
    <row r="408" s="1" customFormat="1" ht="13.5" spans="1:17">
      <c r="A408" s="3" t="s">
        <v>2055</v>
      </c>
      <c r="B408" s="3" t="s">
        <v>2056</v>
      </c>
      <c r="C408" s="3" t="s">
        <v>1768</v>
      </c>
      <c r="D408" s="3" t="s">
        <v>1483</v>
      </c>
      <c r="E408" s="3" t="s">
        <v>1484</v>
      </c>
      <c r="F408" s="3" t="s">
        <v>2057</v>
      </c>
      <c r="G408" s="3" t="s">
        <v>2048</v>
      </c>
      <c r="H408" s="3" t="s">
        <v>1770</v>
      </c>
      <c r="I408" s="3" t="s">
        <v>1775</v>
      </c>
      <c r="J408" s="3" t="s">
        <v>521</v>
      </c>
      <c r="K408" s="3" t="s">
        <v>2058</v>
      </c>
      <c r="L408" s="3" t="s">
        <v>521</v>
      </c>
      <c r="M408" s="3" t="s">
        <v>2049</v>
      </c>
      <c r="N408" s="3" t="s">
        <v>1486</v>
      </c>
      <c r="O408" s="5">
        <v>45462</v>
      </c>
      <c r="P408" s="6">
        <v>-1463768.07</v>
      </c>
      <c r="Q408" s="7">
        <v>0</v>
      </c>
    </row>
    <row r="409" s="1" customFormat="1" ht="13.5" spans="1:17">
      <c r="A409" s="3" t="s">
        <v>2047</v>
      </c>
      <c r="B409" s="3" t="s">
        <v>1616</v>
      </c>
      <c r="C409" s="3" t="s">
        <v>1768</v>
      </c>
      <c r="D409" s="3" t="s">
        <v>1483</v>
      </c>
      <c r="E409" s="3" t="s">
        <v>1484</v>
      </c>
      <c r="F409" s="3" t="s">
        <v>1618</v>
      </c>
      <c r="G409" s="3" t="s">
        <v>2048</v>
      </c>
      <c r="H409" s="3" t="s">
        <v>1770</v>
      </c>
      <c r="I409" s="3" t="s">
        <v>1775</v>
      </c>
      <c r="J409" s="3" t="s">
        <v>521</v>
      </c>
      <c r="K409" s="3" t="s">
        <v>1619</v>
      </c>
      <c r="L409" s="3" t="s">
        <v>521</v>
      </c>
      <c r="M409" s="3" t="s">
        <v>2049</v>
      </c>
      <c r="N409" s="3" t="s">
        <v>1486</v>
      </c>
      <c r="O409" s="5">
        <v>45473</v>
      </c>
      <c r="P409" s="6">
        <v>78766.66</v>
      </c>
      <c r="Q409" s="7">
        <v>0</v>
      </c>
    </row>
    <row r="410" s="1" customFormat="1" ht="13.5" spans="1:17">
      <c r="A410" s="3" t="s">
        <v>2047</v>
      </c>
      <c r="B410" s="3" t="s">
        <v>1616</v>
      </c>
      <c r="C410" s="3" t="s">
        <v>1768</v>
      </c>
      <c r="D410" s="3" t="s">
        <v>1483</v>
      </c>
      <c r="E410" s="3" t="s">
        <v>1484</v>
      </c>
      <c r="F410" s="3" t="s">
        <v>1618</v>
      </c>
      <c r="G410" s="3" t="s">
        <v>2048</v>
      </c>
      <c r="H410" s="3" t="s">
        <v>1770</v>
      </c>
      <c r="I410" s="3" t="s">
        <v>1775</v>
      </c>
      <c r="J410" s="3" t="s">
        <v>521</v>
      </c>
      <c r="K410" s="3" t="s">
        <v>1620</v>
      </c>
      <c r="L410" s="3" t="s">
        <v>521</v>
      </c>
      <c r="M410" s="3" t="s">
        <v>2049</v>
      </c>
      <c r="N410" s="3" t="s">
        <v>1486</v>
      </c>
      <c r="O410" s="5">
        <v>45473</v>
      </c>
      <c r="P410" s="6">
        <v>393833.33</v>
      </c>
      <c r="Q410" s="7">
        <v>0</v>
      </c>
    </row>
    <row r="411" s="1" customFormat="1" ht="13.5" spans="1:17">
      <c r="A411" s="3" t="s">
        <v>2047</v>
      </c>
      <c r="B411" s="3" t="s">
        <v>1616</v>
      </c>
      <c r="C411" s="3" t="s">
        <v>1768</v>
      </c>
      <c r="D411" s="3" t="s">
        <v>1483</v>
      </c>
      <c r="E411" s="3" t="s">
        <v>1484</v>
      </c>
      <c r="F411" s="3" t="s">
        <v>1618</v>
      </c>
      <c r="G411" s="3" t="s">
        <v>2048</v>
      </c>
      <c r="H411" s="3" t="s">
        <v>1770</v>
      </c>
      <c r="I411" s="3" t="s">
        <v>1775</v>
      </c>
      <c r="J411" s="3" t="s">
        <v>521</v>
      </c>
      <c r="K411" s="3" t="s">
        <v>1621</v>
      </c>
      <c r="L411" s="3" t="s">
        <v>521</v>
      </c>
      <c r="M411" s="3" t="s">
        <v>2049</v>
      </c>
      <c r="N411" s="3" t="s">
        <v>1486</v>
      </c>
      <c r="O411" s="5">
        <v>45473</v>
      </c>
      <c r="P411" s="6">
        <v>31085.56</v>
      </c>
      <c r="Q411" s="7">
        <v>0</v>
      </c>
    </row>
    <row r="412" s="1" customFormat="1" ht="13.5" spans="1:17">
      <c r="A412" s="3" t="s">
        <v>2047</v>
      </c>
      <c r="B412" s="3" t="s">
        <v>1616</v>
      </c>
      <c r="C412" s="3" t="s">
        <v>1768</v>
      </c>
      <c r="D412" s="3" t="s">
        <v>1483</v>
      </c>
      <c r="E412" s="3" t="s">
        <v>1484</v>
      </c>
      <c r="F412" s="3" t="s">
        <v>1618</v>
      </c>
      <c r="G412" s="3" t="s">
        <v>2048</v>
      </c>
      <c r="H412" s="3" t="s">
        <v>1770</v>
      </c>
      <c r="I412" s="3" t="s">
        <v>1775</v>
      </c>
      <c r="J412" s="3" t="s">
        <v>521</v>
      </c>
      <c r="K412" s="3" t="s">
        <v>1617</v>
      </c>
      <c r="L412" s="3" t="s">
        <v>521</v>
      </c>
      <c r="M412" s="3" t="s">
        <v>2049</v>
      </c>
      <c r="N412" s="3" t="s">
        <v>1486</v>
      </c>
      <c r="O412" s="5">
        <v>45473</v>
      </c>
      <c r="P412" s="6">
        <v>157533.33</v>
      </c>
      <c r="Q412" s="7">
        <v>0</v>
      </c>
    </row>
    <row r="413" s="1" customFormat="1" ht="13.5" spans="1:17">
      <c r="A413" s="3" t="s">
        <v>2047</v>
      </c>
      <c r="B413" s="3" t="s">
        <v>1634</v>
      </c>
      <c r="C413" s="3" t="s">
        <v>1768</v>
      </c>
      <c r="D413" s="3" t="s">
        <v>1636</v>
      </c>
      <c r="E413" s="3" t="s">
        <v>1637</v>
      </c>
      <c r="F413" s="3" t="s">
        <v>1638</v>
      </c>
      <c r="G413" s="3" t="s">
        <v>2048</v>
      </c>
      <c r="H413" s="3" t="s">
        <v>1770</v>
      </c>
      <c r="I413" s="3" t="s">
        <v>1775</v>
      </c>
      <c r="J413" s="3" t="s">
        <v>508</v>
      </c>
      <c r="K413" s="3" t="s">
        <v>1635</v>
      </c>
      <c r="L413" s="3" t="s">
        <v>508</v>
      </c>
      <c r="M413" s="3" t="s">
        <v>2049</v>
      </c>
      <c r="N413" s="3" t="s">
        <v>1486</v>
      </c>
      <c r="O413" s="5">
        <v>45199</v>
      </c>
      <c r="P413" s="6">
        <v>1937.5</v>
      </c>
      <c r="Q413" s="7">
        <v>0</v>
      </c>
    </row>
    <row r="414" s="1" customFormat="1" ht="13.5" spans="1:17">
      <c r="A414" s="3" t="s">
        <v>2047</v>
      </c>
      <c r="B414" s="3" t="s">
        <v>1639</v>
      </c>
      <c r="C414" s="3" t="s">
        <v>1768</v>
      </c>
      <c r="D414" s="3" t="s">
        <v>1636</v>
      </c>
      <c r="E414" s="3" t="s">
        <v>1637</v>
      </c>
      <c r="F414" s="3" t="s">
        <v>1641</v>
      </c>
      <c r="G414" s="3" t="s">
        <v>2048</v>
      </c>
      <c r="H414" s="3" t="s">
        <v>1770</v>
      </c>
      <c r="I414" s="3" t="s">
        <v>1775</v>
      </c>
      <c r="J414" s="3" t="s">
        <v>508</v>
      </c>
      <c r="K414" s="3" t="s">
        <v>1640</v>
      </c>
      <c r="L414" s="3" t="s">
        <v>508</v>
      </c>
      <c r="M414" s="3" t="s">
        <v>2049</v>
      </c>
      <c r="N414" s="3" t="s">
        <v>1486</v>
      </c>
      <c r="O414" s="5">
        <v>45200</v>
      </c>
      <c r="P414" s="6">
        <v>-1937.5</v>
      </c>
      <c r="Q414" s="7">
        <v>0</v>
      </c>
    </row>
    <row r="415" s="1" customFormat="1" ht="13.5" spans="1:17">
      <c r="A415" s="3" t="s">
        <v>2047</v>
      </c>
      <c r="B415" s="3" t="s">
        <v>1642</v>
      </c>
      <c r="C415" s="3" t="s">
        <v>1768</v>
      </c>
      <c r="D415" s="3" t="s">
        <v>1636</v>
      </c>
      <c r="E415" s="3" t="s">
        <v>1637</v>
      </c>
      <c r="F415" s="3" t="s">
        <v>1638</v>
      </c>
      <c r="G415" s="3" t="s">
        <v>2048</v>
      </c>
      <c r="H415" s="3" t="s">
        <v>1770</v>
      </c>
      <c r="I415" s="3" t="s">
        <v>1775</v>
      </c>
      <c r="J415" s="3" t="s">
        <v>508</v>
      </c>
      <c r="K415" s="3" t="s">
        <v>1643</v>
      </c>
      <c r="L415" s="3" t="s">
        <v>508</v>
      </c>
      <c r="M415" s="3" t="s">
        <v>2049</v>
      </c>
      <c r="N415" s="3" t="s">
        <v>1486</v>
      </c>
      <c r="O415" s="5">
        <v>45230</v>
      </c>
      <c r="P415" s="6">
        <v>70525</v>
      </c>
      <c r="Q415" s="7">
        <v>0</v>
      </c>
    </row>
    <row r="416" s="1" customFormat="1" ht="13.5" spans="1:17">
      <c r="A416" s="3" t="s">
        <v>2047</v>
      </c>
      <c r="B416" s="3"/>
      <c r="C416" s="3" t="s">
        <v>1768</v>
      </c>
      <c r="D416" s="3" t="s">
        <v>1636</v>
      </c>
      <c r="E416" s="3" t="s">
        <v>1637</v>
      </c>
      <c r="F416" s="3" t="s">
        <v>1641</v>
      </c>
      <c r="G416" s="3" t="s">
        <v>2048</v>
      </c>
      <c r="H416" s="3" t="s">
        <v>1770</v>
      </c>
      <c r="I416" s="3" t="s">
        <v>1775</v>
      </c>
      <c r="J416" s="3" t="s">
        <v>508</v>
      </c>
      <c r="K416" s="3" t="s">
        <v>1644</v>
      </c>
      <c r="L416" s="3" t="s">
        <v>508</v>
      </c>
      <c r="M416" s="3" t="s">
        <v>2049</v>
      </c>
      <c r="N416" s="3" t="s">
        <v>1486</v>
      </c>
      <c r="O416" s="5">
        <v>45231</v>
      </c>
      <c r="P416" s="6">
        <v>-70525</v>
      </c>
      <c r="Q416" s="7">
        <v>0</v>
      </c>
    </row>
    <row r="417" s="1" customFormat="1" ht="13.5" spans="1:17">
      <c r="A417" s="3" t="s">
        <v>2047</v>
      </c>
      <c r="B417" s="3" t="s">
        <v>1642</v>
      </c>
      <c r="C417" s="3" t="s">
        <v>1768</v>
      </c>
      <c r="D417" s="3" t="s">
        <v>1636</v>
      </c>
      <c r="E417" s="3" t="s">
        <v>1637</v>
      </c>
      <c r="F417" s="3" t="s">
        <v>1638</v>
      </c>
      <c r="G417" s="3" t="s">
        <v>2048</v>
      </c>
      <c r="H417" s="3" t="s">
        <v>1770</v>
      </c>
      <c r="I417" s="3" t="s">
        <v>1775</v>
      </c>
      <c r="J417" s="3" t="s">
        <v>508</v>
      </c>
      <c r="K417" s="3" t="s">
        <v>1654</v>
      </c>
      <c r="L417" s="3" t="s">
        <v>508</v>
      </c>
      <c r="M417" s="3" t="s">
        <v>2049</v>
      </c>
      <c r="N417" s="3" t="s">
        <v>1486</v>
      </c>
      <c r="O417" s="5">
        <v>45230</v>
      </c>
      <c r="P417" s="6">
        <v>11947.92</v>
      </c>
      <c r="Q417" s="7">
        <v>0</v>
      </c>
    </row>
    <row r="418" s="1" customFormat="1" ht="13.5" spans="1:17">
      <c r="A418" s="3" t="s">
        <v>2047</v>
      </c>
      <c r="B418" s="3"/>
      <c r="C418" s="3" t="s">
        <v>1768</v>
      </c>
      <c r="D418" s="3" t="s">
        <v>1636</v>
      </c>
      <c r="E418" s="3" t="s">
        <v>1637</v>
      </c>
      <c r="F418" s="3" t="s">
        <v>1641</v>
      </c>
      <c r="G418" s="3" t="s">
        <v>2048</v>
      </c>
      <c r="H418" s="3" t="s">
        <v>1770</v>
      </c>
      <c r="I418" s="3" t="s">
        <v>1775</v>
      </c>
      <c r="J418" s="3" t="s">
        <v>508</v>
      </c>
      <c r="K418" s="3" t="s">
        <v>1655</v>
      </c>
      <c r="L418" s="3" t="s">
        <v>508</v>
      </c>
      <c r="M418" s="3" t="s">
        <v>2049</v>
      </c>
      <c r="N418" s="3" t="s">
        <v>1486</v>
      </c>
      <c r="O418" s="5">
        <v>45231</v>
      </c>
      <c r="P418" s="6">
        <v>-11947.92</v>
      </c>
      <c r="Q418" s="7">
        <v>0</v>
      </c>
    </row>
    <row r="419" s="1" customFormat="1" ht="13.5" spans="1:17">
      <c r="A419" s="3" t="s">
        <v>2047</v>
      </c>
      <c r="B419" s="3" t="s">
        <v>1656</v>
      </c>
      <c r="C419" s="3" t="s">
        <v>1768</v>
      </c>
      <c r="D419" s="3" t="s">
        <v>1636</v>
      </c>
      <c r="E419" s="3" t="s">
        <v>1637</v>
      </c>
      <c r="F419" s="3" t="s">
        <v>1658</v>
      </c>
      <c r="G419" s="3" t="s">
        <v>2048</v>
      </c>
      <c r="H419" s="3" t="s">
        <v>1770</v>
      </c>
      <c r="I419" s="3" t="s">
        <v>1775</v>
      </c>
      <c r="J419" s="3" t="s">
        <v>508</v>
      </c>
      <c r="K419" s="3" t="s">
        <v>1657</v>
      </c>
      <c r="L419" s="3" t="s">
        <v>508</v>
      </c>
      <c r="M419" s="3" t="s">
        <v>2049</v>
      </c>
      <c r="N419" s="3" t="s">
        <v>1486</v>
      </c>
      <c r="O419" s="5">
        <v>45253</v>
      </c>
      <c r="P419" s="6">
        <v>19052.08</v>
      </c>
      <c r="Q419" s="7">
        <v>0</v>
      </c>
    </row>
    <row r="420" s="1" customFormat="1" ht="13.5" spans="1:17">
      <c r="A420" s="3" t="s">
        <v>2047</v>
      </c>
      <c r="B420" s="3" t="s">
        <v>1481</v>
      </c>
      <c r="C420" s="3" t="s">
        <v>1768</v>
      </c>
      <c r="D420" s="3" t="s">
        <v>1636</v>
      </c>
      <c r="E420" s="3" t="s">
        <v>1637</v>
      </c>
      <c r="F420" s="3" t="s">
        <v>1485</v>
      </c>
      <c r="G420" s="3" t="s">
        <v>2048</v>
      </c>
      <c r="H420" s="3" t="s">
        <v>1770</v>
      </c>
      <c r="I420" s="3" t="s">
        <v>1775</v>
      </c>
      <c r="J420" s="3" t="s">
        <v>508</v>
      </c>
      <c r="K420" s="3" t="s">
        <v>1659</v>
      </c>
      <c r="L420" s="3" t="s">
        <v>508</v>
      </c>
      <c r="M420" s="3" t="s">
        <v>2049</v>
      </c>
      <c r="N420" s="3" t="s">
        <v>1486</v>
      </c>
      <c r="O420" s="5">
        <v>45260</v>
      </c>
      <c r="P420" s="6">
        <v>144408.33</v>
      </c>
      <c r="Q420" s="7">
        <v>0</v>
      </c>
    </row>
    <row r="421" s="1" customFormat="1" ht="13.5" spans="1:17">
      <c r="A421" s="3" t="s">
        <v>2047</v>
      </c>
      <c r="B421" s="3" t="s">
        <v>1481</v>
      </c>
      <c r="C421" s="3" t="s">
        <v>1768</v>
      </c>
      <c r="D421" s="3" t="s">
        <v>1636</v>
      </c>
      <c r="E421" s="3" t="s">
        <v>1637</v>
      </c>
      <c r="F421" s="3" t="s">
        <v>1485</v>
      </c>
      <c r="G421" s="3" t="s">
        <v>2048</v>
      </c>
      <c r="H421" s="3" t="s">
        <v>1770</v>
      </c>
      <c r="I421" s="3" t="s">
        <v>1775</v>
      </c>
      <c r="J421" s="3" t="s">
        <v>508</v>
      </c>
      <c r="K421" s="3" t="s">
        <v>1659</v>
      </c>
      <c r="L421" s="3" t="s">
        <v>508</v>
      </c>
      <c r="M421" s="3" t="s">
        <v>2049</v>
      </c>
      <c r="N421" s="3" t="s">
        <v>1486</v>
      </c>
      <c r="O421" s="5">
        <v>45260</v>
      </c>
      <c r="P421" s="6">
        <v>15672.22</v>
      </c>
      <c r="Q421" s="7">
        <v>0</v>
      </c>
    </row>
    <row r="422" s="1" customFormat="1" ht="13.5" spans="1:17">
      <c r="A422" s="3" t="s">
        <v>2047</v>
      </c>
      <c r="B422" s="3" t="s">
        <v>1487</v>
      </c>
      <c r="C422" s="3" t="s">
        <v>1768</v>
      </c>
      <c r="D422" s="3" t="s">
        <v>1636</v>
      </c>
      <c r="E422" s="3" t="s">
        <v>1637</v>
      </c>
      <c r="F422" s="3" t="s">
        <v>1489</v>
      </c>
      <c r="G422" s="3" t="s">
        <v>2048</v>
      </c>
      <c r="H422" s="3" t="s">
        <v>1770</v>
      </c>
      <c r="I422" s="3" t="s">
        <v>1775</v>
      </c>
      <c r="J422" s="3" t="s">
        <v>508</v>
      </c>
      <c r="K422" s="3" t="s">
        <v>1660</v>
      </c>
      <c r="L422" s="3" t="s">
        <v>508</v>
      </c>
      <c r="M422" s="3" t="s">
        <v>2049</v>
      </c>
      <c r="N422" s="3" t="s">
        <v>1486</v>
      </c>
      <c r="O422" s="5">
        <v>45261</v>
      </c>
      <c r="P422" s="6">
        <v>-144408.33</v>
      </c>
      <c r="Q422" s="7">
        <v>0</v>
      </c>
    </row>
    <row r="423" s="1" customFormat="1" ht="13.5" spans="1:17">
      <c r="A423" s="3" t="s">
        <v>2047</v>
      </c>
      <c r="B423" s="3" t="s">
        <v>1487</v>
      </c>
      <c r="C423" s="3" t="s">
        <v>1768</v>
      </c>
      <c r="D423" s="3" t="s">
        <v>1636</v>
      </c>
      <c r="E423" s="3" t="s">
        <v>1637</v>
      </c>
      <c r="F423" s="3" t="s">
        <v>1489</v>
      </c>
      <c r="G423" s="3" t="s">
        <v>2048</v>
      </c>
      <c r="H423" s="3" t="s">
        <v>1770</v>
      </c>
      <c r="I423" s="3" t="s">
        <v>1775</v>
      </c>
      <c r="J423" s="3" t="s">
        <v>508</v>
      </c>
      <c r="K423" s="3" t="s">
        <v>1660</v>
      </c>
      <c r="L423" s="3" t="s">
        <v>508</v>
      </c>
      <c r="M423" s="3" t="s">
        <v>2049</v>
      </c>
      <c r="N423" s="3" t="s">
        <v>1486</v>
      </c>
      <c r="O423" s="5">
        <v>45261</v>
      </c>
      <c r="P423" s="6">
        <v>-15672.22</v>
      </c>
      <c r="Q423" s="7">
        <v>0</v>
      </c>
    </row>
    <row r="424" s="1" customFormat="1" ht="13.5" spans="1:17">
      <c r="A424" s="3" t="s">
        <v>2047</v>
      </c>
      <c r="B424" s="3" t="s">
        <v>1481</v>
      </c>
      <c r="C424" s="3" t="s">
        <v>1768</v>
      </c>
      <c r="D424" s="3" t="s">
        <v>1636</v>
      </c>
      <c r="E424" s="3" t="s">
        <v>1637</v>
      </c>
      <c r="F424" s="3" t="s">
        <v>1485</v>
      </c>
      <c r="G424" s="3" t="s">
        <v>2048</v>
      </c>
      <c r="H424" s="3" t="s">
        <v>1770</v>
      </c>
      <c r="I424" s="3" t="s">
        <v>1775</v>
      </c>
      <c r="J424" s="3" t="s">
        <v>508</v>
      </c>
      <c r="K424" s="3" t="s">
        <v>1661</v>
      </c>
      <c r="L424" s="3" t="s">
        <v>508</v>
      </c>
      <c r="M424" s="3" t="s">
        <v>2049</v>
      </c>
      <c r="N424" s="3" t="s">
        <v>1486</v>
      </c>
      <c r="O424" s="5">
        <v>45260</v>
      </c>
      <c r="P424" s="6">
        <v>44000</v>
      </c>
      <c r="Q424" s="7">
        <v>0</v>
      </c>
    </row>
    <row r="425" s="1" customFormat="1" ht="13.5" spans="1:17">
      <c r="A425" s="3" t="s">
        <v>2047</v>
      </c>
      <c r="B425" s="3" t="s">
        <v>1487</v>
      </c>
      <c r="C425" s="3" t="s">
        <v>1768</v>
      </c>
      <c r="D425" s="3" t="s">
        <v>1636</v>
      </c>
      <c r="E425" s="3" t="s">
        <v>1637</v>
      </c>
      <c r="F425" s="3" t="s">
        <v>1489</v>
      </c>
      <c r="G425" s="3" t="s">
        <v>2048</v>
      </c>
      <c r="H425" s="3" t="s">
        <v>1770</v>
      </c>
      <c r="I425" s="3" t="s">
        <v>1775</v>
      </c>
      <c r="J425" s="3" t="s">
        <v>508</v>
      </c>
      <c r="K425" s="3" t="s">
        <v>1662</v>
      </c>
      <c r="L425" s="3" t="s">
        <v>508</v>
      </c>
      <c r="M425" s="3" t="s">
        <v>2049</v>
      </c>
      <c r="N425" s="3" t="s">
        <v>1486</v>
      </c>
      <c r="O425" s="5">
        <v>45261</v>
      </c>
      <c r="P425" s="6">
        <v>-44000</v>
      </c>
      <c r="Q425" s="7">
        <v>0</v>
      </c>
    </row>
    <row r="426" s="1" customFormat="1" ht="13.5" spans="1:17">
      <c r="A426" s="3" t="s">
        <v>2047</v>
      </c>
      <c r="B426" s="3" t="s">
        <v>1663</v>
      </c>
      <c r="C426" s="3" t="s">
        <v>1768</v>
      </c>
      <c r="D426" s="3" t="s">
        <v>1636</v>
      </c>
      <c r="E426" s="3" t="s">
        <v>1637</v>
      </c>
      <c r="F426" s="3" t="s">
        <v>1665</v>
      </c>
      <c r="G426" s="3" t="s">
        <v>2048</v>
      </c>
      <c r="H426" s="3" t="s">
        <v>1770</v>
      </c>
      <c r="I426" s="3" t="s">
        <v>1775</v>
      </c>
      <c r="J426" s="3" t="s">
        <v>508</v>
      </c>
      <c r="K426" s="3" t="s">
        <v>1664</v>
      </c>
      <c r="L426" s="3" t="s">
        <v>508</v>
      </c>
      <c r="M426" s="3" t="s">
        <v>2049</v>
      </c>
      <c r="N426" s="3" t="s">
        <v>1486</v>
      </c>
      <c r="O426" s="5">
        <v>45275</v>
      </c>
      <c r="P426" s="6">
        <v>-43098.61</v>
      </c>
      <c r="Q426" s="7">
        <v>0</v>
      </c>
    </row>
    <row r="427" s="1" customFormat="1" ht="13.5" spans="1:17">
      <c r="A427" s="3" t="s">
        <v>2047</v>
      </c>
      <c r="B427" s="3" t="s">
        <v>1666</v>
      </c>
      <c r="C427" s="3" t="s">
        <v>1768</v>
      </c>
      <c r="D427" s="3" t="s">
        <v>1636</v>
      </c>
      <c r="E427" s="3" t="s">
        <v>1637</v>
      </c>
      <c r="F427" s="3" t="s">
        <v>1668</v>
      </c>
      <c r="G427" s="3" t="s">
        <v>2048</v>
      </c>
      <c r="H427" s="3" t="s">
        <v>1770</v>
      </c>
      <c r="I427" s="3" t="s">
        <v>1775</v>
      </c>
      <c r="J427" s="3" t="s">
        <v>508</v>
      </c>
      <c r="K427" s="3" t="s">
        <v>1667</v>
      </c>
      <c r="L427" s="3" t="s">
        <v>508</v>
      </c>
      <c r="M427" s="3" t="s">
        <v>2049</v>
      </c>
      <c r="N427" s="3" t="s">
        <v>1486</v>
      </c>
      <c r="O427" s="5">
        <v>45275</v>
      </c>
      <c r="P427" s="6">
        <v>43098.62</v>
      </c>
      <c r="Q427" s="7">
        <v>0</v>
      </c>
    </row>
    <row r="428" s="1" customFormat="1" ht="13.5" spans="1:17">
      <c r="A428" s="3" t="s">
        <v>2047</v>
      </c>
      <c r="B428" s="3" t="s">
        <v>1671</v>
      </c>
      <c r="C428" s="3" t="s">
        <v>1768</v>
      </c>
      <c r="D428" s="3" t="s">
        <v>1636</v>
      </c>
      <c r="E428" s="3" t="s">
        <v>1637</v>
      </c>
      <c r="F428" s="3" t="s">
        <v>1673</v>
      </c>
      <c r="G428" s="3" t="s">
        <v>2048</v>
      </c>
      <c r="H428" s="3" t="s">
        <v>1770</v>
      </c>
      <c r="I428" s="3" t="s">
        <v>1775</v>
      </c>
      <c r="J428" s="3" t="s">
        <v>508</v>
      </c>
      <c r="K428" s="3" t="s">
        <v>1672</v>
      </c>
      <c r="L428" s="3" t="s">
        <v>508</v>
      </c>
      <c r="M428" s="3" t="s">
        <v>2049</v>
      </c>
      <c r="N428" s="3" t="s">
        <v>1486</v>
      </c>
      <c r="O428" s="5">
        <v>45279</v>
      </c>
      <c r="P428" s="6">
        <v>96800</v>
      </c>
      <c r="Q428" s="7">
        <v>0</v>
      </c>
    </row>
    <row r="429" s="1" customFormat="1" ht="13.5" spans="1:17">
      <c r="A429" s="3" t="s">
        <v>2047</v>
      </c>
      <c r="B429" s="3"/>
      <c r="C429" s="3" t="s">
        <v>1768</v>
      </c>
      <c r="D429" s="3" t="s">
        <v>1636</v>
      </c>
      <c r="E429" s="3" t="s">
        <v>1637</v>
      </c>
      <c r="F429" s="3" t="s">
        <v>1675</v>
      </c>
      <c r="G429" s="3" t="s">
        <v>2048</v>
      </c>
      <c r="H429" s="3" t="s">
        <v>1770</v>
      </c>
      <c r="I429" s="3" t="s">
        <v>1775</v>
      </c>
      <c r="J429" s="3" t="s">
        <v>508</v>
      </c>
      <c r="K429" s="3" t="s">
        <v>1674</v>
      </c>
      <c r="L429" s="3" t="s">
        <v>508</v>
      </c>
      <c r="M429" s="3" t="s">
        <v>2049</v>
      </c>
      <c r="N429" s="3" t="s">
        <v>1486</v>
      </c>
      <c r="O429" s="5">
        <v>45285</v>
      </c>
      <c r="P429" s="6">
        <v>17600</v>
      </c>
      <c r="Q429" s="7">
        <v>0</v>
      </c>
    </row>
    <row r="430" s="1" customFormat="1" ht="13.5" spans="1:17">
      <c r="A430" s="3" t="s">
        <v>2047</v>
      </c>
      <c r="B430" s="3" t="s">
        <v>1663</v>
      </c>
      <c r="C430" s="3" t="s">
        <v>1768</v>
      </c>
      <c r="D430" s="3" t="s">
        <v>1636</v>
      </c>
      <c r="E430" s="3" t="s">
        <v>1637</v>
      </c>
      <c r="F430" s="3" t="s">
        <v>1658</v>
      </c>
      <c r="G430" s="3" t="s">
        <v>2048</v>
      </c>
      <c r="H430" s="3" t="s">
        <v>1770</v>
      </c>
      <c r="I430" s="3" t="s">
        <v>1775</v>
      </c>
      <c r="J430" s="3" t="s">
        <v>508</v>
      </c>
      <c r="K430" s="3" t="s">
        <v>1676</v>
      </c>
      <c r="L430" s="3" t="s">
        <v>508</v>
      </c>
      <c r="M430" s="3" t="s">
        <v>2049</v>
      </c>
      <c r="N430" s="3" t="s">
        <v>1486</v>
      </c>
      <c r="O430" s="5">
        <v>45291</v>
      </c>
      <c r="P430" s="6">
        <v>144408.33</v>
      </c>
      <c r="Q430" s="7">
        <v>0</v>
      </c>
    </row>
    <row r="431" s="1" customFormat="1" ht="13.5" spans="1:17">
      <c r="A431" s="3" t="s">
        <v>2047</v>
      </c>
      <c r="B431" s="3" t="s">
        <v>1663</v>
      </c>
      <c r="C431" s="3" t="s">
        <v>1768</v>
      </c>
      <c r="D431" s="3" t="s">
        <v>1636</v>
      </c>
      <c r="E431" s="3" t="s">
        <v>1637</v>
      </c>
      <c r="F431" s="3" t="s">
        <v>1658</v>
      </c>
      <c r="G431" s="3" t="s">
        <v>2048</v>
      </c>
      <c r="H431" s="3" t="s">
        <v>1770</v>
      </c>
      <c r="I431" s="3" t="s">
        <v>1775</v>
      </c>
      <c r="J431" s="3" t="s">
        <v>508</v>
      </c>
      <c r="K431" s="3" t="s">
        <v>1676</v>
      </c>
      <c r="L431" s="3" t="s">
        <v>508</v>
      </c>
      <c r="M431" s="3" t="s">
        <v>2049</v>
      </c>
      <c r="N431" s="3" t="s">
        <v>1486</v>
      </c>
      <c r="O431" s="5">
        <v>45291</v>
      </c>
      <c r="P431" s="6">
        <v>43098.61</v>
      </c>
      <c r="Q431" s="7">
        <v>0</v>
      </c>
    </row>
    <row r="432" s="1" customFormat="1" ht="13.5" spans="1:17">
      <c r="A432" s="3" t="s">
        <v>2059</v>
      </c>
      <c r="B432" s="3" t="s">
        <v>1682</v>
      </c>
      <c r="C432" s="3" t="s">
        <v>1768</v>
      </c>
      <c r="D432" s="3" t="s">
        <v>1679</v>
      </c>
      <c r="E432" s="3" t="s">
        <v>1680</v>
      </c>
      <c r="F432" s="3" t="s">
        <v>1684</v>
      </c>
      <c r="G432" s="3" t="s">
        <v>2048</v>
      </c>
      <c r="H432" s="3" t="s">
        <v>1770</v>
      </c>
      <c r="I432" s="3" t="s">
        <v>1775</v>
      </c>
      <c r="J432" s="3" t="s">
        <v>508</v>
      </c>
      <c r="K432" s="3" t="s">
        <v>1683</v>
      </c>
      <c r="L432" s="3" t="s">
        <v>508</v>
      </c>
      <c r="M432" s="3" t="s">
        <v>2049</v>
      </c>
      <c r="N432" s="3" t="s">
        <v>1486</v>
      </c>
      <c r="O432" s="5">
        <v>45238</v>
      </c>
      <c r="P432" s="6">
        <v>20</v>
      </c>
      <c r="Q432" s="7">
        <v>0</v>
      </c>
    </row>
    <row r="433" s="1" customFormat="1" ht="13.5" spans="1:17">
      <c r="A433" s="3" t="s">
        <v>2060</v>
      </c>
      <c r="B433" s="3" t="s">
        <v>1690</v>
      </c>
      <c r="C433" s="3" t="s">
        <v>1768</v>
      </c>
      <c r="D433" s="3" t="s">
        <v>1679</v>
      </c>
      <c r="E433" s="3" t="s">
        <v>1680</v>
      </c>
      <c r="F433" s="3" t="s">
        <v>1692</v>
      </c>
      <c r="G433" s="3" t="s">
        <v>2048</v>
      </c>
      <c r="H433" s="3" t="s">
        <v>1770</v>
      </c>
      <c r="I433" s="3" t="s">
        <v>1775</v>
      </c>
      <c r="J433" s="3" t="s">
        <v>508</v>
      </c>
      <c r="K433" s="3" t="s">
        <v>1691</v>
      </c>
      <c r="L433" s="3" t="s">
        <v>508</v>
      </c>
      <c r="M433" s="3" t="s">
        <v>2049</v>
      </c>
      <c r="N433" s="3" t="s">
        <v>1486</v>
      </c>
      <c r="O433" s="5">
        <v>45243</v>
      </c>
      <c r="P433" s="6">
        <v>200</v>
      </c>
      <c r="Q433" s="7">
        <v>0</v>
      </c>
    </row>
    <row r="434" s="1" customFormat="1" ht="13.5" spans="1:17">
      <c r="A434" s="3" t="s">
        <v>2061</v>
      </c>
      <c r="B434" s="3" t="s">
        <v>1693</v>
      </c>
      <c r="C434" s="3" t="s">
        <v>1768</v>
      </c>
      <c r="D434" s="3" t="s">
        <v>1679</v>
      </c>
      <c r="E434" s="3" t="s">
        <v>1680</v>
      </c>
      <c r="F434" s="3" t="s">
        <v>1695</v>
      </c>
      <c r="G434" s="3" t="s">
        <v>2062</v>
      </c>
      <c r="H434" s="3" t="s">
        <v>1770</v>
      </c>
      <c r="I434" s="3" t="s">
        <v>1775</v>
      </c>
      <c r="J434" s="3" t="s">
        <v>508</v>
      </c>
      <c r="K434" s="3" t="s">
        <v>1694</v>
      </c>
      <c r="L434" s="3" t="s">
        <v>508</v>
      </c>
      <c r="M434" s="3" t="s">
        <v>2049</v>
      </c>
      <c r="N434" s="3" t="s">
        <v>1696</v>
      </c>
      <c r="O434" s="5">
        <v>45272</v>
      </c>
      <c r="P434" s="6">
        <v>15</v>
      </c>
      <c r="Q434" s="7">
        <v>0</v>
      </c>
    </row>
    <row r="435" s="1" customFormat="1" ht="13.5" spans="1:17">
      <c r="A435" s="3" t="s">
        <v>2063</v>
      </c>
      <c r="B435" s="3" t="s">
        <v>1707</v>
      </c>
      <c r="C435" s="3" t="s">
        <v>1768</v>
      </c>
      <c r="D435" s="3" t="s">
        <v>1679</v>
      </c>
      <c r="E435" s="3" t="s">
        <v>1680</v>
      </c>
      <c r="F435" s="3" t="s">
        <v>1709</v>
      </c>
      <c r="G435" s="3" t="s">
        <v>2062</v>
      </c>
      <c r="H435" s="3" t="s">
        <v>1770</v>
      </c>
      <c r="I435" s="3" t="s">
        <v>1775</v>
      </c>
      <c r="J435" s="3" t="s">
        <v>508</v>
      </c>
      <c r="K435" s="3" t="s">
        <v>1708</v>
      </c>
      <c r="L435" s="3" t="s">
        <v>508</v>
      </c>
      <c r="M435" s="3" t="s">
        <v>2049</v>
      </c>
      <c r="N435" s="3" t="s">
        <v>1696</v>
      </c>
      <c r="O435" s="5">
        <v>45289</v>
      </c>
      <c r="P435" s="6">
        <v>15</v>
      </c>
      <c r="Q435" s="7">
        <v>0</v>
      </c>
    </row>
    <row r="436" s="1" customFormat="1" ht="13.5" spans="1:17">
      <c r="A436" s="3" t="s">
        <v>2064</v>
      </c>
      <c r="B436" s="3" t="s">
        <v>1710</v>
      </c>
      <c r="C436" s="3" t="s">
        <v>1768</v>
      </c>
      <c r="D436" s="3" t="s">
        <v>1679</v>
      </c>
      <c r="E436" s="3" t="s">
        <v>1680</v>
      </c>
      <c r="F436" s="3" t="s">
        <v>1712</v>
      </c>
      <c r="G436" s="3" t="s">
        <v>2065</v>
      </c>
      <c r="H436" s="3" t="s">
        <v>1770</v>
      </c>
      <c r="I436" s="3" t="s">
        <v>1775</v>
      </c>
      <c r="J436" s="3" t="s">
        <v>521</v>
      </c>
      <c r="K436" s="3" t="s">
        <v>1711</v>
      </c>
      <c r="L436" s="3" t="s">
        <v>521</v>
      </c>
      <c r="M436" s="3" t="s">
        <v>2049</v>
      </c>
      <c r="N436" s="3" t="s">
        <v>1713</v>
      </c>
      <c r="O436" s="5">
        <v>45373</v>
      </c>
      <c r="P436" s="6">
        <v>-3430.45</v>
      </c>
      <c r="Q436" s="7">
        <v>0</v>
      </c>
    </row>
    <row r="437" s="1" customFormat="1" ht="13.5" spans="1:17">
      <c r="A437" s="3" t="s">
        <v>2066</v>
      </c>
      <c r="B437" s="3" t="s">
        <v>1714</v>
      </c>
      <c r="C437" s="3" t="s">
        <v>1768</v>
      </c>
      <c r="D437" s="3" t="s">
        <v>1679</v>
      </c>
      <c r="E437" s="3" t="s">
        <v>1680</v>
      </c>
      <c r="F437" s="3" t="s">
        <v>1692</v>
      </c>
      <c r="G437" s="3" t="s">
        <v>2062</v>
      </c>
      <c r="H437" s="3" t="s">
        <v>1770</v>
      </c>
      <c r="I437" s="3" t="s">
        <v>1775</v>
      </c>
      <c r="J437" s="3" t="s">
        <v>521</v>
      </c>
      <c r="K437" s="3" t="s">
        <v>1715</v>
      </c>
      <c r="L437" s="3" t="s">
        <v>521</v>
      </c>
      <c r="M437" s="3" t="s">
        <v>2049</v>
      </c>
      <c r="N437" s="3" t="s">
        <v>1696</v>
      </c>
      <c r="O437" s="5">
        <v>45326</v>
      </c>
      <c r="P437" s="6">
        <v>200</v>
      </c>
      <c r="Q437" s="7">
        <v>0</v>
      </c>
    </row>
    <row r="438" s="1" customFormat="1" ht="13.5" spans="1:17">
      <c r="A438" s="3" t="s">
        <v>2067</v>
      </c>
      <c r="B438" s="3" t="s">
        <v>1718</v>
      </c>
      <c r="C438" s="3" t="s">
        <v>1768</v>
      </c>
      <c r="D438" s="3" t="s">
        <v>1679</v>
      </c>
      <c r="E438" s="3" t="s">
        <v>1680</v>
      </c>
      <c r="F438" s="3" t="s">
        <v>1720</v>
      </c>
      <c r="G438" s="3" t="s">
        <v>2065</v>
      </c>
      <c r="H438" s="3" t="s">
        <v>1770</v>
      </c>
      <c r="I438" s="3" t="s">
        <v>1775</v>
      </c>
      <c r="J438" s="3" t="s">
        <v>508</v>
      </c>
      <c r="K438" s="3" t="s">
        <v>1719</v>
      </c>
      <c r="L438" s="3" t="s">
        <v>508</v>
      </c>
      <c r="M438" s="3" t="s">
        <v>2049</v>
      </c>
      <c r="N438" s="3" t="s">
        <v>1713</v>
      </c>
      <c r="O438" s="5">
        <v>45286</v>
      </c>
      <c r="P438" s="6">
        <v>-2708.04</v>
      </c>
      <c r="Q438" s="7">
        <v>0</v>
      </c>
    </row>
    <row r="439" s="1" customFormat="1" ht="13.5" spans="1:17">
      <c r="A439" s="3" t="s">
        <v>2068</v>
      </c>
      <c r="B439" s="3" t="s">
        <v>1721</v>
      </c>
      <c r="C439" s="3" t="s">
        <v>1768</v>
      </c>
      <c r="D439" s="3" t="s">
        <v>1679</v>
      </c>
      <c r="E439" s="3" t="s">
        <v>1680</v>
      </c>
      <c r="F439" s="3" t="s">
        <v>1723</v>
      </c>
      <c r="G439" s="3" t="s">
        <v>2062</v>
      </c>
      <c r="H439" s="3" t="s">
        <v>1770</v>
      </c>
      <c r="I439" s="3" t="s">
        <v>1775</v>
      </c>
      <c r="J439" s="3" t="s">
        <v>508</v>
      </c>
      <c r="K439" s="3" t="s">
        <v>1722</v>
      </c>
      <c r="L439" s="3" t="s">
        <v>508</v>
      </c>
      <c r="M439" s="3" t="s">
        <v>2049</v>
      </c>
      <c r="N439" s="3" t="s">
        <v>1696</v>
      </c>
      <c r="O439" s="5">
        <v>45286</v>
      </c>
      <c r="P439" s="6">
        <v>15</v>
      </c>
      <c r="Q439" s="7">
        <v>0</v>
      </c>
    </row>
    <row r="440" s="1" customFormat="1" ht="13.5" spans="1:17">
      <c r="A440" s="3" t="s">
        <v>2069</v>
      </c>
      <c r="B440" s="3" t="s">
        <v>1724</v>
      </c>
      <c r="C440" s="3" t="s">
        <v>1768</v>
      </c>
      <c r="D440" s="3" t="s">
        <v>1679</v>
      </c>
      <c r="E440" s="3" t="s">
        <v>1680</v>
      </c>
      <c r="F440" s="3" t="s">
        <v>1726</v>
      </c>
      <c r="G440" s="3" t="s">
        <v>2065</v>
      </c>
      <c r="H440" s="3" t="s">
        <v>1770</v>
      </c>
      <c r="I440" s="3" t="s">
        <v>1775</v>
      </c>
      <c r="J440" s="3" t="s">
        <v>508</v>
      </c>
      <c r="K440" s="3" t="s">
        <v>1725</v>
      </c>
      <c r="L440" s="3" t="s">
        <v>508</v>
      </c>
      <c r="M440" s="3" t="s">
        <v>2049</v>
      </c>
      <c r="N440" s="3" t="s">
        <v>1713</v>
      </c>
      <c r="O440" s="5">
        <v>45286</v>
      </c>
      <c r="P440" s="6">
        <v>-24.79</v>
      </c>
      <c r="Q440" s="7">
        <v>0</v>
      </c>
    </row>
    <row r="441" s="1" customFormat="1" ht="13.5" spans="1:17">
      <c r="A441" s="3" t="s">
        <v>2070</v>
      </c>
      <c r="B441" s="3" t="s">
        <v>1727</v>
      </c>
      <c r="C441" s="3" t="s">
        <v>1768</v>
      </c>
      <c r="D441" s="3" t="s">
        <v>1679</v>
      </c>
      <c r="E441" s="3" t="s">
        <v>1680</v>
      </c>
      <c r="F441" s="3" t="s">
        <v>1729</v>
      </c>
      <c r="G441" s="3" t="s">
        <v>2065</v>
      </c>
      <c r="H441" s="3" t="s">
        <v>1770</v>
      </c>
      <c r="I441" s="3" t="s">
        <v>1775</v>
      </c>
      <c r="J441" s="3" t="s">
        <v>508</v>
      </c>
      <c r="K441" s="3" t="s">
        <v>1728</v>
      </c>
      <c r="L441" s="3" t="s">
        <v>508</v>
      </c>
      <c r="M441" s="3" t="s">
        <v>2049</v>
      </c>
      <c r="N441" s="3" t="s">
        <v>1713</v>
      </c>
      <c r="O441" s="5">
        <v>45286</v>
      </c>
      <c r="P441" s="6">
        <v>-4013.82</v>
      </c>
      <c r="Q441" s="7">
        <v>0</v>
      </c>
    </row>
    <row r="442" s="1" customFormat="1" ht="13.5" spans="1:17">
      <c r="A442" s="3" t="s">
        <v>2071</v>
      </c>
      <c r="B442" s="3" t="s">
        <v>1730</v>
      </c>
      <c r="C442" s="3" t="s">
        <v>1768</v>
      </c>
      <c r="D442" s="3" t="s">
        <v>1679</v>
      </c>
      <c r="E442" s="3" t="s">
        <v>1680</v>
      </c>
      <c r="F442" s="3" t="s">
        <v>1732</v>
      </c>
      <c r="G442" s="3" t="s">
        <v>2062</v>
      </c>
      <c r="H442" s="3" t="s">
        <v>1770</v>
      </c>
      <c r="I442" s="3" t="s">
        <v>1775</v>
      </c>
      <c r="J442" s="3" t="s">
        <v>508</v>
      </c>
      <c r="K442" s="3" t="s">
        <v>1731</v>
      </c>
      <c r="L442" s="3" t="s">
        <v>508</v>
      </c>
      <c r="M442" s="3" t="s">
        <v>2049</v>
      </c>
      <c r="N442" s="3" t="s">
        <v>1696</v>
      </c>
      <c r="O442" s="5">
        <v>45226</v>
      </c>
      <c r="P442" s="6">
        <v>718</v>
      </c>
      <c r="Q442" s="7">
        <v>0</v>
      </c>
    </row>
    <row r="443" s="1" customFormat="1" ht="13.5" spans="1:17">
      <c r="A443" s="3" t="s">
        <v>2072</v>
      </c>
      <c r="B443" s="3" t="s">
        <v>1735</v>
      </c>
      <c r="C443" s="3" t="s">
        <v>1768</v>
      </c>
      <c r="D443" s="3" t="s">
        <v>1679</v>
      </c>
      <c r="E443" s="3" t="s">
        <v>1680</v>
      </c>
      <c r="F443" s="3" t="s">
        <v>1737</v>
      </c>
      <c r="G443" s="3" t="s">
        <v>2062</v>
      </c>
      <c r="H443" s="3" t="s">
        <v>1770</v>
      </c>
      <c r="I443" s="3" t="s">
        <v>1775</v>
      </c>
      <c r="J443" s="3" t="s">
        <v>508</v>
      </c>
      <c r="K443" s="3" t="s">
        <v>1736</v>
      </c>
      <c r="L443" s="3" t="s">
        <v>508</v>
      </c>
      <c r="M443" s="3" t="s">
        <v>2049</v>
      </c>
      <c r="N443" s="3" t="s">
        <v>1696</v>
      </c>
      <c r="O443" s="5">
        <v>45251</v>
      </c>
      <c r="P443" s="6">
        <v>20</v>
      </c>
      <c r="Q443" s="7">
        <v>0</v>
      </c>
    </row>
    <row r="444" s="1" customFormat="1" ht="13.5" spans="1:17">
      <c r="A444" s="3" t="s">
        <v>2073</v>
      </c>
      <c r="B444" s="3" t="s">
        <v>1738</v>
      </c>
      <c r="C444" s="3" t="s">
        <v>1768</v>
      </c>
      <c r="D444" s="3" t="s">
        <v>1679</v>
      </c>
      <c r="E444" s="3" t="s">
        <v>1680</v>
      </c>
      <c r="F444" s="3" t="s">
        <v>1740</v>
      </c>
      <c r="G444" s="3" t="s">
        <v>2062</v>
      </c>
      <c r="H444" s="3" t="s">
        <v>1770</v>
      </c>
      <c r="I444" s="3" t="s">
        <v>1775</v>
      </c>
      <c r="J444" s="3" t="s">
        <v>508</v>
      </c>
      <c r="K444" s="3" t="s">
        <v>1739</v>
      </c>
      <c r="L444" s="3" t="s">
        <v>508</v>
      </c>
      <c r="M444" s="3" t="s">
        <v>2049</v>
      </c>
      <c r="N444" s="3" t="s">
        <v>1696</v>
      </c>
      <c r="O444" s="5">
        <v>45264</v>
      </c>
      <c r="P444" s="6">
        <v>150</v>
      </c>
      <c r="Q444" s="7">
        <v>0</v>
      </c>
    </row>
    <row r="445" s="1" customFormat="1" ht="13.5" spans="1:17">
      <c r="A445" s="3" t="s">
        <v>2074</v>
      </c>
      <c r="B445" s="3" t="s">
        <v>1741</v>
      </c>
      <c r="C445" s="3" t="s">
        <v>1768</v>
      </c>
      <c r="D445" s="3" t="s">
        <v>1679</v>
      </c>
      <c r="E445" s="3" t="s">
        <v>1680</v>
      </c>
      <c r="F445" s="3" t="s">
        <v>1743</v>
      </c>
      <c r="G445" s="3" t="s">
        <v>2062</v>
      </c>
      <c r="H445" s="3" t="s">
        <v>1770</v>
      </c>
      <c r="I445" s="3" t="s">
        <v>1775</v>
      </c>
      <c r="J445" s="3" t="s">
        <v>508</v>
      </c>
      <c r="K445" s="3" t="s">
        <v>1742</v>
      </c>
      <c r="L445" s="3" t="s">
        <v>508</v>
      </c>
      <c r="M445" s="3" t="s">
        <v>2049</v>
      </c>
      <c r="N445" s="3" t="s">
        <v>1696</v>
      </c>
      <c r="O445" s="5">
        <v>45286</v>
      </c>
      <c r="P445" s="6">
        <v>50</v>
      </c>
      <c r="Q445" s="7">
        <v>0</v>
      </c>
    </row>
    <row r="446" s="1" customFormat="1" ht="13.5" spans="1:17">
      <c r="A446" s="3" t="s">
        <v>2075</v>
      </c>
      <c r="B446" s="3" t="s">
        <v>1744</v>
      </c>
      <c r="C446" s="3" t="s">
        <v>1768</v>
      </c>
      <c r="D446" s="3" t="s">
        <v>1679</v>
      </c>
      <c r="E446" s="3" t="s">
        <v>1680</v>
      </c>
      <c r="F446" s="3" t="s">
        <v>1746</v>
      </c>
      <c r="G446" s="3" t="s">
        <v>2065</v>
      </c>
      <c r="H446" s="3" t="s">
        <v>1770</v>
      </c>
      <c r="I446" s="3" t="s">
        <v>1775</v>
      </c>
      <c r="J446" s="3" t="s">
        <v>521</v>
      </c>
      <c r="K446" s="3" t="s">
        <v>1745</v>
      </c>
      <c r="L446" s="3" t="s">
        <v>521</v>
      </c>
      <c r="M446" s="3" t="s">
        <v>2049</v>
      </c>
      <c r="N446" s="3" t="s">
        <v>1713</v>
      </c>
      <c r="O446" s="5">
        <v>45373</v>
      </c>
      <c r="P446" s="6">
        <v>-90.64</v>
      </c>
      <c r="Q446" s="7">
        <v>0</v>
      </c>
    </row>
    <row r="447" s="1" customFormat="1" ht="13.5" spans="1:17">
      <c r="A447" s="3" t="s">
        <v>2076</v>
      </c>
      <c r="B447" s="3" t="s">
        <v>1747</v>
      </c>
      <c r="C447" s="3" t="s">
        <v>1768</v>
      </c>
      <c r="D447" s="3" t="s">
        <v>1679</v>
      </c>
      <c r="E447" s="3" t="s">
        <v>1680</v>
      </c>
      <c r="F447" s="3" t="s">
        <v>1749</v>
      </c>
      <c r="G447" s="3" t="s">
        <v>2065</v>
      </c>
      <c r="H447" s="3" t="s">
        <v>1770</v>
      </c>
      <c r="I447" s="3" t="s">
        <v>1775</v>
      </c>
      <c r="J447" s="3" t="s">
        <v>521</v>
      </c>
      <c r="K447" s="3" t="s">
        <v>1748</v>
      </c>
      <c r="L447" s="3" t="s">
        <v>521</v>
      </c>
      <c r="M447" s="3" t="s">
        <v>2049</v>
      </c>
      <c r="N447" s="3" t="s">
        <v>1713</v>
      </c>
      <c r="O447" s="5">
        <v>45373</v>
      </c>
      <c r="P447" s="6">
        <v>-596.07</v>
      </c>
      <c r="Q447" s="7">
        <v>0</v>
      </c>
    </row>
    <row r="448" s="1" customFormat="1" ht="13.5" spans="1:17">
      <c r="A448" s="3" t="s">
        <v>1931</v>
      </c>
      <c r="B448" s="3" t="s">
        <v>1750</v>
      </c>
      <c r="C448" s="3" t="s">
        <v>1768</v>
      </c>
      <c r="D448" s="3" t="s">
        <v>1679</v>
      </c>
      <c r="E448" s="3" t="s">
        <v>1680</v>
      </c>
      <c r="F448" s="3" t="s">
        <v>1752</v>
      </c>
      <c r="G448" s="3" t="s">
        <v>2065</v>
      </c>
      <c r="H448" s="3" t="s">
        <v>1770</v>
      </c>
      <c r="I448" s="3" t="s">
        <v>1775</v>
      </c>
      <c r="J448" s="3" t="s">
        <v>521</v>
      </c>
      <c r="K448" s="3" t="s">
        <v>1751</v>
      </c>
      <c r="L448" s="3" t="s">
        <v>521</v>
      </c>
      <c r="M448" s="3" t="s">
        <v>2049</v>
      </c>
      <c r="N448" s="3" t="s">
        <v>1713</v>
      </c>
      <c r="O448" s="5">
        <v>45376</v>
      </c>
      <c r="P448" s="6">
        <v>-68.82</v>
      </c>
      <c r="Q448" s="7">
        <v>0</v>
      </c>
    </row>
    <row r="449" s="1" customFormat="1" ht="13.5" spans="1:17">
      <c r="A449" s="3" t="s">
        <v>2077</v>
      </c>
      <c r="B449" s="3" t="s">
        <v>1753</v>
      </c>
      <c r="C449" s="3" t="s">
        <v>1768</v>
      </c>
      <c r="D449" s="3" t="s">
        <v>1679</v>
      </c>
      <c r="E449" s="3" t="s">
        <v>1680</v>
      </c>
      <c r="F449" s="3" t="s">
        <v>1755</v>
      </c>
      <c r="G449" s="3" t="s">
        <v>2062</v>
      </c>
      <c r="H449" s="3" t="s">
        <v>1770</v>
      </c>
      <c r="I449" s="3" t="s">
        <v>1775</v>
      </c>
      <c r="J449" s="3" t="s">
        <v>521</v>
      </c>
      <c r="K449" s="3" t="s">
        <v>1754</v>
      </c>
      <c r="L449" s="3" t="s">
        <v>521</v>
      </c>
      <c r="M449" s="3" t="s">
        <v>2049</v>
      </c>
      <c r="N449" s="3" t="s">
        <v>1696</v>
      </c>
      <c r="O449" s="5">
        <v>45307</v>
      </c>
      <c r="P449" s="6">
        <v>632.96</v>
      </c>
      <c r="Q449" s="7">
        <v>0</v>
      </c>
    </row>
    <row r="450" s="1" customFormat="1" ht="13.5" spans="1:17">
      <c r="A450" s="3" t="s">
        <v>2078</v>
      </c>
      <c r="B450" s="3" t="s">
        <v>1756</v>
      </c>
      <c r="C450" s="3" t="s">
        <v>1768</v>
      </c>
      <c r="D450" s="3" t="s">
        <v>1679</v>
      </c>
      <c r="E450" s="3" t="s">
        <v>1680</v>
      </c>
      <c r="F450" s="3" t="s">
        <v>1692</v>
      </c>
      <c r="G450" s="3" t="s">
        <v>2062</v>
      </c>
      <c r="H450" s="3" t="s">
        <v>1770</v>
      </c>
      <c r="I450" s="3" t="s">
        <v>1775</v>
      </c>
      <c r="J450" s="3" t="s">
        <v>521</v>
      </c>
      <c r="K450" s="3" t="s">
        <v>1757</v>
      </c>
      <c r="L450" s="3" t="s">
        <v>521</v>
      </c>
      <c r="M450" s="3" t="s">
        <v>2049</v>
      </c>
      <c r="N450" s="3" t="s">
        <v>1696</v>
      </c>
      <c r="O450" s="5">
        <v>45317</v>
      </c>
      <c r="P450" s="6">
        <v>200</v>
      </c>
      <c r="Q450" s="7">
        <v>0</v>
      </c>
    </row>
    <row r="451" s="1" customFormat="1" ht="13.5" spans="1:17">
      <c r="A451" s="3" t="s">
        <v>2045</v>
      </c>
      <c r="B451" s="3" t="s">
        <v>622</v>
      </c>
      <c r="C451" s="3" t="s">
        <v>1768</v>
      </c>
      <c r="D451" s="3" t="s">
        <v>624</v>
      </c>
      <c r="E451" s="3" t="s">
        <v>625</v>
      </c>
      <c r="F451" s="3" t="s">
        <v>129</v>
      </c>
      <c r="G451" s="3" t="s">
        <v>2079</v>
      </c>
      <c r="H451" s="3" t="s">
        <v>1770</v>
      </c>
      <c r="I451" s="3" t="s">
        <v>1775</v>
      </c>
      <c r="J451" s="3" t="s">
        <v>508</v>
      </c>
      <c r="K451" s="3" t="s">
        <v>623</v>
      </c>
      <c r="L451" s="3" t="s">
        <v>508</v>
      </c>
      <c r="M451" s="3" t="s">
        <v>2080</v>
      </c>
      <c r="N451" s="3" t="s">
        <v>627</v>
      </c>
      <c r="O451" s="5">
        <v>45224</v>
      </c>
      <c r="P451" s="6">
        <v>300000</v>
      </c>
      <c r="Q451" s="7">
        <v>0</v>
      </c>
    </row>
    <row r="452" s="1" customFormat="1" ht="13.5" spans="1:17">
      <c r="A452" s="3" t="s">
        <v>2045</v>
      </c>
      <c r="B452" s="3" t="s">
        <v>622</v>
      </c>
      <c r="C452" s="3" t="s">
        <v>1768</v>
      </c>
      <c r="D452" s="3" t="s">
        <v>624</v>
      </c>
      <c r="E452" s="3" t="s">
        <v>625</v>
      </c>
      <c r="F452" s="3" t="s">
        <v>129</v>
      </c>
      <c r="G452" s="3" t="s">
        <v>2079</v>
      </c>
      <c r="H452" s="3" t="s">
        <v>1770</v>
      </c>
      <c r="I452" s="3" t="s">
        <v>1775</v>
      </c>
      <c r="J452" s="3" t="s">
        <v>508</v>
      </c>
      <c r="K452" s="3" t="s">
        <v>623</v>
      </c>
      <c r="L452" s="3" t="s">
        <v>508</v>
      </c>
      <c r="M452" s="3" t="s">
        <v>2080</v>
      </c>
      <c r="N452" s="3" t="s">
        <v>627</v>
      </c>
      <c r="O452" s="5">
        <v>45224</v>
      </c>
      <c r="P452" s="6">
        <v>9700000</v>
      </c>
      <c r="Q452" s="7">
        <v>0</v>
      </c>
    </row>
    <row r="453" s="1" customFormat="1" ht="13.5" spans="1:17">
      <c r="A453" s="3" t="s">
        <v>2081</v>
      </c>
      <c r="B453" s="3" t="s">
        <v>628</v>
      </c>
      <c r="C453" s="3" t="s">
        <v>1768</v>
      </c>
      <c r="D453" s="3" t="s">
        <v>624</v>
      </c>
      <c r="E453" s="3" t="s">
        <v>625</v>
      </c>
      <c r="F453" s="3" t="s">
        <v>630</v>
      </c>
      <c r="G453" s="3" t="s">
        <v>2079</v>
      </c>
      <c r="H453" s="3" t="s">
        <v>1770</v>
      </c>
      <c r="I453" s="3" t="s">
        <v>1775</v>
      </c>
      <c r="J453" s="3" t="s">
        <v>508</v>
      </c>
      <c r="K453" s="3" t="s">
        <v>629</v>
      </c>
      <c r="L453" s="3" t="s">
        <v>508</v>
      </c>
      <c r="M453" s="3" t="s">
        <v>2080</v>
      </c>
      <c r="N453" s="3" t="s">
        <v>627</v>
      </c>
      <c r="O453" s="5">
        <v>45281</v>
      </c>
      <c r="P453" s="6">
        <v>8350000</v>
      </c>
      <c r="Q453" s="7">
        <v>0</v>
      </c>
    </row>
    <row r="456" spans="16:16">
      <c r="P456" s="8">
        <f>SUM(P2:P455)</f>
        <v>327217535.78</v>
      </c>
    </row>
  </sheetData>
  <autoFilter ref="A1:Q453">
    <sortState ref="A1:Q453">
      <sortCondition ref="M1" descending="1"/>
    </sortState>
    <extLst/>
  </autoFilter>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57"/>
  <sheetViews>
    <sheetView topLeftCell="G432" workbookViewId="0">
      <selection activeCell="M461" sqref="M461"/>
    </sheetView>
  </sheetViews>
  <sheetFormatPr defaultColWidth="9" defaultRowHeight="13.5"/>
  <cols>
    <col min="1" max="1" width="10.875" style="1" customWidth="1"/>
    <col min="2" max="2" width="21.25" style="1" customWidth="1"/>
    <col min="3" max="4" width="18.25" style="1" customWidth="1"/>
    <col min="5" max="5" width="69.5" style="1" customWidth="1"/>
    <col min="6" max="6" width="52.5" style="1" customWidth="1"/>
    <col min="7" max="7" width="11.5" style="1" customWidth="1"/>
    <col min="8" max="10" width="8.875" style="1" customWidth="1"/>
    <col min="11" max="11" width="8.375" style="1" customWidth="1"/>
    <col min="12" max="12" width="8.875" style="1" customWidth="1"/>
    <col min="13" max="13" width="10.875" style="1" customWidth="1"/>
    <col min="14" max="14" width="11.5" style="1" customWidth="1"/>
    <col min="15" max="15" width="8.875" style="1" customWidth="1"/>
    <col min="16" max="16" width="40.125" style="1" customWidth="1"/>
    <col min="17" max="17" width="34.25" style="1" customWidth="1"/>
    <col min="18" max="18" width="11.5" style="1" customWidth="1"/>
    <col min="19" max="19" width="18.25" style="1" customWidth="1"/>
    <col min="20" max="20" width="8.875" style="1" customWidth="1"/>
    <col min="21" max="16384" width="9" style="1"/>
  </cols>
  <sheetData>
    <row r="1" s="1" customFormat="1" spans="1:20">
      <c r="A1" s="2" t="s">
        <v>1758</v>
      </c>
      <c r="B1" s="2" t="s">
        <v>499</v>
      </c>
      <c r="C1" s="2" t="s">
        <v>1759</v>
      </c>
      <c r="D1" s="2" t="s">
        <v>500</v>
      </c>
      <c r="E1" s="2" t="s">
        <v>501</v>
      </c>
      <c r="F1" s="2" t="s">
        <v>502</v>
      </c>
      <c r="G1" s="2" t="s">
        <v>1760</v>
      </c>
      <c r="H1" s="2" t="s">
        <v>1761</v>
      </c>
      <c r="I1" s="2" t="s">
        <v>1762</v>
      </c>
      <c r="J1" s="2" t="s">
        <v>2082</v>
      </c>
      <c r="K1" s="2" t="s">
        <v>2083</v>
      </c>
      <c r="L1" s="2" t="s">
        <v>2084</v>
      </c>
      <c r="M1" s="2" t="s">
        <v>1763</v>
      </c>
      <c r="N1" s="2" t="s">
        <v>7</v>
      </c>
      <c r="O1" s="2" t="s">
        <v>1764</v>
      </c>
      <c r="P1" s="2" t="s">
        <v>1765</v>
      </c>
      <c r="Q1" s="2" t="s">
        <v>504</v>
      </c>
      <c r="R1" s="4" t="s">
        <v>506</v>
      </c>
      <c r="S1" s="4" t="s">
        <v>507</v>
      </c>
      <c r="T1" s="4" t="s">
        <v>1766</v>
      </c>
    </row>
    <row r="2" s="1" customFormat="1" spans="1:20">
      <c r="A2" s="3" t="s">
        <v>2045</v>
      </c>
      <c r="B2" s="3" t="s">
        <v>622</v>
      </c>
      <c r="C2" s="3" t="s">
        <v>1768</v>
      </c>
      <c r="D2" s="3" t="s">
        <v>624</v>
      </c>
      <c r="E2" s="3" t="s">
        <v>625</v>
      </c>
      <c r="F2" s="3" t="s">
        <v>129</v>
      </c>
      <c r="G2" s="3" t="s">
        <v>2079</v>
      </c>
      <c r="H2" s="3" t="s">
        <v>1770</v>
      </c>
      <c r="I2" s="3" t="s">
        <v>1775</v>
      </c>
      <c r="J2" s="3" t="s">
        <v>2085</v>
      </c>
      <c r="K2" s="3"/>
      <c r="L2" s="3"/>
      <c r="M2" s="3" t="s">
        <v>508</v>
      </c>
      <c r="N2" s="3" t="s">
        <v>623</v>
      </c>
      <c r="O2" s="3" t="s">
        <v>508</v>
      </c>
      <c r="P2" s="3" t="s">
        <v>2080</v>
      </c>
      <c r="Q2" s="3" t="s">
        <v>627</v>
      </c>
      <c r="R2" s="5">
        <v>45224</v>
      </c>
      <c r="S2" s="6">
        <v>300000</v>
      </c>
      <c r="T2" s="7">
        <v>0</v>
      </c>
    </row>
    <row r="3" s="1" customFormat="1" spans="1:20">
      <c r="A3" s="3" t="s">
        <v>2045</v>
      </c>
      <c r="B3" s="3" t="s">
        <v>622</v>
      </c>
      <c r="C3" s="3" t="s">
        <v>1768</v>
      </c>
      <c r="D3" s="3" t="s">
        <v>624</v>
      </c>
      <c r="E3" s="3" t="s">
        <v>625</v>
      </c>
      <c r="F3" s="3" t="s">
        <v>129</v>
      </c>
      <c r="G3" s="3" t="s">
        <v>2079</v>
      </c>
      <c r="H3" s="3" t="s">
        <v>1770</v>
      </c>
      <c r="I3" s="3" t="s">
        <v>1775</v>
      </c>
      <c r="J3" s="3" t="s">
        <v>2085</v>
      </c>
      <c r="K3" s="3"/>
      <c r="L3" s="3"/>
      <c r="M3" s="3" t="s">
        <v>508</v>
      </c>
      <c r="N3" s="3" t="s">
        <v>623</v>
      </c>
      <c r="O3" s="3" t="s">
        <v>508</v>
      </c>
      <c r="P3" s="3" t="s">
        <v>2080</v>
      </c>
      <c r="Q3" s="3" t="s">
        <v>627</v>
      </c>
      <c r="R3" s="5">
        <v>45224</v>
      </c>
      <c r="S3" s="6">
        <v>9700000</v>
      </c>
      <c r="T3" s="7">
        <v>0</v>
      </c>
    </row>
    <row r="4" s="1" customFormat="1" spans="1:20">
      <c r="A4" s="3" t="s">
        <v>2081</v>
      </c>
      <c r="B4" s="3" t="s">
        <v>628</v>
      </c>
      <c r="C4" s="3" t="s">
        <v>1768</v>
      </c>
      <c r="D4" s="3" t="s">
        <v>624</v>
      </c>
      <c r="E4" s="3" t="s">
        <v>625</v>
      </c>
      <c r="F4" s="3" t="s">
        <v>630</v>
      </c>
      <c r="G4" s="3" t="s">
        <v>2079</v>
      </c>
      <c r="H4" s="3" t="s">
        <v>1770</v>
      </c>
      <c r="I4" s="3" t="s">
        <v>1775</v>
      </c>
      <c r="J4" s="3" t="s">
        <v>2085</v>
      </c>
      <c r="K4" s="3"/>
      <c r="L4" s="3"/>
      <c r="M4" s="3" t="s">
        <v>508</v>
      </c>
      <c r="N4" s="3" t="s">
        <v>629</v>
      </c>
      <c r="O4" s="3" t="s">
        <v>508</v>
      </c>
      <c r="P4" s="3" t="s">
        <v>2080</v>
      </c>
      <c r="Q4" s="3" t="s">
        <v>627</v>
      </c>
      <c r="R4" s="5">
        <v>45281</v>
      </c>
      <c r="S4" s="6">
        <v>8350000</v>
      </c>
      <c r="T4" s="7">
        <v>0</v>
      </c>
    </row>
    <row r="5" s="1" customFormat="1" spans="1:20">
      <c r="A5" s="3" t="s">
        <v>2047</v>
      </c>
      <c r="B5" s="3" t="s">
        <v>1481</v>
      </c>
      <c r="C5" s="3" t="s">
        <v>1768</v>
      </c>
      <c r="D5" s="3" t="s">
        <v>1483</v>
      </c>
      <c r="E5" s="3" t="s">
        <v>1484</v>
      </c>
      <c r="F5" s="3" t="s">
        <v>1485</v>
      </c>
      <c r="G5" s="3" t="s">
        <v>2048</v>
      </c>
      <c r="H5" s="3" t="s">
        <v>1770</v>
      </c>
      <c r="I5" s="3" t="s">
        <v>1775</v>
      </c>
      <c r="J5" s="3" t="s">
        <v>2085</v>
      </c>
      <c r="K5" s="3"/>
      <c r="L5" s="3"/>
      <c r="M5" s="3" t="s">
        <v>508</v>
      </c>
      <c r="N5" s="3" t="s">
        <v>1482</v>
      </c>
      <c r="O5" s="3" t="s">
        <v>508</v>
      </c>
      <c r="P5" s="3" t="s">
        <v>2049</v>
      </c>
      <c r="Q5" s="3" t="s">
        <v>1486</v>
      </c>
      <c r="R5" s="5">
        <v>45260</v>
      </c>
      <c r="S5" s="6">
        <v>81083.33</v>
      </c>
      <c r="T5" s="7">
        <v>0</v>
      </c>
    </row>
    <row r="6" s="1" customFormat="1" spans="1:20">
      <c r="A6" s="3" t="s">
        <v>2047</v>
      </c>
      <c r="B6" s="3" t="s">
        <v>1487</v>
      </c>
      <c r="C6" s="3" t="s">
        <v>1768</v>
      </c>
      <c r="D6" s="3" t="s">
        <v>1483</v>
      </c>
      <c r="E6" s="3" t="s">
        <v>1484</v>
      </c>
      <c r="F6" s="3" t="s">
        <v>1489</v>
      </c>
      <c r="G6" s="3" t="s">
        <v>2048</v>
      </c>
      <c r="H6" s="3" t="s">
        <v>1770</v>
      </c>
      <c r="I6" s="3" t="s">
        <v>1775</v>
      </c>
      <c r="J6" s="3" t="s">
        <v>2085</v>
      </c>
      <c r="K6" s="3"/>
      <c r="L6" s="3"/>
      <c r="M6" s="3" t="s">
        <v>508</v>
      </c>
      <c r="N6" s="3" t="s">
        <v>1488</v>
      </c>
      <c r="O6" s="3" t="s">
        <v>508</v>
      </c>
      <c r="P6" s="3" t="s">
        <v>2049</v>
      </c>
      <c r="Q6" s="3" t="s">
        <v>1486</v>
      </c>
      <c r="R6" s="5">
        <v>45261</v>
      </c>
      <c r="S6" s="6">
        <v>-81083.33</v>
      </c>
      <c r="T6" s="7">
        <v>0</v>
      </c>
    </row>
    <row r="7" s="1" customFormat="1" spans="1:20">
      <c r="A7" s="3" t="s">
        <v>2047</v>
      </c>
      <c r="B7" s="3" t="s">
        <v>1490</v>
      </c>
      <c r="C7" s="3" t="s">
        <v>1768</v>
      </c>
      <c r="D7" s="3" t="s">
        <v>1483</v>
      </c>
      <c r="E7" s="3" t="s">
        <v>1484</v>
      </c>
      <c r="F7" s="3" t="s">
        <v>1492</v>
      </c>
      <c r="G7" s="3" t="s">
        <v>2048</v>
      </c>
      <c r="H7" s="3" t="s">
        <v>1770</v>
      </c>
      <c r="I7" s="3" t="s">
        <v>1775</v>
      </c>
      <c r="J7" s="3" t="s">
        <v>2085</v>
      </c>
      <c r="K7" s="3"/>
      <c r="L7" s="3"/>
      <c r="M7" s="3" t="s">
        <v>508</v>
      </c>
      <c r="N7" s="3" t="s">
        <v>1491</v>
      </c>
      <c r="O7" s="3" t="s">
        <v>508</v>
      </c>
      <c r="P7" s="3" t="s">
        <v>2049</v>
      </c>
      <c r="Q7" s="3" t="s">
        <v>1486</v>
      </c>
      <c r="R7" s="5">
        <v>45281</v>
      </c>
      <c r="S7" s="6">
        <v>158305.56</v>
      </c>
      <c r="T7" s="7">
        <v>0</v>
      </c>
    </row>
    <row r="8" s="1" customFormat="1" spans="1:20">
      <c r="A8" s="3" t="s">
        <v>2047</v>
      </c>
      <c r="B8" s="3" t="s">
        <v>1490</v>
      </c>
      <c r="C8" s="3" t="s">
        <v>1768</v>
      </c>
      <c r="D8" s="3" t="s">
        <v>1483</v>
      </c>
      <c r="E8" s="3" t="s">
        <v>1484</v>
      </c>
      <c r="F8" s="3" t="s">
        <v>1492</v>
      </c>
      <c r="G8" s="3" t="s">
        <v>2048</v>
      </c>
      <c r="H8" s="3" t="s">
        <v>1770</v>
      </c>
      <c r="I8" s="3" t="s">
        <v>1775</v>
      </c>
      <c r="J8" s="3" t="s">
        <v>2085</v>
      </c>
      <c r="K8" s="3"/>
      <c r="L8" s="3"/>
      <c r="M8" s="3" t="s">
        <v>508</v>
      </c>
      <c r="N8" s="3" t="s">
        <v>1496</v>
      </c>
      <c r="O8" s="3" t="s">
        <v>508</v>
      </c>
      <c r="P8" s="3" t="s">
        <v>2049</v>
      </c>
      <c r="Q8" s="3" t="s">
        <v>1486</v>
      </c>
      <c r="R8" s="5">
        <v>45281</v>
      </c>
      <c r="S8" s="6">
        <v>7722.22</v>
      </c>
      <c r="T8" s="7">
        <v>0</v>
      </c>
    </row>
    <row r="9" s="1" customFormat="1" spans="1:20">
      <c r="A9" s="3" t="s">
        <v>2047</v>
      </c>
      <c r="B9" s="3" t="s">
        <v>1497</v>
      </c>
      <c r="C9" s="3" t="s">
        <v>1768</v>
      </c>
      <c r="D9" s="3" t="s">
        <v>1483</v>
      </c>
      <c r="E9" s="3" t="s">
        <v>1484</v>
      </c>
      <c r="F9" s="3" t="s">
        <v>1499</v>
      </c>
      <c r="G9" s="3" t="s">
        <v>2048</v>
      </c>
      <c r="H9" s="3" t="s">
        <v>1770</v>
      </c>
      <c r="I9" s="3" t="s">
        <v>1775</v>
      </c>
      <c r="J9" s="3" t="s">
        <v>2085</v>
      </c>
      <c r="K9" s="3"/>
      <c r="L9" s="3"/>
      <c r="M9" s="3" t="s">
        <v>508</v>
      </c>
      <c r="N9" s="3" t="s">
        <v>1498</v>
      </c>
      <c r="O9" s="3" t="s">
        <v>508</v>
      </c>
      <c r="P9" s="3" t="s">
        <v>2049</v>
      </c>
      <c r="Q9" s="3" t="s">
        <v>1486</v>
      </c>
      <c r="R9" s="5">
        <v>45287</v>
      </c>
      <c r="S9" s="6">
        <v>92333.33</v>
      </c>
      <c r="T9" s="7">
        <v>0</v>
      </c>
    </row>
    <row r="10" s="1" customFormat="1" spans="1:20">
      <c r="A10" s="3" t="s">
        <v>2047</v>
      </c>
      <c r="B10" s="3" t="s">
        <v>1500</v>
      </c>
      <c r="C10" s="3" t="s">
        <v>1768</v>
      </c>
      <c r="D10" s="3" t="s">
        <v>1483</v>
      </c>
      <c r="E10" s="3" t="s">
        <v>1484</v>
      </c>
      <c r="F10" s="3" t="s">
        <v>1502</v>
      </c>
      <c r="G10" s="3" t="s">
        <v>2048</v>
      </c>
      <c r="H10" s="3" t="s">
        <v>1770</v>
      </c>
      <c r="I10" s="3" t="s">
        <v>1775</v>
      </c>
      <c r="J10" s="3" t="s">
        <v>2085</v>
      </c>
      <c r="K10" s="3"/>
      <c r="L10" s="3"/>
      <c r="M10" s="3" t="s">
        <v>521</v>
      </c>
      <c r="N10" s="3" t="s">
        <v>1501</v>
      </c>
      <c r="O10" s="3" t="s">
        <v>521</v>
      </c>
      <c r="P10" s="3" t="s">
        <v>2049</v>
      </c>
      <c r="Q10" s="3" t="s">
        <v>1486</v>
      </c>
      <c r="R10" s="5">
        <v>45292</v>
      </c>
      <c r="S10" s="6">
        <v>-92333.33</v>
      </c>
      <c r="T10" s="7">
        <v>0</v>
      </c>
    </row>
    <row r="11" s="1" customFormat="1" spans="1:20">
      <c r="A11" s="3" t="s">
        <v>2047</v>
      </c>
      <c r="B11" s="3" t="s">
        <v>1497</v>
      </c>
      <c r="C11" s="3" t="s">
        <v>1768</v>
      </c>
      <c r="D11" s="3" t="s">
        <v>1483</v>
      </c>
      <c r="E11" s="3" t="s">
        <v>1484</v>
      </c>
      <c r="F11" s="3" t="s">
        <v>1499</v>
      </c>
      <c r="G11" s="3" t="s">
        <v>2048</v>
      </c>
      <c r="H11" s="3" t="s">
        <v>1770</v>
      </c>
      <c r="I11" s="3" t="s">
        <v>1775</v>
      </c>
      <c r="J11" s="3" t="s">
        <v>2085</v>
      </c>
      <c r="K11" s="3"/>
      <c r="L11" s="3"/>
      <c r="M11" s="3" t="s">
        <v>508</v>
      </c>
      <c r="N11" s="3" t="s">
        <v>1503</v>
      </c>
      <c r="O11" s="3" t="s">
        <v>508</v>
      </c>
      <c r="P11" s="3" t="s">
        <v>2049</v>
      </c>
      <c r="Q11" s="3" t="s">
        <v>1486</v>
      </c>
      <c r="R11" s="5">
        <v>45287</v>
      </c>
      <c r="S11" s="6">
        <v>42472.22</v>
      </c>
      <c r="T11" s="7">
        <v>0</v>
      </c>
    </row>
    <row r="12" s="1" customFormat="1" spans="1:20">
      <c r="A12" s="3" t="s">
        <v>2047</v>
      </c>
      <c r="B12" s="3" t="s">
        <v>1497</v>
      </c>
      <c r="C12" s="3" t="s">
        <v>1768</v>
      </c>
      <c r="D12" s="3" t="s">
        <v>1483</v>
      </c>
      <c r="E12" s="3" t="s">
        <v>1484</v>
      </c>
      <c r="F12" s="3" t="s">
        <v>1499</v>
      </c>
      <c r="G12" s="3" t="s">
        <v>2048</v>
      </c>
      <c r="H12" s="3" t="s">
        <v>1770</v>
      </c>
      <c r="I12" s="3" t="s">
        <v>1775</v>
      </c>
      <c r="J12" s="3" t="s">
        <v>2085</v>
      </c>
      <c r="K12" s="3"/>
      <c r="L12" s="3"/>
      <c r="M12" s="3" t="s">
        <v>508</v>
      </c>
      <c r="N12" s="3" t="s">
        <v>1504</v>
      </c>
      <c r="O12" s="3" t="s">
        <v>508</v>
      </c>
      <c r="P12" s="3" t="s">
        <v>2049</v>
      </c>
      <c r="Q12" s="3" t="s">
        <v>1486</v>
      </c>
      <c r="R12" s="5">
        <v>45287</v>
      </c>
      <c r="S12" s="6">
        <v>8494.44</v>
      </c>
      <c r="T12" s="7">
        <v>0</v>
      </c>
    </row>
    <row r="13" s="1" customFormat="1" spans="1:20">
      <c r="A13" s="3" t="s">
        <v>2047</v>
      </c>
      <c r="B13" s="3" t="s">
        <v>1500</v>
      </c>
      <c r="C13" s="3" t="s">
        <v>1768</v>
      </c>
      <c r="D13" s="3" t="s">
        <v>1483</v>
      </c>
      <c r="E13" s="3" t="s">
        <v>1484</v>
      </c>
      <c r="F13" s="3" t="s">
        <v>1502</v>
      </c>
      <c r="G13" s="3" t="s">
        <v>2048</v>
      </c>
      <c r="H13" s="3" t="s">
        <v>1770</v>
      </c>
      <c r="I13" s="3" t="s">
        <v>1775</v>
      </c>
      <c r="J13" s="3" t="s">
        <v>2085</v>
      </c>
      <c r="K13" s="3"/>
      <c r="L13" s="3"/>
      <c r="M13" s="3" t="s">
        <v>521</v>
      </c>
      <c r="N13" s="3" t="s">
        <v>1505</v>
      </c>
      <c r="O13" s="3" t="s">
        <v>521</v>
      </c>
      <c r="P13" s="3" t="s">
        <v>2049</v>
      </c>
      <c r="Q13" s="3" t="s">
        <v>1486</v>
      </c>
      <c r="R13" s="5">
        <v>45292</v>
      </c>
      <c r="S13" s="6">
        <v>-42472.22</v>
      </c>
      <c r="T13" s="7">
        <v>0</v>
      </c>
    </row>
    <row r="14" s="1" customFormat="1" spans="1:20">
      <c r="A14" s="3" t="s">
        <v>2047</v>
      </c>
      <c r="B14" s="3" t="s">
        <v>1500</v>
      </c>
      <c r="C14" s="3" t="s">
        <v>1768</v>
      </c>
      <c r="D14" s="3" t="s">
        <v>1483</v>
      </c>
      <c r="E14" s="3" t="s">
        <v>1484</v>
      </c>
      <c r="F14" s="3" t="s">
        <v>1502</v>
      </c>
      <c r="G14" s="3" t="s">
        <v>2048</v>
      </c>
      <c r="H14" s="3" t="s">
        <v>1770</v>
      </c>
      <c r="I14" s="3" t="s">
        <v>1775</v>
      </c>
      <c r="J14" s="3" t="s">
        <v>2085</v>
      </c>
      <c r="K14" s="3"/>
      <c r="L14" s="3"/>
      <c r="M14" s="3" t="s">
        <v>521</v>
      </c>
      <c r="N14" s="3" t="s">
        <v>1506</v>
      </c>
      <c r="O14" s="3" t="s">
        <v>521</v>
      </c>
      <c r="P14" s="3" t="s">
        <v>2049</v>
      </c>
      <c r="Q14" s="3" t="s">
        <v>1486</v>
      </c>
      <c r="R14" s="5">
        <v>45292</v>
      </c>
      <c r="S14" s="6">
        <v>-8494.44</v>
      </c>
      <c r="T14" s="7">
        <v>0</v>
      </c>
    </row>
    <row r="15" s="1" customFormat="1" spans="1:20">
      <c r="A15" s="3" t="s">
        <v>2047</v>
      </c>
      <c r="B15" s="3" t="s">
        <v>1509</v>
      </c>
      <c r="C15" s="3" t="s">
        <v>1768</v>
      </c>
      <c r="D15" s="3" t="s">
        <v>1483</v>
      </c>
      <c r="E15" s="3" t="s">
        <v>1484</v>
      </c>
      <c r="F15" s="3" t="s">
        <v>1511</v>
      </c>
      <c r="G15" s="3" t="s">
        <v>2048</v>
      </c>
      <c r="H15" s="3" t="s">
        <v>1770</v>
      </c>
      <c r="I15" s="3" t="s">
        <v>1775</v>
      </c>
      <c r="J15" s="3" t="s">
        <v>2085</v>
      </c>
      <c r="K15" s="3"/>
      <c r="L15" s="3"/>
      <c r="M15" s="3" t="s">
        <v>521</v>
      </c>
      <c r="N15" s="3" t="s">
        <v>1510</v>
      </c>
      <c r="O15" s="3" t="s">
        <v>521</v>
      </c>
      <c r="P15" s="3" t="s">
        <v>2049</v>
      </c>
      <c r="Q15" s="3" t="s">
        <v>1486</v>
      </c>
      <c r="R15" s="5">
        <v>45322</v>
      </c>
      <c r="S15" s="6">
        <v>32433.33</v>
      </c>
      <c r="T15" s="7">
        <v>0</v>
      </c>
    </row>
    <row r="16" s="1" customFormat="1" spans="1:20">
      <c r="A16" s="3" t="s">
        <v>2047</v>
      </c>
      <c r="B16" s="3" t="s">
        <v>1509</v>
      </c>
      <c r="C16" s="3" t="s">
        <v>1768</v>
      </c>
      <c r="D16" s="3" t="s">
        <v>1483</v>
      </c>
      <c r="E16" s="3" t="s">
        <v>1484</v>
      </c>
      <c r="F16" s="3" t="s">
        <v>1511</v>
      </c>
      <c r="G16" s="3" t="s">
        <v>2048</v>
      </c>
      <c r="H16" s="3" t="s">
        <v>1770</v>
      </c>
      <c r="I16" s="3" t="s">
        <v>1775</v>
      </c>
      <c r="J16" s="3" t="s">
        <v>2085</v>
      </c>
      <c r="K16" s="3"/>
      <c r="L16" s="3"/>
      <c r="M16" s="3" t="s">
        <v>521</v>
      </c>
      <c r="N16" s="3" t="s">
        <v>1512</v>
      </c>
      <c r="O16" s="3" t="s">
        <v>521</v>
      </c>
      <c r="P16" s="3" t="s">
        <v>2049</v>
      </c>
      <c r="Q16" s="3" t="s">
        <v>1486</v>
      </c>
      <c r="R16" s="5">
        <v>45322</v>
      </c>
      <c r="S16" s="6">
        <v>162166.67</v>
      </c>
      <c r="T16" s="7">
        <v>0</v>
      </c>
    </row>
    <row r="17" s="1" customFormat="1" spans="1:20">
      <c r="A17" s="3" t="s">
        <v>2047</v>
      </c>
      <c r="B17" s="3" t="s">
        <v>1513</v>
      </c>
      <c r="C17" s="3" t="s">
        <v>1768</v>
      </c>
      <c r="D17" s="3" t="s">
        <v>1483</v>
      </c>
      <c r="E17" s="3" t="s">
        <v>1484</v>
      </c>
      <c r="F17" s="3" t="s">
        <v>1515</v>
      </c>
      <c r="G17" s="3" t="s">
        <v>2048</v>
      </c>
      <c r="H17" s="3" t="s">
        <v>1770</v>
      </c>
      <c r="I17" s="3" t="s">
        <v>1775</v>
      </c>
      <c r="J17" s="3" t="s">
        <v>2085</v>
      </c>
      <c r="K17" s="3"/>
      <c r="L17" s="3"/>
      <c r="M17" s="3" t="s">
        <v>521</v>
      </c>
      <c r="N17" s="3" t="s">
        <v>1514</v>
      </c>
      <c r="O17" s="3" t="s">
        <v>521</v>
      </c>
      <c r="P17" s="3" t="s">
        <v>2049</v>
      </c>
      <c r="Q17" s="3" t="s">
        <v>1486</v>
      </c>
      <c r="R17" s="5">
        <v>45323</v>
      </c>
      <c r="S17" s="6">
        <v>-162166.67</v>
      </c>
      <c r="T17" s="7">
        <v>0</v>
      </c>
    </row>
    <row r="18" s="1" customFormat="1" spans="1:20">
      <c r="A18" s="3" t="s">
        <v>2047</v>
      </c>
      <c r="B18" s="3" t="s">
        <v>1509</v>
      </c>
      <c r="C18" s="3" t="s">
        <v>1768</v>
      </c>
      <c r="D18" s="3" t="s">
        <v>1483</v>
      </c>
      <c r="E18" s="3" t="s">
        <v>1484</v>
      </c>
      <c r="F18" s="3" t="s">
        <v>1511</v>
      </c>
      <c r="G18" s="3" t="s">
        <v>2048</v>
      </c>
      <c r="H18" s="3" t="s">
        <v>1770</v>
      </c>
      <c r="I18" s="3" t="s">
        <v>1775</v>
      </c>
      <c r="J18" s="3" t="s">
        <v>2085</v>
      </c>
      <c r="K18" s="3"/>
      <c r="L18" s="3"/>
      <c r="M18" s="3" t="s">
        <v>521</v>
      </c>
      <c r="N18" s="3" t="s">
        <v>1516</v>
      </c>
      <c r="O18" s="3" t="s">
        <v>521</v>
      </c>
      <c r="P18" s="3" t="s">
        <v>2049</v>
      </c>
      <c r="Q18" s="3" t="s">
        <v>1486</v>
      </c>
      <c r="R18" s="5">
        <v>45322</v>
      </c>
      <c r="S18" s="6">
        <v>46333.33</v>
      </c>
      <c r="T18" s="7">
        <v>0</v>
      </c>
    </row>
    <row r="19" s="1" customFormat="1" spans="1:20">
      <c r="A19" s="3" t="s">
        <v>2047</v>
      </c>
      <c r="B19" s="3" t="s">
        <v>1513</v>
      </c>
      <c r="C19" s="3" t="s">
        <v>1768</v>
      </c>
      <c r="D19" s="3" t="s">
        <v>1483</v>
      </c>
      <c r="E19" s="3" t="s">
        <v>1484</v>
      </c>
      <c r="F19" s="3" t="s">
        <v>1515</v>
      </c>
      <c r="G19" s="3" t="s">
        <v>2048</v>
      </c>
      <c r="H19" s="3" t="s">
        <v>1770</v>
      </c>
      <c r="I19" s="3" t="s">
        <v>1775</v>
      </c>
      <c r="J19" s="3" t="s">
        <v>2085</v>
      </c>
      <c r="K19" s="3"/>
      <c r="L19" s="3"/>
      <c r="M19" s="3" t="s">
        <v>521</v>
      </c>
      <c r="N19" s="3" t="s">
        <v>1517</v>
      </c>
      <c r="O19" s="3" t="s">
        <v>521</v>
      </c>
      <c r="P19" s="3" t="s">
        <v>2049</v>
      </c>
      <c r="Q19" s="3" t="s">
        <v>1486</v>
      </c>
      <c r="R19" s="5">
        <v>45323</v>
      </c>
      <c r="S19" s="6">
        <v>-46333.33</v>
      </c>
      <c r="T19" s="7">
        <v>0</v>
      </c>
    </row>
    <row r="20" s="1" customFormat="1" spans="1:20">
      <c r="A20" s="3" t="s">
        <v>2047</v>
      </c>
      <c r="B20" s="3" t="s">
        <v>1509</v>
      </c>
      <c r="C20" s="3" t="s">
        <v>1768</v>
      </c>
      <c r="D20" s="3" t="s">
        <v>1483</v>
      </c>
      <c r="E20" s="3" t="s">
        <v>1484</v>
      </c>
      <c r="F20" s="3" t="s">
        <v>1511</v>
      </c>
      <c r="G20" s="3" t="s">
        <v>2048</v>
      </c>
      <c r="H20" s="3" t="s">
        <v>1770</v>
      </c>
      <c r="I20" s="3" t="s">
        <v>1775</v>
      </c>
      <c r="J20" s="3" t="s">
        <v>2085</v>
      </c>
      <c r="K20" s="3"/>
      <c r="L20" s="3"/>
      <c r="M20" s="3" t="s">
        <v>521</v>
      </c>
      <c r="N20" s="3" t="s">
        <v>1518</v>
      </c>
      <c r="O20" s="3" t="s">
        <v>521</v>
      </c>
      <c r="P20" s="3" t="s">
        <v>2049</v>
      </c>
      <c r="Q20" s="3" t="s">
        <v>1486</v>
      </c>
      <c r="R20" s="5">
        <v>45322</v>
      </c>
      <c r="S20" s="6">
        <v>378566.67</v>
      </c>
      <c r="T20" s="7">
        <v>0</v>
      </c>
    </row>
    <row r="21" s="1" customFormat="1" spans="1:20">
      <c r="A21" s="3" t="s">
        <v>2047</v>
      </c>
      <c r="B21" s="3" t="s">
        <v>1513</v>
      </c>
      <c r="C21" s="3" t="s">
        <v>1768</v>
      </c>
      <c r="D21" s="3" t="s">
        <v>1483</v>
      </c>
      <c r="E21" s="3" t="s">
        <v>1484</v>
      </c>
      <c r="F21" s="3" t="s">
        <v>1515</v>
      </c>
      <c r="G21" s="3" t="s">
        <v>2048</v>
      </c>
      <c r="H21" s="3" t="s">
        <v>1770</v>
      </c>
      <c r="I21" s="3" t="s">
        <v>1775</v>
      </c>
      <c r="J21" s="3" t="s">
        <v>2085</v>
      </c>
      <c r="K21" s="3"/>
      <c r="L21" s="3"/>
      <c r="M21" s="3" t="s">
        <v>521</v>
      </c>
      <c r="N21" s="3" t="s">
        <v>1519</v>
      </c>
      <c r="O21" s="3" t="s">
        <v>521</v>
      </c>
      <c r="P21" s="3" t="s">
        <v>2049</v>
      </c>
      <c r="Q21" s="3" t="s">
        <v>1486</v>
      </c>
      <c r="R21" s="5">
        <v>45323</v>
      </c>
      <c r="S21" s="6">
        <v>-378566.67</v>
      </c>
      <c r="T21" s="7">
        <v>0</v>
      </c>
    </row>
    <row r="22" s="1" customFormat="1" spans="1:20">
      <c r="A22" s="3" t="s">
        <v>2047</v>
      </c>
      <c r="B22" s="3" t="s">
        <v>1513</v>
      </c>
      <c r="C22" s="3" t="s">
        <v>1768</v>
      </c>
      <c r="D22" s="3" t="s">
        <v>1483</v>
      </c>
      <c r="E22" s="3" t="s">
        <v>1484</v>
      </c>
      <c r="F22" s="3" t="s">
        <v>1515</v>
      </c>
      <c r="G22" s="3" t="s">
        <v>2048</v>
      </c>
      <c r="H22" s="3" t="s">
        <v>1770</v>
      </c>
      <c r="I22" s="3" t="s">
        <v>1775</v>
      </c>
      <c r="J22" s="3" t="s">
        <v>2085</v>
      </c>
      <c r="K22" s="3"/>
      <c r="L22" s="3"/>
      <c r="M22" s="3" t="s">
        <v>521</v>
      </c>
      <c r="N22" s="3" t="s">
        <v>1520</v>
      </c>
      <c r="O22" s="3" t="s">
        <v>521</v>
      </c>
      <c r="P22" s="3" t="s">
        <v>2049</v>
      </c>
      <c r="Q22" s="3" t="s">
        <v>1486</v>
      </c>
      <c r="R22" s="5">
        <v>45323</v>
      </c>
      <c r="S22" s="6">
        <v>-32433.33</v>
      </c>
      <c r="T22" s="7">
        <v>0</v>
      </c>
    </row>
    <row r="23" s="1" customFormat="1" spans="1:20">
      <c r="A23" s="3" t="s">
        <v>2047</v>
      </c>
      <c r="B23" s="3" t="s">
        <v>1521</v>
      </c>
      <c r="C23" s="3" t="s">
        <v>1768</v>
      </c>
      <c r="D23" s="3" t="s">
        <v>1483</v>
      </c>
      <c r="E23" s="3" t="s">
        <v>1484</v>
      </c>
      <c r="F23" s="3" t="s">
        <v>1523</v>
      </c>
      <c r="G23" s="3" t="s">
        <v>2048</v>
      </c>
      <c r="H23" s="3" t="s">
        <v>1770</v>
      </c>
      <c r="I23" s="3" t="s">
        <v>1775</v>
      </c>
      <c r="J23" s="3" t="s">
        <v>2085</v>
      </c>
      <c r="K23" s="3"/>
      <c r="L23" s="3"/>
      <c r="M23" s="3" t="s">
        <v>521</v>
      </c>
      <c r="N23" s="3" t="s">
        <v>1522</v>
      </c>
      <c r="O23" s="3" t="s">
        <v>521</v>
      </c>
      <c r="P23" s="3" t="s">
        <v>2049</v>
      </c>
      <c r="Q23" s="3" t="s">
        <v>1486</v>
      </c>
      <c r="R23" s="5">
        <v>45352</v>
      </c>
      <c r="S23" s="6">
        <v>-54827.78</v>
      </c>
      <c r="T23" s="7">
        <v>0</v>
      </c>
    </row>
    <row r="24" s="1" customFormat="1" spans="1:20">
      <c r="A24" s="3" t="s">
        <v>2047</v>
      </c>
      <c r="B24" s="3" t="s">
        <v>1524</v>
      </c>
      <c r="C24" s="3" t="s">
        <v>1768</v>
      </c>
      <c r="D24" s="3" t="s">
        <v>1483</v>
      </c>
      <c r="E24" s="3" t="s">
        <v>1484</v>
      </c>
      <c r="F24" s="3" t="s">
        <v>1526</v>
      </c>
      <c r="G24" s="3" t="s">
        <v>2048</v>
      </c>
      <c r="H24" s="3" t="s">
        <v>1770</v>
      </c>
      <c r="I24" s="3" t="s">
        <v>1775</v>
      </c>
      <c r="J24" s="3" t="s">
        <v>2085</v>
      </c>
      <c r="K24" s="3"/>
      <c r="L24" s="3"/>
      <c r="M24" s="3" t="s">
        <v>521</v>
      </c>
      <c r="N24" s="3" t="s">
        <v>1525</v>
      </c>
      <c r="O24" s="3" t="s">
        <v>521</v>
      </c>
      <c r="P24" s="3" t="s">
        <v>2049</v>
      </c>
      <c r="Q24" s="3" t="s">
        <v>1486</v>
      </c>
      <c r="R24" s="5">
        <v>45351</v>
      </c>
      <c r="S24" s="6">
        <v>54827.78</v>
      </c>
      <c r="T24" s="7">
        <v>0</v>
      </c>
    </row>
    <row r="25" s="1" customFormat="1" spans="1:20">
      <c r="A25" s="3" t="s">
        <v>2047</v>
      </c>
      <c r="B25" s="3" t="s">
        <v>1524</v>
      </c>
      <c r="C25" s="3" t="s">
        <v>1768</v>
      </c>
      <c r="D25" s="3" t="s">
        <v>1483</v>
      </c>
      <c r="E25" s="3" t="s">
        <v>1484</v>
      </c>
      <c r="F25" s="3" t="s">
        <v>1526</v>
      </c>
      <c r="G25" s="3" t="s">
        <v>2048</v>
      </c>
      <c r="H25" s="3" t="s">
        <v>1770</v>
      </c>
      <c r="I25" s="3" t="s">
        <v>1775</v>
      </c>
      <c r="J25" s="3" t="s">
        <v>2085</v>
      </c>
      <c r="K25" s="3"/>
      <c r="L25" s="3"/>
      <c r="M25" s="3" t="s">
        <v>521</v>
      </c>
      <c r="N25" s="3" t="s">
        <v>1527</v>
      </c>
      <c r="O25" s="3" t="s">
        <v>521</v>
      </c>
      <c r="P25" s="3" t="s">
        <v>2049</v>
      </c>
      <c r="Q25" s="3" t="s">
        <v>1486</v>
      </c>
      <c r="R25" s="5">
        <v>45351</v>
      </c>
      <c r="S25" s="6">
        <v>91122.22</v>
      </c>
      <c r="T25" s="7">
        <v>0</v>
      </c>
    </row>
    <row r="26" s="1" customFormat="1" spans="1:20">
      <c r="A26" s="3" t="s">
        <v>2047</v>
      </c>
      <c r="B26" s="3" t="s">
        <v>1521</v>
      </c>
      <c r="C26" s="3" t="s">
        <v>1768</v>
      </c>
      <c r="D26" s="3" t="s">
        <v>1483</v>
      </c>
      <c r="E26" s="3" t="s">
        <v>1484</v>
      </c>
      <c r="F26" s="3" t="s">
        <v>1523</v>
      </c>
      <c r="G26" s="3" t="s">
        <v>2048</v>
      </c>
      <c r="H26" s="3" t="s">
        <v>1770</v>
      </c>
      <c r="I26" s="3" t="s">
        <v>1775</v>
      </c>
      <c r="J26" s="3" t="s">
        <v>2085</v>
      </c>
      <c r="K26" s="3"/>
      <c r="L26" s="3"/>
      <c r="M26" s="3" t="s">
        <v>521</v>
      </c>
      <c r="N26" s="3" t="s">
        <v>1528</v>
      </c>
      <c r="O26" s="3" t="s">
        <v>521</v>
      </c>
      <c r="P26" s="3" t="s">
        <v>2049</v>
      </c>
      <c r="Q26" s="3" t="s">
        <v>1486</v>
      </c>
      <c r="R26" s="5">
        <v>45352</v>
      </c>
      <c r="S26" s="6">
        <v>-91122.22</v>
      </c>
      <c r="T26" s="7">
        <v>0</v>
      </c>
    </row>
    <row r="27" s="1" customFormat="1" spans="1:20">
      <c r="A27" s="3" t="s">
        <v>2047</v>
      </c>
      <c r="B27" s="3" t="s">
        <v>1524</v>
      </c>
      <c r="C27" s="3" t="s">
        <v>1768</v>
      </c>
      <c r="D27" s="3" t="s">
        <v>1483</v>
      </c>
      <c r="E27" s="3" t="s">
        <v>1484</v>
      </c>
      <c r="F27" s="3" t="s">
        <v>1526</v>
      </c>
      <c r="G27" s="3" t="s">
        <v>2048</v>
      </c>
      <c r="H27" s="3" t="s">
        <v>1770</v>
      </c>
      <c r="I27" s="3" t="s">
        <v>1775</v>
      </c>
      <c r="J27" s="3" t="s">
        <v>2085</v>
      </c>
      <c r="K27" s="3"/>
      <c r="L27" s="3"/>
      <c r="M27" s="3" t="s">
        <v>521</v>
      </c>
      <c r="N27" s="3" t="s">
        <v>1529</v>
      </c>
      <c r="O27" s="3" t="s">
        <v>521</v>
      </c>
      <c r="P27" s="3" t="s">
        <v>2049</v>
      </c>
      <c r="Q27" s="3" t="s">
        <v>1486</v>
      </c>
      <c r="R27" s="5">
        <v>45351</v>
      </c>
      <c r="S27" s="6">
        <v>274138.89</v>
      </c>
      <c r="T27" s="7">
        <v>0</v>
      </c>
    </row>
    <row r="28" s="1" customFormat="1" spans="1:20">
      <c r="A28" s="3" t="s">
        <v>2047</v>
      </c>
      <c r="B28" s="3" t="s">
        <v>1521</v>
      </c>
      <c r="C28" s="3" t="s">
        <v>1768</v>
      </c>
      <c r="D28" s="3" t="s">
        <v>1483</v>
      </c>
      <c r="E28" s="3" t="s">
        <v>1484</v>
      </c>
      <c r="F28" s="3" t="s">
        <v>1523</v>
      </c>
      <c r="G28" s="3" t="s">
        <v>2048</v>
      </c>
      <c r="H28" s="3" t="s">
        <v>1770</v>
      </c>
      <c r="I28" s="3" t="s">
        <v>1775</v>
      </c>
      <c r="J28" s="3" t="s">
        <v>2085</v>
      </c>
      <c r="K28" s="3"/>
      <c r="L28" s="3"/>
      <c r="M28" s="3" t="s">
        <v>521</v>
      </c>
      <c r="N28" s="3" t="s">
        <v>1530</v>
      </c>
      <c r="O28" s="3" t="s">
        <v>521</v>
      </c>
      <c r="P28" s="3" t="s">
        <v>2049</v>
      </c>
      <c r="Q28" s="3" t="s">
        <v>1486</v>
      </c>
      <c r="R28" s="5">
        <v>45352</v>
      </c>
      <c r="S28" s="6">
        <v>-274138.89</v>
      </c>
      <c r="T28" s="7">
        <v>0</v>
      </c>
    </row>
    <row r="29" s="1" customFormat="1" spans="1:20">
      <c r="A29" s="3" t="s">
        <v>2047</v>
      </c>
      <c r="B29" s="3" t="s">
        <v>1524</v>
      </c>
      <c r="C29" s="3" t="s">
        <v>1768</v>
      </c>
      <c r="D29" s="3" t="s">
        <v>1483</v>
      </c>
      <c r="E29" s="3" t="s">
        <v>1484</v>
      </c>
      <c r="F29" s="3" t="s">
        <v>1526</v>
      </c>
      <c r="G29" s="3" t="s">
        <v>2048</v>
      </c>
      <c r="H29" s="3" t="s">
        <v>1770</v>
      </c>
      <c r="I29" s="3" t="s">
        <v>1775</v>
      </c>
      <c r="J29" s="3" t="s">
        <v>2085</v>
      </c>
      <c r="K29" s="3"/>
      <c r="L29" s="3"/>
      <c r="M29" s="3" t="s">
        <v>521</v>
      </c>
      <c r="N29" s="3" t="s">
        <v>1531</v>
      </c>
      <c r="O29" s="3" t="s">
        <v>521</v>
      </c>
      <c r="P29" s="3" t="s">
        <v>2049</v>
      </c>
      <c r="Q29" s="3" t="s">
        <v>1486</v>
      </c>
      <c r="R29" s="5">
        <v>45351</v>
      </c>
      <c r="S29" s="6">
        <v>646333.33</v>
      </c>
      <c r="T29" s="7">
        <v>0</v>
      </c>
    </row>
    <row r="30" s="1" customFormat="1" spans="1:20">
      <c r="A30" s="3" t="s">
        <v>2047</v>
      </c>
      <c r="B30" s="3" t="s">
        <v>1521</v>
      </c>
      <c r="C30" s="3" t="s">
        <v>1768</v>
      </c>
      <c r="D30" s="3" t="s">
        <v>1483</v>
      </c>
      <c r="E30" s="3" t="s">
        <v>1484</v>
      </c>
      <c r="F30" s="3" t="s">
        <v>1523</v>
      </c>
      <c r="G30" s="3" t="s">
        <v>2048</v>
      </c>
      <c r="H30" s="3" t="s">
        <v>1770</v>
      </c>
      <c r="I30" s="3" t="s">
        <v>1775</v>
      </c>
      <c r="J30" s="3" t="s">
        <v>2085</v>
      </c>
      <c r="K30" s="3"/>
      <c r="L30" s="3"/>
      <c r="M30" s="3" t="s">
        <v>521</v>
      </c>
      <c r="N30" s="3" t="s">
        <v>1532</v>
      </c>
      <c r="O30" s="3" t="s">
        <v>521</v>
      </c>
      <c r="P30" s="3" t="s">
        <v>2049</v>
      </c>
      <c r="Q30" s="3" t="s">
        <v>1486</v>
      </c>
      <c r="R30" s="5">
        <v>45352</v>
      </c>
      <c r="S30" s="6">
        <v>-646333.33</v>
      </c>
      <c r="T30" s="7">
        <v>0</v>
      </c>
    </row>
    <row r="31" s="1" customFormat="1" spans="1:20">
      <c r="A31" s="3" t="s">
        <v>2047</v>
      </c>
      <c r="B31" s="3" t="s">
        <v>1533</v>
      </c>
      <c r="C31" s="3" t="s">
        <v>1768</v>
      </c>
      <c r="D31" s="3" t="s">
        <v>1483</v>
      </c>
      <c r="E31" s="3" t="s">
        <v>1484</v>
      </c>
      <c r="F31" s="3" t="s">
        <v>1542</v>
      </c>
      <c r="G31" s="3" t="s">
        <v>2048</v>
      </c>
      <c r="H31" s="3" t="s">
        <v>1770</v>
      </c>
      <c r="I31" s="3" t="s">
        <v>1775</v>
      </c>
      <c r="J31" s="3" t="s">
        <v>2085</v>
      </c>
      <c r="K31" s="3"/>
      <c r="L31" s="3"/>
      <c r="M31" s="3" t="s">
        <v>521</v>
      </c>
      <c r="N31" s="3" t="s">
        <v>1541</v>
      </c>
      <c r="O31" s="3" t="s">
        <v>521</v>
      </c>
      <c r="P31" s="3" t="s">
        <v>2049</v>
      </c>
      <c r="Q31" s="3" t="s">
        <v>1486</v>
      </c>
      <c r="R31" s="5">
        <v>45372</v>
      </c>
      <c r="S31" s="6">
        <v>-122011.13</v>
      </c>
      <c r="T31" s="7">
        <v>0</v>
      </c>
    </row>
    <row r="32" s="1" customFormat="1" spans="1:20">
      <c r="A32" s="3" t="s">
        <v>2047</v>
      </c>
      <c r="B32" s="3" t="s">
        <v>1533</v>
      </c>
      <c r="C32" s="3" t="s">
        <v>1768</v>
      </c>
      <c r="D32" s="3" t="s">
        <v>1483</v>
      </c>
      <c r="E32" s="3" t="s">
        <v>1484</v>
      </c>
      <c r="F32" s="3" t="s">
        <v>1535</v>
      </c>
      <c r="G32" s="3" t="s">
        <v>2048</v>
      </c>
      <c r="H32" s="3" t="s">
        <v>1770</v>
      </c>
      <c r="I32" s="3" t="s">
        <v>1775</v>
      </c>
      <c r="J32" s="3" t="s">
        <v>2085</v>
      </c>
      <c r="K32" s="3"/>
      <c r="L32" s="3"/>
      <c r="M32" s="3" t="s">
        <v>521</v>
      </c>
      <c r="N32" s="3" t="s">
        <v>1534</v>
      </c>
      <c r="O32" s="3" t="s">
        <v>521</v>
      </c>
      <c r="P32" s="3" t="s">
        <v>2049</v>
      </c>
      <c r="Q32" s="3" t="s">
        <v>1486</v>
      </c>
      <c r="R32" s="5">
        <v>45382</v>
      </c>
      <c r="S32" s="6">
        <v>351361.11</v>
      </c>
      <c r="T32" s="7">
        <v>0</v>
      </c>
    </row>
    <row r="33" s="1" customFormat="1" spans="1:20">
      <c r="A33" s="3" t="s">
        <v>2047</v>
      </c>
      <c r="B33" s="3" t="s">
        <v>1536</v>
      </c>
      <c r="C33" s="3" t="s">
        <v>1768</v>
      </c>
      <c r="D33" s="3" t="s">
        <v>1483</v>
      </c>
      <c r="E33" s="3" t="s">
        <v>1484</v>
      </c>
      <c r="F33" s="3" t="s">
        <v>1538</v>
      </c>
      <c r="G33" s="3" t="s">
        <v>2048</v>
      </c>
      <c r="H33" s="3" t="s">
        <v>1770</v>
      </c>
      <c r="I33" s="3" t="s">
        <v>1775</v>
      </c>
      <c r="J33" s="3" t="s">
        <v>2085</v>
      </c>
      <c r="K33" s="3"/>
      <c r="L33" s="3"/>
      <c r="M33" s="3" t="s">
        <v>521</v>
      </c>
      <c r="N33" s="3" t="s">
        <v>1537</v>
      </c>
      <c r="O33" s="3" t="s">
        <v>521</v>
      </c>
      <c r="P33" s="3" t="s">
        <v>2049</v>
      </c>
      <c r="Q33" s="3" t="s">
        <v>1486</v>
      </c>
      <c r="R33" s="5">
        <v>45383</v>
      </c>
      <c r="S33" s="6">
        <v>-42472.22</v>
      </c>
      <c r="T33" s="7">
        <v>0</v>
      </c>
    </row>
    <row r="34" s="1" customFormat="1" spans="1:20">
      <c r="A34" s="3" t="s">
        <v>2047</v>
      </c>
      <c r="B34" s="3" t="s">
        <v>1533</v>
      </c>
      <c r="C34" s="3" t="s">
        <v>1768</v>
      </c>
      <c r="D34" s="3" t="s">
        <v>1483</v>
      </c>
      <c r="E34" s="3" t="s">
        <v>1484</v>
      </c>
      <c r="F34" s="3" t="s">
        <v>1540</v>
      </c>
      <c r="G34" s="3" t="s">
        <v>2048</v>
      </c>
      <c r="H34" s="3" t="s">
        <v>1770</v>
      </c>
      <c r="I34" s="3" t="s">
        <v>1775</v>
      </c>
      <c r="J34" s="3" t="s">
        <v>2085</v>
      </c>
      <c r="K34" s="3"/>
      <c r="L34" s="3"/>
      <c r="M34" s="3" t="s">
        <v>521</v>
      </c>
      <c r="N34" s="3" t="s">
        <v>1539</v>
      </c>
      <c r="O34" s="3" t="s">
        <v>521</v>
      </c>
      <c r="P34" s="3" t="s">
        <v>2049</v>
      </c>
      <c r="Q34" s="3" t="s">
        <v>1486</v>
      </c>
      <c r="R34" s="5">
        <v>45382</v>
      </c>
      <c r="S34" s="6">
        <v>42472.22</v>
      </c>
      <c r="T34" s="7">
        <v>0</v>
      </c>
    </row>
    <row r="35" s="1" customFormat="1" spans="1:20">
      <c r="A35" s="3" t="s">
        <v>2047</v>
      </c>
      <c r="B35" s="3" t="s">
        <v>1533</v>
      </c>
      <c r="C35" s="3" t="s">
        <v>1768</v>
      </c>
      <c r="D35" s="3" t="s">
        <v>1483</v>
      </c>
      <c r="E35" s="3" t="s">
        <v>1484</v>
      </c>
      <c r="F35" s="3" t="s">
        <v>1544</v>
      </c>
      <c r="G35" s="3" t="s">
        <v>2048</v>
      </c>
      <c r="H35" s="3" t="s">
        <v>1770</v>
      </c>
      <c r="I35" s="3" t="s">
        <v>1775</v>
      </c>
      <c r="J35" s="3" t="s">
        <v>2085</v>
      </c>
      <c r="K35" s="3"/>
      <c r="L35" s="3"/>
      <c r="M35" s="3" t="s">
        <v>521</v>
      </c>
      <c r="N35" s="3" t="s">
        <v>1543</v>
      </c>
      <c r="O35" s="3" t="s">
        <v>521</v>
      </c>
      <c r="P35" s="3" t="s">
        <v>2049</v>
      </c>
      <c r="Q35" s="3" t="s">
        <v>1486</v>
      </c>
      <c r="R35" s="5">
        <v>45372</v>
      </c>
      <c r="S35" s="6">
        <v>-122011.11</v>
      </c>
      <c r="T35" s="7">
        <v>0</v>
      </c>
    </row>
    <row r="36" s="1" customFormat="1" spans="1:20">
      <c r="A36" s="3" t="s">
        <v>2047</v>
      </c>
      <c r="B36" s="3" t="s">
        <v>1533</v>
      </c>
      <c r="C36" s="3" t="s">
        <v>1768</v>
      </c>
      <c r="D36" s="3" t="s">
        <v>1483</v>
      </c>
      <c r="E36" s="3" t="s">
        <v>1484</v>
      </c>
      <c r="F36" s="3" t="s">
        <v>1535</v>
      </c>
      <c r="G36" s="3" t="s">
        <v>2048</v>
      </c>
      <c r="H36" s="3" t="s">
        <v>1770</v>
      </c>
      <c r="I36" s="3" t="s">
        <v>1775</v>
      </c>
      <c r="J36" s="3" t="s">
        <v>2085</v>
      </c>
      <c r="K36" s="3"/>
      <c r="L36" s="3"/>
      <c r="M36" s="3" t="s">
        <v>521</v>
      </c>
      <c r="N36" s="3" t="s">
        <v>1545</v>
      </c>
      <c r="O36" s="3" t="s">
        <v>521</v>
      </c>
      <c r="P36" s="3" t="s">
        <v>2049</v>
      </c>
      <c r="Q36" s="3" t="s">
        <v>1486</v>
      </c>
      <c r="R36" s="5">
        <v>45382</v>
      </c>
      <c r="S36" s="6">
        <v>122011.13</v>
      </c>
      <c r="T36" s="7">
        <v>0</v>
      </c>
    </row>
    <row r="37" s="1" customFormat="1" spans="1:20">
      <c r="A37" s="3" t="s">
        <v>2047</v>
      </c>
      <c r="B37" s="3" t="s">
        <v>1533</v>
      </c>
      <c r="C37" s="3" t="s">
        <v>1768</v>
      </c>
      <c r="D37" s="3" t="s">
        <v>1483</v>
      </c>
      <c r="E37" s="3" t="s">
        <v>1484</v>
      </c>
      <c r="F37" s="3" t="s">
        <v>1535</v>
      </c>
      <c r="G37" s="3" t="s">
        <v>2048</v>
      </c>
      <c r="H37" s="3" t="s">
        <v>1770</v>
      </c>
      <c r="I37" s="3" t="s">
        <v>1775</v>
      </c>
      <c r="J37" s="3" t="s">
        <v>2085</v>
      </c>
      <c r="K37" s="3"/>
      <c r="L37" s="3"/>
      <c r="M37" s="3" t="s">
        <v>521</v>
      </c>
      <c r="N37" s="3" t="s">
        <v>1546</v>
      </c>
      <c r="O37" s="3" t="s">
        <v>521</v>
      </c>
      <c r="P37" s="3" t="s">
        <v>2049</v>
      </c>
      <c r="Q37" s="3" t="s">
        <v>1486</v>
      </c>
      <c r="R37" s="5">
        <v>45382</v>
      </c>
      <c r="S37" s="6">
        <v>70272.22</v>
      </c>
      <c r="T37" s="7">
        <v>0</v>
      </c>
    </row>
    <row r="38" s="1" customFormat="1" spans="1:20">
      <c r="A38" s="3" t="s">
        <v>2047</v>
      </c>
      <c r="B38" s="3" t="s">
        <v>1533</v>
      </c>
      <c r="C38" s="3" t="s">
        <v>1768</v>
      </c>
      <c r="D38" s="3" t="s">
        <v>1483</v>
      </c>
      <c r="E38" s="3" t="s">
        <v>1484</v>
      </c>
      <c r="F38" s="3" t="s">
        <v>1535</v>
      </c>
      <c r="G38" s="3" t="s">
        <v>2048</v>
      </c>
      <c r="H38" s="3" t="s">
        <v>1770</v>
      </c>
      <c r="I38" s="3" t="s">
        <v>1775</v>
      </c>
      <c r="J38" s="3" t="s">
        <v>2085</v>
      </c>
      <c r="K38" s="3"/>
      <c r="L38" s="3"/>
      <c r="M38" s="3" t="s">
        <v>521</v>
      </c>
      <c r="N38" s="3" t="s">
        <v>1546</v>
      </c>
      <c r="O38" s="3" t="s">
        <v>521</v>
      </c>
      <c r="P38" s="3" t="s">
        <v>2049</v>
      </c>
      <c r="Q38" s="3" t="s">
        <v>1486</v>
      </c>
      <c r="R38" s="5">
        <v>45382</v>
      </c>
      <c r="S38" s="6">
        <v>122011.11</v>
      </c>
      <c r="T38" s="7">
        <v>0</v>
      </c>
    </row>
    <row r="39" s="1" customFormat="1" spans="1:20">
      <c r="A39" s="3" t="s">
        <v>2047</v>
      </c>
      <c r="B39" s="3" t="s">
        <v>1533</v>
      </c>
      <c r="C39" s="3" t="s">
        <v>1768</v>
      </c>
      <c r="D39" s="3" t="s">
        <v>1483</v>
      </c>
      <c r="E39" s="3" t="s">
        <v>1484</v>
      </c>
      <c r="F39" s="3" t="s">
        <v>1540</v>
      </c>
      <c r="G39" s="3" t="s">
        <v>2048</v>
      </c>
      <c r="H39" s="3" t="s">
        <v>1770</v>
      </c>
      <c r="I39" s="3" t="s">
        <v>1775</v>
      </c>
      <c r="J39" s="3" t="s">
        <v>2085</v>
      </c>
      <c r="K39" s="3"/>
      <c r="L39" s="3"/>
      <c r="M39" s="3" t="s">
        <v>521</v>
      </c>
      <c r="N39" s="3" t="s">
        <v>1547</v>
      </c>
      <c r="O39" s="3" t="s">
        <v>521</v>
      </c>
      <c r="P39" s="3" t="s">
        <v>2049</v>
      </c>
      <c r="Q39" s="3" t="s">
        <v>1486</v>
      </c>
      <c r="R39" s="5">
        <v>45382</v>
      </c>
      <c r="S39" s="6">
        <v>3077.78</v>
      </c>
      <c r="T39" s="7">
        <v>0</v>
      </c>
    </row>
    <row r="40" s="1" customFormat="1" spans="1:20">
      <c r="A40" s="3" t="s">
        <v>2047</v>
      </c>
      <c r="B40" s="3" t="s">
        <v>1536</v>
      </c>
      <c r="C40" s="3" t="s">
        <v>1768</v>
      </c>
      <c r="D40" s="3" t="s">
        <v>1483</v>
      </c>
      <c r="E40" s="3" t="s">
        <v>1484</v>
      </c>
      <c r="F40" s="3" t="s">
        <v>1538</v>
      </c>
      <c r="G40" s="3" t="s">
        <v>2048</v>
      </c>
      <c r="H40" s="3" t="s">
        <v>1770</v>
      </c>
      <c r="I40" s="3" t="s">
        <v>1775</v>
      </c>
      <c r="J40" s="3" t="s">
        <v>2085</v>
      </c>
      <c r="K40" s="3"/>
      <c r="L40" s="3"/>
      <c r="M40" s="3" t="s">
        <v>521</v>
      </c>
      <c r="N40" s="3" t="s">
        <v>1548</v>
      </c>
      <c r="O40" s="3" t="s">
        <v>521</v>
      </c>
      <c r="P40" s="3" t="s">
        <v>2049</v>
      </c>
      <c r="Q40" s="3" t="s">
        <v>1486</v>
      </c>
      <c r="R40" s="5">
        <v>45383</v>
      </c>
      <c r="S40" s="6">
        <v>-3077.78</v>
      </c>
      <c r="T40" s="7">
        <v>0</v>
      </c>
    </row>
    <row r="41" s="1" customFormat="1" spans="1:20">
      <c r="A41" s="3" t="s">
        <v>2047</v>
      </c>
      <c r="B41" s="3" t="s">
        <v>1533</v>
      </c>
      <c r="C41" s="3" t="s">
        <v>1768</v>
      </c>
      <c r="D41" s="3" t="s">
        <v>1483</v>
      </c>
      <c r="E41" s="3" t="s">
        <v>1484</v>
      </c>
      <c r="F41" s="3" t="s">
        <v>1540</v>
      </c>
      <c r="G41" s="3" t="s">
        <v>2048</v>
      </c>
      <c r="H41" s="3" t="s">
        <v>1770</v>
      </c>
      <c r="I41" s="3" t="s">
        <v>1775</v>
      </c>
      <c r="J41" s="3" t="s">
        <v>2085</v>
      </c>
      <c r="K41" s="3"/>
      <c r="L41" s="3"/>
      <c r="M41" s="3" t="s">
        <v>521</v>
      </c>
      <c r="N41" s="3" t="s">
        <v>1549</v>
      </c>
      <c r="O41" s="3" t="s">
        <v>521</v>
      </c>
      <c r="P41" s="3" t="s">
        <v>2049</v>
      </c>
      <c r="Q41" s="3" t="s">
        <v>1486</v>
      </c>
      <c r="R41" s="5">
        <v>45382</v>
      </c>
      <c r="S41" s="6">
        <v>101566.67</v>
      </c>
      <c r="T41" s="7">
        <v>0</v>
      </c>
    </row>
    <row r="42" s="1" customFormat="1" spans="1:20">
      <c r="A42" s="3" t="s">
        <v>2047</v>
      </c>
      <c r="B42" s="3" t="s">
        <v>1536</v>
      </c>
      <c r="C42" s="3" t="s">
        <v>1768</v>
      </c>
      <c r="D42" s="3" t="s">
        <v>1483</v>
      </c>
      <c r="E42" s="3" t="s">
        <v>1484</v>
      </c>
      <c r="F42" s="3" t="s">
        <v>1538</v>
      </c>
      <c r="G42" s="3" t="s">
        <v>2048</v>
      </c>
      <c r="H42" s="3" t="s">
        <v>1770</v>
      </c>
      <c r="I42" s="3" t="s">
        <v>1775</v>
      </c>
      <c r="J42" s="3" t="s">
        <v>2085</v>
      </c>
      <c r="K42" s="3"/>
      <c r="L42" s="3"/>
      <c r="M42" s="3" t="s">
        <v>521</v>
      </c>
      <c r="N42" s="3" t="s">
        <v>1550</v>
      </c>
      <c r="O42" s="3" t="s">
        <v>521</v>
      </c>
      <c r="P42" s="3" t="s">
        <v>2049</v>
      </c>
      <c r="Q42" s="3" t="s">
        <v>1486</v>
      </c>
      <c r="R42" s="5">
        <v>45383</v>
      </c>
      <c r="S42" s="6">
        <v>-101566.67</v>
      </c>
      <c r="T42" s="7">
        <v>0</v>
      </c>
    </row>
    <row r="43" s="1" customFormat="1" spans="1:20">
      <c r="A43" s="3" t="s">
        <v>2047</v>
      </c>
      <c r="B43" s="3" t="s">
        <v>1533</v>
      </c>
      <c r="C43" s="3" t="s">
        <v>1768</v>
      </c>
      <c r="D43" s="3" t="s">
        <v>1483</v>
      </c>
      <c r="E43" s="3" t="s">
        <v>1484</v>
      </c>
      <c r="F43" s="3" t="s">
        <v>1540</v>
      </c>
      <c r="G43" s="3" t="s">
        <v>2048</v>
      </c>
      <c r="H43" s="3" t="s">
        <v>1770</v>
      </c>
      <c r="I43" s="3" t="s">
        <v>1775</v>
      </c>
      <c r="J43" s="3" t="s">
        <v>2085</v>
      </c>
      <c r="K43" s="3"/>
      <c r="L43" s="3"/>
      <c r="M43" s="3" t="s">
        <v>521</v>
      </c>
      <c r="N43" s="3" t="s">
        <v>1551</v>
      </c>
      <c r="O43" s="3" t="s">
        <v>521</v>
      </c>
      <c r="P43" s="3" t="s">
        <v>2049</v>
      </c>
      <c r="Q43" s="3" t="s">
        <v>1486</v>
      </c>
      <c r="R43" s="5">
        <v>45382</v>
      </c>
      <c r="S43" s="6">
        <v>16988.89</v>
      </c>
      <c r="T43" s="7">
        <v>0</v>
      </c>
    </row>
    <row r="44" s="1" customFormat="1" spans="1:20">
      <c r="A44" s="3" t="s">
        <v>2047</v>
      </c>
      <c r="B44" s="3" t="s">
        <v>1533</v>
      </c>
      <c r="C44" s="3" t="s">
        <v>1768</v>
      </c>
      <c r="D44" s="3" t="s">
        <v>1483</v>
      </c>
      <c r="E44" s="3" t="s">
        <v>1484</v>
      </c>
      <c r="F44" s="3" t="s">
        <v>1540</v>
      </c>
      <c r="G44" s="3" t="s">
        <v>2048</v>
      </c>
      <c r="H44" s="3" t="s">
        <v>1770</v>
      </c>
      <c r="I44" s="3" t="s">
        <v>1775</v>
      </c>
      <c r="J44" s="3" t="s">
        <v>2085</v>
      </c>
      <c r="K44" s="3"/>
      <c r="L44" s="3"/>
      <c r="M44" s="3" t="s">
        <v>521</v>
      </c>
      <c r="N44" s="3" t="s">
        <v>1552</v>
      </c>
      <c r="O44" s="3" t="s">
        <v>521</v>
      </c>
      <c r="P44" s="3" t="s">
        <v>2049</v>
      </c>
      <c r="Q44" s="3" t="s">
        <v>1486</v>
      </c>
      <c r="R44" s="5">
        <v>45382</v>
      </c>
      <c r="S44" s="6">
        <v>8494.44</v>
      </c>
      <c r="T44" s="7">
        <v>0</v>
      </c>
    </row>
    <row r="45" s="1" customFormat="1" spans="1:20">
      <c r="A45" s="3" t="s">
        <v>2047</v>
      </c>
      <c r="B45" s="3" t="s">
        <v>1536</v>
      </c>
      <c r="C45" s="3" t="s">
        <v>1768</v>
      </c>
      <c r="D45" s="3" t="s">
        <v>1483</v>
      </c>
      <c r="E45" s="3" t="s">
        <v>1484</v>
      </c>
      <c r="F45" s="3" t="s">
        <v>1538</v>
      </c>
      <c r="G45" s="3" t="s">
        <v>2048</v>
      </c>
      <c r="H45" s="3" t="s">
        <v>1770</v>
      </c>
      <c r="I45" s="3" t="s">
        <v>1775</v>
      </c>
      <c r="J45" s="3" t="s">
        <v>2085</v>
      </c>
      <c r="K45" s="3"/>
      <c r="L45" s="3"/>
      <c r="M45" s="3" t="s">
        <v>521</v>
      </c>
      <c r="N45" s="3" t="s">
        <v>1553</v>
      </c>
      <c r="O45" s="3" t="s">
        <v>521</v>
      </c>
      <c r="P45" s="3" t="s">
        <v>2049</v>
      </c>
      <c r="Q45" s="3" t="s">
        <v>1486</v>
      </c>
      <c r="R45" s="5">
        <v>45383</v>
      </c>
      <c r="S45" s="6">
        <v>-16988.89</v>
      </c>
      <c r="T45" s="7">
        <v>0</v>
      </c>
    </row>
    <row r="46" s="1" customFormat="1" spans="1:20">
      <c r="A46" s="3" t="s">
        <v>2047</v>
      </c>
      <c r="B46" s="3" t="s">
        <v>1536</v>
      </c>
      <c r="C46" s="3" t="s">
        <v>1768</v>
      </c>
      <c r="D46" s="3" t="s">
        <v>1483</v>
      </c>
      <c r="E46" s="3" t="s">
        <v>1484</v>
      </c>
      <c r="F46" s="3" t="s">
        <v>1538</v>
      </c>
      <c r="G46" s="3" t="s">
        <v>2048</v>
      </c>
      <c r="H46" s="3" t="s">
        <v>1770</v>
      </c>
      <c r="I46" s="3" t="s">
        <v>1775</v>
      </c>
      <c r="J46" s="3" t="s">
        <v>2085</v>
      </c>
      <c r="K46" s="3"/>
      <c r="L46" s="3"/>
      <c r="M46" s="3" t="s">
        <v>521</v>
      </c>
      <c r="N46" s="3" t="s">
        <v>1554</v>
      </c>
      <c r="O46" s="3" t="s">
        <v>521</v>
      </c>
      <c r="P46" s="3" t="s">
        <v>2049</v>
      </c>
      <c r="Q46" s="3" t="s">
        <v>1486</v>
      </c>
      <c r="R46" s="5">
        <v>45383</v>
      </c>
      <c r="S46" s="6">
        <v>-8494.44</v>
      </c>
      <c r="T46" s="7">
        <v>0</v>
      </c>
    </row>
    <row r="47" s="1" customFormat="1" spans="1:20">
      <c r="A47" s="3" t="s">
        <v>2047</v>
      </c>
      <c r="B47" s="3" t="s">
        <v>1555</v>
      </c>
      <c r="C47" s="3" t="s">
        <v>1768</v>
      </c>
      <c r="D47" s="3" t="s">
        <v>1483</v>
      </c>
      <c r="E47" s="3" t="s">
        <v>1484</v>
      </c>
      <c r="F47" s="3" t="s">
        <v>1535</v>
      </c>
      <c r="G47" s="3" t="s">
        <v>2048</v>
      </c>
      <c r="H47" s="3" t="s">
        <v>1770</v>
      </c>
      <c r="I47" s="3" t="s">
        <v>1775</v>
      </c>
      <c r="J47" s="3" t="s">
        <v>2085</v>
      </c>
      <c r="K47" s="3"/>
      <c r="L47" s="3"/>
      <c r="M47" s="3" t="s">
        <v>521</v>
      </c>
      <c r="N47" s="3" t="s">
        <v>1556</v>
      </c>
      <c r="O47" s="3" t="s">
        <v>521</v>
      </c>
      <c r="P47" s="3" t="s">
        <v>2049</v>
      </c>
      <c r="Q47" s="3" t="s">
        <v>1486</v>
      </c>
      <c r="R47" s="5">
        <v>45372</v>
      </c>
      <c r="S47" s="6">
        <v>122011.11</v>
      </c>
      <c r="T47" s="7">
        <v>0</v>
      </c>
    </row>
    <row r="48" s="1" customFormat="1" spans="1:20">
      <c r="A48" s="3" t="s">
        <v>2047</v>
      </c>
      <c r="B48" s="3" t="s">
        <v>1555</v>
      </c>
      <c r="C48" s="3" t="s">
        <v>1768</v>
      </c>
      <c r="D48" s="3" t="s">
        <v>1483</v>
      </c>
      <c r="E48" s="3" t="s">
        <v>1484</v>
      </c>
      <c r="F48" s="3" t="s">
        <v>1558</v>
      </c>
      <c r="G48" s="3" t="s">
        <v>2048</v>
      </c>
      <c r="H48" s="3" t="s">
        <v>1770</v>
      </c>
      <c r="I48" s="3" t="s">
        <v>1775</v>
      </c>
      <c r="J48" s="3" t="s">
        <v>2085</v>
      </c>
      <c r="K48" s="3"/>
      <c r="L48" s="3"/>
      <c r="M48" s="3" t="s">
        <v>521</v>
      </c>
      <c r="N48" s="3" t="s">
        <v>1557</v>
      </c>
      <c r="O48" s="3" t="s">
        <v>521</v>
      </c>
      <c r="P48" s="3" t="s">
        <v>2049</v>
      </c>
      <c r="Q48" s="3" t="s">
        <v>1486</v>
      </c>
      <c r="R48" s="5">
        <v>45372</v>
      </c>
      <c r="S48" s="6">
        <v>831000</v>
      </c>
      <c r="T48" s="7">
        <v>0</v>
      </c>
    </row>
    <row r="49" s="1" customFormat="1" spans="1:20">
      <c r="A49" s="3" t="s">
        <v>2047</v>
      </c>
      <c r="B49" s="3" t="s">
        <v>1559</v>
      </c>
      <c r="C49" s="3" t="s">
        <v>1768</v>
      </c>
      <c r="D49" s="3" t="s">
        <v>1483</v>
      </c>
      <c r="E49" s="3" t="s">
        <v>1484</v>
      </c>
      <c r="F49" s="3" t="s">
        <v>1606</v>
      </c>
      <c r="G49" s="3" t="s">
        <v>2048</v>
      </c>
      <c r="H49" s="3" t="s">
        <v>1770</v>
      </c>
      <c r="I49" s="3" t="s">
        <v>1775</v>
      </c>
      <c r="J49" s="3" t="s">
        <v>2085</v>
      </c>
      <c r="K49" s="3"/>
      <c r="L49" s="3"/>
      <c r="M49" s="3" t="s">
        <v>521</v>
      </c>
      <c r="N49" s="3" t="s">
        <v>1605</v>
      </c>
      <c r="O49" s="3" t="s">
        <v>521</v>
      </c>
      <c r="P49" s="3" t="s">
        <v>2049</v>
      </c>
      <c r="Q49" s="3" t="s">
        <v>1486</v>
      </c>
      <c r="R49" s="5">
        <v>45464</v>
      </c>
      <c r="S49" s="6">
        <v>28007.78</v>
      </c>
      <c r="T49" s="7">
        <v>0</v>
      </c>
    </row>
    <row r="50" s="1" customFormat="1" spans="1:20">
      <c r="A50" s="3" t="s">
        <v>2047</v>
      </c>
      <c r="B50" s="3" t="s">
        <v>1559</v>
      </c>
      <c r="C50" s="3" t="s">
        <v>1768</v>
      </c>
      <c r="D50" s="3" t="s">
        <v>1483</v>
      </c>
      <c r="E50" s="3" t="s">
        <v>1484</v>
      </c>
      <c r="F50" s="3" t="s">
        <v>1561</v>
      </c>
      <c r="G50" s="3" t="s">
        <v>2048</v>
      </c>
      <c r="H50" s="3" t="s">
        <v>1770</v>
      </c>
      <c r="I50" s="3" t="s">
        <v>1775</v>
      </c>
      <c r="J50" s="3" t="s">
        <v>2085</v>
      </c>
      <c r="K50" s="3"/>
      <c r="L50" s="3"/>
      <c r="M50" s="3" t="s">
        <v>521</v>
      </c>
      <c r="N50" s="3" t="s">
        <v>1560</v>
      </c>
      <c r="O50" s="3" t="s">
        <v>521</v>
      </c>
      <c r="P50" s="3" t="s">
        <v>2049</v>
      </c>
      <c r="Q50" s="3" t="s">
        <v>1486</v>
      </c>
      <c r="R50" s="5">
        <v>45463</v>
      </c>
      <c r="S50" s="6">
        <v>71044.44</v>
      </c>
      <c r="T50" s="7">
        <v>0</v>
      </c>
    </row>
    <row r="51" s="1" customFormat="1" spans="1:20">
      <c r="A51" s="3" t="s">
        <v>2047</v>
      </c>
      <c r="B51" s="3" t="s">
        <v>1559</v>
      </c>
      <c r="C51" s="3" t="s">
        <v>1768</v>
      </c>
      <c r="D51" s="3" t="s">
        <v>1483</v>
      </c>
      <c r="E51" s="3" t="s">
        <v>1484</v>
      </c>
      <c r="F51" s="3" t="s">
        <v>1561</v>
      </c>
      <c r="G51" s="3" t="s">
        <v>2048</v>
      </c>
      <c r="H51" s="3" t="s">
        <v>1770</v>
      </c>
      <c r="I51" s="3" t="s">
        <v>1775</v>
      </c>
      <c r="J51" s="3" t="s">
        <v>2085</v>
      </c>
      <c r="K51" s="3"/>
      <c r="L51" s="3"/>
      <c r="M51" s="3" t="s">
        <v>521</v>
      </c>
      <c r="N51" s="3" t="s">
        <v>1560</v>
      </c>
      <c r="O51" s="3" t="s">
        <v>521</v>
      </c>
      <c r="P51" s="3" t="s">
        <v>2049</v>
      </c>
      <c r="Q51" s="3" t="s">
        <v>1486</v>
      </c>
      <c r="R51" s="5">
        <v>45463</v>
      </c>
      <c r="S51" s="6">
        <v>142088.89</v>
      </c>
      <c r="T51" s="7">
        <v>0</v>
      </c>
    </row>
    <row r="52" s="1" customFormat="1" spans="1:20">
      <c r="A52" s="3" t="s">
        <v>2047</v>
      </c>
      <c r="B52" s="3" t="s">
        <v>1559</v>
      </c>
      <c r="C52" s="3" t="s">
        <v>1768</v>
      </c>
      <c r="D52" s="3" t="s">
        <v>1483</v>
      </c>
      <c r="E52" s="3" t="s">
        <v>1484</v>
      </c>
      <c r="F52" s="3" t="s">
        <v>1561</v>
      </c>
      <c r="G52" s="3" t="s">
        <v>2048</v>
      </c>
      <c r="H52" s="3" t="s">
        <v>1770</v>
      </c>
      <c r="I52" s="3" t="s">
        <v>1775</v>
      </c>
      <c r="J52" s="3" t="s">
        <v>2085</v>
      </c>
      <c r="K52" s="3"/>
      <c r="L52" s="3"/>
      <c r="M52" s="3" t="s">
        <v>521</v>
      </c>
      <c r="N52" s="3" t="s">
        <v>1607</v>
      </c>
      <c r="O52" s="3" t="s">
        <v>521</v>
      </c>
      <c r="P52" s="3" t="s">
        <v>2049</v>
      </c>
      <c r="Q52" s="3" t="s">
        <v>1486</v>
      </c>
      <c r="R52" s="5">
        <v>45463</v>
      </c>
      <c r="S52" s="6">
        <v>355222.22</v>
      </c>
      <c r="T52" s="7">
        <v>0</v>
      </c>
    </row>
    <row r="53" s="1" customFormat="1" spans="1:20">
      <c r="A53" s="3" t="s">
        <v>2047</v>
      </c>
      <c r="B53" s="3" t="s">
        <v>1562</v>
      </c>
      <c r="C53" s="3" t="s">
        <v>1768</v>
      </c>
      <c r="D53" s="3" t="s">
        <v>1483</v>
      </c>
      <c r="E53" s="3" t="s">
        <v>1484</v>
      </c>
      <c r="F53" s="3" t="s">
        <v>1564</v>
      </c>
      <c r="G53" s="3" t="s">
        <v>2048</v>
      </c>
      <c r="H53" s="3" t="s">
        <v>1770</v>
      </c>
      <c r="I53" s="3" t="s">
        <v>1775</v>
      </c>
      <c r="J53" s="3" t="s">
        <v>2085</v>
      </c>
      <c r="K53" s="3"/>
      <c r="L53" s="3"/>
      <c r="M53" s="3" t="s">
        <v>521</v>
      </c>
      <c r="N53" s="3" t="s">
        <v>1575</v>
      </c>
      <c r="O53" s="3" t="s">
        <v>521</v>
      </c>
      <c r="P53" s="3" t="s">
        <v>2049</v>
      </c>
      <c r="Q53" s="3" t="s">
        <v>1486</v>
      </c>
      <c r="R53" s="5">
        <v>45413</v>
      </c>
      <c r="S53" s="6">
        <v>-378566.67</v>
      </c>
      <c r="T53" s="7">
        <v>0</v>
      </c>
    </row>
    <row r="54" s="1" customFormat="1" spans="1:20">
      <c r="A54" s="3" t="s">
        <v>2047</v>
      </c>
      <c r="B54" s="3" t="s">
        <v>1565</v>
      </c>
      <c r="C54" s="3" t="s">
        <v>1768</v>
      </c>
      <c r="D54" s="3" t="s">
        <v>1483</v>
      </c>
      <c r="E54" s="3" t="s">
        <v>1484</v>
      </c>
      <c r="F54" s="3" t="s">
        <v>1564</v>
      </c>
      <c r="G54" s="3" t="s">
        <v>2048</v>
      </c>
      <c r="H54" s="3" t="s">
        <v>1770</v>
      </c>
      <c r="I54" s="3" t="s">
        <v>1775</v>
      </c>
      <c r="J54" s="3" t="s">
        <v>2085</v>
      </c>
      <c r="K54" s="3"/>
      <c r="L54" s="3"/>
      <c r="M54" s="3" t="s">
        <v>521</v>
      </c>
      <c r="N54" s="3" t="s">
        <v>1574</v>
      </c>
      <c r="O54" s="3" t="s">
        <v>521</v>
      </c>
      <c r="P54" s="3" t="s">
        <v>2049</v>
      </c>
      <c r="Q54" s="3" t="s">
        <v>1486</v>
      </c>
      <c r="R54" s="5">
        <v>45412</v>
      </c>
      <c r="S54" s="6">
        <v>378566.67</v>
      </c>
      <c r="T54" s="7">
        <v>0</v>
      </c>
    </row>
    <row r="55" s="1" customFormat="1" spans="1:20">
      <c r="A55" s="3" t="s">
        <v>2050</v>
      </c>
      <c r="B55" s="3" t="s">
        <v>1567</v>
      </c>
      <c r="C55" s="3" t="s">
        <v>1768</v>
      </c>
      <c r="D55" s="3" t="s">
        <v>1483</v>
      </c>
      <c r="E55" s="3" t="s">
        <v>1484</v>
      </c>
      <c r="F55" s="3" t="s">
        <v>1569</v>
      </c>
      <c r="G55" s="3" t="s">
        <v>2048</v>
      </c>
      <c r="H55" s="3" t="s">
        <v>1770</v>
      </c>
      <c r="I55" s="3" t="s">
        <v>1775</v>
      </c>
      <c r="J55" s="3" t="s">
        <v>2085</v>
      </c>
      <c r="K55" s="3" t="s">
        <v>2086</v>
      </c>
      <c r="L55" s="3"/>
      <c r="M55" s="3" t="s">
        <v>521</v>
      </c>
      <c r="N55" s="3" t="s">
        <v>1568</v>
      </c>
      <c r="O55" s="3" t="s">
        <v>521</v>
      </c>
      <c r="P55" s="3" t="s">
        <v>2049</v>
      </c>
      <c r="Q55" s="3" t="s">
        <v>1486</v>
      </c>
      <c r="R55" s="5">
        <v>45404</v>
      </c>
      <c r="S55" s="6">
        <v>-119706.41</v>
      </c>
      <c r="T55" s="7">
        <v>0</v>
      </c>
    </row>
    <row r="56" s="1" customFormat="1" spans="1:20">
      <c r="A56" s="3" t="s">
        <v>2047</v>
      </c>
      <c r="B56" s="3" t="s">
        <v>1565</v>
      </c>
      <c r="C56" s="3" t="s">
        <v>1768</v>
      </c>
      <c r="D56" s="3" t="s">
        <v>1483</v>
      </c>
      <c r="E56" s="3" t="s">
        <v>1484</v>
      </c>
      <c r="F56" s="3" t="s">
        <v>1564</v>
      </c>
      <c r="G56" s="3" t="s">
        <v>2048</v>
      </c>
      <c r="H56" s="3" t="s">
        <v>1770</v>
      </c>
      <c r="I56" s="3" t="s">
        <v>1775</v>
      </c>
      <c r="J56" s="3" t="s">
        <v>2085</v>
      </c>
      <c r="K56" s="3"/>
      <c r="L56" s="3"/>
      <c r="M56" s="3" t="s">
        <v>521</v>
      </c>
      <c r="N56" s="3" t="s">
        <v>1570</v>
      </c>
      <c r="O56" s="3" t="s">
        <v>521</v>
      </c>
      <c r="P56" s="3" t="s">
        <v>2049</v>
      </c>
      <c r="Q56" s="3" t="s">
        <v>1486</v>
      </c>
      <c r="R56" s="5">
        <v>45412</v>
      </c>
      <c r="S56" s="6">
        <v>158305.55</v>
      </c>
      <c r="T56" s="7">
        <v>0</v>
      </c>
    </row>
    <row r="57" s="1" customFormat="1" spans="1:20">
      <c r="A57" s="3" t="s">
        <v>2047</v>
      </c>
      <c r="B57" s="3" t="s">
        <v>1562</v>
      </c>
      <c r="C57" s="3" t="s">
        <v>1768</v>
      </c>
      <c r="D57" s="3" t="s">
        <v>1483</v>
      </c>
      <c r="E57" s="3" t="s">
        <v>1484</v>
      </c>
      <c r="F57" s="3" t="s">
        <v>1564</v>
      </c>
      <c r="G57" s="3" t="s">
        <v>2048</v>
      </c>
      <c r="H57" s="3" t="s">
        <v>1770</v>
      </c>
      <c r="I57" s="3" t="s">
        <v>1775</v>
      </c>
      <c r="J57" s="3" t="s">
        <v>2085</v>
      </c>
      <c r="K57" s="3"/>
      <c r="L57" s="3"/>
      <c r="M57" s="3" t="s">
        <v>521</v>
      </c>
      <c r="N57" s="3" t="s">
        <v>1571</v>
      </c>
      <c r="O57" s="3" t="s">
        <v>521</v>
      </c>
      <c r="P57" s="3" t="s">
        <v>2049</v>
      </c>
      <c r="Q57" s="3" t="s">
        <v>1486</v>
      </c>
      <c r="R57" s="5">
        <v>45413</v>
      </c>
      <c r="S57" s="6">
        <v>-158305.55</v>
      </c>
      <c r="T57" s="7">
        <v>0</v>
      </c>
    </row>
    <row r="58" s="1" customFormat="1" spans="1:20">
      <c r="A58" s="3" t="s">
        <v>2047</v>
      </c>
      <c r="B58" s="3" t="s">
        <v>1565</v>
      </c>
      <c r="C58" s="3" t="s">
        <v>1768</v>
      </c>
      <c r="D58" s="3" t="s">
        <v>1483</v>
      </c>
      <c r="E58" s="3" t="s">
        <v>1484</v>
      </c>
      <c r="F58" s="3" t="s">
        <v>1564</v>
      </c>
      <c r="G58" s="3" t="s">
        <v>2048</v>
      </c>
      <c r="H58" s="3" t="s">
        <v>1770</v>
      </c>
      <c r="I58" s="3" t="s">
        <v>1775</v>
      </c>
      <c r="J58" s="3" t="s">
        <v>2085</v>
      </c>
      <c r="K58" s="3"/>
      <c r="L58" s="3"/>
      <c r="M58" s="3" t="s">
        <v>521</v>
      </c>
      <c r="N58" s="3" t="s">
        <v>1572</v>
      </c>
      <c r="O58" s="3" t="s">
        <v>521</v>
      </c>
      <c r="P58" s="3" t="s">
        <v>2049</v>
      </c>
      <c r="Q58" s="3" t="s">
        <v>1486</v>
      </c>
      <c r="R58" s="5">
        <v>45412</v>
      </c>
      <c r="S58" s="6">
        <v>31661.11</v>
      </c>
      <c r="T58" s="7">
        <v>0</v>
      </c>
    </row>
    <row r="59" s="1" customFormat="1" spans="1:20">
      <c r="A59" s="3" t="s">
        <v>2047</v>
      </c>
      <c r="B59" s="3" t="s">
        <v>1562</v>
      </c>
      <c r="C59" s="3" t="s">
        <v>1768</v>
      </c>
      <c r="D59" s="3" t="s">
        <v>1483</v>
      </c>
      <c r="E59" s="3" t="s">
        <v>1484</v>
      </c>
      <c r="F59" s="3" t="s">
        <v>1564</v>
      </c>
      <c r="G59" s="3" t="s">
        <v>2048</v>
      </c>
      <c r="H59" s="3" t="s">
        <v>1770</v>
      </c>
      <c r="I59" s="3" t="s">
        <v>1775</v>
      </c>
      <c r="J59" s="3" t="s">
        <v>2085</v>
      </c>
      <c r="K59" s="3"/>
      <c r="L59" s="3"/>
      <c r="M59" s="3" t="s">
        <v>521</v>
      </c>
      <c r="N59" s="3" t="s">
        <v>1573</v>
      </c>
      <c r="O59" s="3" t="s">
        <v>521</v>
      </c>
      <c r="P59" s="3" t="s">
        <v>2049</v>
      </c>
      <c r="Q59" s="3" t="s">
        <v>1486</v>
      </c>
      <c r="R59" s="5">
        <v>45413</v>
      </c>
      <c r="S59" s="6">
        <v>-31661.11</v>
      </c>
      <c r="T59" s="7">
        <v>0</v>
      </c>
    </row>
    <row r="60" s="1" customFormat="1" spans="1:20">
      <c r="A60" s="3" t="s">
        <v>2047</v>
      </c>
      <c r="B60" s="3" t="s">
        <v>1565</v>
      </c>
      <c r="C60" s="3" t="s">
        <v>1768</v>
      </c>
      <c r="D60" s="3" t="s">
        <v>1483</v>
      </c>
      <c r="E60" s="3" t="s">
        <v>1484</v>
      </c>
      <c r="F60" s="3" t="s">
        <v>1564</v>
      </c>
      <c r="G60" s="3" t="s">
        <v>2048</v>
      </c>
      <c r="H60" s="3" t="s">
        <v>1770</v>
      </c>
      <c r="I60" s="3" t="s">
        <v>1775</v>
      </c>
      <c r="J60" s="3" t="s">
        <v>2085</v>
      </c>
      <c r="K60" s="3"/>
      <c r="L60" s="3"/>
      <c r="M60" s="3" t="s">
        <v>521</v>
      </c>
      <c r="N60" s="3" t="s">
        <v>1576</v>
      </c>
      <c r="O60" s="3" t="s">
        <v>521</v>
      </c>
      <c r="P60" s="3" t="s">
        <v>2049</v>
      </c>
      <c r="Q60" s="3" t="s">
        <v>1486</v>
      </c>
      <c r="R60" s="5">
        <v>45412</v>
      </c>
      <c r="S60" s="6">
        <v>12311.11</v>
      </c>
      <c r="T60" s="7">
        <v>0</v>
      </c>
    </row>
    <row r="61" s="1" customFormat="1" spans="1:20">
      <c r="A61" s="3" t="s">
        <v>2047</v>
      </c>
      <c r="B61" s="3" t="s">
        <v>1562</v>
      </c>
      <c r="C61" s="3" t="s">
        <v>1768</v>
      </c>
      <c r="D61" s="3" t="s">
        <v>1483</v>
      </c>
      <c r="E61" s="3" t="s">
        <v>1484</v>
      </c>
      <c r="F61" s="3" t="s">
        <v>1564</v>
      </c>
      <c r="G61" s="3" t="s">
        <v>2048</v>
      </c>
      <c r="H61" s="3" t="s">
        <v>1770</v>
      </c>
      <c r="I61" s="3" t="s">
        <v>1775</v>
      </c>
      <c r="J61" s="3" t="s">
        <v>2085</v>
      </c>
      <c r="K61" s="3"/>
      <c r="L61" s="3"/>
      <c r="M61" s="3" t="s">
        <v>521</v>
      </c>
      <c r="N61" s="3" t="s">
        <v>1577</v>
      </c>
      <c r="O61" s="3" t="s">
        <v>521</v>
      </c>
      <c r="P61" s="3" t="s">
        <v>2049</v>
      </c>
      <c r="Q61" s="3" t="s">
        <v>1486</v>
      </c>
      <c r="R61" s="5">
        <v>45413</v>
      </c>
      <c r="S61" s="6">
        <v>-12311.11</v>
      </c>
      <c r="T61" s="7">
        <v>0</v>
      </c>
    </row>
    <row r="62" s="1" customFormat="1" spans="1:20">
      <c r="A62" s="3" t="s">
        <v>2047</v>
      </c>
      <c r="B62" s="3" t="s">
        <v>1565</v>
      </c>
      <c r="C62" s="3" t="s">
        <v>1768</v>
      </c>
      <c r="D62" s="3" t="s">
        <v>1483</v>
      </c>
      <c r="E62" s="3" t="s">
        <v>1484</v>
      </c>
      <c r="F62" s="3" t="s">
        <v>1564</v>
      </c>
      <c r="G62" s="3" t="s">
        <v>2048</v>
      </c>
      <c r="H62" s="3" t="s">
        <v>1770</v>
      </c>
      <c r="I62" s="3" t="s">
        <v>1775</v>
      </c>
      <c r="J62" s="3" t="s">
        <v>2085</v>
      </c>
      <c r="K62" s="3"/>
      <c r="L62" s="3"/>
      <c r="M62" s="3" t="s">
        <v>521</v>
      </c>
      <c r="N62" s="3" t="s">
        <v>1566</v>
      </c>
      <c r="O62" s="3" t="s">
        <v>521</v>
      </c>
      <c r="P62" s="3" t="s">
        <v>2049</v>
      </c>
      <c r="Q62" s="3" t="s">
        <v>1486</v>
      </c>
      <c r="R62" s="5">
        <v>45412</v>
      </c>
      <c r="S62" s="6">
        <v>63322.22</v>
      </c>
      <c r="T62" s="7">
        <v>0</v>
      </c>
    </row>
    <row r="63" s="1" customFormat="1" spans="1:20">
      <c r="A63" s="3" t="s">
        <v>2047</v>
      </c>
      <c r="B63" s="3" t="s">
        <v>1562</v>
      </c>
      <c r="C63" s="3" t="s">
        <v>1768</v>
      </c>
      <c r="D63" s="3" t="s">
        <v>1483</v>
      </c>
      <c r="E63" s="3" t="s">
        <v>1484</v>
      </c>
      <c r="F63" s="3" t="s">
        <v>1564</v>
      </c>
      <c r="G63" s="3" t="s">
        <v>2048</v>
      </c>
      <c r="H63" s="3" t="s">
        <v>1770</v>
      </c>
      <c r="I63" s="3" t="s">
        <v>1775</v>
      </c>
      <c r="J63" s="3" t="s">
        <v>2085</v>
      </c>
      <c r="K63" s="3"/>
      <c r="L63" s="3"/>
      <c r="M63" s="3" t="s">
        <v>521</v>
      </c>
      <c r="N63" s="3" t="s">
        <v>1563</v>
      </c>
      <c r="O63" s="3" t="s">
        <v>521</v>
      </c>
      <c r="P63" s="3" t="s">
        <v>2049</v>
      </c>
      <c r="Q63" s="3" t="s">
        <v>1486</v>
      </c>
      <c r="R63" s="5">
        <v>45413</v>
      </c>
      <c r="S63" s="6">
        <v>-63322.22</v>
      </c>
      <c r="T63" s="7">
        <v>0</v>
      </c>
    </row>
    <row r="64" s="1" customFormat="1" spans="1:20">
      <c r="A64" s="3" t="s">
        <v>2051</v>
      </c>
      <c r="B64" s="3" t="s">
        <v>1580</v>
      </c>
      <c r="C64" s="3" t="s">
        <v>1768</v>
      </c>
      <c r="D64" s="3" t="s">
        <v>1483</v>
      </c>
      <c r="E64" s="3" t="s">
        <v>1484</v>
      </c>
      <c r="F64" s="3" t="s">
        <v>1582</v>
      </c>
      <c r="G64" s="3" t="s">
        <v>2048</v>
      </c>
      <c r="H64" s="3" t="s">
        <v>1770</v>
      </c>
      <c r="I64" s="3" t="s">
        <v>1775</v>
      </c>
      <c r="J64" s="3" t="s">
        <v>2085</v>
      </c>
      <c r="K64" s="3"/>
      <c r="L64" s="3"/>
      <c r="M64" s="3" t="s">
        <v>521</v>
      </c>
      <c r="N64" s="3" t="s">
        <v>1581</v>
      </c>
      <c r="O64" s="3" t="s">
        <v>521</v>
      </c>
      <c r="P64" s="3" t="s">
        <v>2049</v>
      </c>
      <c r="Q64" s="3" t="s">
        <v>1486</v>
      </c>
      <c r="R64" s="5">
        <v>45433</v>
      </c>
      <c r="S64" s="6">
        <v>-30668.58</v>
      </c>
      <c r="T64" s="7">
        <v>0</v>
      </c>
    </row>
    <row r="65" s="1" customFormat="1" spans="1:20">
      <c r="A65" s="3" t="s">
        <v>2047</v>
      </c>
      <c r="B65" s="3"/>
      <c r="C65" s="3" t="s">
        <v>1768</v>
      </c>
      <c r="D65" s="3" t="s">
        <v>1483</v>
      </c>
      <c r="E65" s="3" t="s">
        <v>1484</v>
      </c>
      <c r="F65" s="3" t="s">
        <v>1579</v>
      </c>
      <c r="G65" s="3" t="s">
        <v>2048</v>
      </c>
      <c r="H65" s="3" t="s">
        <v>1770</v>
      </c>
      <c r="I65" s="3" t="s">
        <v>1775</v>
      </c>
      <c r="J65" s="3" t="s">
        <v>2085</v>
      </c>
      <c r="K65" s="3"/>
      <c r="L65" s="3"/>
      <c r="M65" s="3" t="s">
        <v>521</v>
      </c>
      <c r="N65" s="3" t="s">
        <v>1578</v>
      </c>
      <c r="O65" s="3" t="s">
        <v>521</v>
      </c>
      <c r="P65" s="3" t="s">
        <v>2049</v>
      </c>
      <c r="Q65" s="3" t="s">
        <v>1486</v>
      </c>
      <c r="R65" s="5">
        <v>45443</v>
      </c>
      <c r="S65" s="6">
        <v>-27084.45</v>
      </c>
      <c r="T65" s="7">
        <v>0</v>
      </c>
    </row>
    <row r="66" s="1" customFormat="1" spans="1:20">
      <c r="A66" s="3" t="s">
        <v>2047</v>
      </c>
      <c r="B66" s="3"/>
      <c r="C66" s="3" t="s">
        <v>1768</v>
      </c>
      <c r="D66" s="3" t="s">
        <v>1483</v>
      </c>
      <c r="E66" s="3" t="s">
        <v>1484</v>
      </c>
      <c r="F66" s="3" t="s">
        <v>1579</v>
      </c>
      <c r="G66" s="3" t="s">
        <v>2048</v>
      </c>
      <c r="H66" s="3" t="s">
        <v>1770</v>
      </c>
      <c r="I66" s="3" t="s">
        <v>1775</v>
      </c>
      <c r="J66" s="3" t="s">
        <v>2085</v>
      </c>
      <c r="K66" s="3"/>
      <c r="L66" s="3"/>
      <c r="M66" s="3" t="s">
        <v>521</v>
      </c>
      <c r="N66" s="3" t="s">
        <v>1578</v>
      </c>
      <c r="O66" s="3" t="s">
        <v>521</v>
      </c>
      <c r="P66" s="3" t="s">
        <v>2049</v>
      </c>
      <c r="Q66" s="3" t="s">
        <v>1486</v>
      </c>
      <c r="R66" s="5">
        <v>45443</v>
      </c>
      <c r="S66" s="6">
        <v>27084.45</v>
      </c>
      <c r="T66" s="7">
        <v>0</v>
      </c>
    </row>
    <row r="67" s="1" customFormat="1" spans="1:20">
      <c r="A67" s="3" t="s">
        <v>2047</v>
      </c>
      <c r="B67" s="3" t="s">
        <v>1559</v>
      </c>
      <c r="C67" s="3" t="s">
        <v>1768</v>
      </c>
      <c r="D67" s="3" t="s">
        <v>1483</v>
      </c>
      <c r="E67" s="3" t="s">
        <v>1484</v>
      </c>
      <c r="F67" s="3" t="s">
        <v>1606</v>
      </c>
      <c r="G67" s="3" t="s">
        <v>2048</v>
      </c>
      <c r="H67" s="3" t="s">
        <v>1770</v>
      </c>
      <c r="I67" s="3" t="s">
        <v>1775</v>
      </c>
      <c r="J67" s="3" t="s">
        <v>2085</v>
      </c>
      <c r="K67" s="3"/>
      <c r="L67" s="3"/>
      <c r="M67" s="3" t="s">
        <v>521</v>
      </c>
      <c r="N67" s="3" t="s">
        <v>1608</v>
      </c>
      <c r="O67" s="3" t="s">
        <v>521</v>
      </c>
      <c r="P67" s="3" t="s">
        <v>2049</v>
      </c>
      <c r="Q67" s="3" t="s">
        <v>1486</v>
      </c>
      <c r="R67" s="5">
        <v>45464</v>
      </c>
      <c r="S67" s="6">
        <v>849466.67</v>
      </c>
      <c r="T67" s="7">
        <v>0</v>
      </c>
    </row>
    <row r="68" s="1" customFormat="1" spans="1:20">
      <c r="A68" s="3" t="s">
        <v>2047</v>
      </c>
      <c r="B68" s="3" t="s">
        <v>1559</v>
      </c>
      <c r="C68" s="3" t="s">
        <v>1768</v>
      </c>
      <c r="D68" s="3" t="s">
        <v>1483</v>
      </c>
      <c r="E68" s="3" t="s">
        <v>1484</v>
      </c>
      <c r="F68" s="3" t="s">
        <v>1606</v>
      </c>
      <c r="G68" s="3" t="s">
        <v>2048</v>
      </c>
      <c r="H68" s="3" t="s">
        <v>1770</v>
      </c>
      <c r="I68" s="3" t="s">
        <v>1775</v>
      </c>
      <c r="J68" s="3" t="s">
        <v>2085</v>
      </c>
      <c r="K68" s="3"/>
      <c r="L68" s="3"/>
      <c r="M68" s="3" t="s">
        <v>521</v>
      </c>
      <c r="N68" s="3" t="s">
        <v>1609</v>
      </c>
      <c r="O68" s="3" t="s">
        <v>521</v>
      </c>
      <c r="P68" s="3" t="s">
        <v>2049</v>
      </c>
      <c r="Q68" s="3" t="s">
        <v>1486</v>
      </c>
      <c r="R68" s="5">
        <v>45464</v>
      </c>
      <c r="S68" s="6">
        <v>51706.67</v>
      </c>
      <c r="T68" s="7">
        <v>0</v>
      </c>
    </row>
    <row r="69" s="1" customFormat="1" spans="1:20">
      <c r="A69" s="3" t="s">
        <v>2047</v>
      </c>
      <c r="B69" s="3" t="s">
        <v>1616</v>
      </c>
      <c r="C69" s="3" t="s">
        <v>1768</v>
      </c>
      <c r="D69" s="3" t="s">
        <v>1483</v>
      </c>
      <c r="E69" s="3" t="s">
        <v>1484</v>
      </c>
      <c r="F69" s="3" t="s">
        <v>1618</v>
      </c>
      <c r="G69" s="3" t="s">
        <v>2048</v>
      </c>
      <c r="H69" s="3" t="s">
        <v>1770</v>
      </c>
      <c r="I69" s="3" t="s">
        <v>1775</v>
      </c>
      <c r="J69" s="3" t="s">
        <v>2085</v>
      </c>
      <c r="K69" s="3"/>
      <c r="L69" s="3"/>
      <c r="M69" s="3" t="s">
        <v>521</v>
      </c>
      <c r="N69" s="3" t="s">
        <v>1623</v>
      </c>
      <c r="O69" s="3" t="s">
        <v>521</v>
      </c>
      <c r="P69" s="3" t="s">
        <v>2049</v>
      </c>
      <c r="Q69" s="3" t="s">
        <v>1486</v>
      </c>
      <c r="R69" s="5">
        <v>45473</v>
      </c>
      <c r="S69" s="6">
        <v>64017.78</v>
      </c>
      <c r="T69" s="7">
        <v>0</v>
      </c>
    </row>
    <row r="70" s="1" customFormat="1" spans="1:20">
      <c r="A70" s="3" t="s">
        <v>2047</v>
      </c>
      <c r="B70" s="3" t="s">
        <v>1616</v>
      </c>
      <c r="C70" s="3" t="s">
        <v>1768</v>
      </c>
      <c r="D70" s="3" t="s">
        <v>1483</v>
      </c>
      <c r="E70" s="3" t="s">
        <v>1484</v>
      </c>
      <c r="F70" s="3" t="s">
        <v>1618</v>
      </c>
      <c r="G70" s="3" t="s">
        <v>2048</v>
      </c>
      <c r="H70" s="3" t="s">
        <v>1770</v>
      </c>
      <c r="I70" s="3" t="s">
        <v>1775</v>
      </c>
      <c r="J70" s="3" t="s">
        <v>2085</v>
      </c>
      <c r="K70" s="3"/>
      <c r="L70" s="3"/>
      <c r="M70" s="3" t="s">
        <v>521</v>
      </c>
      <c r="N70" s="3" t="s">
        <v>1622</v>
      </c>
      <c r="O70" s="3" t="s">
        <v>521</v>
      </c>
      <c r="P70" s="3" t="s">
        <v>2049</v>
      </c>
      <c r="Q70" s="3" t="s">
        <v>1486</v>
      </c>
      <c r="R70" s="5">
        <v>45473</v>
      </c>
      <c r="S70" s="6">
        <v>941800</v>
      </c>
      <c r="T70" s="7">
        <v>0</v>
      </c>
    </row>
    <row r="71" s="1" customFormat="1" spans="1:20">
      <c r="A71" s="3" t="s">
        <v>2052</v>
      </c>
      <c r="B71" s="3" t="s">
        <v>1584</v>
      </c>
      <c r="C71" s="3" t="s">
        <v>1768</v>
      </c>
      <c r="D71" s="3" t="s">
        <v>1483</v>
      </c>
      <c r="E71" s="3" t="s">
        <v>1484</v>
      </c>
      <c r="F71" s="3" t="s">
        <v>1586</v>
      </c>
      <c r="G71" s="3" t="s">
        <v>2048</v>
      </c>
      <c r="H71" s="3" t="s">
        <v>1770</v>
      </c>
      <c r="I71" s="3" t="s">
        <v>1775</v>
      </c>
      <c r="J71" s="3" t="s">
        <v>2085</v>
      </c>
      <c r="K71" s="3"/>
      <c r="L71" s="3"/>
      <c r="M71" s="3" t="s">
        <v>521</v>
      </c>
      <c r="N71" s="3" t="s">
        <v>1585</v>
      </c>
      <c r="O71" s="3" t="s">
        <v>521</v>
      </c>
      <c r="P71" s="3" t="s">
        <v>2049</v>
      </c>
      <c r="Q71" s="3" t="s">
        <v>1486</v>
      </c>
      <c r="R71" s="5">
        <v>45433</v>
      </c>
      <c r="S71" s="6">
        <v>-958852.22</v>
      </c>
      <c r="T71" s="7">
        <v>0</v>
      </c>
    </row>
    <row r="72" s="1" customFormat="1" spans="1:20">
      <c r="A72" s="3" t="s">
        <v>2047</v>
      </c>
      <c r="B72" s="3" t="s">
        <v>1587</v>
      </c>
      <c r="C72" s="3" t="s">
        <v>1768</v>
      </c>
      <c r="D72" s="3" t="s">
        <v>1483</v>
      </c>
      <c r="E72" s="3" t="s">
        <v>1484</v>
      </c>
      <c r="F72" s="3" t="s">
        <v>1589</v>
      </c>
      <c r="G72" s="3" t="s">
        <v>2048</v>
      </c>
      <c r="H72" s="3" t="s">
        <v>1770</v>
      </c>
      <c r="I72" s="3" t="s">
        <v>1775</v>
      </c>
      <c r="J72" s="3" t="s">
        <v>2085</v>
      </c>
      <c r="K72" s="3"/>
      <c r="L72" s="3"/>
      <c r="M72" s="3" t="s">
        <v>521</v>
      </c>
      <c r="N72" s="3" t="s">
        <v>1588</v>
      </c>
      <c r="O72" s="3" t="s">
        <v>521</v>
      </c>
      <c r="P72" s="3" t="s">
        <v>2049</v>
      </c>
      <c r="Q72" s="3" t="s">
        <v>1486</v>
      </c>
      <c r="R72" s="5">
        <v>45443</v>
      </c>
      <c r="S72" s="6">
        <v>55600</v>
      </c>
      <c r="T72" s="7">
        <v>0</v>
      </c>
    </row>
    <row r="73" s="1" customFormat="1" spans="1:20">
      <c r="A73" s="3" t="s">
        <v>2047</v>
      </c>
      <c r="B73" s="3"/>
      <c r="C73" s="3" t="s">
        <v>1768</v>
      </c>
      <c r="D73" s="3" t="s">
        <v>1483</v>
      </c>
      <c r="E73" s="3" t="s">
        <v>1484</v>
      </c>
      <c r="F73" s="3" t="s">
        <v>1538</v>
      </c>
      <c r="G73" s="3" t="s">
        <v>2048</v>
      </c>
      <c r="H73" s="3" t="s">
        <v>1770</v>
      </c>
      <c r="I73" s="3" t="s">
        <v>1775</v>
      </c>
      <c r="J73" s="3" t="s">
        <v>2085</v>
      </c>
      <c r="K73" s="3"/>
      <c r="L73" s="3"/>
      <c r="M73" s="3" t="s">
        <v>521</v>
      </c>
      <c r="N73" s="3" t="s">
        <v>1590</v>
      </c>
      <c r="O73" s="3" t="s">
        <v>521</v>
      </c>
      <c r="P73" s="3" t="s">
        <v>2049</v>
      </c>
      <c r="Q73" s="3" t="s">
        <v>1486</v>
      </c>
      <c r="R73" s="5">
        <v>45444</v>
      </c>
      <c r="S73" s="6">
        <v>-55600</v>
      </c>
      <c r="T73" s="7">
        <v>0</v>
      </c>
    </row>
    <row r="74" s="1" customFormat="1" spans="1:20">
      <c r="A74" s="3" t="s">
        <v>2047</v>
      </c>
      <c r="B74" s="3" t="s">
        <v>1587</v>
      </c>
      <c r="C74" s="3" t="s">
        <v>1768</v>
      </c>
      <c r="D74" s="3" t="s">
        <v>1483</v>
      </c>
      <c r="E74" s="3" t="s">
        <v>1484</v>
      </c>
      <c r="F74" s="3" t="s">
        <v>1589</v>
      </c>
      <c r="G74" s="3" t="s">
        <v>2048</v>
      </c>
      <c r="H74" s="3" t="s">
        <v>1770</v>
      </c>
      <c r="I74" s="3" t="s">
        <v>1775</v>
      </c>
      <c r="J74" s="3" t="s">
        <v>2085</v>
      </c>
      <c r="K74" s="3"/>
      <c r="L74" s="3"/>
      <c r="M74" s="3" t="s">
        <v>521</v>
      </c>
      <c r="N74" s="3" t="s">
        <v>1591</v>
      </c>
      <c r="O74" s="3" t="s">
        <v>521</v>
      </c>
      <c r="P74" s="3" t="s">
        <v>2049</v>
      </c>
      <c r="Q74" s="3" t="s">
        <v>1486</v>
      </c>
      <c r="R74" s="5">
        <v>45443</v>
      </c>
      <c r="S74" s="6">
        <v>278000</v>
      </c>
      <c r="T74" s="7">
        <v>0</v>
      </c>
    </row>
    <row r="75" s="1" customFormat="1" spans="1:20">
      <c r="A75" s="3" t="s">
        <v>2047</v>
      </c>
      <c r="B75" s="3"/>
      <c r="C75" s="3" t="s">
        <v>1768</v>
      </c>
      <c r="D75" s="3" t="s">
        <v>1483</v>
      </c>
      <c r="E75" s="3" t="s">
        <v>1484</v>
      </c>
      <c r="F75" s="3" t="s">
        <v>1538</v>
      </c>
      <c r="G75" s="3" t="s">
        <v>2048</v>
      </c>
      <c r="H75" s="3" t="s">
        <v>1770</v>
      </c>
      <c r="I75" s="3" t="s">
        <v>1775</v>
      </c>
      <c r="J75" s="3" t="s">
        <v>2085</v>
      </c>
      <c r="K75" s="3"/>
      <c r="L75" s="3"/>
      <c r="M75" s="3" t="s">
        <v>521</v>
      </c>
      <c r="N75" s="3" t="s">
        <v>1592</v>
      </c>
      <c r="O75" s="3" t="s">
        <v>521</v>
      </c>
      <c r="P75" s="3" t="s">
        <v>2049</v>
      </c>
      <c r="Q75" s="3" t="s">
        <v>1486</v>
      </c>
      <c r="R75" s="5">
        <v>45444</v>
      </c>
      <c r="S75" s="6">
        <v>-278000</v>
      </c>
      <c r="T75" s="7">
        <v>0</v>
      </c>
    </row>
    <row r="76" s="1" customFormat="1" spans="1:20">
      <c r="A76" s="3" t="s">
        <v>2053</v>
      </c>
      <c r="B76" s="3" t="s">
        <v>1593</v>
      </c>
      <c r="C76" s="3" t="s">
        <v>1768</v>
      </c>
      <c r="D76" s="3" t="s">
        <v>1483</v>
      </c>
      <c r="E76" s="3" t="s">
        <v>1484</v>
      </c>
      <c r="F76" s="3" t="s">
        <v>1595</v>
      </c>
      <c r="G76" s="3" t="s">
        <v>2048</v>
      </c>
      <c r="H76" s="3" t="s">
        <v>1770</v>
      </c>
      <c r="I76" s="3" t="s">
        <v>1775</v>
      </c>
      <c r="J76" s="3" t="s">
        <v>2085</v>
      </c>
      <c r="K76" s="3"/>
      <c r="L76" s="3"/>
      <c r="M76" s="3" t="s">
        <v>521</v>
      </c>
      <c r="N76" s="3" t="s">
        <v>1594</v>
      </c>
      <c r="O76" s="3" t="s">
        <v>521</v>
      </c>
      <c r="P76" s="3" t="s">
        <v>2049</v>
      </c>
      <c r="Q76" s="3" t="s">
        <v>1486</v>
      </c>
      <c r="R76" s="5">
        <v>45433</v>
      </c>
      <c r="S76" s="6">
        <v>958852.22</v>
      </c>
      <c r="T76" s="7">
        <v>0</v>
      </c>
    </row>
    <row r="77" s="1" customFormat="1" spans="1:20">
      <c r="A77" s="3" t="s">
        <v>2047</v>
      </c>
      <c r="B77" s="3" t="s">
        <v>1587</v>
      </c>
      <c r="C77" s="3" t="s">
        <v>1768</v>
      </c>
      <c r="D77" s="3" t="s">
        <v>1483</v>
      </c>
      <c r="E77" s="3" t="s">
        <v>1484</v>
      </c>
      <c r="F77" s="3" t="s">
        <v>1589</v>
      </c>
      <c r="G77" s="3" t="s">
        <v>2048</v>
      </c>
      <c r="H77" s="3" t="s">
        <v>1770</v>
      </c>
      <c r="I77" s="3" t="s">
        <v>1775</v>
      </c>
      <c r="J77" s="3" t="s">
        <v>2085</v>
      </c>
      <c r="K77" s="3"/>
      <c r="L77" s="3"/>
      <c r="M77" s="3" t="s">
        <v>521</v>
      </c>
      <c r="N77" s="3" t="s">
        <v>1596</v>
      </c>
      <c r="O77" s="3" t="s">
        <v>521</v>
      </c>
      <c r="P77" s="3" t="s">
        <v>2049</v>
      </c>
      <c r="Q77" s="3" t="s">
        <v>1486</v>
      </c>
      <c r="R77" s="5">
        <v>45443</v>
      </c>
      <c r="S77" s="6">
        <v>664800</v>
      </c>
      <c r="T77" s="7">
        <v>0</v>
      </c>
    </row>
    <row r="78" s="1" customFormat="1" spans="1:20">
      <c r="A78" s="3" t="s">
        <v>2047</v>
      </c>
      <c r="B78" s="3"/>
      <c r="C78" s="3" t="s">
        <v>1768</v>
      </c>
      <c r="D78" s="3" t="s">
        <v>1483</v>
      </c>
      <c r="E78" s="3" t="s">
        <v>1484</v>
      </c>
      <c r="F78" s="3" t="s">
        <v>1538</v>
      </c>
      <c r="G78" s="3" t="s">
        <v>2048</v>
      </c>
      <c r="H78" s="3" t="s">
        <v>1770</v>
      </c>
      <c r="I78" s="3" t="s">
        <v>1775</v>
      </c>
      <c r="J78" s="3" t="s">
        <v>2085</v>
      </c>
      <c r="K78" s="3"/>
      <c r="L78" s="3"/>
      <c r="M78" s="3" t="s">
        <v>521</v>
      </c>
      <c r="N78" s="3" t="s">
        <v>1597</v>
      </c>
      <c r="O78" s="3" t="s">
        <v>521</v>
      </c>
      <c r="P78" s="3" t="s">
        <v>2049</v>
      </c>
      <c r="Q78" s="3" t="s">
        <v>1486</v>
      </c>
      <c r="R78" s="5">
        <v>45444</v>
      </c>
      <c r="S78" s="6">
        <v>-664800</v>
      </c>
      <c r="T78" s="7">
        <v>0</v>
      </c>
    </row>
    <row r="79" s="1" customFormat="1" spans="1:20">
      <c r="A79" s="3" t="s">
        <v>2047</v>
      </c>
      <c r="B79" s="3" t="s">
        <v>1587</v>
      </c>
      <c r="C79" s="3" t="s">
        <v>1768</v>
      </c>
      <c r="D79" s="3" t="s">
        <v>1483</v>
      </c>
      <c r="E79" s="3" t="s">
        <v>1484</v>
      </c>
      <c r="F79" s="3" t="s">
        <v>1589</v>
      </c>
      <c r="G79" s="3" t="s">
        <v>2048</v>
      </c>
      <c r="H79" s="3" t="s">
        <v>1770</v>
      </c>
      <c r="I79" s="3" t="s">
        <v>1775</v>
      </c>
      <c r="J79" s="3" t="s">
        <v>2085</v>
      </c>
      <c r="K79" s="3"/>
      <c r="L79" s="3"/>
      <c r="M79" s="3" t="s">
        <v>521</v>
      </c>
      <c r="N79" s="3" t="s">
        <v>1598</v>
      </c>
      <c r="O79" s="3" t="s">
        <v>521</v>
      </c>
      <c r="P79" s="3" t="s">
        <v>2049</v>
      </c>
      <c r="Q79" s="3" t="s">
        <v>1486</v>
      </c>
      <c r="R79" s="5">
        <v>45443</v>
      </c>
      <c r="S79" s="6">
        <v>111200</v>
      </c>
      <c r="T79" s="7">
        <v>0</v>
      </c>
    </row>
    <row r="80" s="1" customFormat="1" spans="1:20">
      <c r="A80" s="3" t="s">
        <v>2047</v>
      </c>
      <c r="B80" s="3"/>
      <c r="C80" s="3" t="s">
        <v>1768</v>
      </c>
      <c r="D80" s="3" t="s">
        <v>1483</v>
      </c>
      <c r="E80" s="3" t="s">
        <v>1484</v>
      </c>
      <c r="F80" s="3" t="s">
        <v>1538</v>
      </c>
      <c r="G80" s="3" t="s">
        <v>2048</v>
      </c>
      <c r="H80" s="3" t="s">
        <v>1770</v>
      </c>
      <c r="I80" s="3" t="s">
        <v>1775</v>
      </c>
      <c r="J80" s="3" t="s">
        <v>2085</v>
      </c>
      <c r="K80" s="3"/>
      <c r="L80" s="3"/>
      <c r="M80" s="3" t="s">
        <v>521</v>
      </c>
      <c r="N80" s="3" t="s">
        <v>1599</v>
      </c>
      <c r="O80" s="3" t="s">
        <v>521</v>
      </c>
      <c r="P80" s="3" t="s">
        <v>2049</v>
      </c>
      <c r="Q80" s="3" t="s">
        <v>1486</v>
      </c>
      <c r="R80" s="5">
        <v>45444</v>
      </c>
      <c r="S80" s="6">
        <v>-111200</v>
      </c>
      <c r="T80" s="7">
        <v>0</v>
      </c>
    </row>
    <row r="81" s="1" customFormat="1" spans="1:20">
      <c r="A81" s="3" t="s">
        <v>2047</v>
      </c>
      <c r="B81" s="3" t="s">
        <v>1587</v>
      </c>
      <c r="C81" s="3" t="s">
        <v>1768</v>
      </c>
      <c r="D81" s="3" t="s">
        <v>1483</v>
      </c>
      <c r="E81" s="3" t="s">
        <v>1484</v>
      </c>
      <c r="F81" s="3" t="s">
        <v>1589</v>
      </c>
      <c r="G81" s="3" t="s">
        <v>2048</v>
      </c>
      <c r="H81" s="3" t="s">
        <v>1770</v>
      </c>
      <c r="I81" s="3" t="s">
        <v>1775</v>
      </c>
      <c r="J81" s="3" t="s">
        <v>2085</v>
      </c>
      <c r="K81" s="3"/>
      <c r="L81" s="3"/>
      <c r="M81" s="3" t="s">
        <v>521</v>
      </c>
      <c r="N81" s="3" t="s">
        <v>1600</v>
      </c>
      <c r="O81" s="3" t="s">
        <v>521</v>
      </c>
      <c r="P81" s="3" t="s">
        <v>2049</v>
      </c>
      <c r="Q81" s="3" t="s">
        <v>1486</v>
      </c>
      <c r="R81" s="5">
        <v>45443</v>
      </c>
      <c r="S81" s="6">
        <v>21852.22</v>
      </c>
      <c r="T81" s="7">
        <v>0</v>
      </c>
    </row>
    <row r="82" s="1" customFormat="1" spans="1:20">
      <c r="A82" s="3" t="s">
        <v>2047</v>
      </c>
      <c r="B82" s="3"/>
      <c r="C82" s="3" t="s">
        <v>1768</v>
      </c>
      <c r="D82" s="3" t="s">
        <v>1483</v>
      </c>
      <c r="E82" s="3" t="s">
        <v>1484</v>
      </c>
      <c r="F82" s="3" t="s">
        <v>1538</v>
      </c>
      <c r="G82" s="3" t="s">
        <v>2048</v>
      </c>
      <c r="H82" s="3" t="s">
        <v>1770</v>
      </c>
      <c r="I82" s="3" t="s">
        <v>1775</v>
      </c>
      <c r="J82" s="3" t="s">
        <v>2085</v>
      </c>
      <c r="K82" s="3"/>
      <c r="L82" s="3"/>
      <c r="M82" s="3" t="s">
        <v>521</v>
      </c>
      <c r="N82" s="3" t="s">
        <v>1601</v>
      </c>
      <c r="O82" s="3" t="s">
        <v>521</v>
      </c>
      <c r="P82" s="3" t="s">
        <v>2049</v>
      </c>
      <c r="Q82" s="3" t="s">
        <v>1486</v>
      </c>
      <c r="R82" s="5">
        <v>45444</v>
      </c>
      <c r="S82" s="6">
        <v>-21852.22</v>
      </c>
      <c r="T82" s="7">
        <v>0</v>
      </c>
    </row>
    <row r="83" s="1" customFormat="1" spans="1:20">
      <c r="A83" s="3" t="s">
        <v>2054</v>
      </c>
      <c r="B83" s="3" t="s">
        <v>1602</v>
      </c>
      <c r="C83" s="3" t="s">
        <v>1768</v>
      </c>
      <c r="D83" s="3" t="s">
        <v>1483</v>
      </c>
      <c r="E83" s="3" t="s">
        <v>1484</v>
      </c>
      <c r="F83" s="3" t="s">
        <v>1604</v>
      </c>
      <c r="G83" s="3" t="s">
        <v>2048</v>
      </c>
      <c r="H83" s="3" t="s">
        <v>1770</v>
      </c>
      <c r="I83" s="3" t="s">
        <v>1775</v>
      </c>
      <c r="J83" s="3" t="s">
        <v>2087</v>
      </c>
      <c r="K83" s="3"/>
      <c r="L83" s="3"/>
      <c r="M83" s="3" t="s">
        <v>521</v>
      </c>
      <c r="N83" s="3" t="s">
        <v>1603</v>
      </c>
      <c r="O83" s="3" t="s">
        <v>521</v>
      </c>
      <c r="P83" s="3" t="s">
        <v>2049</v>
      </c>
      <c r="Q83" s="3" t="s">
        <v>1486</v>
      </c>
      <c r="R83" s="5">
        <v>45437</v>
      </c>
      <c r="S83" s="6">
        <v>27084.45</v>
      </c>
      <c r="T83" s="7">
        <v>0</v>
      </c>
    </row>
    <row r="84" s="1" customFormat="1" spans="1:20">
      <c r="A84" s="3" t="s">
        <v>2055</v>
      </c>
      <c r="B84" s="3" t="s">
        <v>2056</v>
      </c>
      <c r="C84" s="3" t="s">
        <v>1768</v>
      </c>
      <c r="D84" s="3" t="s">
        <v>1483</v>
      </c>
      <c r="E84" s="3" t="s">
        <v>1484</v>
      </c>
      <c r="F84" s="3" t="s">
        <v>2057</v>
      </c>
      <c r="G84" s="3" t="s">
        <v>2048</v>
      </c>
      <c r="H84" s="3" t="s">
        <v>1770</v>
      </c>
      <c r="I84" s="3" t="s">
        <v>1775</v>
      </c>
      <c r="J84" s="3" t="s">
        <v>2085</v>
      </c>
      <c r="K84" s="3"/>
      <c r="L84" s="3"/>
      <c r="M84" s="3" t="s">
        <v>521</v>
      </c>
      <c r="N84" s="3" t="s">
        <v>2058</v>
      </c>
      <c r="O84" s="3" t="s">
        <v>521</v>
      </c>
      <c r="P84" s="3" t="s">
        <v>2049</v>
      </c>
      <c r="Q84" s="3" t="s">
        <v>1486</v>
      </c>
      <c r="R84" s="5">
        <v>45462</v>
      </c>
      <c r="S84" s="6">
        <v>-1463768.07</v>
      </c>
      <c r="T84" s="7">
        <v>0</v>
      </c>
    </row>
    <row r="85" s="1" customFormat="1" spans="1:20">
      <c r="A85" s="3" t="s">
        <v>2047</v>
      </c>
      <c r="B85" s="3" t="s">
        <v>1616</v>
      </c>
      <c r="C85" s="3" t="s">
        <v>1768</v>
      </c>
      <c r="D85" s="3" t="s">
        <v>1483</v>
      </c>
      <c r="E85" s="3" t="s">
        <v>1484</v>
      </c>
      <c r="F85" s="3" t="s">
        <v>1618</v>
      </c>
      <c r="G85" s="3" t="s">
        <v>2048</v>
      </c>
      <c r="H85" s="3" t="s">
        <v>1770</v>
      </c>
      <c r="I85" s="3" t="s">
        <v>1775</v>
      </c>
      <c r="J85" s="3" t="s">
        <v>2085</v>
      </c>
      <c r="K85" s="3"/>
      <c r="L85" s="3"/>
      <c r="M85" s="3" t="s">
        <v>521</v>
      </c>
      <c r="N85" s="3" t="s">
        <v>1619</v>
      </c>
      <c r="O85" s="3" t="s">
        <v>521</v>
      </c>
      <c r="P85" s="3" t="s">
        <v>2049</v>
      </c>
      <c r="Q85" s="3" t="s">
        <v>1486</v>
      </c>
      <c r="R85" s="5">
        <v>45473</v>
      </c>
      <c r="S85" s="6">
        <v>78766.66</v>
      </c>
      <c r="T85" s="7">
        <v>0</v>
      </c>
    </row>
    <row r="86" s="1" customFormat="1" spans="1:20">
      <c r="A86" s="3" t="s">
        <v>2047</v>
      </c>
      <c r="B86" s="3" t="s">
        <v>1616</v>
      </c>
      <c r="C86" s="3" t="s">
        <v>1768</v>
      </c>
      <c r="D86" s="3" t="s">
        <v>1483</v>
      </c>
      <c r="E86" s="3" t="s">
        <v>1484</v>
      </c>
      <c r="F86" s="3" t="s">
        <v>1618</v>
      </c>
      <c r="G86" s="3" t="s">
        <v>2048</v>
      </c>
      <c r="H86" s="3" t="s">
        <v>1770</v>
      </c>
      <c r="I86" s="3" t="s">
        <v>1775</v>
      </c>
      <c r="J86" s="3" t="s">
        <v>2085</v>
      </c>
      <c r="K86" s="3"/>
      <c r="L86" s="3"/>
      <c r="M86" s="3" t="s">
        <v>521</v>
      </c>
      <c r="N86" s="3" t="s">
        <v>1620</v>
      </c>
      <c r="O86" s="3" t="s">
        <v>521</v>
      </c>
      <c r="P86" s="3" t="s">
        <v>2049</v>
      </c>
      <c r="Q86" s="3" t="s">
        <v>1486</v>
      </c>
      <c r="R86" s="5">
        <v>45473</v>
      </c>
      <c r="S86" s="6">
        <v>393833.33</v>
      </c>
      <c r="T86" s="7">
        <v>0</v>
      </c>
    </row>
    <row r="87" s="1" customFormat="1" spans="1:20">
      <c r="A87" s="3" t="s">
        <v>2047</v>
      </c>
      <c r="B87" s="3" t="s">
        <v>1616</v>
      </c>
      <c r="C87" s="3" t="s">
        <v>1768</v>
      </c>
      <c r="D87" s="3" t="s">
        <v>1483</v>
      </c>
      <c r="E87" s="3" t="s">
        <v>1484</v>
      </c>
      <c r="F87" s="3" t="s">
        <v>1618</v>
      </c>
      <c r="G87" s="3" t="s">
        <v>2048</v>
      </c>
      <c r="H87" s="3" t="s">
        <v>1770</v>
      </c>
      <c r="I87" s="3" t="s">
        <v>1775</v>
      </c>
      <c r="J87" s="3" t="s">
        <v>2085</v>
      </c>
      <c r="K87" s="3"/>
      <c r="L87" s="3"/>
      <c r="M87" s="3" t="s">
        <v>521</v>
      </c>
      <c r="N87" s="3" t="s">
        <v>1621</v>
      </c>
      <c r="O87" s="3" t="s">
        <v>521</v>
      </c>
      <c r="P87" s="3" t="s">
        <v>2049</v>
      </c>
      <c r="Q87" s="3" t="s">
        <v>1486</v>
      </c>
      <c r="R87" s="5">
        <v>45473</v>
      </c>
      <c r="S87" s="6">
        <v>31085.56</v>
      </c>
      <c r="T87" s="7">
        <v>0</v>
      </c>
    </row>
    <row r="88" s="1" customFormat="1" spans="1:20">
      <c r="A88" s="3" t="s">
        <v>2047</v>
      </c>
      <c r="B88" s="3" t="s">
        <v>1616</v>
      </c>
      <c r="C88" s="3" t="s">
        <v>1768</v>
      </c>
      <c r="D88" s="3" t="s">
        <v>1483</v>
      </c>
      <c r="E88" s="3" t="s">
        <v>1484</v>
      </c>
      <c r="F88" s="3" t="s">
        <v>1618</v>
      </c>
      <c r="G88" s="3" t="s">
        <v>2048</v>
      </c>
      <c r="H88" s="3" t="s">
        <v>1770</v>
      </c>
      <c r="I88" s="3" t="s">
        <v>1775</v>
      </c>
      <c r="J88" s="3" t="s">
        <v>2085</v>
      </c>
      <c r="K88" s="3"/>
      <c r="L88" s="3"/>
      <c r="M88" s="3" t="s">
        <v>521</v>
      </c>
      <c r="N88" s="3" t="s">
        <v>1617</v>
      </c>
      <c r="O88" s="3" t="s">
        <v>521</v>
      </c>
      <c r="P88" s="3" t="s">
        <v>2049</v>
      </c>
      <c r="Q88" s="3" t="s">
        <v>1486</v>
      </c>
      <c r="R88" s="5">
        <v>45473</v>
      </c>
      <c r="S88" s="6">
        <v>157533.33</v>
      </c>
      <c r="T88" s="7">
        <v>0</v>
      </c>
    </row>
    <row r="89" s="1" customFormat="1" spans="1:20">
      <c r="A89" s="3" t="s">
        <v>2047</v>
      </c>
      <c r="B89" s="3" t="s">
        <v>1634</v>
      </c>
      <c r="C89" s="3" t="s">
        <v>1768</v>
      </c>
      <c r="D89" s="3" t="s">
        <v>1636</v>
      </c>
      <c r="E89" s="3" t="s">
        <v>1637</v>
      </c>
      <c r="F89" s="3" t="s">
        <v>1638</v>
      </c>
      <c r="G89" s="3" t="s">
        <v>2048</v>
      </c>
      <c r="H89" s="3" t="s">
        <v>1770</v>
      </c>
      <c r="I89" s="3" t="s">
        <v>1775</v>
      </c>
      <c r="J89" s="3" t="s">
        <v>2085</v>
      </c>
      <c r="K89" s="3"/>
      <c r="L89" s="3"/>
      <c r="M89" s="3" t="s">
        <v>508</v>
      </c>
      <c r="N89" s="3" t="s">
        <v>1635</v>
      </c>
      <c r="O89" s="3" t="s">
        <v>508</v>
      </c>
      <c r="P89" s="3" t="s">
        <v>2049</v>
      </c>
      <c r="Q89" s="3" t="s">
        <v>1486</v>
      </c>
      <c r="R89" s="5">
        <v>45199</v>
      </c>
      <c r="S89" s="6">
        <v>1937.5</v>
      </c>
      <c r="T89" s="7">
        <v>0</v>
      </c>
    </row>
    <row r="90" s="1" customFormat="1" spans="1:20">
      <c r="A90" s="3" t="s">
        <v>2047</v>
      </c>
      <c r="B90" s="3" t="s">
        <v>1639</v>
      </c>
      <c r="C90" s="3" t="s">
        <v>1768</v>
      </c>
      <c r="D90" s="3" t="s">
        <v>1636</v>
      </c>
      <c r="E90" s="3" t="s">
        <v>1637</v>
      </c>
      <c r="F90" s="3" t="s">
        <v>1641</v>
      </c>
      <c r="G90" s="3" t="s">
        <v>2048</v>
      </c>
      <c r="H90" s="3" t="s">
        <v>1770</v>
      </c>
      <c r="I90" s="3" t="s">
        <v>1775</v>
      </c>
      <c r="J90" s="3" t="s">
        <v>2085</v>
      </c>
      <c r="K90" s="3"/>
      <c r="L90" s="3"/>
      <c r="M90" s="3" t="s">
        <v>508</v>
      </c>
      <c r="N90" s="3" t="s">
        <v>1640</v>
      </c>
      <c r="O90" s="3" t="s">
        <v>508</v>
      </c>
      <c r="P90" s="3" t="s">
        <v>2049</v>
      </c>
      <c r="Q90" s="3" t="s">
        <v>1486</v>
      </c>
      <c r="R90" s="5">
        <v>45200</v>
      </c>
      <c r="S90" s="6">
        <v>-1937.5</v>
      </c>
      <c r="T90" s="7">
        <v>0</v>
      </c>
    </row>
    <row r="91" s="1" customFormat="1" spans="1:20">
      <c r="A91" s="3" t="s">
        <v>2047</v>
      </c>
      <c r="B91" s="3" t="s">
        <v>1642</v>
      </c>
      <c r="C91" s="3" t="s">
        <v>1768</v>
      </c>
      <c r="D91" s="3" t="s">
        <v>1636</v>
      </c>
      <c r="E91" s="3" t="s">
        <v>1637</v>
      </c>
      <c r="F91" s="3" t="s">
        <v>1638</v>
      </c>
      <c r="G91" s="3" t="s">
        <v>2048</v>
      </c>
      <c r="H91" s="3" t="s">
        <v>1770</v>
      </c>
      <c r="I91" s="3" t="s">
        <v>1775</v>
      </c>
      <c r="J91" s="3" t="s">
        <v>2085</v>
      </c>
      <c r="K91" s="3"/>
      <c r="L91" s="3"/>
      <c r="M91" s="3" t="s">
        <v>508</v>
      </c>
      <c r="N91" s="3" t="s">
        <v>1643</v>
      </c>
      <c r="O91" s="3" t="s">
        <v>508</v>
      </c>
      <c r="P91" s="3" t="s">
        <v>2049</v>
      </c>
      <c r="Q91" s="3" t="s">
        <v>1486</v>
      </c>
      <c r="R91" s="5">
        <v>45230</v>
      </c>
      <c r="S91" s="6">
        <v>70525</v>
      </c>
      <c r="T91" s="7">
        <v>0</v>
      </c>
    </row>
    <row r="92" s="1" customFormat="1" spans="1:20">
      <c r="A92" s="3" t="s">
        <v>2047</v>
      </c>
      <c r="B92" s="3"/>
      <c r="C92" s="3" t="s">
        <v>1768</v>
      </c>
      <c r="D92" s="3" t="s">
        <v>1636</v>
      </c>
      <c r="E92" s="3" t="s">
        <v>1637</v>
      </c>
      <c r="F92" s="3" t="s">
        <v>1641</v>
      </c>
      <c r="G92" s="3" t="s">
        <v>2048</v>
      </c>
      <c r="H92" s="3" t="s">
        <v>1770</v>
      </c>
      <c r="I92" s="3" t="s">
        <v>1775</v>
      </c>
      <c r="J92" s="3" t="s">
        <v>2085</v>
      </c>
      <c r="K92" s="3"/>
      <c r="L92" s="3"/>
      <c r="M92" s="3" t="s">
        <v>508</v>
      </c>
      <c r="N92" s="3" t="s">
        <v>1644</v>
      </c>
      <c r="O92" s="3" t="s">
        <v>508</v>
      </c>
      <c r="P92" s="3" t="s">
        <v>2049</v>
      </c>
      <c r="Q92" s="3" t="s">
        <v>1486</v>
      </c>
      <c r="R92" s="5">
        <v>45231</v>
      </c>
      <c r="S92" s="6">
        <v>-70525</v>
      </c>
      <c r="T92" s="7">
        <v>0</v>
      </c>
    </row>
    <row r="93" s="1" customFormat="1" spans="1:20">
      <c r="A93" s="3" t="s">
        <v>2047</v>
      </c>
      <c r="B93" s="3" t="s">
        <v>1642</v>
      </c>
      <c r="C93" s="3" t="s">
        <v>1768</v>
      </c>
      <c r="D93" s="3" t="s">
        <v>1636</v>
      </c>
      <c r="E93" s="3" t="s">
        <v>1637</v>
      </c>
      <c r="F93" s="3" t="s">
        <v>1638</v>
      </c>
      <c r="G93" s="3" t="s">
        <v>2048</v>
      </c>
      <c r="H93" s="3" t="s">
        <v>1770</v>
      </c>
      <c r="I93" s="3" t="s">
        <v>1775</v>
      </c>
      <c r="J93" s="3" t="s">
        <v>2085</v>
      </c>
      <c r="K93" s="3"/>
      <c r="L93" s="3"/>
      <c r="M93" s="3" t="s">
        <v>508</v>
      </c>
      <c r="N93" s="3" t="s">
        <v>1654</v>
      </c>
      <c r="O93" s="3" t="s">
        <v>508</v>
      </c>
      <c r="P93" s="3" t="s">
        <v>2049</v>
      </c>
      <c r="Q93" s="3" t="s">
        <v>1486</v>
      </c>
      <c r="R93" s="5">
        <v>45230</v>
      </c>
      <c r="S93" s="6">
        <v>11947.92</v>
      </c>
      <c r="T93" s="7">
        <v>0</v>
      </c>
    </row>
    <row r="94" s="1" customFormat="1" spans="1:20">
      <c r="A94" s="3" t="s">
        <v>2047</v>
      </c>
      <c r="B94" s="3"/>
      <c r="C94" s="3" t="s">
        <v>1768</v>
      </c>
      <c r="D94" s="3" t="s">
        <v>1636</v>
      </c>
      <c r="E94" s="3" t="s">
        <v>1637</v>
      </c>
      <c r="F94" s="3" t="s">
        <v>1641</v>
      </c>
      <c r="G94" s="3" t="s">
        <v>2048</v>
      </c>
      <c r="H94" s="3" t="s">
        <v>1770</v>
      </c>
      <c r="I94" s="3" t="s">
        <v>1775</v>
      </c>
      <c r="J94" s="3" t="s">
        <v>2085</v>
      </c>
      <c r="K94" s="3"/>
      <c r="L94" s="3"/>
      <c r="M94" s="3" t="s">
        <v>508</v>
      </c>
      <c r="N94" s="3" t="s">
        <v>1655</v>
      </c>
      <c r="O94" s="3" t="s">
        <v>508</v>
      </c>
      <c r="P94" s="3" t="s">
        <v>2049</v>
      </c>
      <c r="Q94" s="3" t="s">
        <v>1486</v>
      </c>
      <c r="R94" s="5">
        <v>45231</v>
      </c>
      <c r="S94" s="6">
        <v>-11947.92</v>
      </c>
      <c r="T94" s="7">
        <v>0</v>
      </c>
    </row>
    <row r="95" s="1" customFormat="1" spans="1:20">
      <c r="A95" s="3" t="s">
        <v>2047</v>
      </c>
      <c r="B95" s="3" t="s">
        <v>1656</v>
      </c>
      <c r="C95" s="3" t="s">
        <v>1768</v>
      </c>
      <c r="D95" s="3" t="s">
        <v>1636</v>
      </c>
      <c r="E95" s="3" t="s">
        <v>1637</v>
      </c>
      <c r="F95" s="3" t="s">
        <v>1658</v>
      </c>
      <c r="G95" s="3" t="s">
        <v>2048</v>
      </c>
      <c r="H95" s="3" t="s">
        <v>1770</v>
      </c>
      <c r="I95" s="3" t="s">
        <v>1775</v>
      </c>
      <c r="J95" s="3" t="s">
        <v>2085</v>
      </c>
      <c r="K95" s="3"/>
      <c r="L95" s="3"/>
      <c r="M95" s="3" t="s">
        <v>508</v>
      </c>
      <c r="N95" s="3" t="s">
        <v>1657</v>
      </c>
      <c r="O95" s="3" t="s">
        <v>508</v>
      </c>
      <c r="P95" s="3" t="s">
        <v>2049</v>
      </c>
      <c r="Q95" s="3" t="s">
        <v>1486</v>
      </c>
      <c r="R95" s="5">
        <v>45253</v>
      </c>
      <c r="S95" s="6">
        <v>19052.08</v>
      </c>
      <c r="T95" s="7">
        <v>0</v>
      </c>
    </row>
    <row r="96" s="1" customFormat="1" spans="1:20">
      <c r="A96" s="3" t="s">
        <v>2047</v>
      </c>
      <c r="B96" s="3" t="s">
        <v>1481</v>
      </c>
      <c r="C96" s="3" t="s">
        <v>1768</v>
      </c>
      <c r="D96" s="3" t="s">
        <v>1636</v>
      </c>
      <c r="E96" s="3" t="s">
        <v>1637</v>
      </c>
      <c r="F96" s="3" t="s">
        <v>1485</v>
      </c>
      <c r="G96" s="3" t="s">
        <v>2048</v>
      </c>
      <c r="H96" s="3" t="s">
        <v>1770</v>
      </c>
      <c r="I96" s="3" t="s">
        <v>1775</v>
      </c>
      <c r="J96" s="3" t="s">
        <v>2085</v>
      </c>
      <c r="K96" s="3"/>
      <c r="L96" s="3"/>
      <c r="M96" s="3" t="s">
        <v>508</v>
      </c>
      <c r="N96" s="3" t="s">
        <v>1659</v>
      </c>
      <c r="O96" s="3" t="s">
        <v>508</v>
      </c>
      <c r="P96" s="3" t="s">
        <v>2049</v>
      </c>
      <c r="Q96" s="3" t="s">
        <v>1486</v>
      </c>
      <c r="R96" s="5">
        <v>45260</v>
      </c>
      <c r="S96" s="6">
        <v>144408.33</v>
      </c>
      <c r="T96" s="7">
        <v>0</v>
      </c>
    </row>
    <row r="97" s="1" customFormat="1" spans="1:20">
      <c r="A97" s="3" t="s">
        <v>2047</v>
      </c>
      <c r="B97" s="3" t="s">
        <v>1481</v>
      </c>
      <c r="C97" s="3" t="s">
        <v>1768</v>
      </c>
      <c r="D97" s="3" t="s">
        <v>1636</v>
      </c>
      <c r="E97" s="3" t="s">
        <v>1637</v>
      </c>
      <c r="F97" s="3" t="s">
        <v>1485</v>
      </c>
      <c r="G97" s="3" t="s">
        <v>2048</v>
      </c>
      <c r="H97" s="3" t="s">
        <v>1770</v>
      </c>
      <c r="I97" s="3" t="s">
        <v>1775</v>
      </c>
      <c r="J97" s="3" t="s">
        <v>2085</v>
      </c>
      <c r="K97" s="3"/>
      <c r="L97" s="3"/>
      <c r="M97" s="3" t="s">
        <v>508</v>
      </c>
      <c r="N97" s="3" t="s">
        <v>1659</v>
      </c>
      <c r="O97" s="3" t="s">
        <v>508</v>
      </c>
      <c r="P97" s="3" t="s">
        <v>2049</v>
      </c>
      <c r="Q97" s="3" t="s">
        <v>1486</v>
      </c>
      <c r="R97" s="5">
        <v>45260</v>
      </c>
      <c r="S97" s="6">
        <v>15672.22</v>
      </c>
      <c r="T97" s="7">
        <v>0</v>
      </c>
    </row>
    <row r="98" s="1" customFormat="1" spans="1:20">
      <c r="A98" s="3" t="s">
        <v>2047</v>
      </c>
      <c r="B98" s="3" t="s">
        <v>1487</v>
      </c>
      <c r="C98" s="3" t="s">
        <v>1768</v>
      </c>
      <c r="D98" s="3" t="s">
        <v>1636</v>
      </c>
      <c r="E98" s="3" t="s">
        <v>1637</v>
      </c>
      <c r="F98" s="3" t="s">
        <v>1489</v>
      </c>
      <c r="G98" s="3" t="s">
        <v>2048</v>
      </c>
      <c r="H98" s="3" t="s">
        <v>1770</v>
      </c>
      <c r="I98" s="3" t="s">
        <v>1775</v>
      </c>
      <c r="J98" s="3" t="s">
        <v>2085</v>
      </c>
      <c r="K98" s="3"/>
      <c r="L98" s="3"/>
      <c r="M98" s="3" t="s">
        <v>508</v>
      </c>
      <c r="N98" s="3" t="s">
        <v>1660</v>
      </c>
      <c r="O98" s="3" t="s">
        <v>508</v>
      </c>
      <c r="P98" s="3" t="s">
        <v>2049</v>
      </c>
      <c r="Q98" s="3" t="s">
        <v>1486</v>
      </c>
      <c r="R98" s="5">
        <v>45261</v>
      </c>
      <c r="S98" s="6">
        <v>-144408.33</v>
      </c>
      <c r="T98" s="7">
        <v>0</v>
      </c>
    </row>
    <row r="99" s="1" customFormat="1" spans="1:20">
      <c r="A99" s="3" t="s">
        <v>2047</v>
      </c>
      <c r="B99" s="3" t="s">
        <v>1487</v>
      </c>
      <c r="C99" s="3" t="s">
        <v>1768</v>
      </c>
      <c r="D99" s="3" t="s">
        <v>1636</v>
      </c>
      <c r="E99" s="3" t="s">
        <v>1637</v>
      </c>
      <c r="F99" s="3" t="s">
        <v>1489</v>
      </c>
      <c r="G99" s="3" t="s">
        <v>2048</v>
      </c>
      <c r="H99" s="3" t="s">
        <v>1770</v>
      </c>
      <c r="I99" s="3" t="s">
        <v>1775</v>
      </c>
      <c r="J99" s="3" t="s">
        <v>2085</v>
      </c>
      <c r="K99" s="3"/>
      <c r="L99" s="3"/>
      <c r="M99" s="3" t="s">
        <v>508</v>
      </c>
      <c r="N99" s="3" t="s">
        <v>1660</v>
      </c>
      <c r="O99" s="3" t="s">
        <v>508</v>
      </c>
      <c r="P99" s="3" t="s">
        <v>2049</v>
      </c>
      <c r="Q99" s="3" t="s">
        <v>1486</v>
      </c>
      <c r="R99" s="5">
        <v>45261</v>
      </c>
      <c r="S99" s="6">
        <v>-15672.22</v>
      </c>
      <c r="T99" s="7">
        <v>0</v>
      </c>
    </row>
    <row r="100" s="1" customFormat="1" spans="1:20">
      <c r="A100" s="3" t="s">
        <v>2047</v>
      </c>
      <c r="B100" s="3" t="s">
        <v>1481</v>
      </c>
      <c r="C100" s="3" t="s">
        <v>1768</v>
      </c>
      <c r="D100" s="3" t="s">
        <v>1636</v>
      </c>
      <c r="E100" s="3" t="s">
        <v>1637</v>
      </c>
      <c r="F100" s="3" t="s">
        <v>1485</v>
      </c>
      <c r="G100" s="3" t="s">
        <v>2048</v>
      </c>
      <c r="H100" s="3" t="s">
        <v>1770</v>
      </c>
      <c r="I100" s="3" t="s">
        <v>1775</v>
      </c>
      <c r="J100" s="3" t="s">
        <v>2085</v>
      </c>
      <c r="K100" s="3"/>
      <c r="L100" s="3"/>
      <c r="M100" s="3" t="s">
        <v>508</v>
      </c>
      <c r="N100" s="3" t="s">
        <v>1661</v>
      </c>
      <c r="O100" s="3" t="s">
        <v>508</v>
      </c>
      <c r="P100" s="3" t="s">
        <v>2049</v>
      </c>
      <c r="Q100" s="3" t="s">
        <v>1486</v>
      </c>
      <c r="R100" s="5">
        <v>45260</v>
      </c>
      <c r="S100" s="6">
        <v>44000</v>
      </c>
      <c r="T100" s="7">
        <v>0</v>
      </c>
    </row>
    <row r="101" s="1" customFormat="1" spans="1:20">
      <c r="A101" s="3" t="s">
        <v>2047</v>
      </c>
      <c r="B101" s="3" t="s">
        <v>1487</v>
      </c>
      <c r="C101" s="3" t="s">
        <v>1768</v>
      </c>
      <c r="D101" s="3" t="s">
        <v>1636</v>
      </c>
      <c r="E101" s="3" t="s">
        <v>1637</v>
      </c>
      <c r="F101" s="3" t="s">
        <v>1489</v>
      </c>
      <c r="G101" s="3" t="s">
        <v>2048</v>
      </c>
      <c r="H101" s="3" t="s">
        <v>1770</v>
      </c>
      <c r="I101" s="3" t="s">
        <v>1775</v>
      </c>
      <c r="J101" s="3" t="s">
        <v>2085</v>
      </c>
      <c r="K101" s="3"/>
      <c r="L101" s="3"/>
      <c r="M101" s="3" t="s">
        <v>508</v>
      </c>
      <c r="N101" s="3" t="s">
        <v>1662</v>
      </c>
      <c r="O101" s="3" t="s">
        <v>508</v>
      </c>
      <c r="P101" s="3" t="s">
        <v>2049</v>
      </c>
      <c r="Q101" s="3" t="s">
        <v>1486</v>
      </c>
      <c r="R101" s="5">
        <v>45261</v>
      </c>
      <c r="S101" s="6">
        <v>-44000</v>
      </c>
      <c r="T101" s="7">
        <v>0</v>
      </c>
    </row>
    <row r="102" s="1" customFormat="1" spans="1:20">
      <c r="A102" s="3" t="s">
        <v>2047</v>
      </c>
      <c r="B102" s="3" t="s">
        <v>1663</v>
      </c>
      <c r="C102" s="3" t="s">
        <v>1768</v>
      </c>
      <c r="D102" s="3" t="s">
        <v>1636</v>
      </c>
      <c r="E102" s="3" t="s">
        <v>1637</v>
      </c>
      <c r="F102" s="3" t="s">
        <v>1665</v>
      </c>
      <c r="G102" s="3" t="s">
        <v>2048</v>
      </c>
      <c r="H102" s="3" t="s">
        <v>1770</v>
      </c>
      <c r="I102" s="3" t="s">
        <v>1775</v>
      </c>
      <c r="J102" s="3" t="s">
        <v>2085</v>
      </c>
      <c r="K102" s="3"/>
      <c r="L102" s="3"/>
      <c r="M102" s="3" t="s">
        <v>508</v>
      </c>
      <c r="N102" s="3" t="s">
        <v>1664</v>
      </c>
      <c r="O102" s="3" t="s">
        <v>508</v>
      </c>
      <c r="P102" s="3" t="s">
        <v>2049</v>
      </c>
      <c r="Q102" s="3" t="s">
        <v>1486</v>
      </c>
      <c r="R102" s="5">
        <v>45275</v>
      </c>
      <c r="S102" s="6">
        <v>-43098.61</v>
      </c>
      <c r="T102" s="7">
        <v>0</v>
      </c>
    </row>
    <row r="103" s="1" customFormat="1" spans="1:20">
      <c r="A103" s="3" t="s">
        <v>2047</v>
      </c>
      <c r="B103" s="3" t="s">
        <v>1666</v>
      </c>
      <c r="C103" s="3" t="s">
        <v>1768</v>
      </c>
      <c r="D103" s="3" t="s">
        <v>1636</v>
      </c>
      <c r="E103" s="3" t="s">
        <v>1637</v>
      </c>
      <c r="F103" s="3" t="s">
        <v>1668</v>
      </c>
      <c r="G103" s="3" t="s">
        <v>2048</v>
      </c>
      <c r="H103" s="3" t="s">
        <v>1770</v>
      </c>
      <c r="I103" s="3" t="s">
        <v>1775</v>
      </c>
      <c r="J103" s="3" t="s">
        <v>2085</v>
      </c>
      <c r="K103" s="3"/>
      <c r="L103" s="3"/>
      <c r="M103" s="3" t="s">
        <v>508</v>
      </c>
      <c r="N103" s="3" t="s">
        <v>1667</v>
      </c>
      <c r="O103" s="3" t="s">
        <v>508</v>
      </c>
      <c r="P103" s="3" t="s">
        <v>2049</v>
      </c>
      <c r="Q103" s="3" t="s">
        <v>1486</v>
      </c>
      <c r="R103" s="5">
        <v>45275</v>
      </c>
      <c r="S103" s="6">
        <v>43098.62</v>
      </c>
      <c r="T103" s="7">
        <v>0</v>
      </c>
    </row>
    <row r="104" s="1" customFormat="1" spans="1:20">
      <c r="A104" s="3" t="s">
        <v>2047</v>
      </c>
      <c r="B104" s="3" t="s">
        <v>1671</v>
      </c>
      <c r="C104" s="3" t="s">
        <v>1768</v>
      </c>
      <c r="D104" s="3" t="s">
        <v>1636</v>
      </c>
      <c r="E104" s="3" t="s">
        <v>1637</v>
      </c>
      <c r="F104" s="3" t="s">
        <v>1673</v>
      </c>
      <c r="G104" s="3" t="s">
        <v>2048</v>
      </c>
      <c r="H104" s="3" t="s">
        <v>1770</v>
      </c>
      <c r="I104" s="3" t="s">
        <v>1775</v>
      </c>
      <c r="J104" s="3" t="s">
        <v>2085</v>
      </c>
      <c r="K104" s="3"/>
      <c r="L104" s="3"/>
      <c r="M104" s="3" t="s">
        <v>508</v>
      </c>
      <c r="N104" s="3" t="s">
        <v>1672</v>
      </c>
      <c r="O104" s="3" t="s">
        <v>508</v>
      </c>
      <c r="P104" s="3" t="s">
        <v>2049</v>
      </c>
      <c r="Q104" s="3" t="s">
        <v>1486</v>
      </c>
      <c r="R104" s="5">
        <v>45279</v>
      </c>
      <c r="S104" s="6">
        <v>96800</v>
      </c>
      <c r="T104" s="7">
        <v>0</v>
      </c>
    </row>
    <row r="105" s="1" customFormat="1" spans="1:20">
      <c r="A105" s="3" t="s">
        <v>2047</v>
      </c>
      <c r="B105" s="3"/>
      <c r="C105" s="3" t="s">
        <v>1768</v>
      </c>
      <c r="D105" s="3" t="s">
        <v>1636</v>
      </c>
      <c r="E105" s="3" t="s">
        <v>1637</v>
      </c>
      <c r="F105" s="3" t="s">
        <v>1675</v>
      </c>
      <c r="G105" s="3" t="s">
        <v>2048</v>
      </c>
      <c r="H105" s="3" t="s">
        <v>1770</v>
      </c>
      <c r="I105" s="3" t="s">
        <v>1775</v>
      </c>
      <c r="J105" s="3" t="s">
        <v>2085</v>
      </c>
      <c r="K105" s="3"/>
      <c r="L105" s="3"/>
      <c r="M105" s="3" t="s">
        <v>508</v>
      </c>
      <c r="N105" s="3" t="s">
        <v>1674</v>
      </c>
      <c r="O105" s="3" t="s">
        <v>508</v>
      </c>
      <c r="P105" s="3" t="s">
        <v>2049</v>
      </c>
      <c r="Q105" s="3" t="s">
        <v>1486</v>
      </c>
      <c r="R105" s="5">
        <v>45285</v>
      </c>
      <c r="S105" s="6">
        <v>17600</v>
      </c>
      <c r="T105" s="7">
        <v>0</v>
      </c>
    </row>
    <row r="106" s="1" customFormat="1" spans="1:20">
      <c r="A106" s="3" t="s">
        <v>2047</v>
      </c>
      <c r="B106" s="3" t="s">
        <v>1663</v>
      </c>
      <c r="C106" s="3" t="s">
        <v>1768</v>
      </c>
      <c r="D106" s="3" t="s">
        <v>1636</v>
      </c>
      <c r="E106" s="3" t="s">
        <v>1637</v>
      </c>
      <c r="F106" s="3" t="s">
        <v>1658</v>
      </c>
      <c r="G106" s="3" t="s">
        <v>2048</v>
      </c>
      <c r="H106" s="3" t="s">
        <v>1770</v>
      </c>
      <c r="I106" s="3" t="s">
        <v>1775</v>
      </c>
      <c r="J106" s="3" t="s">
        <v>2085</v>
      </c>
      <c r="K106" s="3"/>
      <c r="L106" s="3"/>
      <c r="M106" s="3" t="s">
        <v>508</v>
      </c>
      <c r="N106" s="3" t="s">
        <v>1676</v>
      </c>
      <c r="O106" s="3" t="s">
        <v>508</v>
      </c>
      <c r="P106" s="3" t="s">
        <v>2049</v>
      </c>
      <c r="Q106" s="3" t="s">
        <v>1486</v>
      </c>
      <c r="R106" s="5">
        <v>45291</v>
      </c>
      <c r="S106" s="6">
        <v>144408.33</v>
      </c>
      <c r="T106" s="7">
        <v>0</v>
      </c>
    </row>
    <row r="107" s="1" customFormat="1" spans="1:20">
      <c r="A107" s="3" t="s">
        <v>2047</v>
      </c>
      <c r="B107" s="3" t="s">
        <v>1663</v>
      </c>
      <c r="C107" s="3" t="s">
        <v>1768</v>
      </c>
      <c r="D107" s="3" t="s">
        <v>1636</v>
      </c>
      <c r="E107" s="3" t="s">
        <v>1637</v>
      </c>
      <c r="F107" s="3" t="s">
        <v>1658</v>
      </c>
      <c r="G107" s="3" t="s">
        <v>2048</v>
      </c>
      <c r="H107" s="3" t="s">
        <v>1770</v>
      </c>
      <c r="I107" s="3" t="s">
        <v>1775</v>
      </c>
      <c r="J107" s="3" t="s">
        <v>2085</v>
      </c>
      <c r="K107" s="3"/>
      <c r="L107" s="3"/>
      <c r="M107" s="3" t="s">
        <v>508</v>
      </c>
      <c r="N107" s="3" t="s">
        <v>1676</v>
      </c>
      <c r="O107" s="3" t="s">
        <v>508</v>
      </c>
      <c r="P107" s="3" t="s">
        <v>2049</v>
      </c>
      <c r="Q107" s="3" t="s">
        <v>1486</v>
      </c>
      <c r="R107" s="5">
        <v>45291</v>
      </c>
      <c r="S107" s="6">
        <v>43098.61</v>
      </c>
      <c r="T107" s="7">
        <v>0</v>
      </c>
    </row>
    <row r="108" s="1" customFormat="1" spans="1:20">
      <c r="A108" s="3" t="s">
        <v>2059</v>
      </c>
      <c r="B108" s="3" t="s">
        <v>1682</v>
      </c>
      <c r="C108" s="3" t="s">
        <v>1768</v>
      </c>
      <c r="D108" s="3" t="s">
        <v>1679</v>
      </c>
      <c r="E108" s="3" t="s">
        <v>1680</v>
      </c>
      <c r="F108" s="3" t="s">
        <v>1684</v>
      </c>
      <c r="G108" s="3" t="s">
        <v>2048</v>
      </c>
      <c r="H108" s="3" t="s">
        <v>1770</v>
      </c>
      <c r="I108" s="3" t="s">
        <v>1775</v>
      </c>
      <c r="J108" s="3" t="s">
        <v>2085</v>
      </c>
      <c r="K108" s="3"/>
      <c r="L108" s="3"/>
      <c r="M108" s="3" t="s">
        <v>508</v>
      </c>
      <c r="N108" s="3" t="s">
        <v>1683</v>
      </c>
      <c r="O108" s="3" t="s">
        <v>508</v>
      </c>
      <c r="P108" s="3" t="s">
        <v>2049</v>
      </c>
      <c r="Q108" s="3" t="s">
        <v>1486</v>
      </c>
      <c r="R108" s="5">
        <v>45238</v>
      </c>
      <c r="S108" s="6">
        <v>20</v>
      </c>
      <c r="T108" s="7">
        <v>0</v>
      </c>
    </row>
    <row r="109" s="1" customFormat="1" spans="1:20">
      <c r="A109" s="3" t="s">
        <v>2060</v>
      </c>
      <c r="B109" s="3" t="s">
        <v>1690</v>
      </c>
      <c r="C109" s="3" t="s">
        <v>1768</v>
      </c>
      <c r="D109" s="3" t="s">
        <v>1679</v>
      </c>
      <c r="E109" s="3" t="s">
        <v>1680</v>
      </c>
      <c r="F109" s="3" t="s">
        <v>1692</v>
      </c>
      <c r="G109" s="3" t="s">
        <v>2048</v>
      </c>
      <c r="H109" s="3" t="s">
        <v>1770</v>
      </c>
      <c r="I109" s="3" t="s">
        <v>1775</v>
      </c>
      <c r="J109" s="3" t="s">
        <v>2085</v>
      </c>
      <c r="K109" s="3"/>
      <c r="L109" s="3"/>
      <c r="M109" s="3" t="s">
        <v>508</v>
      </c>
      <c r="N109" s="3" t="s">
        <v>1691</v>
      </c>
      <c r="O109" s="3" t="s">
        <v>508</v>
      </c>
      <c r="P109" s="3" t="s">
        <v>2049</v>
      </c>
      <c r="Q109" s="3" t="s">
        <v>1486</v>
      </c>
      <c r="R109" s="5">
        <v>45243</v>
      </c>
      <c r="S109" s="6">
        <v>200</v>
      </c>
      <c r="T109" s="7">
        <v>0</v>
      </c>
    </row>
    <row r="110" s="1" customFormat="1" spans="1:20">
      <c r="A110" s="3" t="s">
        <v>2061</v>
      </c>
      <c r="B110" s="3" t="s">
        <v>1693</v>
      </c>
      <c r="C110" s="3" t="s">
        <v>1768</v>
      </c>
      <c r="D110" s="3" t="s">
        <v>1679</v>
      </c>
      <c r="E110" s="3" t="s">
        <v>1680</v>
      </c>
      <c r="F110" s="3" t="s">
        <v>1695</v>
      </c>
      <c r="G110" s="3" t="s">
        <v>2062</v>
      </c>
      <c r="H110" s="3" t="s">
        <v>1770</v>
      </c>
      <c r="I110" s="3" t="s">
        <v>1775</v>
      </c>
      <c r="J110" s="3" t="s">
        <v>2085</v>
      </c>
      <c r="K110" s="3"/>
      <c r="L110" s="3"/>
      <c r="M110" s="3" t="s">
        <v>508</v>
      </c>
      <c r="N110" s="3" t="s">
        <v>1694</v>
      </c>
      <c r="O110" s="3" t="s">
        <v>508</v>
      </c>
      <c r="P110" s="3" t="s">
        <v>2049</v>
      </c>
      <c r="Q110" s="3" t="s">
        <v>1696</v>
      </c>
      <c r="R110" s="5">
        <v>45272</v>
      </c>
      <c r="S110" s="6">
        <v>15</v>
      </c>
      <c r="T110" s="7">
        <v>0</v>
      </c>
    </row>
    <row r="111" s="1" customFormat="1" spans="1:20">
      <c r="A111" s="3" t="s">
        <v>2063</v>
      </c>
      <c r="B111" s="3" t="s">
        <v>1707</v>
      </c>
      <c r="C111" s="3" t="s">
        <v>1768</v>
      </c>
      <c r="D111" s="3" t="s">
        <v>1679</v>
      </c>
      <c r="E111" s="3" t="s">
        <v>1680</v>
      </c>
      <c r="F111" s="3" t="s">
        <v>1709</v>
      </c>
      <c r="G111" s="3" t="s">
        <v>2062</v>
      </c>
      <c r="H111" s="3" t="s">
        <v>1770</v>
      </c>
      <c r="I111" s="3" t="s">
        <v>1775</v>
      </c>
      <c r="J111" s="3" t="s">
        <v>2085</v>
      </c>
      <c r="K111" s="3"/>
      <c r="L111" s="3"/>
      <c r="M111" s="3" t="s">
        <v>508</v>
      </c>
      <c r="N111" s="3" t="s">
        <v>1708</v>
      </c>
      <c r="O111" s="3" t="s">
        <v>508</v>
      </c>
      <c r="P111" s="3" t="s">
        <v>2049</v>
      </c>
      <c r="Q111" s="3" t="s">
        <v>1696</v>
      </c>
      <c r="R111" s="5">
        <v>45289</v>
      </c>
      <c r="S111" s="6">
        <v>15</v>
      </c>
      <c r="T111" s="7">
        <v>0</v>
      </c>
    </row>
    <row r="112" s="1" customFormat="1" spans="1:20">
      <c r="A112" s="3" t="s">
        <v>2064</v>
      </c>
      <c r="B112" s="3" t="s">
        <v>1710</v>
      </c>
      <c r="C112" s="3" t="s">
        <v>1768</v>
      </c>
      <c r="D112" s="3" t="s">
        <v>1679</v>
      </c>
      <c r="E112" s="3" t="s">
        <v>1680</v>
      </c>
      <c r="F112" s="3" t="s">
        <v>1712</v>
      </c>
      <c r="G112" s="3" t="s">
        <v>2065</v>
      </c>
      <c r="H112" s="3" t="s">
        <v>1770</v>
      </c>
      <c r="I112" s="3" t="s">
        <v>1775</v>
      </c>
      <c r="J112" s="3" t="s">
        <v>2085</v>
      </c>
      <c r="K112" s="3"/>
      <c r="L112" s="3"/>
      <c r="M112" s="3" t="s">
        <v>521</v>
      </c>
      <c r="N112" s="3" t="s">
        <v>1711</v>
      </c>
      <c r="O112" s="3" t="s">
        <v>521</v>
      </c>
      <c r="P112" s="3" t="s">
        <v>2049</v>
      </c>
      <c r="Q112" s="3" t="s">
        <v>1713</v>
      </c>
      <c r="R112" s="5">
        <v>45373</v>
      </c>
      <c r="S112" s="6">
        <v>-3430.45</v>
      </c>
      <c r="T112" s="7">
        <v>0</v>
      </c>
    </row>
    <row r="113" s="1" customFormat="1" spans="1:20">
      <c r="A113" s="3" t="s">
        <v>2066</v>
      </c>
      <c r="B113" s="3" t="s">
        <v>1714</v>
      </c>
      <c r="C113" s="3" t="s">
        <v>1768</v>
      </c>
      <c r="D113" s="3" t="s">
        <v>1679</v>
      </c>
      <c r="E113" s="3" t="s">
        <v>1680</v>
      </c>
      <c r="F113" s="3" t="s">
        <v>1692</v>
      </c>
      <c r="G113" s="3" t="s">
        <v>2062</v>
      </c>
      <c r="H113" s="3" t="s">
        <v>1770</v>
      </c>
      <c r="I113" s="3" t="s">
        <v>1775</v>
      </c>
      <c r="J113" s="3" t="s">
        <v>2085</v>
      </c>
      <c r="K113" s="3"/>
      <c r="L113" s="3"/>
      <c r="M113" s="3" t="s">
        <v>521</v>
      </c>
      <c r="N113" s="3" t="s">
        <v>1715</v>
      </c>
      <c r="O113" s="3" t="s">
        <v>521</v>
      </c>
      <c r="P113" s="3" t="s">
        <v>2049</v>
      </c>
      <c r="Q113" s="3" t="s">
        <v>1696</v>
      </c>
      <c r="R113" s="5">
        <v>45326</v>
      </c>
      <c r="S113" s="6">
        <v>200</v>
      </c>
      <c r="T113" s="7">
        <v>0</v>
      </c>
    </row>
    <row r="114" s="1" customFormat="1" spans="1:20">
      <c r="A114" s="3" t="s">
        <v>2067</v>
      </c>
      <c r="B114" s="3" t="s">
        <v>1718</v>
      </c>
      <c r="C114" s="3" t="s">
        <v>1768</v>
      </c>
      <c r="D114" s="3" t="s">
        <v>1679</v>
      </c>
      <c r="E114" s="3" t="s">
        <v>1680</v>
      </c>
      <c r="F114" s="3" t="s">
        <v>1720</v>
      </c>
      <c r="G114" s="3" t="s">
        <v>2065</v>
      </c>
      <c r="H114" s="3" t="s">
        <v>1770</v>
      </c>
      <c r="I114" s="3" t="s">
        <v>1775</v>
      </c>
      <c r="J114" s="3" t="s">
        <v>2085</v>
      </c>
      <c r="K114" s="3"/>
      <c r="L114" s="3"/>
      <c r="M114" s="3" t="s">
        <v>508</v>
      </c>
      <c r="N114" s="3" t="s">
        <v>1719</v>
      </c>
      <c r="O114" s="3" t="s">
        <v>508</v>
      </c>
      <c r="P114" s="3" t="s">
        <v>2049</v>
      </c>
      <c r="Q114" s="3" t="s">
        <v>1713</v>
      </c>
      <c r="R114" s="5">
        <v>45286</v>
      </c>
      <c r="S114" s="6">
        <v>-2708.04</v>
      </c>
      <c r="T114" s="7">
        <v>0</v>
      </c>
    </row>
    <row r="115" s="1" customFormat="1" spans="1:20">
      <c r="A115" s="3" t="s">
        <v>2068</v>
      </c>
      <c r="B115" s="3" t="s">
        <v>1721</v>
      </c>
      <c r="C115" s="3" t="s">
        <v>1768</v>
      </c>
      <c r="D115" s="3" t="s">
        <v>1679</v>
      </c>
      <c r="E115" s="3" t="s">
        <v>1680</v>
      </c>
      <c r="F115" s="3" t="s">
        <v>1723</v>
      </c>
      <c r="G115" s="3" t="s">
        <v>2062</v>
      </c>
      <c r="H115" s="3" t="s">
        <v>1770</v>
      </c>
      <c r="I115" s="3" t="s">
        <v>1775</v>
      </c>
      <c r="J115" s="3" t="s">
        <v>2085</v>
      </c>
      <c r="K115" s="3"/>
      <c r="L115" s="3"/>
      <c r="M115" s="3" t="s">
        <v>508</v>
      </c>
      <c r="N115" s="3" t="s">
        <v>1722</v>
      </c>
      <c r="O115" s="3" t="s">
        <v>508</v>
      </c>
      <c r="P115" s="3" t="s">
        <v>2049</v>
      </c>
      <c r="Q115" s="3" t="s">
        <v>1696</v>
      </c>
      <c r="R115" s="5">
        <v>45286</v>
      </c>
      <c r="S115" s="6">
        <v>15</v>
      </c>
      <c r="T115" s="7">
        <v>0</v>
      </c>
    </row>
    <row r="116" s="1" customFormat="1" spans="1:20">
      <c r="A116" s="3" t="s">
        <v>2069</v>
      </c>
      <c r="B116" s="3" t="s">
        <v>1724</v>
      </c>
      <c r="C116" s="3" t="s">
        <v>1768</v>
      </c>
      <c r="D116" s="3" t="s">
        <v>1679</v>
      </c>
      <c r="E116" s="3" t="s">
        <v>1680</v>
      </c>
      <c r="F116" s="3" t="s">
        <v>1726</v>
      </c>
      <c r="G116" s="3" t="s">
        <v>2065</v>
      </c>
      <c r="H116" s="3" t="s">
        <v>1770</v>
      </c>
      <c r="I116" s="3" t="s">
        <v>1775</v>
      </c>
      <c r="J116" s="3" t="s">
        <v>2085</v>
      </c>
      <c r="K116" s="3"/>
      <c r="L116" s="3"/>
      <c r="M116" s="3" t="s">
        <v>508</v>
      </c>
      <c r="N116" s="3" t="s">
        <v>1725</v>
      </c>
      <c r="O116" s="3" t="s">
        <v>508</v>
      </c>
      <c r="P116" s="3" t="s">
        <v>2049</v>
      </c>
      <c r="Q116" s="3" t="s">
        <v>1713</v>
      </c>
      <c r="R116" s="5">
        <v>45286</v>
      </c>
      <c r="S116" s="6">
        <v>-24.79</v>
      </c>
      <c r="T116" s="7">
        <v>0</v>
      </c>
    </row>
    <row r="117" s="1" customFormat="1" spans="1:20">
      <c r="A117" s="3" t="s">
        <v>2070</v>
      </c>
      <c r="B117" s="3" t="s">
        <v>1727</v>
      </c>
      <c r="C117" s="3" t="s">
        <v>1768</v>
      </c>
      <c r="D117" s="3" t="s">
        <v>1679</v>
      </c>
      <c r="E117" s="3" t="s">
        <v>1680</v>
      </c>
      <c r="F117" s="3" t="s">
        <v>1729</v>
      </c>
      <c r="G117" s="3" t="s">
        <v>2065</v>
      </c>
      <c r="H117" s="3" t="s">
        <v>1770</v>
      </c>
      <c r="I117" s="3" t="s">
        <v>1775</v>
      </c>
      <c r="J117" s="3" t="s">
        <v>2085</v>
      </c>
      <c r="K117" s="3"/>
      <c r="L117" s="3"/>
      <c r="M117" s="3" t="s">
        <v>508</v>
      </c>
      <c r="N117" s="3" t="s">
        <v>1728</v>
      </c>
      <c r="O117" s="3" t="s">
        <v>508</v>
      </c>
      <c r="P117" s="3" t="s">
        <v>2049</v>
      </c>
      <c r="Q117" s="3" t="s">
        <v>1713</v>
      </c>
      <c r="R117" s="5">
        <v>45286</v>
      </c>
      <c r="S117" s="6">
        <v>-4013.82</v>
      </c>
      <c r="T117" s="7">
        <v>0</v>
      </c>
    </row>
    <row r="118" s="1" customFormat="1" spans="1:20">
      <c r="A118" s="3" t="s">
        <v>2071</v>
      </c>
      <c r="B118" s="3" t="s">
        <v>1730</v>
      </c>
      <c r="C118" s="3" t="s">
        <v>1768</v>
      </c>
      <c r="D118" s="3" t="s">
        <v>1679</v>
      </c>
      <c r="E118" s="3" t="s">
        <v>1680</v>
      </c>
      <c r="F118" s="3" t="s">
        <v>1732</v>
      </c>
      <c r="G118" s="3" t="s">
        <v>2062</v>
      </c>
      <c r="H118" s="3" t="s">
        <v>1770</v>
      </c>
      <c r="I118" s="3" t="s">
        <v>1775</v>
      </c>
      <c r="J118" s="3" t="s">
        <v>2085</v>
      </c>
      <c r="K118" s="3"/>
      <c r="L118" s="3"/>
      <c r="M118" s="3" t="s">
        <v>508</v>
      </c>
      <c r="N118" s="3" t="s">
        <v>1731</v>
      </c>
      <c r="O118" s="3" t="s">
        <v>508</v>
      </c>
      <c r="P118" s="3" t="s">
        <v>2049</v>
      </c>
      <c r="Q118" s="3" t="s">
        <v>1696</v>
      </c>
      <c r="R118" s="5">
        <v>45226</v>
      </c>
      <c r="S118" s="6">
        <v>718</v>
      </c>
      <c r="T118" s="7">
        <v>0</v>
      </c>
    </row>
    <row r="119" s="1" customFormat="1" spans="1:20">
      <c r="A119" s="3" t="s">
        <v>2072</v>
      </c>
      <c r="B119" s="3" t="s">
        <v>1735</v>
      </c>
      <c r="C119" s="3" t="s">
        <v>1768</v>
      </c>
      <c r="D119" s="3" t="s">
        <v>1679</v>
      </c>
      <c r="E119" s="3" t="s">
        <v>1680</v>
      </c>
      <c r="F119" s="3" t="s">
        <v>1737</v>
      </c>
      <c r="G119" s="3" t="s">
        <v>2062</v>
      </c>
      <c r="H119" s="3" t="s">
        <v>1770</v>
      </c>
      <c r="I119" s="3" t="s">
        <v>1775</v>
      </c>
      <c r="J119" s="3" t="s">
        <v>2085</v>
      </c>
      <c r="K119" s="3"/>
      <c r="L119" s="3"/>
      <c r="M119" s="3" t="s">
        <v>508</v>
      </c>
      <c r="N119" s="3" t="s">
        <v>1736</v>
      </c>
      <c r="O119" s="3" t="s">
        <v>508</v>
      </c>
      <c r="P119" s="3" t="s">
        <v>2049</v>
      </c>
      <c r="Q119" s="3" t="s">
        <v>1696</v>
      </c>
      <c r="R119" s="5">
        <v>45251</v>
      </c>
      <c r="S119" s="6">
        <v>20</v>
      </c>
      <c r="T119" s="7">
        <v>0</v>
      </c>
    </row>
    <row r="120" s="1" customFormat="1" spans="1:20">
      <c r="A120" s="3" t="s">
        <v>2073</v>
      </c>
      <c r="B120" s="3" t="s">
        <v>1738</v>
      </c>
      <c r="C120" s="3" t="s">
        <v>1768</v>
      </c>
      <c r="D120" s="3" t="s">
        <v>1679</v>
      </c>
      <c r="E120" s="3" t="s">
        <v>1680</v>
      </c>
      <c r="F120" s="3" t="s">
        <v>1740</v>
      </c>
      <c r="G120" s="3" t="s">
        <v>2062</v>
      </c>
      <c r="H120" s="3" t="s">
        <v>1770</v>
      </c>
      <c r="I120" s="3" t="s">
        <v>1775</v>
      </c>
      <c r="J120" s="3" t="s">
        <v>2085</v>
      </c>
      <c r="K120" s="3"/>
      <c r="L120" s="3"/>
      <c r="M120" s="3" t="s">
        <v>508</v>
      </c>
      <c r="N120" s="3" t="s">
        <v>1739</v>
      </c>
      <c r="O120" s="3" t="s">
        <v>508</v>
      </c>
      <c r="P120" s="3" t="s">
        <v>2049</v>
      </c>
      <c r="Q120" s="3" t="s">
        <v>1696</v>
      </c>
      <c r="R120" s="5">
        <v>45264</v>
      </c>
      <c r="S120" s="6">
        <v>150</v>
      </c>
      <c r="T120" s="7">
        <v>0</v>
      </c>
    </row>
    <row r="121" s="1" customFormat="1" spans="1:20">
      <c r="A121" s="3" t="s">
        <v>2074</v>
      </c>
      <c r="B121" s="3" t="s">
        <v>1741</v>
      </c>
      <c r="C121" s="3" t="s">
        <v>1768</v>
      </c>
      <c r="D121" s="3" t="s">
        <v>1679</v>
      </c>
      <c r="E121" s="3" t="s">
        <v>1680</v>
      </c>
      <c r="F121" s="3" t="s">
        <v>1743</v>
      </c>
      <c r="G121" s="3" t="s">
        <v>2062</v>
      </c>
      <c r="H121" s="3" t="s">
        <v>1770</v>
      </c>
      <c r="I121" s="3" t="s">
        <v>1775</v>
      </c>
      <c r="J121" s="3" t="s">
        <v>2085</v>
      </c>
      <c r="K121" s="3"/>
      <c r="L121" s="3"/>
      <c r="M121" s="3" t="s">
        <v>508</v>
      </c>
      <c r="N121" s="3" t="s">
        <v>1742</v>
      </c>
      <c r="O121" s="3" t="s">
        <v>508</v>
      </c>
      <c r="P121" s="3" t="s">
        <v>2049</v>
      </c>
      <c r="Q121" s="3" t="s">
        <v>1696</v>
      </c>
      <c r="R121" s="5">
        <v>45286</v>
      </c>
      <c r="S121" s="6">
        <v>50</v>
      </c>
      <c r="T121" s="7">
        <v>0</v>
      </c>
    </row>
    <row r="122" s="1" customFormat="1" spans="1:20">
      <c r="A122" s="3" t="s">
        <v>2075</v>
      </c>
      <c r="B122" s="3" t="s">
        <v>1744</v>
      </c>
      <c r="C122" s="3" t="s">
        <v>1768</v>
      </c>
      <c r="D122" s="3" t="s">
        <v>1679</v>
      </c>
      <c r="E122" s="3" t="s">
        <v>1680</v>
      </c>
      <c r="F122" s="3" t="s">
        <v>1746</v>
      </c>
      <c r="G122" s="3" t="s">
        <v>2065</v>
      </c>
      <c r="H122" s="3" t="s">
        <v>1770</v>
      </c>
      <c r="I122" s="3" t="s">
        <v>1775</v>
      </c>
      <c r="J122" s="3" t="s">
        <v>2085</v>
      </c>
      <c r="K122" s="3"/>
      <c r="L122" s="3"/>
      <c r="M122" s="3" t="s">
        <v>521</v>
      </c>
      <c r="N122" s="3" t="s">
        <v>1745</v>
      </c>
      <c r="O122" s="3" t="s">
        <v>521</v>
      </c>
      <c r="P122" s="3" t="s">
        <v>2049</v>
      </c>
      <c r="Q122" s="3" t="s">
        <v>1713</v>
      </c>
      <c r="R122" s="5">
        <v>45373</v>
      </c>
      <c r="S122" s="6">
        <v>-90.64</v>
      </c>
      <c r="T122" s="7">
        <v>0</v>
      </c>
    </row>
    <row r="123" s="1" customFormat="1" spans="1:20">
      <c r="A123" s="3" t="s">
        <v>2076</v>
      </c>
      <c r="B123" s="3" t="s">
        <v>1747</v>
      </c>
      <c r="C123" s="3" t="s">
        <v>1768</v>
      </c>
      <c r="D123" s="3" t="s">
        <v>1679</v>
      </c>
      <c r="E123" s="3" t="s">
        <v>1680</v>
      </c>
      <c r="F123" s="3" t="s">
        <v>1749</v>
      </c>
      <c r="G123" s="3" t="s">
        <v>2065</v>
      </c>
      <c r="H123" s="3" t="s">
        <v>1770</v>
      </c>
      <c r="I123" s="3" t="s">
        <v>1775</v>
      </c>
      <c r="J123" s="3" t="s">
        <v>2085</v>
      </c>
      <c r="K123" s="3"/>
      <c r="L123" s="3"/>
      <c r="M123" s="3" t="s">
        <v>521</v>
      </c>
      <c r="N123" s="3" t="s">
        <v>1748</v>
      </c>
      <c r="O123" s="3" t="s">
        <v>521</v>
      </c>
      <c r="P123" s="3" t="s">
        <v>2049</v>
      </c>
      <c r="Q123" s="3" t="s">
        <v>1713</v>
      </c>
      <c r="R123" s="5">
        <v>45373</v>
      </c>
      <c r="S123" s="6">
        <v>-596.07</v>
      </c>
      <c r="T123" s="7">
        <v>0</v>
      </c>
    </row>
    <row r="124" s="1" customFormat="1" spans="1:20">
      <c r="A124" s="3" t="s">
        <v>1931</v>
      </c>
      <c r="B124" s="3" t="s">
        <v>1750</v>
      </c>
      <c r="C124" s="3" t="s">
        <v>1768</v>
      </c>
      <c r="D124" s="3" t="s">
        <v>1679</v>
      </c>
      <c r="E124" s="3" t="s">
        <v>1680</v>
      </c>
      <c r="F124" s="3" t="s">
        <v>1752</v>
      </c>
      <c r="G124" s="3" t="s">
        <v>2065</v>
      </c>
      <c r="H124" s="3" t="s">
        <v>1770</v>
      </c>
      <c r="I124" s="3" t="s">
        <v>1775</v>
      </c>
      <c r="J124" s="3" t="s">
        <v>2085</v>
      </c>
      <c r="K124" s="3"/>
      <c r="L124" s="3"/>
      <c r="M124" s="3" t="s">
        <v>521</v>
      </c>
      <c r="N124" s="3" t="s">
        <v>1751</v>
      </c>
      <c r="O124" s="3" t="s">
        <v>521</v>
      </c>
      <c r="P124" s="3" t="s">
        <v>2049</v>
      </c>
      <c r="Q124" s="3" t="s">
        <v>1713</v>
      </c>
      <c r="R124" s="5">
        <v>45376</v>
      </c>
      <c r="S124" s="6">
        <v>-68.82</v>
      </c>
      <c r="T124" s="7">
        <v>0</v>
      </c>
    </row>
    <row r="125" s="1" customFormat="1" spans="1:20">
      <c r="A125" s="3" t="s">
        <v>2077</v>
      </c>
      <c r="B125" s="3" t="s">
        <v>1753</v>
      </c>
      <c r="C125" s="3" t="s">
        <v>1768</v>
      </c>
      <c r="D125" s="3" t="s">
        <v>1679</v>
      </c>
      <c r="E125" s="3" t="s">
        <v>1680</v>
      </c>
      <c r="F125" s="3" t="s">
        <v>1755</v>
      </c>
      <c r="G125" s="3" t="s">
        <v>2062</v>
      </c>
      <c r="H125" s="3" t="s">
        <v>1770</v>
      </c>
      <c r="I125" s="3" t="s">
        <v>1775</v>
      </c>
      <c r="J125" s="3" t="s">
        <v>2085</v>
      </c>
      <c r="K125" s="3"/>
      <c r="L125" s="3"/>
      <c r="M125" s="3" t="s">
        <v>521</v>
      </c>
      <c r="N125" s="3" t="s">
        <v>1754</v>
      </c>
      <c r="O125" s="3" t="s">
        <v>521</v>
      </c>
      <c r="P125" s="3" t="s">
        <v>2049</v>
      </c>
      <c r="Q125" s="3" t="s">
        <v>1696</v>
      </c>
      <c r="R125" s="5">
        <v>45307</v>
      </c>
      <c r="S125" s="6">
        <v>632.96</v>
      </c>
      <c r="T125" s="7">
        <v>0</v>
      </c>
    </row>
    <row r="126" s="1" customFormat="1" spans="1:20">
      <c r="A126" s="3" t="s">
        <v>2078</v>
      </c>
      <c r="B126" s="3" t="s">
        <v>1756</v>
      </c>
      <c r="C126" s="3" t="s">
        <v>1768</v>
      </c>
      <c r="D126" s="3" t="s">
        <v>1679</v>
      </c>
      <c r="E126" s="3" t="s">
        <v>1680</v>
      </c>
      <c r="F126" s="3" t="s">
        <v>1692</v>
      </c>
      <c r="G126" s="3" t="s">
        <v>2062</v>
      </c>
      <c r="H126" s="3" t="s">
        <v>1770</v>
      </c>
      <c r="I126" s="3" t="s">
        <v>1775</v>
      </c>
      <c r="J126" s="3" t="s">
        <v>2085</v>
      </c>
      <c r="K126" s="3"/>
      <c r="L126" s="3"/>
      <c r="M126" s="3" t="s">
        <v>521</v>
      </c>
      <c r="N126" s="3" t="s">
        <v>1757</v>
      </c>
      <c r="O126" s="3" t="s">
        <v>521</v>
      </c>
      <c r="P126" s="3" t="s">
        <v>2049</v>
      </c>
      <c r="Q126" s="3" t="s">
        <v>1696</v>
      </c>
      <c r="R126" s="5">
        <v>45317</v>
      </c>
      <c r="S126" s="6">
        <v>200</v>
      </c>
      <c r="T126" s="7">
        <v>0</v>
      </c>
    </row>
    <row r="127" s="1" customFormat="1" spans="1:20">
      <c r="A127" s="3" t="s">
        <v>2029</v>
      </c>
      <c r="B127" s="3" t="s">
        <v>980</v>
      </c>
      <c r="C127" s="3" t="s">
        <v>1768</v>
      </c>
      <c r="D127" s="3" t="s">
        <v>982</v>
      </c>
      <c r="E127" s="3" t="s">
        <v>983</v>
      </c>
      <c r="F127" s="3" t="s">
        <v>984</v>
      </c>
      <c r="G127" s="3" t="s">
        <v>2030</v>
      </c>
      <c r="H127" s="3" t="s">
        <v>1770</v>
      </c>
      <c r="I127" s="3" t="s">
        <v>1775</v>
      </c>
      <c r="J127" s="3" t="s">
        <v>2085</v>
      </c>
      <c r="K127" s="3"/>
      <c r="L127" s="3"/>
      <c r="M127" s="3" t="s">
        <v>521</v>
      </c>
      <c r="N127" s="3" t="s">
        <v>981</v>
      </c>
      <c r="O127" s="3" t="s">
        <v>521</v>
      </c>
      <c r="P127" s="3" t="s">
        <v>985</v>
      </c>
      <c r="Q127" s="3" t="s">
        <v>985</v>
      </c>
      <c r="R127" s="5">
        <v>45345</v>
      </c>
      <c r="S127" s="6">
        <v>3345.19</v>
      </c>
      <c r="T127" s="7">
        <v>3</v>
      </c>
    </row>
    <row r="128" s="1" customFormat="1" spans="1:20">
      <c r="A128" s="3" t="s">
        <v>2031</v>
      </c>
      <c r="B128" s="3" t="s">
        <v>1387</v>
      </c>
      <c r="C128" s="3" t="s">
        <v>1768</v>
      </c>
      <c r="D128" s="3" t="s">
        <v>1389</v>
      </c>
      <c r="E128" s="3" t="s">
        <v>1390</v>
      </c>
      <c r="F128" s="3" t="s">
        <v>427</v>
      </c>
      <c r="G128" s="3" t="s">
        <v>2030</v>
      </c>
      <c r="H128" s="3" t="s">
        <v>1770</v>
      </c>
      <c r="I128" s="3" t="s">
        <v>1775</v>
      </c>
      <c r="J128" s="3" t="s">
        <v>2085</v>
      </c>
      <c r="K128" s="3"/>
      <c r="L128" s="3"/>
      <c r="M128" s="3" t="s">
        <v>521</v>
      </c>
      <c r="N128" s="3" t="s">
        <v>1388</v>
      </c>
      <c r="O128" s="3" t="s">
        <v>521</v>
      </c>
      <c r="P128" s="3" t="s">
        <v>985</v>
      </c>
      <c r="Q128" s="3" t="s">
        <v>985</v>
      </c>
      <c r="R128" s="5">
        <v>45429</v>
      </c>
      <c r="S128" s="6">
        <v>5299.15</v>
      </c>
      <c r="T128" s="7">
        <v>0</v>
      </c>
    </row>
    <row r="129" s="1" customFormat="1" spans="1:20">
      <c r="A129" s="3" t="s">
        <v>2032</v>
      </c>
      <c r="B129" s="3" t="s">
        <v>428</v>
      </c>
      <c r="C129" s="3" t="s">
        <v>1768</v>
      </c>
      <c r="D129" s="3" t="s">
        <v>1389</v>
      </c>
      <c r="E129" s="3" t="s">
        <v>1390</v>
      </c>
      <c r="F129" s="3" t="s">
        <v>429</v>
      </c>
      <c r="G129" s="3" t="s">
        <v>2030</v>
      </c>
      <c r="H129" s="3" t="s">
        <v>1770</v>
      </c>
      <c r="I129" s="3" t="s">
        <v>1775</v>
      </c>
      <c r="J129" s="3" t="s">
        <v>2085</v>
      </c>
      <c r="K129" s="3"/>
      <c r="L129" s="3"/>
      <c r="M129" s="3" t="s">
        <v>521</v>
      </c>
      <c r="N129" s="3" t="s">
        <v>1391</v>
      </c>
      <c r="O129" s="3" t="s">
        <v>521</v>
      </c>
      <c r="P129" s="3" t="s">
        <v>985</v>
      </c>
      <c r="Q129" s="3" t="s">
        <v>985</v>
      </c>
      <c r="R129" s="5">
        <v>45429</v>
      </c>
      <c r="S129" s="6">
        <v>1196.7</v>
      </c>
      <c r="T129" s="7">
        <v>0</v>
      </c>
    </row>
    <row r="130" s="1" customFormat="1" spans="1:20">
      <c r="A130" s="3" t="s">
        <v>2033</v>
      </c>
      <c r="B130" s="3" t="s">
        <v>430</v>
      </c>
      <c r="C130" s="3" t="s">
        <v>1768</v>
      </c>
      <c r="D130" s="3" t="s">
        <v>1389</v>
      </c>
      <c r="E130" s="3" t="s">
        <v>1390</v>
      </c>
      <c r="F130" s="3" t="s">
        <v>1393</v>
      </c>
      <c r="G130" s="3" t="s">
        <v>2030</v>
      </c>
      <c r="H130" s="3" t="s">
        <v>1770</v>
      </c>
      <c r="I130" s="3" t="s">
        <v>1775</v>
      </c>
      <c r="J130" s="3" t="s">
        <v>2085</v>
      </c>
      <c r="K130" s="3"/>
      <c r="L130" s="3"/>
      <c r="M130" s="3" t="s">
        <v>521</v>
      </c>
      <c r="N130" s="3" t="s">
        <v>1392</v>
      </c>
      <c r="O130" s="3" t="s">
        <v>521</v>
      </c>
      <c r="P130" s="3" t="s">
        <v>985</v>
      </c>
      <c r="Q130" s="3" t="s">
        <v>985</v>
      </c>
      <c r="R130" s="5">
        <v>45429</v>
      </c>
      <c r="S130" s="6">
        <v>10045.06</v>
      </c>
      <c r="T130" s="7">
        <v>0</v>
      </c>
    </row>
    <row r="131" s="1" customFormat="1" spans="1:20">
      <c r="A131" s="3" t="s">
        <v>2034</v>
      </c>
      <c r="B131" s="3" t="s">
        <v>432</v>
      </c>
      <c r="C131" s="3" t="s">
        <v>1768</v>
      </c>
      <c r="D131" s="3" t="s">
        <v>1389</v>
      </c>
      <c r="E131" s="3" t="s">
        <v>1390</v>
      </c>
      <c r="F131" s="3" t="s">
        <v>433</v>
      </c>
      <c r="G131" s="3" t="s">
        <v>2030</v>
      </c>
      <c r="H131" s="3" t="s">
        <v>1770</v>
      </c>
      <c r="I131" s="3" t="s">
        <v>1775</v>
      </c>
      <c r="J131" s="3" t="s">
        <v>2085</v>
      </c>
      <c r="K131" s="3"/>
      <c r="L131" s="3"/>
      <c r="M131" s="3" t="s">
        <v>521</v>
      </c>
      <c r="N131" s="3" t="s">
        <v>1394</v>
      </c>
      <c r="O131" s="3" t="s">
        <v>521</v>
      </c>
      <c r="P131" s="3" t="s">
        <v>985</v>
      </c>
      <c r="Q131" s="3" t="s">
        <v>985</v>
      </c>
      <c r="R131" s="5">
        <v>45429</v>
      </c>
      <c r="S131" s="6">
        <v>2654.87</v>
      </c>
      <c r="T131" s="7">
        <v>0</v>
      </c>
    </row>
    <row r="132" s="1" customFormat="1" spans="1:20">
      <c r="A132" s="3" t="s">
        <v>2035</v>
      </c>
      <c r="B132" s="3" t="s">
        <v>434</v>
      </c>
      <c r="C132" s="3" t="s">
        <v>1768</v>
      </c>
      <c r="D132" s="3" t="s">
        <v>1389</v>
      </c>
      <c r="E132" s="3" t="s">
        <v>1390</v>
      </c>
      <c r="F132" s="3" t="s">
        <v>435</v>
      </c>
      <c r="G132" s="3" t="s">
        <v>2030</v>
      </c>
      <c r="H132" s="3" t="s">
        <v>1770</v>
      </c>
      <c r="I132" s="3" t="s">
        <v>1775</v>
      </c>
      <c r="J132" s="3" t="s">
        <v>2085</v>
      </c>
      <c r="K132" s="3"/>
      <c r="L132" s="3"/>
      <c r="M132" s="3" t="s">
        <v>521</v>
      </c>
      <c r="N132" s="3" t="s">
        <v>1395</v>
      </c>
      <c r="O132" s="3" t="s">
        <v>521</v>
      </c>
      <c r="P132" s="3" t="s">
        <v>985</v>
      </c>
      <c r="Q132" s="3" t="s">
        <v>985</v>
      </c>
      <c r="R132" s="5">
        <v>45429</v>
      </c>
      <c r="S132" s="6">
        <v>9551.14</v>
      </c>
      <c r="T132" s="7">
        <v>0</v>
      </c>
    </row>
    <row r="133" s="1" customFormat="1" spans="1:20">
      <c r="A133" s="3" t="s">
        <v>2036</v>
      </c>
      <c r="B133" s="3" t="s">
        <v>436</v>
      </c>
      <c r="C133" s="3" t="s">
        <v>1768</v>
      </c>
      <c r="D133" s="3" t="s">
        <v>1389</v>
      </c>
      <c r="E133" s="3" t="s">
        <v>1390</v>
      </c>
      <c r="F133" s="3" t="s">
        <v>1397</v>
      </c>
      <c r="G133" s="3" t="s">
        <v>2030</v>
      </c>
      <c r="H133" s="3" t="s">
        <v>1770</v>
      </c>
      <c r="I133" s="3" t="s">
        <v>1775</v>
      </c>
      <c r="J133" s="3" t="s">
        <v>2085</v>
      </c>
      <c r="K133" s="3"/>
      <c r="L133" s="3"/>
      <c r="M133" s="3" t="s">
        <v>521</v>
      </c>
      <c r="N133" s="3" t="s">
        <v>1396</v>
      </c>
      <c r="O133" s="3" t="s">
        <v>521</v>
      </c>
      <c r="P133" s="3" t="s">
        <v>985</v>
      </c>
      <c r="Q133" s="3" t="s">
        <v>985</v>
      </c>
      <c r="R133" s="5">
        <v>45429</v>
      </c>
      <c r="S133" s="6">
        <v>19400.34</v>
      </c>
      <c r="T133" s="7">
        <v>0</v>
      </c>
    </row>
    <row r="134" s="1" customFormat="1" spans="1:20">
      <c r="A134" s="3" t="s">
        <v>2037</v>
      </c>
      <c r="B134" s="3" t="s">
        <v>441</v>
      </c>
      <c r="C134" s="3" t="s">
        <v>1768</v>
      </c>
      <c r="D134" s="3" t="s">
        <v>1389</v>
      </c>
      <c r="E134" s="3" t="s">
        <v>1390</v>
      </c>
      <c r="F134" s="3" t="s">
        <v>442</v>
      </c>
      <c r="G134" s="3" t="s">
        <v>2030</v>
      </c>
      <c r="H134" s="3" t="s">
        <v>1770</v>
      </c>
      <c r="I134" s="3" t="s">
        <v>1775</v>
      </c>
      <c r="J134" s="3" t="s">
        <v>2085</v>
      </c>
      <c r="K134" s="3"/>
      <c r="L134" s="3"/>
      <c r="M134" s="3" t="s">
        <v>521</v>
      </c>
      <c r="N134" s="3" t="s">
        <v>1398</v>
      </c>
      <c r="O134" s="3" t="s">
        <v>521</v>
      </c>
      <c r="P134" s="3" t="s">
        <v>985</v>
      </c>
      <c r="Q134" s="3" t="s">
        <v>985</v>
      </c>
      <c r="R134" s="5">
        <v>45429</v>
      </c>
      <c r="S134" s="6">
        <v>8264.3</v>
      </c>
      <c r="T134" s="7">
        <v>0</v>
      </c>
    </row>
    <row r="135" s="1" customFormat="1" spans="1:20">
      <c r="A135" s="3" t="s">
        <v>2038</v>
      </c>
      <c r="B135" s="3" t="s">
        <v>447</v>
      </c>
      <c r="C135" s="3" t="s">
        <v>1768</v>
      </c>
      <c r="D135" s="3" t="s">
        <v>1389</v>
      </c>
      <c r="E135" s="3" t="s">
        <v>1390</v>
      </c>
      <c r="F135" s="3" t="s">
        <v>448</v>
      </c>
      <c r="G135" s="3" t="s">
        <v>2030</v>
      </c>
      <c r="H135" s="3" t="s">
        <v>1770</v>
      </c>
      <c r="I135" s="3" t="s">
        <v>1775</v>
      </c>
      <c r="J135" s="3" t="s">
        <v>2085</v>
      </c>
      <c r="K135" s="3"/>
      <c r="L135" s="3"/>
      <c r="M135" s="3" t="s">
        <v>521</v>
      </c>
      <c r="N135" s="3" t="s">
        <v>1399</v>
      </c>
      <c r="O135" s="3" t="s">
        <v>521</v>
      </c>
      <c r="P135" s="3" t="s">
        <v>985</v>
      </c>
      <c r="Q135" s="3" t="s">
        <v>985</v>
      </c>
      <c r="R135" s="5">
        <v>45429</v>
      </c>
      <c r="S135" s="6">
        <v>546.9</v>
      </c>
      <c r="T135" s="7">
        <v>0</v>
      </c>
    </row>
    <row r="136" s="1" customFormat="1" spans="1:20">
      <c r="A136" s="3" t="s">
        <v>2039</v>
      </c>
      <c r="B136" s="3" t="s">
        <v>449</v>
      </c>
      <c r="C136" s="3" t="s">
        <v>1768</v>
      </c>
      <c r="D136" s="3" t="s">
        <v>1389</v>
      </c>
      <c r="E136" s="3" t="s">
        <v>1390</v>
      </c>
      <c r="F136" s="3" t="s">
        <v>1410</v>
      </c>
      <c r="G136" s="3" t="s">
        <v>2030</v>
      </c>
      <c r="H136" s="3" t="s">
        <v>1770</v>
      </c>
      <c r="I136" s="3" t="s">
        <v>1775</v>
      </c>
      <c r="J136" s="3" t="s">
        <v>2085</v>
      </c>
      <c r="K136" s="3"/>
      <c r="L136" s="3"/>
      <c r="M136" s="3" t="s">
        <v>521</v>
      </c>
      <c r="N136" s="3" t="s">
        <v>1409</v>
      </c>
      <c r="O136" s="3" t="s">
        <v>521</v>
      </c>
      <c r="P136" s="3" t="s">
        <v>985</v>
      </c>
      <c r="Q136" s="3" t="s">
        <v>985</v>
      </c>
      <c r="R136" s="5">
        <v>45429</v>
      </c>
      <c r="S136" s="6">
        <v>1191.13</v>
      </c>
      <c r="T136" s="7">
        <v>0</v>
      </c>
    </row>
    <row r="137" s="1" customFormat="1" spans="1:20">
      <c r="A137" s="3" t="s">
        <v>2006</v>
      </c>
      <c r="B137" s="3" t="s">
        <v>445</v>
      </c>
      <c r="C137" s="3" t="s">
        <v>1768</v>
      </c>
      <c r="D137" s="3" t="s">
        <v>1389</v>
      </c>
      <c r="E137" s="3" t="s">
        <v>1390</v>
      </c>
      <c r="F137" s="3" t="s">
        <v>446</v>
      </c>
      <c r="G137" s="3" t="s">
        <v>2030</v>
      </c>
      <c r="H137" s="3" t="s">
        <v>1770</v>
      </c>
      <c r="I137" s="3" t="s">
        <v>1775</v>
      </c>
      <c r="J137" s="3" t="s">
        <v>2085</v>
      </c>
      <c r="K137" s="3"/>
      <c r="L137" s="3"/>
      <c r="M137" s="3" t="s">
        <v>521</v>
      </c>
      <c r="N137" s="3" t="s">
        <v>1408</v>
      </c>
      <c r="O137" s="3" t="s">
        <v>521</v>
      </c>
      <c r="P137" s="3" t="s">
        <v>985</v>
      </c>
      <c r="Q137" s="3" t="s">
        <v>985</v>
      </c>
      <c r="R137" s="5">
        <v>45429</v>
      </c>
      <c r="S137" s="6">
        <v>18304.91</v>
      </c>
      <c r="T137" s="7">
        <v>0</v>
      </c>
    </row>
    <row r="138" s="1" customFormat="1" spans="1:20">
      <c r="A138" s="3" t="s">
        <v>2040</v>
      </c>
      <c r="B138" s="3" t="s">
        <v>438</v>
      </c>
      <c r="C138" s="3" t="s">
        <v>1768</v>
      </c>
      <c r="D138" s="3" t="s">
        <v>1389</v>
      </c>
      <c r="E138" s="3" t="s">
        <v>1390</v>
      </c>
      <c r="F138" s="3" t="s">
        <v>439</v>
      </c>
      <c r="G138" s="3" t="s">
        <v>2030</v>
      </c>
      <c r="H138" s="3" t="s">
        <v>1770</v>
      </c>
      <c r="I138" s="3" t="s">
        <v>1775</v>
      </c>
      <c r="J138" s="3" t="s">
        <v>2085</v>
      </c>
      <c r="K138" s="3"/>
      <c r="L138" s="3"/>
      <c r="M138" s="3" t="s">
        <v>521</v>
      </c>
      <c r="N138" s="3" t="s">
        <v>1405</v>
      </c>
      <c r="O138" s="3" t="s">
        <v>521</v>
      </c>
      <c r="P138" s="3" t="s">
        <v>985</v>
      </c>
      <c r="Q138" s="3" t="s">
        <v>985</v>
      </c>
      <c r="R138" s="5">
        <v>45435</v>
      </c>
      <c r="S138" s="6">
        <v>1078587.67</v>
      </c>
      <c r="T138" s="7">
        <v>0</v>
      </c>
    </row>
    <row r="139" s="1" customFormat="1" spans="1:20">
      <c r="A139" s="3" t="s">
        <v>2041</v>
      </c>
      <c r="B139" s="3" t="s">
        <v>440</v>
      </c>
      <c r="C139" s="3" t="s">
        <v>1768</v>
      </c>
      <c r="D139" s="3" t="s">
        <v>1389</v>
      </c>
      <c r="E139" s="3" t="s">
        <v>1390</v>
      </c>
      <c r="F139" s="3" t="s">
        <v>429</v>
      </c>
      <c r="G139" s="3" t="s">
        <v>2030</v>
      </c>
      <c r="H139" s="3" t="s">
        <v>1770</v>
      </c>
      <c r="I139" s="3" t="s">
        <v>1775</v>
      </c>
      <c r="J139" s="3" t="s">
        <v>2085</v>
      </c>
      <c r="K139" s="3"/>
      <c r="L139" s="3"/>
      <c r="M139" s="3" t="s">
        <v>521</v>
      </c>
      <c r="N139" s="3" t="s">
        <v>1406</v>
      </c>
      <c r="O139" s="3" t="s">
        <v>521</v>
      </c>
      <c r="P139" s="3" t="s">
        <v>985</v>
      </c>
      <c r="Q139" s="3" t="s">
        <v>985</v>
      </c>
      <c r="R139" s="5">
        <v>45429</v>
      </c>
      <c r="S139" s="6">
        <v>756.79</v>
      </c>
      <c r="T139" s="7">
        <v>0</v>
      </c>
    </row>
    <row r="140" s="1" customFormat="1" spans="1:20">
      <c r="A140" s="3" t="s">
        <v>2041</v>
      </c>
      <c r="B140" s="3" t="s">
        <v>440</v>
      </c>
      <c r="C140" s="3" t="s">
        <v>1768</v>
      </c>
      <c r="D140" s="3" t="s">
        <v>1389</v>
      </c>
      <c r="E140" s="3" t="s">
        <v>1390</v>
      </c>
      <c r="F140" s="3" t="s">
        <v>429</v>
      </c>
      <c r="G140" s="3" t="s">
        <v>2030</v>
      </c>
      <c r="H140" s="3" t="s">
        <v>1770</v>
      </c>
      <c r="I140" s="3" t="s">
        <v>1775</v>
      </c>
      <c r="J140" s="3" t="s">
        <v>2085</v>
      </c>
      <c r="K140" s="3"/>
      <c r="L140" s="3"/>
      <c r="M140" s="3" t="s">
        <v>521</v>
      </c>
      <c r="N140" s="3" t="s">
        <v>1406</v>
      </c>
      <c r="O140" s="3" t="s">
        <v>521</v>
      </c>
      <c r="P140" s="3" t="s">
        <v>985</v>
      </c>
      <c r="Q140" s="3" t="s">
        <v>985</v>
      </c>
      <c r="R140" s="5">
        <v>45429</v>
      </c>
      <c r="S140" s="6">
        <v>20121.04</v>
      </c>
      <c r="T140" s="7">
        <v>0</v>
      </c>
    </row>
    <row r="141" s="1" customFormat="1" spans="1:20">
      <c r="A141" s="3" t="s">
        <v>2042</v>
      </c>
      <c r="B141" s="3" t="s">
        <v>443</v>
      </c>
      <c r="C141" s="3" t="s">
        <v>1768</v>
      </c>
      <c r="D141" s="3" t="s">
        <v>1389</v>
      </c>
      <c r="E141" s="3" t="s">
        <v>1390</v>
      </c>
      <c r="F141" s="3" t="s">
        <v>444</v>
      </c>
      <c r="G141" s="3" t="s">
        <v>2030</v>
      </c>
      <c r="H141" s="3" t="s">
        <v>1770</v>
      </c>
      <c r="I141" s="3" t="s">
        <v>1775</v>
      </c>
      <c r="J141" s="3" t="s">
        <v>2085</v>
      </c>
      <c r="K141" s="3"/>
      <c r="L141" s="3"/>
      <c r="M141" s="3" t="s">
        <v>521</v>
      </c>
      <c r="N141" s="3" t="s">
        <v>1407</v>
      </c>
      <c r="O141" s="3" t="s">
        <v>521</v>
      </c>
      <c r="P141" s="3" t="s">
        <v>985</v>
      </c>
      <c r="Q141" s="3" t="s">
        <v>985</v>
      </c>
      <c r="R141" s="5">
        <v>45429</v>
      </c>
      <c r="S141" s="6">
        <v>9327.44</v>
      </c>
      <c r="T141" s="7">
        <v>0</v>
      </c>
    </row>
    <row r="142" s="1" customFormat="1" spans="1:20">
      <c r="A142" s="3" t="s">
        <v>2043</v>
      </c>
      <c r="B142" s="3" t="s">
        <v>453</v>
      </c>
      <c r="C142" s="3" t="s">
        <v>1768</v>
      </c>
      <c r="D142" s="3" t="s">
        <v>1414</v>
      </c>
      <c r="E142" s="3" t="s">
        <v>1415</v>
      </c>
      <c r="F142" s="3" t="s">
        <v>454</v>
      </c>
      <c r="G142" s="3" t="s">
        <v>2030</v>
      </c>
      <c r="H142" s="3" t="s">
        <v>1770</v>
      </c>
      <c r="I142" s="3" t="s">
        <v>1775</v>
      </c>
      <c r="J142" s="3" t="s">
        <v>2085</v>
      </c>
      <c r="K142" s="3"/>
      <c r="L142" s="3"/>
      <c r="M142" s="3" t="s">
        <v>521</v>
      </c>
      <c r="N142" s="3" t="s">
        <v>1420</v>
      </c>
      <c r="O142" s="3" t="s">
        <v>521</v>
      </c>
      <c r="P142" s="3" t="s">
        <v>985</v>
      </c>
      <c r="Q142" s="3" t="s">
        <v>985</v>
      </c>
      <c r="R142" s="5">
        <v>45429</v>
      </c>
      <c r="S142" s="6">
        <v>154.15</v>
      </c>
      <c r="T142" s="7">
        <v>0</v>
      </c>
    </row>
    <row r="143" s="1" customFormat="1" spans="1:20">
      <c r="A143" s="3" t="s">
        <v>2044</v>
      </c>
      <c r="B143" s="3" t="s">
        <v>455</v>
      </c>
      <c r="C143" s="3" t="s">
        <v>1768</v>
      </c>
      <c r="D143" s="3" t="s">
        <v>1414</v>
      </c>
      <c r="E143" s="3" t="s">
        <v>1415</v>
      </c>
      <c r="F143" s="3" t="s">
        <v>456</v>
      </c>
      <c r="G143" s="3" t="s">
        <v>2030</v>
      </c>
      <c r="H143" s="3" t="s">
        <v>1770</v>
      </c>
      <c r="I143" s="3" t="s">
        <v>1775</v>
      </c>
      <c r="J143" s="3" t="s">
        <v>2085</v>
      </c>
      <c r="K143" s="3"/>
      <c r="L143" s="3"/>
      <c r="M143" s="3" t="s">
        <v>521</v>
      </c>
      <c r="N143" s="3" t="s">
        <v>1421</v>
      </c>
      <c r="O143" s="3" t="s">
        <v>521</v>
      </c>
      <c r="P143" s="3" t="s">
        <v>985</v>
      </c>
      <c r="Q143" s="3" t="s">
        <v>985</v>
      </c>
      <c r="R143" s="5">
        <v>45429</v>
      </c>
      <c r="S143" s="6">
        <v>784.07</v>
      </c>
      <c r="T143" s="7">
        <v>0</v>
      </c>
    </row>
    <row r="144" s="1" customFormat="1" spans="1:20">
      <c r="A144" s="3" t="s">
        <v>2045</v>
      </c>
      <c r="B144" s="3" t="s">
        <v>1434</v>
      </c>
      <c r="C144" s="3" t="s">
        <v>1768</v>
      </c>
      <c r="D144" s="3" t="s">
        <v>1414</v>
      </c>
      <c r="E144" s="3" t="s">
        <v>1415</v>
      </c>
      <c r="F144" s="3" t="s">
        <v>1436</v>
      </c>
      <c r="G144" s="3" t="s">
        <v>2030</v>
      </c>
      <c r="H144" s="3" t="s">
        <v>1770</v>
      </c>
      <c r="I144" s="3" t="s">
        <v>1775</v>
      </c>
      <c r="J144" s="3" t="s">
        <v>2085</v>
      </c>
      <c r="K144" s="3"/>
      <c r="L144" s="3"/>
      <c r="M144" s="3" t="s">
        <v>521</v>
      </c>
      <c r="N144" s="3" t="s">
        <v>1435</v>
      </c>
      <c r="O144" s="3" t="s">
        <v>521</v>
      </c>
      <c r="P144" s="3" t="s">
        <v>985</v>
      </c>
      <c r="Q144" s="3" t="s">
        <v>985</v>
      </c>
      <c r="R144" s="5">
        <v>45316</v>
      </c>
      <c r="S144" s="6">
        <v>864.44</v>
      </c>
      <c r="T144" s="7">
        <v>0</v>
      </c>
    </row>
    <row r="145" s="1" customFormat="1" spans="1:20">
      <c r="A145" s="3" t="s">
        <v>2046</v>
      </c>
      <c r="B145" s="3" t="s">
        <v>1437</v>
      </c>
      <c r="C145" s="3" t="s">
        <v>1768</v>
      </c>
      <c r="D145" s="3" t="s">
        <v>1414</v>
      </c>
      <c r="E145" s="3" t="s">
        <v>1415</v>
      </c>
      <c r="F145" s="3" t="s">
        <v>1439</v>
      </c>
      <c r="G145" s="3" t="s">
        <v>2030</v>
      </c>
      <c r="H145" s="3" t="s">
        <v>1770</v>
      </c>
      <c r="I145" s="3" t="s">
        <v>1775</v>
      </c>
      <c r="J145" s="3" t="s">
        <v>2085</v>
      </c>
      <c r="K145" s="3"/>
      <c r="L145" s="3"/>
      <c r="M145" s="3" t="s">
        <v>521</v>
      </c>
      <c r="N145" s="3" t="s">
        <v>1438</v>
      </c>
      <c r="O145" s="3" t="s">
        <v>521</v>
      </c>
      <c r="P145" s="3" t="s">
        <v>985</v>
      </c>
      <c r="Q145" s="3" t="s">
        <v>985</v>
      </c>
      <c r="R145" s="5">
        <v>45380</v>
      </c>
      <c r="S145" s="6">
        <v>220361.54</v>
      </c>
      <c r="T145" s="7">
        <v>0</v>
      </c>
    </row>
    <row r="146" s="1" customFormat="1" spans="1:20">
      <c r="A146" s="3" t="s">
        <v>2045</v>
      </c>
      <c r="B146" s="3" t="s">
        <v>1434</v>
      </c>
      <c r="C146" s="3" t="s">
        <v>1768</v>
      </c>
      <c r="D146" s="3" t="s">
        <v>1414</v>
      </c>
      <c r="E146" s="3" t="s">
        <v>1415</v>
      </c>
      <c r="F146" s="3" t="s">
        <v>1436</v>
      </c>
      <c r="G146" s="3" t="s">
        <v>2030</v>
      </c>
      <c r="H146" s="3" t="s">
        <v>1770</v>
      </c>
      <c r="I146" s="3" t="s">
        <v>1775</v>
      </c>
      <c r="J146" s="3" t="s">
        <v>2085</v>
      </c>
      <c r="K146" s="3"/>
      <c r="L146" s="3"/>
      <c r="M146" s="3" t="s">
        <v>521</v>
      </c>
      <c r="N146" s="3" t="s">
        <v>1435</v>
      </c>
      <c r="O146" s="3" t="s">
        <v>521</v>
      </c>
      <c r="P146" s="3" t="s">
        <v>985</v>
      </c>
      <c r="Q146" s="3" t="s">
        <v>985</v>
      </c>
      <c r="R146" s="5">
        <v>45316</v>
      </c>
      <c r="S146" s="6">
        <v>81109.69</v>
      </c>
      <c r="T146" s="7">
        <v>0</v>
      </c>
    </row>
    <row r="147" s="1" customFormat="1" spans="1:20">
      <c r="A147" s="3" t="s">
        <v>2045</v>
      </c>
      <c r="B147" s="3" t="s">
        <v>1434</v>
      </c>
      <c r="C147" s="3" t="s">
        <v>1768</v>
      </c>
      <c r="D147" s="3" t="s">
        <v>1414</v>
      </c>
      <c r="E147" s="3" t="s">
        <v>1415</v>
      </c>
      <c r="F147" s="3" t="s">
        <v>1436</v>
      </c>
      <c r="G147" s="3" t="s">
        <v>2030</v>
      </c>
      <c r="H147" s="3" t="s">
        <v>1770</v>
      </c>
      <c r="I147" s="3" t="s">
        <v>1775</v>
      </c>
      <c r="J147" s="3" t="s">
        <v>2085</v>
      </c>
      <c r="K147" s="3"/>
      <c r="L147" s="3"/>
      <c r="M147" s="3" t="s">
        <v>521</v>
      </c>
      <c r="N147" s="3" t="s">
        <v>1435</v>
      </c>
      <c r="O147" s="3" t="s">
        <v>521</v>
      </c>
      <c r="P147" s="3" t="s">
        <v>985</v>
      </c>
      <c r="Q147" s="3" t="s">
        <v>985</v>
      </c>
      <c r="R147" s="5">
        <v>45316</v>
      </c>
      <c r="S147" s="6">
        <v>2195.56</v>
      </c>
      <c r="T147" s="7">
        <v>0</v>
      </c>
    </row>
    <row r="148" s="1" customFormat="1" spans="1:20">
      <c r="A148" s="3" t="s">
        <v>2045</v>
      </c>
      <c r="B148" s="3" t="s">
        <v>1434</v>
      </c>
      <c r="C148" s="3" t="s">
        <v>1768</v>
      </c>
      <c r="D148" s="3" t="s">
        <v>1414</v>
      </c>
      <c r="E148" s="3" t="s">
        <v>1415</v>
      </c>
      <c r="F148" s="3" t="s">
        <v>1436</v>
      </c>
      <c r="G148" s="3" t="s">
        <v>2030</v>
      </c>
      <c r="H148" s="3" t="s">
        <v>1770</v>
      </c>
      <c r="I148" s="3" t="s">
        <v>1775</v>
      </c>
      <c r="J148" s="3" t="s">
        <v>2085</v>
      </c>
      <c r="K148" s="3"/>
      <c r="L148" s="3"/>
      <c r="M148" s="3" t="s">
        <v>521</v>
      </c>
      <c r="N148" s="3" t="s">
        <v>1435</v>
      </c>
      <c r="O148" s="3" t="s">
        <v>521</v>
      </c>
      <c r="P148" s="3" t="s">
        <v>985</v>
      </c>
      <c r="Q148" s="3" t="s">
        <v>985</v>
      </c>
      <c r="R148" s="5">
        <v>45316</v>
      </c>
      <c r="S148" s="6">
        <v>158.72</v>
      </c>
      <c r="T148" s="7">
        <v>0</v>
      </c>
    </row>
    <row r="149" s="1" customFormat="1" spans="1:20">
      <c r="A149" s="3" t="s">
        <v>1846</v>
      </c>
      <c r="B149" s="3" t="s">
        <v>1379</v>
      </c>
      <c r="C149" s="3" t="s">
        <v>1768</v>
      </c>
      <c r="D149" s="3" t="s">
        <v>1381</v>
      </c>
      <c r="E149" s="3" t="s">
        <v>1382</v>
      </c>
      <c r="F149" s="3" t="s">
        <v>970</v>
      </c>
      <c r="G149" s="3" t="s">
        <v>2027</v>
      </c>
      <c r="H149" s="3" t="s">
        <v>1770</v>
      </c>
      <c r="I149" s="3" t="s">
        <v>1775</v>
      </c>
      <c r="J149" s="3" t="s">
        <v>2085</v>
      </c>
      <c r="K149" s="3"/>
      <c r="L149" s="3"/>
      <c r="M149" s="3" t="s">
        <v>521</v>
      </c>
      <c r="N149" s="3" t="s">
        <v>1380</v>
      </c>
      <c r="O149" s="3" t="s">
        <v>521</v>
      </c>
      <c r="P149" s="3" t="s">
        <v>2028</v>
      </c>
      <c r="Q149" s="3" t="s">
        <v>1383</v>
      </c>
      <c r="R149" s="5">
        <v>45345</v>
      </c>
      <c r="S149" s="6">
        <v>31416.34</v>
      </c>
      <c r="T149" s="7">
        <v>0</v>
      </c>
    </row>
    <row r="150" s="1" customFormat="1" spans="1:20">
      <c r="A150" s="3" t="s">
        <v>2025</v>
      </c>
      <c r="B150" s="3" t="s">
        <v>1221</v>
      </c>
      <c r="C150" s="3" t="s">
        <v>1768</v>
      </c>
      <c r="D150" s="3" t="s">
        <v>1223</v>
      </c>
      <c r="E150" s="3" t="s">
        <v>1224</v>
      </c>
      <c r="F150" s="3" t="s">
        <v>1225</v>
      </c>
      <c r="G150" s="3" t="s">
        <v>2026</v>
      </c>
      <c r="H150" s="3" t="s">
        <v>1770</v>
      </c>
      <c r="I150" s="3" t="s">
        <v>1775</v>
      </c>
      <c r="J150" s="3" t="s">
        <v>2085</v>
      </c>
      <c r="K150" s="3"/>
      <c r="L150" s="3"/>
      <c r="M150" s="3" t="s">
        <v>508</v>
      </c>
      <c r="N150" s="3" t="s">
        <v>1222</v>
      </c>
      <c r="O150" s="3" t="s">
        <v>508</v>
      </c>
      <c r="P150" s="3" t="s">
        <v>1226</v>
      </c>
      <c r="Q150" s="3" t="s">
        <v>1226</v>
      </c>
      <c r="R150" s="5">
        <v>45271</v>
      </c>
      <c r="S150" s="6">
        <v>61468.44</v>
      </c>
      <c r="T150" s="7">
        <v>0</v>
      </c>
    </row>
    <row r="151" s="1" customFormat="1" spans="1:20">
      <c r="A151" s="3" t="s">
        <v>1818</v>
      </c>
      <c r="B151" s="3" t="s">
        <v>645</v>
      </c>
      <c r="C151" s="3" t="s">
        <v>1768</v>
      </c>
      <c r="D151" s="3" t="s">
        <v>640</v>
      </c>
      <c r="E151" s="3" t="s">
        <v>641</v>
      </c>
      <c r="F151" s="3" t="s">
        <v>136</v>
      </c>
      <c r="G151" s="3" t="s">
        <v>1819</v>
      </c>
      <c r="H151" s="3" t="s">
        <v>1770</v>
      </c>
      <c r="I151" s="3" t="s">
        <v>1775</v>
      </c>
      <c r="J151" s="3" t="s">
        <v>2085</v>
      </c>
      <c r="K151" s="3"/>
      <c r="L151" s="3"/>
      <c r="M151" s="3" t="s">
        <v>508</v>
      </c>
      <c r="N151" s="3" t="s">
        <v>646</v>
      </c>
      <c r="O151" s="3" t="s">
        <v>508</v>
      </c>
      <c r="P151" s="3" t="s">
        <v>1820</v>
      </c>
      <c r="Q151" s="3" t="s">
        <v>647</v>
      </c>
      <c r="R151" s="5">
        <v>45190</v>
      </c>
      <c r="S151" s="6">
        <v>125290</v>
      </c>
      <c r="T151" s="7">
        <v>0</v>
      </c>
    </row>
    <row r="152" s="1" customFormat="1" spans="1:20">
      <c r="A152" s="3" t="s">
        <v>1821</v>
      </c>
      <c r="B152" s="3" t="s">
        <v>667</v>
      </c>
      <c r="C152" s="3" t="s">
        <v>1768</v>
      </c>
      <c r="D152" s="3" t="s">
        <v>660</v>
      </c>
      <c r="E152" s="3" t="s">
        <v>661</v>
      </c>
      <c r="F152" s="3" t="s">
        <v>669</v>
      </c>
      <c r="G152" s="3" t="s">
        <v>1822</v>
      </c>
      <c r="H152" s="3" t="s">
        <v>1770</v>
      </c>
      <c r="I152" s="3" t="s">
        <v>1775</v>
      </c>
      <c r="J152" s="3" t="s">
        <v>2085</v>
      </c>
      <c r="K152" s="3"/>
      <c r="L152" s="3"/>
      <c r="M152" s="3" t="s">
        <v>508</v>
      </c>
      <c r="N152" s="3" t="s">
        <v>668</v>
      </c>
      <c r="O152" s="3" t="s">
        <v>508</v>
      </c>
      <c r="P152" s="3" t="s">
        <v>1820</v>
      </c>
      <c r="Q152" s="3" t="s">
        <v>670</v>
      </c>
      <c r="R152" s="5">
        <v>45217</v>
      </c>
      <c r="S152" s="6">
        <v>1168.86</v>
      </c>
      <c r="T152" s="7">
        <v>0</v>
      </c>
    </row>
    <row r="153" s="1" customFormat="1" spans="1:20">
      <c r="A153" s="3" t="s">
        <v>1823</v>
      </c>
      <c r="B153" s="3" t="s">
        <v>674</v>
      </c>
      <c r="C153" s="3" t="s">
        <v>1768</v>
      </c>
      <c r="D153" s="3" t="s">
        <v>660</v>
      </c>
      <c r="E153" s="3" t="s">
        <v>661</v>
      </c>
      <c r="F153" s="3" t="s">
        <v>676</v>
      </c>
      <c r="G153" s="3" t="s">
        <v>1822</v>
      </c>
      <c r="H153" s="3" t="s">
        <v>1770</v>
      </c>
      <c r="I153" s="3" t="s">
        <v>1775</v>
      </c>
      <c r="J153" s="3" t="s">
        <v>2085</v>
      </c>
      <c r="K153" s="3"/>
      <c r="L153" s="3"/>
      <c r="M153" s="3" t="s">
        <v>508</v>
      </c>
      <c r="N153" s="3" t="s">
        <v>675</v>
      </c>
      <c r="O153" s="3" t="s">
        <v>508</v>
      </c>
      <c r="P153" s="3" t="s">
        <v>1820</v>
      </c>
      <c r="Q153" s="3" t="s">
        <v>670</v>
      </c>
      <c r="R153" s="5">
        <v>45244</v>
      </c>
      <c r="S153" s="6">
        <v>4657.43</v>
      </c>
      <c r="T153" s="7">
        <v>0</v>
      </c>
    </row>
    <row r="154" s="1" customFormat="1" spans="1:20">
      <c r="A154" s="3" t="s">
        <v>1778</v>
      </c>
      <c r="B154" s="3" t="s">
        <v>677</v>
      </c>
      <c r="C154" s="3" t="s">
        <v>1768</v>
      </c>
      <c r="D154" s="3" t="s">
        <v>660</v>
      </c>
      <c r="E154" s="3" t="s">
        <v>661</v>
      </c>
      <c r="F154" s="3" t="s">
        <v>669</v>
      </c>
      <c r="G154" s="3" t="s">
        <v>1822</v>
      </c>
      <c r="H154" s="3" t="s">
        <v>1770</v>
      </c>
      <c r="I154" s="3" t="s">
        <v>1775</v>
      </c>
      <c r="J154" s="3" t="s">
        <v>2085</v>
      </c>
      <c r="K154" s="3"/>
      <c r="L154" s="3"/>
      <c r="M154" s="3" t="s">
        <v>508</v>
      </c>
      <c r="N154" s="3" t="s">
        <v>678</v>
      </c>
      <c r="O154" s="3" t="s">
        <v>508</v>
      </c>
      <c r="P154" s="3" t="s">
        <v>1820</v>
      </c>
      <c r="Q154" s="3" t="s">
        <v>670</v>
      </c>
      <c r="R154" s="5">
        <v>45238</v>
      </c>
      <c r="S154" s="6">
        <v>2855.76</v>
      </c>
      <c r="T154" s="7">
        <v>0</v>
      </c>
    </row>
    <row r="155" s="1" customFormat="1" spans="1:20">
      <c r="A155" s="3" t="s">
        <v>1824</v>
      </c>
      <c r="B155" s="3" t="s">
        <v>679</v>
      </c>
      <c r="C155" s="3" t="s">
        <v>1768</v>
      </c>
      <c r="D155" s="3" t="s">
        <v>660</v>
      </c>
      <c r="E155" s="3" t="s">
        <v>661</v>
      </c>
      <c r="F155" s="3" t="s">
        <v>681</v>
      </c>
      <c r="G155" s="3" t="s">
        <v>1822</v>
      </c>
      <c r="H155" s="3" t="s">
        <v>1770</v>
      </c>
      <c r="I155" s="3" t="s">
        <v>1775</v>
      </c>
      <c r="J155" s="3" t="s">
        <v>2085</v>
      </c>
      <c r="K155" s="3"/>
      <c r="L155" s="3"/>
      <c r="M155" s="3" t="s">
        <v>508</v>
      </c>
      <c r="N155" s="3" t="s">
        <v>680</v>
      </c>
      <c r="O155" s="3" t="s">
        <v>508</v>
      </c>
      <c r="P155" s="3" t="s">
        <v>1820</v>
      </c>
      <c r="Q155" s="3" t="s">
        <v>670</v>
      </c>
      <c r="R155" s="5">
        <v>45217</v>
      </c>
      <c r="S155" s="6">
        <v>303.66</v>
      </c>
      <c r="T155" s="7">
        <v>0</v>
      </c>
    </row>
    <row r="156" s="1" customFormat="1" spans="1:20">
      <c r="A156" s="3" t="s">
        <v>1825</v>
      </c>
      <c r="B156" s="3" t="s">
        <v>745</v>
      </c>
      <c r="C156" s="3" t="s">
        <v>1768</v>
      </c>
      <c r="D156" s="3" t="s">
        <v>660</v>
      </c>
      <c r="E156" s="3" t="s">
        <v>661</v>
      </c>
      <c r="F156" s="3" t="s">
        <v>703</v>
      </c>
      <c r="G156" s="3" t="s">
        <v>1822</v>
      </c>
      <c r="H156" s="3" t="s">
        <v>1770</v>
      </c>
      <c r="I156" s="3" t="s">
        <v>1775</v>
      </c>
      <c r="J156" s="3" t="s">
        <v>2085</v>
      </c>
      <c r="K156" s="3"/>
      <c r="L156" s="3"/>
      <c r="M156" s="3" t="s">
        <v>508</v>
      </c>
      <c r="N156" s="3" t="s">
        <v>746</v>
      </c>
      <c r="O156" s="3" t="s">
        <v>508</v>
      </c>
      <c r="P156" s="3" t="s">
        <v>1820</v>
      </c>
      <c r="Q156" s="3" t="s">
        <v>670</v>
      </c>
      <c r="R156" s="5">
        <v>45212</v>
      </c>
      <c r="S156" s="6">
        <v>2702.18</v>
      </c>
      <c r="T156" s="7">
        <v>0</v>
      </c>
    </row>
    <row r="157" s="1" customFormat="1" spans="1:20">
      <c r="A157" s="3" t="s">
        <v>1826</v>
      </c>
      <c r="B157" s="3" t="s">
        <v>747</v>
      </c>
      <c r="C157" s="3" t="s">
        <v>1768</v>
      </c>
      <c r="D157" s="3" t="s">
        <v>660</v>
      </c>
      <c r="E157" s="3" t="s">
        <v>661</v>
      </c>
      <c r="F157" s="3" t="s">
        <v>703</v>
      </c>
      <c r="G157" s="3" t="s">
        <v>1822</v>
      </c>
      <c r="H157" s="3" t="s">
        <v>1770</v>
      </c>
      <c r="I157" s="3" t="s">
        <v>1775</v>
      </c>
      <c r="J157" s="3" t="s">
        <v>2085</v>
      </c>
      <c r="K157" s="3"/>
      <c r="L157" s="3"/>
      <c r="M157" s="3" t="s">
        <v>508</v>
      </c>
      <c r="N157" s="3" t="s">
        <v>748</v>
      </c>
      <c r="O157" s="3" t="s">
        <v>508</v>
      </c>
      <c r="P157" s="3" t="s">
        <v>1820</v>
      </c>
      <c r="Q157" s="3" t="s">
        <v>670</v>
      </c>
      <c r="R157" s="5">
        <v>45212</v>
      </c>
      <c r="S157" s="6">
        <v>747.17</v>
      </c>
      <c r="T157" s="7">
        <v>0</v>
      </c>
    </row>
    <row r="158" s="1" customFormat="1" spans="1:20">
      <c r="A158" s="3" t="s">
        <v>1827</v>
      </c>
      <c r="B158" s="3" t="s">
        <v>682</v>
      </c>
      <c r="C158" s="3" t="s">
        <v>1768</v>
      </c>
      <c r="D158" s="3" t="s">
        <v>660</v>
      </c>
      <c r="E158" s="3" t="s">
        <v>661</v>
      </c>
      <c r="F158" s="3" t="s">
        <v>669</v>
      </c>
      <c r="G158" s="3" t="s">
        <v>1822</v>
      </c>
      <c r="H158" s="3" t="s">
        <v>1770</v>
      </c>
      <c r="I158" s="3" t="s">
        <v>1775</v>
      </c>
      <c r="J158" s="3" t="s">
        <v>2085</v>
      </c>
      <c r="K158" s="3"/>
      <c r="L158" s="3"/>
      <c r="M158" s="3" t="s">
        <v>508</v>
      </c>
      <c r="N158" s="3" t="s">
        <v>683</v>
      </c>
      <c r="O158" s="3" t="s">
        <v>508</v>
      </c>
      <c r="P158" s="3" t="s">
        <v>1820</v>
      </c>
      <c r="Q158" s="3" t="s">
        <v>670</v>
      </c>
      <c r="R158" s="5">
        <v>45223</v>
      </c>
      <c r="S158" s="6">
        <v>3641.5</v>
      </c>
      <c r="T158" s="7">
        <v>0</v>
      </c>
    </row>
    <row r="159" s="1" customFormat="1" spans="1:20">
      <c r="A159" s="3" t="s">
        <v>1828</v>
      </c>
      <c r="B159" s="3" t="s">
        <v>684</v>
      </c>
      <c r="C159" s="3" t="s">
        <v>1768</v>
      </c>
      <c r="D159" s="3" t="s">
        <v>660</v>
      </c>
      <c r="E159" s="3" t="s">
        <v>661</v>
      </c>
      <c r="F159" s="3" t="s">
        <v>681</v>
      </c>
      <c r="G159" s="3" t="s">
        <v>1822</v>
      </c>
      <c r="H159" s="3" t="s">
        <v>1770</v>
      </c>
      <c r="I159" s="3" t="s">
        <v>1775</v>
      </c>
      <c r="J159" s="3" t="s">
        <v>2085</v>
      </c>
      <c r="K159" s="3"/>
      <c r="L159" s="3"/>
      <c r="M159" s="3" t="s">
        <v>508</v>
      </c>
      <c r="N159" s="3" t="s">
        <v>685</v>
      </c>
      <c r="O159" s="3" t="s">
        <v>508</v>
      </c>
      <c r="P159" s="3" t="s">
        <v>1820</v>
      </c>
      <c r="Q159" s="3" t="s">
        <v>670</v>
      </c>
      <c r="R159" s="5">
        <v>45223</v>
      </c>
      <c r="S159" s="6">
        <v>3050.56</v>
      </c>
      <c r="T159" s="7">
        <v>0</v>
      </c>
    </row>
    <row r="160" s="1" customFormat="1" spans="1:20">
      <c r="A160" s="3" t="s">
        <v>1829</v>
      </c>
      <c r="B160" s="3" t="s">
        <v>686</v>
      </c>
      <c r="C160" s="3" t="s">
        <v>1768</v>
      </c>
      <c r="D160" s="3" t="s">
        <v>660</v>
      </c>
      <c r="E160" s="3" t="s">
        <v>661</v>
      </c>
      <c r="F160" s="3" t="s">
        <v>688</v>
      </c>
      <c r="G160" s="3" t="s">
        <v>1822</v>
      </c>
      <c r="H160" s="3" t="s">
        <v>1770</v>
      </c>
      <c r="I160" s="3" t="s">
        <v>1775</v>
      </c>
      <c r="J160" s="3" t="s">
        <v>2085</v>
      </c>
      <c r="K160" s="3"/>
      <c r="L160" s="3"/>
      <c r="M160" s="3" t="s">
        <v>508</v>
      </c>
      <c r="N160" s="3" t="s">
        <v>687</v>
      </c>
      <c r="O160" s="3" t="s">
        <v>508</v>
      </c>
      <c r="P160" s="3" t="s">
        <v>1820</v>
      </c>
      <c r="Q160" s="3" t="s">
        <v>670</v>
      </c>
      <c r="R160" s="5">
        <v>45223</v>
      </c>
      <c r="S160" s="6">
        <v>6000</v>
      </c>
      <c r="T160" s="7">
        <v>0</v>
      </c>
    </row>
    <row r="161" s="1" customFormat="1" spans="1:20">
      <c r="A161" s="3" t="s">
        <v>1830</v>
      </c>
      <c r="B161" s="3" t="s">
        <v>689</v>
      </c>
      <c r="C161" s="3" t="s">
        <v>1768</v>
      </c>
      <c r="D161" s="3" t="s">
        <v>660</v>
      </c>
      <c r="E161" s="3" t="s">
        <v>661</v>
      </c>
      <c r="F161" s="3" t="s">
        <v>669</v>
      </c>
      <c r="G161" s="3" t="s">
        <v>1822</v>
      </c>
      <c r="H161" s="3" t="s">
        <v>1770</v>
      </c>
      <c r="I161" s="3" t="s">
        <v>1775</v>
      </c>
      <c r="J161" s="3" t="s">
        <v>2085</v>
      </c>
      <c r="K161" s="3"/>
      <c r="L161" s="3"/>
      <c r="M161" s="3" t="s">
        <v>508</v>
      </c>
      <c r="N161" s="3" t="s">
        <v>690</v>
      </c>
      <c r="O161" s="3" t="s">
        <v>508</v>
      </c>
      <c r="P161" s="3" t="s">
        <v>1820</v>
      </c>
      <c r="Q161" s="3" t="s">
        <v>670</v>
      </c>
      <c r="R161" s="5">
        <v>45223</v>
      </c>
      <c r="S161" s="6">
        <v>1440.58</v>
      </c>
      <c r="T161" s="7">
        <v>0</v>
      </c>
    </row>
    <row r="162" s="1" customFormat="1" spans="1:20">
      <c r="A162" s="3" t="s">
        <v>1831</v>
      </c>
      <c r="B162" s="3" t="s">
        <v>691</v>
      </c>
      <c r="C162" s="3" t="s">
        <v>1768</v>
      </c>
      <c r="D162" s="3" t="s">
        <v>660</v>
      </c>
      <c r="E162" s="3" t="s">
        <v>661</v>
      </c>
      <c r="F162" s="3" t="s">
        <v>693</v>
      </c>
      <c r="G162" s="3" t="s">
        <v>1822</v>
      </c>
      <c r="H162" s="3" t="s">
        <v>1770</v>
      </c>
      <c r="I162" s="3" t="s">
        <v>1775</v>
      </c>
      <c r="J162" s="3" t="s">
        <v>2085</v>
      </c>
      <c r="K162" s="3"/>
      <c r="L162" s="3"/>
      <c r="M162" s="3" t="s">
        <v>508</v>
      </c>
      <c r="N162" s="3" t="s">
        <v>692</v>
      </c>
      <c r="O162" s="3" t="s">
        <v>508</v>
      </c>
      <c r="P162" s="3" t="s">
        <v>1820</v>
      </c>
      <c r="Q162" s="3" t="s">
        <v>670</v>
      </c>
      <c r="R162" s="5">
        <v>45225</v>
      </c>
      <c r="S162" s="6">
        <v>6033.18</v>
      </c>
      <c r="T162" s="7">
        <v>0</v>
      </c>
    </row>
    <row r="163" s="1" customFormat="1" spans="1:20">
      <c r="A163" s="3" t="s">
        <v>1832</v>
      </c>
      <c r="B163" s="3" t="s">
        <v>694</v>
      </c>
      <c r="C163" s="3" t="s">
        <v>1768</v>
      </c>
      <c r="D163" s="3" t="s">
        <v>660</v>
      </c>
      <c r="E163" s="3" t="s">
        <v>661</v>
      </c>
      <c r="F163" s="3" t="s">
        <v>669</v>
      </c>
      <c r="G163" s="3" t="s">
        <v>1822</v>
      </c>
      <c r="H163" s="3" t="s">
        <v>1770</v>
      </c>
      <c r="I163" s="3" t="s">
        <v>1775</v>
      </c>
      <c r="J163" s="3" t="s">
        <v>2085</v>
      </c>
      <c r="K163" s="3"/>
      <c r="L163" s="3"/>
      <c r="M163" s="3" t="s">
        <v>508</v>
      </c>
      <c r="N163" s="3" t="s">
        <v>695</v>
      </c>
      <c r="O163" s="3" t="s">
        <v>508</v>
      </c>
      <c r="P163" s="3" t="s">
        <v>1820</v>
      </c>
      <c r="Q163" s="3" t="s">
        <v>670</v>
      </c>
      <c r="R163" s="5">
        <v>45224</v>
      </c>
      <c r="S163" s="6">
        <v>1708.92</v>
      </c>
      <c r="T163" s="7">
        <v>0</v>
      </c>
    </row>
    <row r="164" s="1" customFormat="1" spans="1:20">
      <c r="A164" s="3" t="s">
        <v>1833</v>
      </c>
      <c r="B164" s="3" t="s">
        <v>696</v>
      </c>
      <c r="C164" s="3" t="s">
        <v>1768</v>
      </c>
      <c r="D164" s="3" t="s">
        <v>660</v>
      </c>
      <c r="E164" s="3" t="s">
        <v>661</v>
      </c>
      <c r="F164" s="3" t="s">
        <v>669</v>
      </c>
      <c r="G164" s="3" t="s">
        <v>1822</v>
      </c>
      <c r="H164" s="3" t="s">
        <v>1770</v>
      </c>
      <c r="I164" s="3" t="s">
        <v>1775</v>
      </c>
      <c r="J164" s="3" t="s">
        <v>2085</v>
      </c>
      <c r="K164" s="3"/>
      <c r="L164" s="3"/>
      <c r="M164" s="3" t="s">
        <v>508</v>
      </c>
      <c r="N164" s="3" t="s">
        <v>697</v>
      </c>
      <c r="O164" s="3" t="s">
        <v>508</v>
      </c>
      <c r="P164" s="3" t="s">
        <v>1820</v>
      </c>
      <c r="Q164" s="3" t="s">
        <v>670</v>
      </c>
      <c r="R164" s="5">
        <v>45223</v>
      </c>
      <c r="S164" s="6">
        <v>2860.57</v>
      </c>
      <c r="T164" s="7">
        <v>0</v>
      </c>
    </row>
    <row r="165" s="1" customFormat="1" spans="1:20">
      <c r="A165" s="3" t="s">
        <v>1834</v>
      </c>
      <c r="B165" s="3" t="s">
        <v>698</v>
      </c>
      <c r="C165" s="3" t="s">
        <v>1768</v>
      </c>
      <c r="D165" s="3" t="s">
        <v>660</v>
      </c>
      <c r="E165" s="3" t="s">
        <v>661</v>
      </c>
      <c r="F165" s="3" t="s">
        <v>700</v>
      </c>
      <c r="G165" s="3" t="s">
        <v>1822</v>
      </c>
      <c r="H165" s="3" t="s">
        <v>1770</v>
      </c>
      <c r="I165" s="3" t="s">
        <v>1775</v>
      </c>
      <c r="J165" s="3" t="s">
        <v>2085</v>
      </c>
      <c r="K165" s="3"/>
      <c r="L165" s="3"/>
      <c r="M165" s="3" t="s">
        <v>508</v>
      </c>
      <c r="N165" s="3" t="s">
        <v>699</v>
      </c>
      <c r="O165" s="3" t="s">
        <v>508</v>
      </c>
      <c r="P165" s="3" t="s">
        <v>1820</v>
      </c>
      <c r="Q165" s="3" t="s">
        <v>670</v>
      </c>
      <c r="R165" s="5">
        <v>45238</v>
      </c>
      <c r="S165" s="6">
        <v>6386.14</v>
      </c>
      <c r="T165" s="7">
        <v>0</v>
      </c>
    </row>
    <row r="166" s="1" customFormat="1" spans="1:20">
      <c r="A166" s="3" t="s">
        <v>1835</v>
      </c>
      <c r="B166" s="3" t="s">
        <v>701</v>
      </c>
      <c r="C166" s="3" t="s">
        <v>1768</v>
      </c>
      <c r="D166" s="3" t="s">
        <v>660</v>
      </c>
      <c r="E166" s="3" t="s">
        <v>661</v>
      </c>
      <c r="F166" s="3" t="s">
        <v>703</v>
      </c>
      <c r="G166" s="3" t="s">
        <v>1822</v>
      </c>
      <c r="H166" s="3" t="s">
        <v>1770</v>
      </c>
      <c r="I166" s="3" t="s">
        <v>1775</v>
      </c>
      <c r="J166" s="3" t="s">
        <v>2085</v>
      </c>
      <c r="K166" s="3"/>
      <c r="L166" s="3"/>
      <c r="M166" s="3" t="s">
        <v>508</v>
      </c>
      <c r="N166" s="3" t="s">
        <v>702</v>
      </c>
      <c r="O166" s="3" t="s">
        <v>508</v>
      </c>
      <c r="P166" s="3" t="s">
        <v>1820</v>
      </c>
      <c r="Q166" s="3" t="s">
        <v>670</v>
      </c>
      <c r="R166" s="5">
        <v>45238</v>
      </c>
      <c r="S166" s="6">
        <v>8873.98</v>
      </c>
      <c r="T166" s="7">
        <v>0</v>
      </c>
    </row>
    <row r="167" s="1" customFormat="1" spans="1:20">
      <c r="A167" s="3" t="s">
        <v>1836</v>
      </c>
      <c r="B167" s="3" t="s">
        <v>671</v>
      </c>
      <c r="C167" s="3" t="s">
        <v>1768</v>
      </c>
      <c r="D167" s="3" t="s">
        <v>660</v>
      </c>
      <c r="E167" s="3" t="s">
        <v>661</v>
      </c>
      <c r="F167" s="3" t="s">
        <v>673</v>
      </c>
      <c r="G167" s="3" t="s">
        <v>1822</v>
      </c>
      <c r="H167" s="3" t="s">
        <v>1770</v>
      </c>
      <c r="I167" s="3" t="s">
        <v>1775</v>
      </c>
      <c r="J167" s="3" t="s">
        <v>2085</v>
      </c>
      <c r="K167" s="3"/>
      <c r="L167" s="3"/>
      <c r="M167" s="3" t="s">
        <v>508</v>
      </c>
      <c r="N167" s="3" t="s">
        <v>672</v>
      </c>
      <c r="O167" s="3" t="s">
        <v>508</v>
      </c>
      <c r="P167" s="3" t="s">
        <v>1820</v>
      </c>
      <c r="Q167" s="3" t="s">
        <v>670</v>
      </c>
      <c r="R167" s="5">
        <v>45253</v>
      </c>
      <c r="S167" s="6">
        <v>3681.91</v>
      </c>
      <c r="T167" s="7">
        <v>0</v>
      </c>
    </row>
    <row r="168" s="1" customFormat="1" spans="1:20">
      <c r="A168" s="3" t="s">
        <v>1837</v>
      </c>
      <c r="B168" s="3" t="s">
        <v>704</v>
      </c>
      <c r="C168" s="3" t="s">
        <v>1768</v>
      </c>
      <c r="D168" s="3" t="s">
        <v>660</v>
      </c>
      <c r="E168" s="3" t="s">
        <v>661</v>
      </c>
      <c r="F168" s="3" t="s">
        <v>706</v>
      </c>
      <c r="G168" s="3" t="s">
        <v>1822</v>
      </c>
      <c r="H168" s="3" t="s">
        <v>1770</v>
      </c>
      <c r="I168" s="3" t="s">
        <v>1775</v>
      </c>
      <c r="J168" s="3" t="s">
        <v>2085</v>
      </c>
      <c r="K168" s="3"/>
      <c r="L168" s="3"/>
      <c r="M168" s="3" t="s">
        <v>508</v>
      </c>
      <c r="N168" s="3" t="s">
        <v>705</v>
      </c>
      <c r="O168" s="3" t="s">
        <v>508</v>
      </c>
      <c r="P168" s="3" t="s">
        <v>1820</v>
      </c>
      <c r="Q168" s="3" t="s">
        <v>670</v>
      </c>
      <c r="R168" s="5">
        <v>45247</v>
      </c>
      <c r="S168" s="6">
        <v>6055.55</v>
      </c>
      <c r="T168" s="7">
        <v>0</v>
      </c>
    </row>
    <row r="169" s="1" customFormat="1" spans="1:20">
      <c r="A169" s="3" t="s">
        <v>1838</v>
      </c>
      <c r="B169" s="3" t="s">
        <v>707</v>
      </c>
      <c r="C169" s="3" t="s">
        <v>1768</v>
      </c>
      <c r="D169" s="3" t="s">
        <v>660</v>
      </c>
      <c r="E169" s="3" t="s">
        <v>661</v>
      </c>
      <c r="F169" s="3" t="s">
        <v>700</v>
      </c>
      <c r="G169" s="3" t="s">
        <v>1822</v>
      </c>
      <c r="H169" s="3" t="s">
        <v>1770</v>
      </c>
      <c r="I169" s="3" t="s">
        <v>1775</v>
      </c>
      <c r="J169" s="3" t="s">
        <v>2085</v>
      </c>
      <c r="K169" s="3"/>
      <c r="L169" s="3"/>
      <c r="M169" s="3" t="s">
        <v>508</v>
      </c>
      <c r="N169" s="3" t="s">
        <v>708</v>
      </c>
      <c r="O169" s="3" t="s">
        <v>508</v>
      </c>
      <c r="P169" s="3" t="s">
        <v>1820</v>
      </c>
      <c r="Q169" s="3" t="s">
        <v>670</v>
      </c>
      <c r="R169" s="5">
        <v>45247</v>
      </c>
      <c r="S169" s="6">
        <v>5521.79</v>
      </c>
      <c r="T169" s="7">
        <v>0</v>
      </c>
    </row>
    <row r="170" s="1" customFormat="1" spans="1:20">
      <c r="A170" s="3" t="s">
        <v>1839</v>
      </c>
      <c r="B170" s="3" t="s">
        <v>709</v>
      </c>
      <c r="C170" s="3" t="s">
        <v>1768</v>
      </c>
      <c r="D170" s="3" t="s">
        <v>660</v>
      </c>
      <c r="E170" s="3" t="s">
        <v>661</v>
      </c>
      <c r="F170" s="3" t="s">
        <v>706</v>
      </c>
      <c r="G170" s="3" t="s">
        <v>1822</v>
      </c>
      <c r="H170" s="3" t="s">
        <v>1770</v>
      </c>
      <c r="I170" s="3" t="s">
        <v>1775</v>
      </c>
      <c r="J170" s="3" t="s">
        <v>2085</v>
      </c>
      <c r="K170" s="3"/>
      <c r="L170" s="3"/>
      <c r="M170" s="3" t="s">
        <v>508</v>
      </c>
      <c r="N170" s="3" t="s">
        <v>710</v>
      </c>
      <c r="O170" s="3" t="s">
        <v>508</v>
      </c>
      <c r="P170" s="3" t="s">
        <v>1820</v>
      </c>
      <c r="Q170" s="3" t="s">
        <v>670</v>
      </c>
      <c r="R170" s="5">
        <v>45250</v>
      </c>
      <c r="S170" s="6">
        <v>5635.14</v>
      </c>
      <c r="T170" s="7">
        <v>0</v>
      </c>
    </row>
    <row r="171" s="1" customFormat="1" spans="1:20">
      <c r="A171" s="3" t="s">
        <v>1840</v>
      </c>
      <c r="B171" s="3" t="s">
        <v>711</v>
      </c>
      <c r="C171" s="3" t="s">
        <v>1768</v>
      </c>
      <c r="D171" s="3" t="s">
        <v>660</v>
      </c>
      <c r="E171" s="3" t="s">
        <v>661</v>
      </c>
      <c r="F171" s="3" t="s">
        <v>713</v>
      </c>
      <c r="G171" s="3" t="s">
        <v>1822</v>
      </c>
      <c r="H171" s="3" t="s">
        <v>1770</v>
      </c>
      <c r="I171" s="3" t="s">
        <v>1775</v>
      </c>
      <c r="J171" s="3" t="s">
        <v>2085</v>
      </c>
      <c r="K171" s="3"/>
      <c r="L171" s="3"/>
      <c r="M171" s="3" t="s">
        <v>508</v>
      </c>
      <c r="N171" s="3" t="s">
        <v>712</v>
      </c>
      <c r="O171" s="3" t="s">
        <v>508</v>
      </c>
      <c r="P171" s="3" t="s">
        <v>1820</v>
      </c>
      <c r="Q171" s="3" t="s">
        <v>670</v>
      </c>
      <c r="R171" s="5">
        <v>45238</v>
      </c>
      <c r="S171" s="6">
        <v>6257.31</v>
      </c>
      <c r="T171" s="7">
        <v>0</v>
      </c>
    </row>
    <row r="172" s="1" customFormat="1" spans="1:20">
      <c r="A172" s="3" t="s">
        <v>1841</v>
      </c>
      <c r="B172" s="3" t="s">
        <v>714</v>
      </c>
      <c r="C172" s="3" t="s">
        <v>1768</v>
      </c>
      <c r="D172" s="3" t="s">
        <v>660</v>
      </c>
      <c r="E172" s="3" t="s">
        <v>661</v>
      </c>
      <c r="F172" s="3" t="s">
        <v>716</v>
      </c>
      <c r="G172" s="3" t="s">
        <v>1822</v>
      </c>
      <c r="H172" s="3" t="s">
        <v>1770</v>
      </c>
      <c r="I172" s="3" t="s">
        <v>1775</v>
      </c>
      <c r="J172" s="3" t="s">
        <v>2085</v>
      </c>
      <c r="K172" s="3"/>
      <c r="L172" s="3"/>
      <c r="M172" s="3" t="s">
        <v>508</v>
      </c>
      <c r="N172" s="3" t="s">
        <v>715</v>
      </c>
      <c r="O172" s="3" t="s">
        <v>508</v>
      </c>
      <c r="P172" s="3" t="s">
        <v>1820</v>
      </c>
      <c r="Q172" s="3" t="s">
        <v>670</v>
      </c>
      <c r="R172" s="5">
        <v>45238</v>
      </c>
      <c r="S172" s="6">
        <v>800.28</v>
      </c>
      <c r="T172" s="7">
        <v>0</v>
      </c>
    </row>
    <row r="173" s="1" customFormat="1" spans="1:20">
      <c r="A173" s="3" t="s">
        <v>1842</v>
      </c>
      <c r="B173" s="3" t="s">
        <v>717</v>
      </c>
      <c r="C173" s="3" t="s">
        <v>1768</v>
      </c>
      <c r="D173" s="3" t="s">
        <v>660</v>
      </c>
      <c r="E173" s="3" t="s">
        <v>661</v>
      </c>
      <c r="F173" s="3" t="s">
        <v>719</v>
      </c>
      <c r="G173" s="3" t="s">
        <v>1822</v>
      </c>
      <c r="H173" s="3" t="s">
        <v>1770</v>
      </c>
      <c r="I173" s="3" t="s">
        <v>1775</v>
      </c>
      <c r="J173" s="3" t="s">
        <v>2085</v>
      </c>
      <c r="K173" s="3"/>
      <c r="L173" s="3"/>
      <c r="M173" s="3" t="s">
        <v>508</v>
      </c>
      <c r="N173" s="3" t="s">
        <v>718</v>
      </c>
      <c r="O173" s="3" t="s">
        <v>508</v>
      </c>
      <c r="P173" s="3" t="s">
        <v>1820</v>
      </c>
      <c r="Q173" s="3" t="s">
        <v>670</v>
      </c>
      <c r="R173" s="5">
        <v>45251</v>
      </c>
      <c r="S173" s="6">
        <v>8733.61</v>
      </c>
      <c r="T173" s="7">
        <v>0</v>
      </c>
    </row>
    <row r="174" s="1" customFormat="1" spans="1:20">
      <c r="A174" s="3" t="s">
        <v>1843</v>
      </c>
      <c r="B174" s="3" t="s">
        <v>720</v>
      </c>
      <c r="C174" s="3" t="s">
        <v>1768</v>
      </c>
      <c r="D174" s="3" t="s">
        <v>660</v>
      </c>
      <c r="E174" s="3" t="s">
        <v>661</v>
      </c>
      <c r="F174" s="3" t="s">
        <v>706</v>
      </c>
      <c r="G174" s="3" t="s">
        <v>1822</v>
      </c>
      <c r="H174" s="3" t="s">
        <v>1770</v>
      </c>
      <c r="I174" s="3" t="s">
        <v>1775</v>
      </c>
      <c r="J174" s="3" t="s">
        <v>2085</v>
      </c>
      <c r="K174" s="3"/>
      <c r="L174" s="3"/>
      <c r="M174" s="3" t="s">
        <v>508</v>
      </c>
      <c r="N174" s="3" t="s">
        <v>721</v>
      </c>
      <c r="O174" s="3" t="s">
        <v>508</v>
      </c>
      <c r="P174" s="3" t="s">
        <v>1820</v>
      </c>
      <c r="Q174" s="3" t="s">
        <v>670</v>
      </c>
      <c r="R174" s="5">
        <v>45250</v>
      </c>
      <c r="S174" s="6">
        <v>6109.91</v>
      </c>
      <c r="T174" s="7">
        <v>0</v>
      </c>
    </row>
    <row r="175" s="1" customFormat="1" spans="1:20">
      <c r="A175" s="3" t="s">
        <v>1844</v>
      </c>
      <c r="B175" s="3" t="s">
        <v>722</v>
      </c>
      <c r="C175" s="3" t="s">
        <v>1768</v>
      </c>
      <c r="D175" s="3" t="s">
        <v>660</v>
      </c>
      <c r="E175" s="3" t="s">
        <v>661</v>
      </c>
      <c r="F175" s="3" t="s">
        <v>724</v>
      </c>
      <c r="G175" s="3" t="s">
        <v>1822</v>
      </c>
      <c r="H175" s="3" t="s">
        <v>1770</v>
      </c>
      <c r="I175" s="3" t="s">
        <v>1775</v>
      </c>
      <c r="J175" s="3" t="s">
        <v>2085</v>
      </c>
      <c r="K175" s="3"/>
      <c r="L175" s="3"/>
      <c r="M175" s="3" t="s">
        <v>508</v>
      </c>
      <c r="N175" s="3" t="s">
        <v>723</v>
      </c>
      <c r="O175" s="3" t="s">
        <v>508</v>
      </c>
      <c r="P175" s="3" t="s">
        <v>1820</v>
      </c>
      <c r="Q175" s="3" t="s">
        <v>670</v>
      </c>
      <c r="R175" s="5">
        <v>45244</v>
      </c>
      <c r="S175" s="6">
        <v>1592.29</v>
      </c>
      <c r="T175" s="7">
        <v>0</v>
      </c>
    </row>
    <row r="176" s="1" customFormat="1" spans="1:20">
      <c r="A176" s="3" t="s">
        <v>1845</v>
      </c>
      <c r="B176" s="3" t="s">
        <v>725</v>
      </c>
      <c r="C176" s="3" t="s">
        <v>1768</v>
      </c>
      <c r="D176" s="3" t="s">
        <v>660</v>
      </c>
      <c r="E176" s="3" t="s">
        <v>661</v>
      </c>
      <c r="F176" s="3" t="s">
        <v>669</v>
      </c>
      <c r="G176" s="3" t="s">
        <v>1822</v>
      </c>
      <c r="H176" s="3" t="s">
        <v>1770</v>
      </c>
      <c r="I176" s="3" t="s">
        <v>1775</v>
      </c>
      <c r="J176" s="3" t="s">
        <v>2085</v>
      </c>
      <c r="K176" s="3"/>
      <c r="L176" s="3"/>
      <c r="M176" s="3" t="s">
        <v>508</v>
      </c>
      <c r="N176" s="3" t="s">
        <v>726</v>
      </c>
      <c r="O176" s="3" t="s">
        <v>508</v>
      </c>
      <c r="P176" s="3" t="s">
        <v>1820</v>
      </c>
      <c r="Q176" s="3" t="s">
        <v>670</v>
      </c>
      <c r="R176" s="5">
        <v>45239</v>
      </c>
      <c r="S176" s="6">
        <v>1869.14</v>
      </c>
      <c r="T176" s="7">
        <v>0</v>
      </c>
    </row>
    <row r="177" s="1" customFormat="1" spans="1:20">
      <c r="A177" s="3" t="s">
        <v>1846</v>
      </c>
      <c r="B177" s="3" t="s">
        <v>727</v>
      </c>
      <c r="C177" s="3" t="s">
        <v>1768</v>
      </c>
      <c r="D177" s="3" t="s">
        <v>660</v>
      </c>
      <c r="E177" s="3" t="s">
        <v>661</v>
      </c>
      <c r="F177" s="3" t="s">
        <v>669</v>
      </c>
      <c r="G177" s="3" t="s">
        <v>1822</v>
      </c>
      <c r="H177" s="3" t="s">
        <v>1770</v>
      </c>
      <c r="I177" s="3" t="s">
        <v>1775</v>
      </c>
      <c r="J177" s="3" t="s">
        <v>2085</v>
      </c>
      <c r="K177" s="3"/>
      <c r="L177" s="3"/>
      <c r="M177" s="3" t="s">
        <v>508</v>
      </c>
      <c r="N177" s="3" t="s">
        <v>728</v>
      </c>
      <c r="O177" s="3" t="s">
        <v>508</v>
      </c>
      <c r="P177" s="3" t="s">
        <v>1820</v>
      </c>
      <c r="Q177" s="3" t="s">
        <v>670</v>
      </c>
      <c r="R177" s="5">
        <v>45239</v>
      </c>
      <c r="S177" s="6">
        <v>2967.71</v>
      </c>
      <c r="T177" s="7">
        <v>0</v>
      </c>
    </row>
    <row r="178" s="1" customFormat="1" spans="1:20">
      <c r="A178" s="3" t="s">
        <v>1847</v>
      </c>
      <c r="B178" s="3" t="s">
        <v>729</v>
      </c>
      <c r="C178" s="3" t="s">
        <v>1768</v>
      </c>
      <c r="D178" s="3" t="s">
        <v>660</v>
      </c>
      <c r="E178" s="3" t="s">
        <v>661</v>
      </c>
      <c r="F178" s="3" t="s">
        <v>731</v>
      </c>
      <c r="G178" s="3" t="s">
        <v>1822</v>
      </c>
      <c r="H178" s="3" t="s">
        <v>1770</v>
      </c>
      <c r="I178" s="3" t="s">
        <v>1775</v>
      </c>
      <c r="J178" s="3" t="s">
        <v>2085</v>
      </c>
      <c r="K178" s="3"/>
      <c r="L178" s="3"/>
      <c r="M178" s="3" t="s">
        <v>508</v>
      </c>
      <c r="N178" s="3" t="s">
        <v>730</v>
      </c>
      <c r="O178" s="3" t="s">
        <v>508</v>
      </c>
      <c r="P178" s="3" t="s">
        <v>1820</v>
      </c>
      <c r="Q178" s="3" t="s">
        <v>670</v>
      </c>
      <c r="R178" s="5">
        <v>45244</v>
      </c>
      <c r="S178" s="6">
        <v>2785.17</v>
      </c>
      <c r="T178" s="7">
        <v>0</v>
      </c>
    </row>
    <row r="179" s="1" customFormat="1" spans="1:20">
      <c r="A179" s="3" t="s">
        <v>1848</v>
      </c>
      <c r="B179" s="3" t="s">
        <v>732</v>
      </c>
      <c r="C179" s="3" t="s">
        <v>1768</v>
      </c>
      <c r="D179" s="3" t="s">
        <v>660</v>
      </c>
      <c r="E179" s="3" t="s">
        <v>661</v>
      </c>
      <c r="F179" s="3" t="s">
        <v>734</v>
      </c>
      <c r="G179" s="3" t="s">
        <v>1822</v>
      </c>
      <c r="H179" s="3" t="s">
        <v>1770</v>
      </c>
      <c r="I179" s="3" t="s">
        <v>1775</v>
      </c>
      <c r="J179" s="3" t="s">
        <v>2085</v>
      </c>
      <c r="K179" s="3"/>
      <c r="L179" s="3"/>
      <c r="M179" s="3" t="s">
        <v>508</v>
      </c>
      <c r="N179" s="3" t="s">
        <v>733</v>
      </c>
      <c r="O179" s="3" t="s">
        <v>508</v>
      </c>
      <c r="P179" s="3" t="s">
        <v>1820</v>
      </c>
      <c r="Q179" s="3" t="s">
        <v>670</v>
      </c>
      <c r="R179" s="5">
        <v>45244</v>
      </c>
      <c r="S179" s="6">
        <v>6055.54</v>
      </c>
      <c r="T179" s="7">
        <v>0</v>
      </c>
    </row>
    <row r="180" s="1" customFormat="1" spans="1:20">
      <c r="A180" s="3" t="s">
        <v>1849</v>
      </c>
      <c r="B180" s="3" t="s">
        <v>735</v>
      </c>
      <c r="C180" s="3" t="s">
        <v>1768</v>
      </c>
      <c r="D180" s="3" t="s">
        <v>660</v>
      </c>
      <c r="E180" s="3" t="s">
        <v>661</v>
      </c>
      <c r="F180" s="3" t="s">
        <v>700</v>
      </c>
      <c r="G180" s="3" t="s">
        <v>1822</v>
      </c>
      <c r="H180" s="3" t="s">
        <v>1770</v>
      </c>
      <c r="I180" s="3" t="s">
        <v>1775</v>
      </c>
      <c r="J180" s="3" t="s">
        <v>2085</v>
      </c>
      <c r="K180" s="3"/>
      <c r="L180" s="3"/>
      <c r="M180" s="3" t="s">
        <v>508</v>
      </c>
      <c r="N180" s="3" t="s">
        <v>736</v>
      </c>
      <c r="O180" s="3" t="s">
        <v>508</v>
      </c>
      <c r="P180" s="3" t="s">
        <v>1820</v>
      </c>
      <c r="Q180" s="3" t="s">
        <v>670</v>
      </c>
      <c r="R180" s="5">
        <v>45244</v>
      </c>
      <c r="S180" s="6">
        <v>6109.9</v>
      </c>
      <c r="T180" s="7">
        <v>0</v>
      </c>
    </row>
    <row r="181" s="1" customFormat="1" spans="1:20">
      <c r="A181" s="3" t="s">
        <v>1850</v>
      </c>
      <c r="B181" s="3" t="s">
        <v>737</v>
      </c>
      <c r="C181" s="3" t="s">
        <v>1768</v>
      </c>
      <c r="D181" s="3" t="s">
        <v>660</v>
      </c>
      <c r="E181" s="3" t="s">
        <v>661</v>
      </c>
      <c r="F181" s="3" t="s">
        <v>731</v>
      </c>
      <c r="G181" s="3" t="s">
        <v>1822</v>
      </c>
      <c r="H181" s="3" t="s">
        <v>1770</v>
      </c>
      <c r="I181" s="3" t="s">
        <v>1775</v>
      </c>
      <c r="J181" s="3" t="s">
        <v>2085</v>
      </c>
      <c r="K181" s="3"/>
      <c r="L181" s="3"/>
      <c r="M181" s="3" t="s">
        <v>508</v>
      </c>
      <c r="N181" s="3" t="s">
        <v>738</v>
      </c>
      <c r="O181" s="3" t="s">
        <v>508</v>
      </c>
      <c r="P181" s="3" t="s">
        <v>1820</v>
      </c>
      <c r="Q181" s="3" t="s">
        <v>670</v>
      </c>
      <c r="R181" s="5">
        <v>45266</v>
      </c>
      <c r="S181" s="6">
        <v>353.74</v>
      </c>
      <c r="T181" s="7">
        <v>0</v>
      </c>
    </row>
    <row r="182" s="1" customFormat="1" spans="1:20">
      <c r="A182" s="3" t="s">
        <v>1851</v>
      </c>
      <c r="B182" s="3" t="s">
        <v>749</v>
      </c>
      <c r="C182" s="3" t="s">
        <v>1768</v>
      </c>
      <c r="D182" s="3" t="s">
        <v>660</v>
      </c>
      <c r="E182" s="3" t="s">
        <v>661</v>
      </c>
      <c r="F182" s="3" t="s">
        <v>751</v>
      </c>
      <c r="G182" s="3" t="s">
        <v>1822</v>
      </c>
      <c r="H182" s="3" t="s">
        <v>1770</v>
      </c>
      <c r="I182" s="3" t="s">
        <v>1775</v>
      </c>
      <c r="J182" s="3" t="s">
        <v>2085</v>
      </c>
      <c r="K182" s="3"/>
      <c r="L182" s="3"/>
      <c r="M182" s="3" t="s">
        <v>508</v>
      </c>
      <c r="N182" s="3" t="s">
        <v>750</v>
      </c>
      <c r="O182" s="3" t="s">
        <v>508</v>
      </c>
      <c r="P182" s="3" t="s">
        <v>1820</v>
      </c>
      <c r="Q182" s="3" t="s">
        <v>670</v>
      </c>
      <c r="R182" s="5">
        <v>45264</v>
      </c>
      <c r="S182" s="6">
        <v>8800</v>
      </c>
      <c r="T182" s="7">
        <v>0</v>
      </c>
    </row>
    <row r="183" s="1" customFormat="1" spans="1:20">
      <c r="A183" s="3" t="s">
        <v>1816</v>
      </c>
      <c r="B183" s="3" t="s">
        <v>752</v>
      </c>
      <c r="C183" s="3" t="s">
        <v>1768</v>
      </c>
      <c r="D183" s="3" t="s">
        <v>660</v>
      </c>
      <c r="E183" s="3" t="s">
        <v>661</v>
      </c>
      <c r="F183" s="3" t="s">
        <v>754</v>
      </c>
      <c r="G183" s="3" t="s">
        <v>1822</v>
      </c>
      <c r="H183" s="3" t="s">
        <v>1770</v>
      </c>
      <c r="I183" s="3" t="s">
        <v>1775</v>
      </c>
      <c r="J183" s="3" t="s">
        <v>2085</v>
      </c>
      <c r="K183" s="3"/>
      <c r="L183" s="3"/>
      <c r="M183" s="3" t="s">
        <v>508</v>
      </c>
      <c r="N183" s="3" t="s">
        <v>753</v>
      </c>
      <c r="O183" s="3" t="s">
        <v>508</v>
      </c>
      <c r="P183" s="3" t="s">
        <v>1820</v>
      </c>
      <c r="Q183" s="3" t="s">
        <v>670</v>
      </c>
      <c r="R183" s="5">
        <v>45275</v>
      </c>
      <c r="S183" s="6">
        <v>3340.37</v>
      </c>
      <c r="T183" s="7">
        <v>0</v>
      </c>
    </row>
    <row r="184" s="1" customFormat="1" spans="1:20">
      <c r="A184" s="3" t="s">
        <v>1852</v>
      </c>
      <c r="B184" s="3" t="s">
        <v>739</v>
      </c>
      <c r="C184" s="3" t="s">
        <v>1768</v>
      </c>
      <c r="D184" s="3" t="s">
        <v>660</v>
      </c>
      <c r="E184" s="3" t="s">
        <v>661</v>
      </c>
      <c r="F184" s="3" t="s">
        <v>741</v>
      </c>
      <c r="G184" s="3" t="s">
        <v>1822</v>
      </c>
      <c r="H184" s="3" t="s">
        <v>1770</v>
      </c>
      <c r="I184" s="3" t="s">
        <v>1775</v>
      </c>
      <c r="J184" s="3" t="s">
        <v>2085</v>
      </c>
      <c r="K184" s="3"/>
      <c r="L184" s="3"/>
      <c r="M184" s="3" t="s">
        <v>508</v>
      </c>
      <c r="N184" s="3" t="s">
        <v>740</v>
      </c>
      <c r="O184" s="3" t="s">
        <v>508</v>
      </c>
      <c r="P184" s="3" t="s">
        <v>1820</v>
      </c>
      <c r="Q184" s="3" t="s">
        <v>670</v>
      </c>
      <c r="R184" s="5">
        <v>45279</v>
      </c>
      <c r="S184" s="6">
        <v>753.04</v>
      </c>
      <c r="T184" s="7">
        <v>0</v>
      </c>
    </row>
    <row r="185" s="1" customFormat="1" spans="1:20">
      <c r="A185" s="3" t="s">
        <v>1853</v>
      </c>
      <c r="B185" s="3" t="s">
        <v>755</v>
      </c>
      <c r="C185" s="3" t="s">
        <v>1768</v>
      </c>
      <c r="D185" s="3" t="s">
        <v>660</v>
      </c>
      <c r="E185" s="3" t="s">
        <v>661</v>
      </c>
      <c r="F185" s="3" t="s">
        <v>757</v>
      </c>
      <c r="G185" s="3" t="s">
        <v>1822</v>
      </c>
      <c r="H185" s="3" t="s">
        <v>1770</v>
      </c>
      <c r="I185" s="3" t="s">
        <v>1775</v>
      </c>
      <c r="J185" s="3" t="s">
        <v>2085</v>
      </c>
      <c r="K185" s="3"/>
      <c r="L185" s="3"/>
      <c r="M185" s="3" t="s">
        <v>508</v>
      </c>
      <c r="N185" s="3" t="s">
        <v>756</v>
      </c>
      <c r="O185" s="3" t="s">
        <v>508</v>
      </c>
      <c r="P185" s="3" t="s">
        <v>1820</v>
      </c>
      <c r="Q185" s="3" t="s">
        <v>670</v>
      </c>
      <c r="R185" s="5">
        <v>45275</v>
      </c>
      <c r="S185" s="6">
        <v>12163.76</v>
      </c>
      <c r="T185" s="7">
        <v>0</v>
      </c>
    </row>
    <row r="186" s="1" customFormat="1" spans="1:20">
      <c r="A186" s="3" t="s">
        <v>1854</v>
      </c>
      <c r="B186" s="3" t="s">
        <v>742</v>
      </c>
      <c r="C186" s="3" t="s">
        <v>1768</v>
      </c>
      <c r="D186" s="3" t="s">
        <v>660</v>
      </c>
      <c r="E186" s="3" t="s">
        <v>661</v>
      </c>
      <c r="F186" s="3" t="s">
        <v>744</v>
      </c>
      <c r="G186" s="3" t="s">
        <v>1822</v>
      </c>
      <c r="H186" s="3" t="s">
        <v>1770</v>
      </c>
      <c r="I186" s="3" t="s">
        <v>1775</v>
      </c>
      <c r="J186" s="3" t="s">
        <v>2085</v>
      </c>
      <c r="K186" s="3"/>
      <c r="L186" s="3"/>
      <c r="M186" s="3" t="s">
        <v>508</v>
      </c>
      <c r="N186" s="3" t="s">
        <v>743</v>
      </c>
      <c r="O186" s="3" t="s">
        <v>508</v>
      </c>
      <c r="P186" s="3" t="s">
        <v>1820</v>
      </c>
      <c r="Q186" s="3" t="s">
        <v>670</v>
      </c>
      <c r="R186" s="5">
        <v>45275</v>
      </c>
      <c r="S186" s="6">
        <v>495.05</v>
      </c>
      <c r="T186" s="7">
        <v>0</v>
      </c>
    </row>
    <row r="187" s="1" customFormat="1" spans="1:20">
      <c r="A187" s="3" t="s">
        <v>1855</v>
      </c>
      <c r="B187" s="3" t="s">
        <v>775</v>
      </c>
      <c r="C187" s="3" t="s">
        <v>1768</v>
      </c>
      <c r="D187" s="3" t="s">
        <v>660</v>
      </c>
      <c r="E187" s="3" t="s">
        <v>661</v>
      </c>
      <c r="F187" s="3" t="s">
        <v>777</v>
      </c>
      <c r="G187" s="3" t="s">
        <v>1822</v>
      </c>
      <c r="H187" s="3" t="s">
        <v>1770</v>
      </c>
      <c r="I187" s="3" t="s">
        <v>1775</v>
      </c>
      <c r="J187" s="3" t="s">
        <v>2085</v>
      </c>
      <c r="K187" s="3"/>
      <c r="L187" s="3"/>
      <c r="M187" s="3" t="s">
        <v>508</v>
      </c>
      <c r="N187" s="3" t="s">
        <v>776</v>
      </c>
      <c r="O187" s="3" t="s">
        <v>508</v>
      </c>
      <c r="P187" s="3" t="s">
        <v>1820</v>
      </c>
      <c r="Q187" s="3" t="s">
        <v>670</v>
      </c>
      <c r="R187" s="5">
        <v>45278</v>
      </c>
      <c r="S187" s="6">
        <v>1885.73</v>
      </c>
      <c r="T187" s="7">
        <v>0</v>
      </c>
    </row>
    <row r="188" s="1" customFormat="1" spans="1:20">
      <c r="A188" s="3" t="s">
        <v>1856</v>
      </c>
      <c r="B188" s="3" t="s">
        <v>758</v>
      </c>
      <c r="C188" s="3" t="s">
        <v>1768</v>
      </c>
      <c r="D188" s="3" t="s">
        <v>660</v>
      </c>
      <c r="E188" s="3" t="s">
        <v>661</v>
      </c>
      <c r="F188" s="3" t="s">
        <v>760</v>
      </c>
      <c r="G188" s="3" t="s">
        <v>1822</v>
      </c>
      <c r="H188" s="3" t="s">
        <v>1770</v>
      </c>
      <c r="I188" s="3" t="s">
        <v>1775</v>
      </c>
      <c r="J188" s="3" t="s">
        <v>2085</v>
      </c>
      <c r="K188" s="3"/>
      <c r="L188" s="3"/>
      <c r="M188" s="3" t="s">
        <v>508</v>
      </c>
      <c r="N188" s="3" t="s">
        <v>759</v>
      </c>
      <c r="O188" s="3" t="s">
        <v>508</v>
      </c>
      <c r="P188" s="3" t="s">
        <v>1820</v>
      </c>
      <c r="Q188" s="3" t="s">
        <v>670</v>
      </c>
      <c r="R188" s="5">
        <v>45280</v>
      </c>
      <c r="S188" s="6">
        <v>600</v>
      </c>
      <c r="T188" s="7">
        <v>0</v>
      </c>
    </row>
    <row r="189" s="1" customFormat="1" spans="1:20">
      <c r="A189" s="3" t="s">
        <v>1857</v>
      </c>
      <c r="B189" s="3" t="s">
        <v>761</v>
      </c>
      <c r="C189" s="3" t="s">
        <v>1768</v>
      </c>
      <c r="D189" s="3" t="s">
        <v>660</v>
      </c>
      <c r="E189" s="3" t="s">
        <v>661</v>
      </c>
      <c r="F189" s="3" t="s">
        <v>763</v>
      </c>
      <c r="G189" s="3" t="s">
        <v>1822</v>
      </c>
      <c r="H189" s="3" t="s">
        <v>1770</v>
      </c>
      <c r="I189" s="3" t="s">
        <v>1775</v>
      </c>
      <c r="J189" s="3" t="s">
        <v>2085</v>
      </c>
      <c r="K189" s="3"/>
      <c r="L189" s="3"/>
      <c r="M189" s="3" t="s">
        <v>508</v>
      </c>
      <c r="N189" s="3" t="s">
        <v>762</v>
      </c>
      <c r="O189" s="3" t="s">
        <v>508</v>
      </c>
      <c r="P189" s="3" t="s">
        <v>1820</v>
      </c>
      <c r="Q189" s="3" t="s">
        <v>670</v>
      </c>
      <c r="R189" s="5">
        <v>45280</v>
      </c>
      <c r="S189" s="6">
        <v>3104.95</v>
      </c>
      <c r="T189" s="7">
        <v>0</v>
      </c>
    </row>
    <row r="190" s="1" customFormat="1" spans="1:20">
      <c r="A190" s="3" t="s">
        <v>1858</v>
      </c>
      <c r="B190" s="3" t="s">
        <v>764</v>
      </c>
      <c r="C190" s="3" t="s">
        <v>1768</v>
      </c>
      <c r="D190" s="3" t="s">
        <v>660</v>
      </c>
      <c r="E190" s="3" t="s">
        <v>661</v>
      </c>
      <c r="F190" s="3" t="s">
        <v>766</v>
      </c>
      <c r="G190" s="3" t="s">
        <v>1822</v>
      </c>
      <c r="H190" s="3" t="s">
        <v>1770</v>
      </c>
      <c r="I190" s="3" t="s">
        <v>1775</v>
      </c>
      <c r="J190" s="3" t="s">
        <v>2085</v>
      </c>
      <c r="K190" s="3"/>
      <c r="L190" s="3"/>
      <c r="M190" s="3" t="s">
        <v>508</v>
      </c>
      <c r="N190" s="3" t="s">
        <v>765</v>
      </c>
      <c r="O190" s="3" t="s">
        <v>508</v>
      </c>
      <c r="P190" s="3" t="s">
        <v>1820</v>
      </c>
      <c r="Q190" s="3" t="s">
        <v>670</v>
      </c>
      <c r="R190" s="5">
        <v>45275</v>
      </c>
      <c r="S190" s="6">
        <v>8566.46</v>
      </c>
      <c r="T190" s="7">
        <v>0</v>
      </c>
    </row>
    <row r="191" s="1" customFormat="1" spans="1:20">
      <c r="A191" s="3" t="s">
        <v>1859</v>
      </c>
      <c r="B191" s="3" t="s">
        <v>879</v>
      </c>
      <c r="C191" s="3" t="s">
        <v>1768</v>
      </c>
      <c r="D191" s="3" t="s">
        <v>660</v>
      </c>
      <c r="E191" s="3" t="s">
        <v>661</v>
      </c>
      <c r="F191" s="3" t="s">
        <v>859</v>
      </c>
      <c r="G191" s="3" t="s">
        <v>1822</v>
      </c>
      <c r="H191" s="3" t="s">
        <v>1770</v>
      </c>
      <c r="I191" s="3" t="s">
        <v>1775</v>
      </c>
      <c r="J191" s="3" t="s">
        <v>2085</v>
      </c>
      <c r="K191" s="3"/>
      <c r="L191" s="3"/>
      <c r="M191" s="3" t="s">
        <v>521</v>
      </c>
      <c r="N191" s="3" t="s">
        <v>880</v>
      </c>
      <c r="O191" s="3" t="s">
        <v>521</v>
      </c>
      <c r="P191" s="3" t="s">
        <v>1820</v>
      </c>
      <c r="Q191" s="3" t="s">
        <v>670</v>
      </c>
      <c r="R191" s="5">
        <v>45323</v>
      </c>
      <c r="S191" s="6">
        <v>4073.27</v>
      </c>
      <c r="T191" s="7">
        <v>0</v>
      </c>
    </row>
    <row r="192" s="1" customFormat="1" spans="1:20">
      <c r="A192" s="3" t="s">
        <v>1860</v>
      </c>
      <c r="B192" s="3" t="s">
        <v>772</v>
      </c>
      <c r="C192" s="3" t="s">
        <v>1768</v>
      </c>
      <c r="D192" s="3" t="s">
        <v>660</v>
      </c>
      <c r="E192" s="3" t="s">
        <v>661</v>
      </c>
      <c r="F192" s="3" t="s">
        <v>774</v>
      </c>
      <c r="G192" s="3" t="s">
        <v>1822</v>
      </c>
      <c r="H192" s="3" t="s">
        <v>1770</v>
      </c>
      <c r="I192" s="3" t="s">
        <v>1775</v>
      </c>
      <c r="J192" s="3" t="s">
        <v>2085</v>
      </c>
      <c r="K192" s="3"/>
      <c r="L192" s="3"/>
      <c r="M192" s="3" t="s">
        <v>508</v>
      </c>
      <c r="N192" s="3" t="s">
        <v>773</v>
      </c>
      <c r="O192" s="3" t="s">
        <v>508</v>
      </c>
      <c r="P192" s="3" t="s">
        <v>1820</v>
      </c>
      <c r="Q192" s="3" t="s">
        <v>670</v>
      </c>
      <c r="R192" s="5">
        <v>45268</v>
      </c>
      <c r="S192" s="6">
        <v>2104.96</v>
      </c>
      <c r="T192" s="7">
        <v>0</v>
      </c>
    </row>
    <row r="193" s="1" customFormat="1" spans="1:20">
      <c r="A193" s="3" t="s">
        <v>1861</v>
      </c>
      <c r="B193" s="3" t="s">
        <v>778</v>
      </c>
      <c r="C193" s="3" t="s">
        <v>1768</v>
      </c>
      <c r="D193" s="3" t="s">
        <v>660</v>
      </c>
      <c r="E193" s="3" t="s">
        <v>661</v>
      </c>
      <c r="F193" s="3" t="s">
        <v>763</v>
      </c>
      <c r="G193" s="3" t="s">
        <v>1822</v>
      </c>
      <c r="H193" s="3" t="s">
        <v>1770</v>
      </c>
      <c r="I193" s="3" t="s">
        <v>1775</v>
      </c>
      <c r="J193" s="3" t="s">
        <v>2085</v>
      </c>
      <c r="K193" s="3"/>
      <c r="L193" s="3"/>
      <c r="M193" s="3" t="s">
        <v>508</v>
      </c>
      <c r="N193" s="3" t="s">
        <v>779</v>
      </c>
      <c r="O193" s="3" t="s">
        <v>508</v>
      </c>
      <c r="P193" s="3" t="s">
        <v>1820</v>
      </c>
      <c r="Q193" s="3" t="s">
        <v>670</v>
      </c>
      <c r="R193" s="5">
        <v>45268</v>
      </c>
      <c r="S193" s="6">
        <v>4073.27</v>
      </c>
      <c r="T193" s="7">
        <v>0</v>
      </c>
    </row>
    <row r="194" s="1" customFormat="1" spans="1:20">
      <c r="A194" s="3" t="s">
        <v>1862</v>
      </c>
      <c r="B194" s="3" t="s">
        <v>780</v>
      </c>
      <c r="C194" s="3" t="s">
        <v>1768</v>
      </c>
      <c r="D194" s="3" t="s">
        <v>660</v>
      </c>
      <c r="E194" s="3" t="s">
        <v>661</v>
      </c>
      <c r="F194" s="3" t="s">
        <v>782</v>
      </c>
      <c r="G194" s="3" t="s">
        <v>1822</v>
      </c>
      <c r="H194" s="3" t="s">
        <v>1770</v>
      </c>
      <c r="I194" s="3" t="s">
        <v>1775</v>
      </c>
      <c r="J194" s="3" t="s">
        <v>2085</v>
      </c>
      <c r="K194" s="3"/>
      <c r="L194" s="3"/>
      <c r="M194" s="3" t="s">
        <v>508</v>
      </c>
      <c r="N194" s="3" t="s">
        <v>781</v>
      </c>
      <c r="O194" s="3" t="s">
        <v>508</v>
      </c>
      <c r="P194" s="3" t="s">
        <v>1820</v>
      </c>
      <c r="Q194" s="3" t="s">
        <v>670</v>
      </c>
      <c r="R194" s="5">
        <v>45268</v>
      </c>
      <c r="S194" s="6">
        <v>831.57</v>
      </c>
      <c r="T194" s="7">
        <v>0</v>
      </c>
    </row>
    <row r="195" s="1" customFormat="1" spans="1:20">
      <c r="A195" s="3" t="s">
        <v>1863</v>
      </c>
      <c r="B195" s="3" t="s">
        <v>783</v>
      </c>
      <c r="C195" s="3" t="s">
        <v>1768</v>
      </c>
      <c r="D195" s="3" t="s">
        <v>660</v>
      </c>
      <c r="E195" s="3" t="s">
        <v>661</v>
      </c>
      <c r="F195" s="3" t="s">
        <v>681</v>
      </c>
      <c r="G195" s="3" t="s">
        <v>1822</v>
      </c>
      <c r="H195" s="3" t="s">
        <v>1770</v>
      </c>
      <c r="I195" s="3" t="s">
        <v>1775</v>
      </c>
      <c r="J195" s="3" t="s">
        <v>2085</v>
      </c>
      <c r="K195" s="3"/>
      <c r="L195" s="3"/>
      <c r="M195" s="3" t="s">
        <v>508</v>
      </c>
      <c r="N195" s="3" t="s">
        <v>784</v>
      </c>
      <c r="O195" s="3" t="s">
        <v>508</v>
      </c>
      <c r="P195" s="3" t="s">
        <v>1820</v>
      </c>
      <c r="Q195" s="3" t="s">
        <v>670</v>
      </c>
      <c r="R195" s="5">
        <v>45265</v>
      </c>
      <c r="S195" s="6">
        <v>716.68</v>
      </c>
      <c r="T195" s="7">
        <v>0</v>
      </c>
    </row>
    <row r="196" s="1" customFormat="1" spans="1:20">
      <c r="A196" s="3" t="s">
        <v>1864</v>
      </c>
      <c r="B196" s="3" t="s">
        <v>785</v>
      </c>
      <c r="C196" s="3" t="s">
        <v>1768</v>
      </c>
      <c r="D196" s="3" t="s">
        <v>660</v>
      </c>
      <c r="E196" s="3" t="s">
        <v>661</v>
      </c>
      <c r="F196" s="3" t="s">
        <v>693</v>
      </c>
      <c r="G196" s="3" t="s">
        <v>1822</v>
      </c>
      <c r="H196" s="3" t="s">
        <v>1770</v>
      </c>
      <c r="I196" s="3" t="s">
        <v>1775</v>
      </c>
      <c r="J196" s="3" t="s">
        <v>2085</v>
      </c>
      <c r="K196" s="3"/>
      <c r="L196" s="3"/>
      <c r="M196" s="3" t="s">
        <v>508</v>
      </c>
      <c r="N196" s="3" t="s">
        <v>786</v>
      </c>
      <c r="O196" s="3" t="s">
        <v>508</v>
      </c>
      <c r="P196" s="3" t="s">
        <v>1820</v>
      </c>
      <c r="Q196" s="3" t="s">
        <v>670</v>
      </c>
      <c r="R196" s="5">
        <v>45265</v>
      </c>
      <c r="S196" s="6">
        <v>1068.32</v>
      </c>
      <c r="T196" s="7">
        <v>0</v>
      </c>
    </row>
    <row r="197" s="1" customFormat="1" spans="1:20">
      <c r="A197" s="3" t="s">
        <v>1865</v>
      </c>
      <c r="B197" s="3" t="s">
        <v>787</v>
      </c>
      <c r="C197" s="3" t="s">
        <v>1768</v>
      </c>
      <c r="D197" s="3" t="s">
        <v>660</v>
      </c>
      <c r="E197" s="3" t="s">
        <v>661</v>
      </c>
      <c r="F197" s="3" t="s">
        <v>669</v>
      </c>
      <c r="G197" s="3" t="s">
        <v>1822</v>
      </c>
      <c r="H197" s="3" t="s">
        <v>1770</v>
      </c>
      <c r="I197" s="3" t="s">
        <v>1775</v>
      </c>
      <c r="J197" s="3" t="s">
        <v>2085</v>
      </c>
      <c r="K197" s="3"/>
      <c r="L197" s="3"/>
      <c r="M197" s="3" t="s">
        <v>508</v>
      </c>
      <c r="N197" s="3" t="s">
        <v>788</v>
      </c>
      <c r="O197" s="3" t="s">
        <v>508</v>
      </c>
      <c r="P197" s="3" t="s">
        <v>1820</v>
      </c>
      <c r="Q197" s="3" t="s">
        <v>670</v>
      </c>
      <c r="R197" s="5">
        <v>45268</v>
      </c>
      <c r="S197" s="6">
        <v>3258.27</v>
      </c>
      <c r="T197" s="7">
        <v>0</v>
      </c>
    </row>
    <row r="198" s="1" customFormat="1" spans="1:20">
      <c r="A198" s="3" t="s">
        <v>1866</v>
      </c>
      <c r="B198" s="3" t="s">
        <v>789</v>
      </c>
      <c r="C198" s="3" t="s">
        <v>1768</v>
      </c>
      <c r="D198" s="3" t="s">
        <v>660</v>
      </c>
      <c r="E198" s="3" t="s">
        <v>661</v>
      </c>
      <c r="F198" s="3" t="s">
        <v>731</v>
      </c>
      <c r="G198" s="3" t="s">
        <v>1822</v>
      </c>
      <c r="H198" s="3" t="s">
        <v>1770</v>
      </c>
      <c r="I198" s="3" t="s">
        <v>1775</v>
      </c>
      <c r="J198" s="3" t="s">
        <v>2085</v>
      </c>
      <c r="K198" s="3"/>
      <c r="L198" s="3"/>
      <c r="M198" s="3" t="s">
        <v>508</v>
      </c>
      <c r="N198" s="3" t="s">
        <v>790</v>
      </c>
      <c r="O198" s="3" t="s">
        <v>508</v>
      </c>
      <c r="P198" s="3" t="s">
        <v>1820</v>
      </c>
      <c r="Q198" s="3" t="s">
        <v>670</v>
      </c>
      <c r="R198" s="5">
        <v>45264</v>
      </c>
      <c r="S198" s="6">
        <v>345.66</v>
      </c>
      <c r="T198" s="7">
        <v>0</v>
      </c>
    </row>
    <row r="199" s="1" customFormat="1" spans="1:20">
      <c r="A199" s="3" t="s">
        <v>1867</v>
      </c>
      <c r="B199" s="3" t="s">
        <v>791</v>
      </c>
      <c r="C199" s="3" t="s">
        <v>1768</v>
      </c>
      <c r="D199" s="3" t="s">
        <v>660</v>
      </c>
      <c r="E199" s="3" t="s">
        <v>661</v>
      </c>
      <c r="F199" s="3" t="s">
        <v>731</v>
      </c>
      <c r="G199" s="3" t="s">
        <v>1822</v>
      </c>
      <c r="H199" s="3" t="s">
        <v>1770</v>
      </c>
      <c r="I199" s="3" t="s">
        <v>1775</v>
      </c>
      <c r="J199" s="3" t="s">
        <v>2085</v>
      </c>
      <c r="K199" s="3"/>
      <c r="L199" s="3"/>
      <c r="M199" s="3" t="s">
        <v>508</v>
      </c>
      <c r="N199" s="3" t="s">
        <v>792</v>
      </c>
      <c r="O199" s="3" t="s">
        <v>508</v>
      </c>
      <c r="P199" s="3" t="s">
        <v>1820</v>
      </c>
      <c r="Q199" s="3" t="s">
        <v>670</v>
      </c>
      <c r="R199" s="5">
        <v>45264</v>
      </c>
      <c r="S199" s="6">
        <v>231.1</v>
      </c>
      <c r="T199" s="7">
        <v>0</v>
      </c>
    </row>
    <row r="200" s="1" customFormat="1" spans="1:20">
      <c r="A200" s="3" t="s">
        <v>1868</v>
      </c>
      <c r="B200" s="3" t="s">
        <v>793</v>
      </c>
      <c r="C200" s="3" t="s">
        <v>1768</v>
      </c>
      <c r="D200" s="3" t="s">
        <v>660</v>
      </c>
      <c r="E200" s="3" t="s">
        <v>661</v>
      </c>
      <c r="F200" s="3" t="s">
        <v>795</v>
      </c>
      <c r="G200" s="3" t="s">
        <v>1822</v>
      </c>
      <c r="H200" s="3" t="s">
        <v>1770</v>
      </c>
      <c r="I200" s="3" t="s">
        <v>1775</v>
      </c>
      <c r="J200" s="3" t="s">
        <v>2085</v>
      </c>
      <c r="K200" s="3"/>
      <c r="L200" s="3"/>
      <c r="M200" s="3" t="s">
        <v>508</v>
      </c>
      <c r="N200" s="3" t="s">
        <v>794</v>
      </c>
      <c r="O200" s="3" t="s">
        <v>508</v>
      </c>
      <c r="P200" s="3" t="s">
        <v>1820</v>
      </c>
      <c r="Q200" s="3" t="s">
        <v>670</v>
      </c>
      <c r="R200" s="5">
        <v>45277</v>
      </c>
      <c r="S200" s="6">
        <v>1128.71</v>
      </c>
      <c r="T200" s="7">
        <v>0</v>
      </c>
    </row>
    <row r="201" s="1" customFormat="1" spans="1:20">
      <c r="A201" s="3" t="s">
        <v>1869</v>
      </c>
      <c r="B201" s="3" t="s">
        <v>796</v>
      </c>
      <c r="C201" s="3" t="s">
        <v>1768</v>
      </c>
      <c r="D201" s="3" t="s">
        <v>660</v>
      </c>
      <c r="E201" s="3" t="s">
        <v>661</v>
      </c>
      <c r="F201" s="3" t="s">
        <v>763</v>
      </c>
      <c r="G201" s="3" t="s">
        <v>1822</v>
      </c>
      <c r="H201" s="3" t="s">
        <v>1770</v>
      </c>
      <c r="I201" s="3" t="s">
        <v>1775</v>
      </c>
      <c r="J201" s="3" t="s">
        <v>2085</v>
      </c>
      <c r="K201" s="3"/>
      <c r="L201" s="3"/>
      <c r="M201" s="3" t="s">
        <v>508</v>
      </c>
      <c r="N201" s="3" t="s">
        <v>797</v>
      </c>
      <c r="O201" s="3" t="s">
        <v>508</v>
      </c>
      <c r="P201" s="3" t="s">
        <v>1820</v>
      </c>
      <c r="Q201" s="3" t="s">
        <v>670</v>
      </c>
      <c r="R201" s="5">
        <v>45270</v>
      </c>
      <c r="S201" s="6">
        <v>2136.63</v>
      </c>
      <c r="T201" s="7">
        <v>0</v>
      </c>
    </row>
    <row r="202" s="1" customFormat="1" spans="1:20">
      <c r="A202" s="3" t="s">
        <v>1870</v>
      </c>
      <c r="B202" s="3" t="s">
        <v>798</v>
      </c>
      <c r="C202" s="3" t="s">
        <v>1768</v>
      </c>
      <c r="D202" s="3" t="s">
        <v>660</v>
      </c>
      <c r="E202" s="3" t="s">
        <v>661</v>
      </c>
      <c r="F202" s="3" t="s">
        <v>669</v>
      </c>
      <c r="G202" s="3" t="s">
        <v>1822</v>
      </c>
      <c r="H202" s="3" t="s">
        <v>1770</v>
      </c>
      <c r="I202" s="3" t="s">
        <v>1775</v>
      </c>
      <c r="J202" s="3" t="s">
        <v>2085</v>
      </c>
      <c r="K202" s="3"/>
      <c r="L202" s="3"/>
      <c r="M202" s="3" t="s">
        <v>508</v>
      </c>
      <c r="N202" s="3" t="s">
        <v>799</v>
      </c>
      <c r="O202" s="3" t="s">
        <v>508</v>
      </c>
      <c r="P202" s="3" t="s">
        <v>1820</v>
      </c>
      <c r="Q202" s="3" t="s">
        <v>670</v>
      </c>
      <c r="R202" s="5">
        <v>45270</v>
      </c>
      <c r="S202" s="6">
        <v>2000.32</v>
      </c>
      <c r="T202" s="7">
        <v>0</v>
      </c>
    </row>
    <row r="203" s="1" customFormat="1" spans="1:20">
      <c r="A203" s="3" t="s">
        <v>1871</v>
      </c>
      <c r="B203" s="3" t="s">
        <v>800</v>
      </c>
      <c r="C203" s="3" t="s">
        <v>1768</v>
      </c>
      <c r="D203" s="3" t="s">
        <v>660</v>
      </c>
      <c r="E203" s="3" t="s">
        <v>661</v>
      </c>
      <c r="F203" s="3" t="s">
        <v>802</v>
      </c>
      <c r="G203" s="3" t="s">
        <v>1822</v>
      </c>
      <c r="H203" s="3" t="s">
        <v>1770</v>
      </c>
      <c r="I203" s="3" t="s">
        <v>1775</v>
      </c>
      <c r="J203" s="3" t="s">
        <v>2085</v>
      </c>
      <c r="K203" s="3"/>
      <c r="L203" s="3"/>
      <c r="M203" s="3" t="s">
        <v>508</v>
      </c>
      <c r="N203" s="3" t="s">
        <v>801</v>
      </c>
      <c r="O203" s="3" t="s">
        <v>508</v>
      </c>
      <c r="P203" s="3" t="s">
        <v>1820</v>
      </c>
      <c r="Q203" s="3" t="s">
        <v>670</v>
      </c>
      <c r="R203" s="5">
        <v>45270</v>
      </c>
      <c r="S203" s="6">
        <v>1192.99</v>
      </c>
      <c r="T203" s="7">
        <v>0</v>
      </c>
    </row>
    <row r="204" s="1" customFormat="1" spans="1:20">
      <c r="A204" s="3" t="s">
        <v>1872</v>
      </c>
      <c r="B204" s="3" t="s">
        <v>803</v>
      </c>
      <c r="C204" s="3" t="s">
        <v>1768</v>
      </c>
      <c r="D204" s="3" t="s">
        <v>660</v>
      </c>
      <c r="E204" s="3" t="s">
        <v>661</v>
      </c>
      <c r="F204" s="3" t="s">
        <v>805</v>
      </c>
      <c r="G204" s="3" t="s">
        <v>1822</v>
      </c>
      <c r="H204" s="3" t="s">
        <v>1770</v>
      </c>
      <c r="I204" s="3" t="s">
        <v>1775</v>
      </c>
      <c r="J204" s="3" t="s">
        <v>2085</v>
      </c>
      <c r="K204" s="3"/>
      <c r="L204" s="3"/>
      <c r="M204" s="3" t="s">
        <v>508</v>
      </c>
      <c r="N204" s="3" t="s">
        <v>804</v>
      </c>
      <c r="O204" s="3" t="s">
        <v>508</v>
      </c>
      <c r="P204" s="3" t="s">
        <v>1820</v>
      </c>
      <c r="Q204" s="3" t="s">
        <v>670</v>
      </c>
      <c r="R204" s="5">
        <v>45270</v>
      </c>
      <c r="S204" s="6">
        <v>10238.88</v>
      </c>
      <c r="T204" s="7">
        <v>0</v>
      </c>
    </row>
    <row r="205" s="1" customFormat="1" spans="1:20">
      <c r="A205" s="3" t="s">
        <v>1873</v>
      </c>
      <c r="B205" s="3" t="s">
        <v>806</v>
      </c>
      <c r="C205" s="3" t="s">
        <v>1768</v>
      </c>
      <c r="D205" s="3" t="s">
        <v>660</v>
      </c>
      <c r="E205" s="3" t="s">
        <v>661</v>
      </c>
      <c r="F205" s="3" t="s">
        <v>669</v>
      </c>
      <c r="G205" s="3" t="s">
        <v>1822</v>
      </c>
      <c r="H205" s="3" t="s">
        <v>1770</v>
      </c>
      <c r="I205" s="3" t="s">
        <v>1775</v>
      </c>
      <c r="J205" s="3" t="s">
        <v>2085</v>
      </c>
      <c r="K205" s="3"/>
      <c r="L205" s="3"/>
      <c r="M205" s="3" t="s">
        <v>508</v>
      </c>
      <c r="N205" s="3" t="s">
        <v>807</v>
      </c>
      <c r="O205" s="3" t="s">
        <v>508</v>
      </c>
      <c r="P205" s="3" t="s">
        <v>1820</v>
      </c>
      <c r="Q205" s="3" t="s">
        <v>670</v>
      </c>
      <c r="R205" s="5">
        <v>45270</v>
      </c>
      <c r="S205" s="6">
        <v>3050.6</v>
      </c>
      <c r="T205" s="7">
        <v>0</v>
      </c>
    </row>
    <row r="206" s="1" customFormat="1" spans="1:20">
      <c r="A206" s="3" t="s">
        <v>1874</v>
      </c>
      <c r="B206" s="3" t="s">
        <v>808</v>
      </c>
      <c r="C206" s="3" t="s">
        <v>1768</v>
      </c>
      <c r="D206" s="3" t="s">
        <v>660</v>
      </c>
      <c r="E206" s="3" t="s">
        <v>661</v>
      </c>
      <c r="F206" s="3" t="s">
        <v>810</v>
      </c>
      <c r="G206" s="3" t="s">
        <v>1822</v>
      </c>
      <c r="H206" s="3" t="s">
        <v>1770</v>
      </c>
      <c r="I206" s="3" t="s">
        <v>1775</v>
      </c>
      <c r="J206" s="3" t="s">
        <v>2085</v>
      </c>
      <c r="K206" s="3"/>
      <c r="L206" s="3"/>
      <c r="M206" s="3" t="s">
        <v>508</v>
      </c>
      <c r="N206" s="3" t="s">
        <v>809</v>
      </c>
      <c r="O206" s="3" t="s">
        <v>508</v>
      </c>
      <c r="P206" s="3" t="s">
        <v>1820</v>
      </c>
      <c r="Q206" s="3" t="s">
        <v>670</v>
      </c>
      <c r="R206" s="5">
        <v>45278</v>
      </c>
      <c r="S206" s="6">
        <v>3700</v>
      </c>
      <c r="T206" s="7">
        <v>0</v>
      </c>
    </row>
    <row r="207" s="1" customFormat="1" spans="1:20">
      <c r="A207" s="3" t="s">
        <v>1875</v>
      </c>
      <c r="B207" s="3" t="s">
        <v>811</v>
      </c>
      <c r="C207" s="3" t="s">
        <v>1768</v>
      </c>
      <c r="D207" s="3" t="s">
        <v>660</v>
      </c>
      <c r="E207" s="3" t="s">
        <v>661</v>
      </c>
      <c r="F207" s="3" t="s">
        <v>813</v>
      </c>
      <c r="G207" s="3" t="s">
        <v>1822</v>
      </c>
      <c r="H207" s="3" t="s">
        <v>1770</v>
      </c>
      <c r="I207" s="3" t="s">
        <v>1775</v>
      </c>
      <c r="J207" s="3" t="s">
        <v>2085</v>
      </c>
      <c r="K207" s="3"/>
      <c r="L207" s="3"/>
      <c r="M207" s="3" t="s">
        <v>508</v>
      </c>
      <c r="N207" s="3" t="s">
        <v>812</v>
      </c>
      <c r="O207" s="3" t="s">
        <v>508</v>
      </c>
      <c r="P207" s="3" t="s">
        <v>1820</v>
      </c>
      <c r="Q207" s="3" t="s">
        <v>670</v>
      </c>
      <c r="R207" s="5">
        <v>45278</v>
      </c>
      <c r="S207" s="6">
        <v>10600</v>
      </c>
      <c r="T207" s="7">
        <v>0</v>
      </c>
    </row>
    <row r="208" s="1" customFormat="1" spans="1:20">
      <c r="A208" s="3" t="s">
        <v>1876</v>
      </c>
      <c r="B208" s="3" t="s">
        <v>814</v>
      </c>
      <c r="C208" s="3" t="s">
        <v>1768</v>
      </c>
      <c r="D208" s="3" t="s">
        <v>660</v>
      </c>
      <c r="E208" s="3" t="s">
        <v>661</v>
      </c>
      <c r="F208" s="3" t="s">
        <v>816</v>
      </c>
      <c r="G208" s="3" t="s">
        <v>1822</v>
      </c>
      <c r="H208" s="3" t="s">
        <v>1770</v>
      </c>
      <c r="I208" s="3" t="s">
        <v>1775</v>
      </c>
      <c r="J208" s="3" t="s">
        <v>2085</v>
      </c>
      <c r="K208" s="3"/>
      <c r="L208" s="3"/>
      <c r="M208" s="3" t="s">
        <v>508</v>
      </c>
      <c r="N208" s="3" t="s">
        <v>815</v>
      </c>
      <c r="O208" s="3" t="s">
        <v>508</v>
      </c>
      <c r="P208" s="3" t="s">
        <v>1820</v>
      </c>
      <c r="Q208" s="3" t="s">
        <v>670</v>
      </c>
      <c r="R208" s="5">
        <v>45270</v>
      </c>
      <c r="S208" s="6">
        <v>1152.48</v>
      </c>
      <c r="T208" s="7">
        <v>0</v>
      </c>
    </row>
    <row r="209" s="1" customFormat="1" spans="1:20">
      <c r="A209" s="3" t="s">
        <v>1877</v>
      </c>
      <c r="B209" s="3" t="s">
        <v>817</v>
      </c>
      <c r="C209" s="3" t="s">
        <v>1768</v>
      </c>
      <c r="D209" s="3" t="s">
        <v>660</v>
      </c>
      <c r="E209" s="3" t="s">
        <v>661</v>
      </c>
      <c r="F209" s="3" t="s">
        <v>795</v>
      </c>
      <c r="G209" s="3" t="s">
        <v>1822</v>
      </c>
      <c r="H209" s="3" t="s">
        <v>1770</v>
      </c>
      <c r="I209" s="3" t="s">
        <v>1775</v>
      </c>
      <c r="J209" s="3" t="s">
        <v>2085</v>
      </c>
      <c r="K209" s="3"/>
      <c r="L209" s="3"/>
      <c r="M209" s="3" t="s">
        <v>508</v>
      </c>
      <c r="N209" s="3" t="s">
        <v>818</v>
      </c>
      <c r="O209" s="3" t="s">
        <v>508</v>
      </c>
      <c r="P209" s="3" t="s">
        <v>1820</v>
      </c>
      <c r="Q209" s="3" t="s">
        <v>670</v>
      </c>
      <c r="R209" s="5">
        <v>45270</v>
      </c>
      <c r="S209" s="6">
        <v>1132.08</v>
      </c>
      <c r="T209" s="7">
        <v>0</v>
      </c>
    </row>
    <row r="210" s="1" customFormat="1" spans="1:20">
      <c r="A210" s="3" t="s">
        <v>1790</v>
      </c>
      <c r="B210" s="3" t="s">
        <v>824</v>
      </c>
      <c r="C210" s="3" t="s">
        <v>1768</v>
      </c>
      <c r="D210" s="3" t="s">
        <v>660</v>
      </c>
      <c r="E210" s="3" t="s">
        <v>661</v>
      </c>
      <c r="F210" s="3" t="s">
        <v>826</v>
      </c>
      <c r="G210" s="3" t="s">
        <v>1822</v>
      </c>
      <c r="H210" s="3" t="s">
        <v>1770</v>
      </c>
      <c r="I210" s="3" t="s">
        <v>1775</v>
      </c>
      <c r="J210" s="3" t="s">
        <v>2085</v>
      </c>
      <c r="K210" s="3"/>
      <c r="L210" s="3"/>
      <c r="M210" s="3" t="s">
        <v>521</v>
      </c>
      <c r="N210" s="3" t="s">
        <v>825</v>
      </c>
      <c r="O210" s="3" t="s">
        <v>521</v>
      </c>
      <c r="P210" s="3" t="s">
        <v>1820</v>
      </c>
      <c r="Q210" s="3" t="s">
        <v>670</v>
      </c>
      <c r="R210" s="5">
        <v>45303</v>
      </c>
      <c r="S210" s="6">
        <v>504.48</v>
      </c>
      <c r="T210" s="7">
        <v>0</v>
      </c>
    </row>
    <row r="211" s="1" customFormat="1" spans="1:20">
      <c r="A211" s="3" t="s">
        <v>1878</v>
      </c>
      <c r="B211" s="3" t="s">
        <v>832</v>
      </c>
      <c r="C211" s="3" t="s">
        <v>1768</v>
      </c>
      <c r="D211" s="3" t="s">
        <v>660</v>
      </c>
      <c r="E211" s="3" t="s">
        <v>661</v>
      </c>
      <c r="F211" s="3" t="s">
        <v>669</v>
      </c>
      <c r="G211" s="3" t="s">
        <v>1822</v>
      </c>
      <c r="H211" s="3" t="s">
        <v>1770</v>
      </c>
      <c r="I211" s="3" t="s">
        <v>1775</v>
      </c>
      <c r="J211" s="3" t="s">
        <v>2085</v>
      </c>
      <c r="K211" s="3"/>
      <c r="L211" s="3"/>
      <c r="M211" s="3" t="s">
        <v>521</v>
      </c>
      <c r="N211" s="3" t="s">
        <v>833</v>
      </c>
      <c r="O211" s="3" t="s">
        <v>521</v>
      </c>
      <c r="P211" s="3" t="s">
        <v>1820</v>
      </c>
      <c r="Q211" s="3" t="s">
        <v>670</v>
      </c>
      <c r="R211" s="5">
        <v>45310</v>
      </c>
      <c r="S211" s="6">
        <v>3188.57</v>
      </c>
      <c r="T211" s="7">
        <v>0</v>
      </c>
    </row>
    <row r="212" s="1" customFormat="1" spans="1:20">
      <c r="A212" s="3" t="s">
        <v>1879</v>
      </c>
      <c r="B212" s="3" t="s">
        <v>834</v>
      </c>
      <c r="C212" s="3" t="s">
        <v>1768</v>
      </c>
      <c r="D212" s="3" t="s">
        <v>660</v>
      </c>
      <c r="E212" s="3" t="s">
        <v>661</v>
      </c>
      <c r="F212" s="3" t="s">
        <v>836</v>
      </c>
      <c r="G212" s="3" t="s">
        <v>1822</v>
      </c>
      <c r="H212" s="3" t="s">
        <v>1770</v>
      </c>
      <c r="I212" s="3" t="s">
        <v>1775</v>
      </c>
      <c r="J212" s="3" t="s">
        <v>2085</v>
      </c>
      <c r="K212" s="3"/>
      <c r="L212" s="3"/>
      <c r="M212" s="3" t="s">
        <v>521</v>
      </c>
      <c r="N212" s="3" t="s">
        <v>835</v>
      </c>
      <c r="O212" s="3" t="s">
        <v>521</v>
      </c>
      <c r="P212" s="3" t="s">
        <v>1820</v>
      </c>
      <c r="Q212" s="3" t="s">
        <v>670</v>
      </c>
      <c r="R212" s="5">
        <v>45310</v>
      </c>
      <c r="S212" s="6">
        <v>6947.56</v>
      </c>
      <c r="T212" s="7">
        <v>0</v>
      </c>
    </row>
    <row r="213" s="1" customFormat="1" spans="1:20">
      <c r="A213" s="3" t="s">
        <v>1880</v>
      </c>
      <c r="B213" s="3" t="s">
        <v>837</v>
      </c>
      <c r="C213" s="3" t="s">
        <v>1768</v>
      </c>
      <c r="D213" s="3" t="s">
        <v>660</v>
      </c>
      <c r="E213" s="3" t="s">
        <v>661</v>
      </c>
      <c r="F213" s="3" t="s">
        <v>669</v>
      </c>
      <c r="G213" s="3" t="s">
        <v>1822</v>
      </c>
      <c r="H213" s="3" t="s">
        <v>1770</v>
      </c>
      <c r="I213" s="3" t="s">
        <v>1775</v>
      </c>
      <c r="J213" s="3" t="s">
        <v>2085</v>
      </c>
      <c r="K213" s="3"/>
      <c r="L213" s="3"/>
      <c r="M213" s="3" t="s">
        <v>521</v>
      </c>
      <c r="N213" s="3" t="s">
        <v>838</v>
      </c>
      <c r="O213" s="3" t="s">
        <v>521</v>
      </c>
      <c r="P213" s="3" t="s">
        <v>1820</v>
      </c>
      <c r="Q213" s="3" t="s">
        <v>670</v>
      </c>
      <c r="R213" s="5">
        <v>45310</v>
      </c>
      <c r="S213" s="6">
        <v>2388.1</v>
      </c>
      <c r="T213" s="7">
        <v>0</v>
      </c>
    </row>
    <row r="214" s="1" customFormat="1" spans="1:20">
      <c r="A214" s="3" t="s">
        <v>1881</v>
      </c>
      <c r="B214" s="3" t="s">
        <v>827</v>
      </c>
      <c r="C214" s="3" t="s">
        <v>1768</v>
      </c>
      <c r="D214" s="3" t="s">
        <v>660</v>
      </c>
      <c r="E214" s="3" t="s">
        <v>661</v>
      </c>
      <c r="F214" s="3" t="s">
        <v>829</v>
      </c>
      <c r="G214" s="3" t="s">
        <v>1822</v>
      </c>
      <c r="H214" s="3" t="s">
        <v>1770</v>
      </c>
      <c r="I214" s="3" t="s">
        <v>1775</v>
      </c>
      <c r="J214" s="3" t="s">
        <v>2085</v>
      </c>
      <c r="K214" s="3"/>
      <c r="L214" s="3"/>
      <c r="M214" s="3" t="s">
        <v>521</v>
      </c>
      <c r="N214" s="3" t="s">
        <v>828</v>
      </c>
      <c r="O214" s="3" t="s">
        <v>521</v>
      </c>
      <c r="P214" s="3" t="s">
        <v>1820</v>
      </c>
      <c r="Q214" s="3" t="s">
        <v>670</v>
      </c>
      <c r="R214" s="5">
        <v>45310</v>
      </c>
      <c r="S214" s="6">
        <v>14600</v>
      </c>
      <c r="T214" s="7">
        <v>0</v>
      </c>
    </row>
    <row r="215" s="1" customFormat="1" spans="1:20">
      <c r="A215" s="3" t="s">
        <v>1882</v>
      </c>
      <c r="B215" s="3" t="s">
        <v>830</v>
      </c>
      <c r="C215" s="3" t="s">
        <v>1768</v>
      </c>
      <c r="D215" s="3" t="s">
        <v>660</v>
      </c>
      <c r="E215" s="3" t="s">
        <v>661</v>
      </c>
      <c r="F215" s="3" t="s">
        <v>810</v>
      </c>
      <c r="G215" s="3" t="s">
        <v>1822</v>
      </c>
      <c r="H215" s="3" t="s">
        <v>1770</v>
      </c>
      <c r="I215" s="3" t="s">
        <v>1775</v>
      </c>
      <c r="J215" s="3" t="s">
        <v>2085</v>
      </c>
      <c r="K215" s="3"/>
      <c r="L215" s="3"/>
      <c r="M215" s="3" t="s">
        <v>521</v>
      </c>
      <c r="N215" s="3" t="s">
        <v>831</v>
      </c>
      <c r="O215" s="3" t="s">
        <v>521</v>
      </c>
      <c r="P215" s="3" t="s">
        <v>1820</v>
      </c>
      <c r="Q215" s="3" t="s">
        <v>670</v>
      </c>
      <c r="R215" s="5">
        <v>45310</v>
      </c>
      <c r="S215" s="6">
        <v>13500</v>
      </c>
      <c r="T215" s="7">
        <v>0</v>
      </c>
    </row>
    <row r="216" s="1" customFormat="1" spans="1:20">
      <c r="A216" s="3" t="s">
        <v>1883</v>
      </c>
      <c r="B216" s="3" t="s">
        <v>839</v>
      </c>
      <c r="C216" s="3" t="s">
        <v>1768</v>
      </c>
      <c r="D216" s="3" t="s">
        <v>660</v>
      </c>
      <c r="E216" s="3" t="s">
        <v>661</v>
      </c>
      <c r="F216" s="3" t="s">
        <v>841</v>
      </c>
      <c r="G216" s="3" t="s">
        <v>1822</v>
      </c>
      <c r="H216" s="3" t="s">
        <v>1770</v>
      </c>
      <c r="I216" s="3" t="s">
        <v>1775</v>
      </c>
      <c r="J216" s="3" t="s">
        <v>2085</v>
      </c>
      <c r="K216" s="3"/>
      <c r="L216" s="3"/>
      <c r="M216" s="3" t="s">
        <v>521</v>
      </c>
      <c r="N216" s="3" t="s">
        <v>840</v>
      </c>
      <c r="O216" s="3" t="s">
        <v>521</v>
      </c>
      <c r="P216" s="3" t="s">
        <v>1820</v>
      </c>
      <c r="Q216" s="3" t="s">
        <v>670</v>
      </c>
      <c r="R216" s="5">
        <v>45310</v>
      </c>
      <c r="S216" s="6">
        <v>603.66</v>
      </c>
      <c r="T216" s="7">
        <v>0</v>
      </c>
    </row>
    <row r="217" s="1" customFormat="1" spans="1:20">
      <c r="A217" s="3" t="s">
        <v>1785</v>
      </c>
      <c r="B217" s="3" t="s">
        <v>842</v>
      </c>
      <c r="C217" s="3" t="s">
        <v>1768</v>
      </c>
      <c r="D217" s="3" t="s">
        <v>660</v>
      </c>
      <c r="E217" s="3" t="s">
        <v>661</v>
      </c>
      <c r="F217" s="3" t="s">
        <v>844</v>
      </c>
      <c r="G217" s="3" t="s">
        <v>1822</v>
      </c>
      <c r="H217" s="3" t="s">
        <v>1770</v>
      </c>
      <c r="I217" s="3" t="s">
        <v>1775</v>
      </c>
      <c r="J217" s="3" t="s">
        <v>2085</v>
      </c>
      <c r="K217" s="3"/>
      <c r="L217" s="3"/>
      <c r="M217" s="3" t="s">
        <v>521</v>
      </c>
      <c r="N217" s="3" t="s">
        <v>843</v>
      </c>
      <c r="O217" s="3" t="s">
        <v>521</v>
      </c>
      <c r="P217" s="3" t="s">
        <v>1820</v>
      </c>
      <c r="Q217" s="3" t="s">
        <v>670</v>
      </c>
      <c r="R217" s="5">
        <v>45313</v>
      </c>
      <c r="S217" s="6">
        <v>576.24</v>
      </c>
      <c r="T217" s="7">
        <v>0</v>
      </c>
    </row>
    <row r="218" s="1" customFormat="1" spans="1:20">
      <c r="A218" s="3" t="s">
        <v>1884</v>
      </c>
      <c r="B218" s="3" t="s">
        <v>845</v>
      </c>
      <c r="C218" s="3" t="s">
        <v>1768</v>
      </c>
      <c r="D218" s="3" t="s">
        <v>660</v>
      </c>
      <c r="E218" s="3" t="s">
        <v>661</v>
      </c>
      <c r="F218" s="3" t="s">
        <v>847</v>
      </c>
      <c r="G218" s="3" t="s">
        <v>1822</v>
      </c>
      <c r="H218" s="3" t="s">
        <v>1770</v>
      </c>
      <c r="I218" s="3" t="s">
        <v>1775</v>
      </c>
      <c r="J218" s="3" t="s">
        <v>2085</v>
      </c>
      <c r="K218" s="3"/>
      <c r="L218" s="3"/>
      <c r="M218" s="3" t="s">
        <v>521</v>
      </c>
      <c r="N218" s="3" t="s">
        <v>846</v>
      </c>
      <c r="O218" s="3" t="s">
        <v>521</v>
      </c>
      <c r="P218" s="3" t="s">
        <v>1820</v>
      </c>
      <c r="Q218" s="3" t="s">
        <v>670</v>
      </c>
      <c r="R218" s="5">
        <v>45310</v>
      </c>
      <c r="S218" s="6">
        <v>600</v>
      </c>
      <c r="T218" s="7">
        <v>0</v>
      </c>
    </row>
    <row r="219" s="1" customFormat="1" spans="1:20">
      <c r="A219" s="3" t="s">
        <v>1832</v>
      </c>
      <c r="B219" s="3" t="s">
        <v>848</v>
      </c>
      <c r="C219" s="3" t="s">
        <v>1768</v>
      </c>
      <c r="D219" s="3" t="s">
        <v>660</v>
      </c>
      <c r="E219" s="3" t="s">
        <v>661</v>
      </c>
      <c r="F219" s="3" t="s">
        <v>850</v>
      </c>
      <c r="G219" s="3" t="s">
        <v>1822</v>
      </c>
      <c r="H219" s="3" t="s">
        <v>1770</v>
      </c>
      <c r="I219" s="3" t="s">
        <v>1775</v>
      </c>
      <c r="J219" s="3" t="s">
        <v>2085</v>
      </c>
      <c r="K219" s="3"/>
      <c r="L219" s="3"/>
      <c r="M219" s="3" t="s">
        <v>521</v>
      </c>
      <c r="N219" s="3" t="s">
        <v>849</v>
      </c>
      <c r="O219" s="3" t="s">
        <v>521</v>
      </c>
      <c r="P219" s="3" t="s">
        <v>1820</v>
      </c>
      <c r="Q219" s="3" t="s">
        <v>670</v>
      </c>
      <c r="R219" s="5">
        <v>45313</v>
      </c>
      <c r="S219" s="6">
        <v>1600</v>
      </c>
      <c r="T219" s="7">
        <v>0</v>
      </c>
    </row>
    <row r="220" s="1" customFormat="1" spans="1:20">
      <c r="A220" s="3" t="s">
        <v>1885</v>
      </c>
      <c r="B220" s="3" t="s">
        <v>851</v>
      </c>
      <c r="C220" s="3" t="s">
        <v>1768</v>
      </c>
      <c r="D220" s="3" t="s">
        <v>660</v>
      </c>
      <c r="E220" s="3" t="s">
        <v>661</v>
      </c>
      <c r="F220" s="3" t="s">
        <v>754</v>
      </c>
      <c r="G220" s="3" t="s">
        <v>1822</v>
      </c>
      <c r="H220" s="3" t="s">
        <v>1770</v>
      </c>
      <c r="I220" s="3" t="s">
        <v>1775</v>
      </c>
      <c r="J220" s="3" t="s">
        <v>2085</v>
      </c>
      <c r="K220" s="3"/>
      <c r="L220" s="3"/>
      <c r="M220" s="3" t="s">
        <v>521</v>
      </c>
      <c r="N220" s="3" t="s">
        <v>852</v>
      </c>
      <c r="O220" s="3" t="s">
        <v>521</v>
      </c>
      <c r="P220" s="3" t="s">
        <v>1820</v>
      </c>
      <c r="Q220" s="3" t="s">
        <v>670</v>
      </c>
      <c r="R220" s="5">
        <v>45313</v>
      </c>
      <c r="S220" s="6">
        <v>1249.77</v>
      </c>
      <c r="T220" s="7">
        <v>0</v>
      </c>
    </row>
    <row r="221" s="1" customFormat="1" spans="1:20">
      <c r="A221" s="3" t="s">
        <v>1886</v>
      </c>
      <c r="B221" s="3" t="s">
        <v>853</v>
      </c>
      <c r="C221" s="3" t="s">
        <v>1768</v>
      </c>
      <c r="D221" s="3" t="s">
        <v>660</v>
      </c>
      <c r="E221" s="3" t="s">
        <v>661</v>
      </c>
      <c r="F221" s="3" t="s">
        <v>669</v>
      </c>
      <c r="G221" s="3" t="s">
        <v>1822</v>
      </c>
      <c r="H221" s="3" t="s">
        <v>1770</v>
      </c>
      <c r="I221" s="3" t="s">
        <v>1775</v>
      </c>
      <c r="J221" s="3" t="s">
        <v>2085</v>
      </c>
      <c r="K221" s="3"/>
      <c r="L221" s="3"/>
      <c r="M221" s="3" t="s">
        <v>521</v>
      </c>
      <c r="N221" s="3" t="s">
        <v>854</v>
      </c>
      <c r="O221" s="3" t="s">
        <v>521</v>
      </c>
      <c r="P221" s="3" t="s">
        <v>1820</v>
      </c>
      <c r="Q221" s="3" t="s">
        <v>670</v>
      </c>
      <c r="R221" s="5">
        <v>45313</v>
      </c>
      <c r="S221" s="6">
        <v>2402.18</v>
      </c>
      <c r="T221" s="7">
        <v>0</v>
      </c>
    </row>
    <row r="222" s="1" customFormat="1" spans="1:20">
      <c r="A222" s="3" t="s">
        <v>1818</v>
      </c>
      <c r="B222" s="3" t="s">
        <v>855</v>
      </c>
      <c r="C222" s="3" t="s">
        <v>1768</v>
      </c>
      <c r="D222" s="3" t="s">
        <v>660</v>
      </c>
      <c r="E222" s="3" t="s">
        <v>661</v>
      </c>
      <c r="F222" s="3" t="s">
        <v>681</v>
      </c>
      <c r="G222" s="3" t="s">
        <v>1822</v>
      </c>
      <c r="H222" s="3" t="s">
        <v>1770</v>
      </c>
      <c r="I222" s="3" t="s">
        <v>1775</v>
      </c>
      <c r="J222" s="3" t="s">
        <v>2085</v>
      </c>
      <c r="K222" s="3"/>
      <c r="L222" s="3"/>
      <c r="M222" s="3" t="s">
        <v>521</v>
      </c>
      <c r="N222" s="3" t="s">
        <v>856</v>
      </c>
      <c r="O222" s="3" t="s">
        <v>521</v>
      </c>
      <c r="P222" s="3" t="s">
        <v>1820</v>
      </c>
      <c r="Q222" s="3" t="s">
        <v>670</v>
      </c>
      <c r="R222" s="5">
        <v>45303</v>
      </c>
      <c r="S222" s="6">
        <v>3836.35</v>
      </c>
      <c r="T222" s="7">
        <v>0</v>
      </c>
    </row>
    <row r="223" s="1" customFormat="1" spans="1:20">
      <c r="A223" s="3" t="s">
        <v>1887</v>
      </c>
      <c r="B223" s="3" t="s">
        <v>857</v>
      </c>
      <c r="C223" s="3" t="s">
        <v>1768</v>
      </c>
      <c r="D223" s="3" t="s">
        <v>660</v>
      </c>
      <c r="E223" s="3" t="s">
        <v>661</v>
      </c>
      <c r="F223" s="3" t="s">
        <v>859</v>
      </c>
      <c r="G223" s="3" t="s">
        <v>1822</v>
      </c>
      <c r="H223" s="3" t="s">
        <v>1770</v>
      </c>
      <c r="I223" s="3" t="s">
        <v>1775</v>
      </c>
      <c r="J223" s="3" t="s">
        <v>2085</v>
      </c>
      <c r="K223" s="3"/>
      <c r="L223" s="3"/>
      <c r="M223" s="3" t="s">
        <v>521</v>
      </c>
      <c r="N223" s="3" t="s">
        <v>858</v>
      </c>
      <c r="O223" s="3" t="s">
        <v>521</v>
      </c>
      <c r="P223" s="3" t="s">
        <v>1820</v>
      </c>
      <c r="Q223" s="3" t="s">
        <v>670</v>
      </c>
      <c r="R223" s="5">
        <v>45303</v>
      </c>
      <c r="S223" s="6">
        <v>4073.27</v>
      </c>
      <c r="T223" s="7">
        <v>0</v>
      </c>
    </row>
    <row r="224" s="1" customFormat="1" spans="1:20">
      <c r="A224" s="3" t="s">
        <v>1888</v>
      </c>
      <c r="B224" s="3" t="s">
        <v>860</v>
      </c>
      <c r="C224" s="3" t="s">
        <v>1768</v>
      </c>
      <c r="D224" s="3" t="s">
        <v>660</v>
      </c>
      <c r="E224" s="3" t="s">
        <v>661</v>
      </c>
      <c r="F224" s="3" t="s">
        <v>763</v>
      </c>
      <c r="G224" s="3" t="s">
        <v>1822</v>
      </c>
      <c r="H224" s="3" t="s">
        <v>1770</v>
      </c>
      <c r="I224" s="3" t="s">
        <v>1775</v>
      </c>
      <c r="J224" s="3" t="s">
        <v>2085</v>
      </c>
      <c r="K224" s="3"/>
      <c r="L224" s="3"/>
      <c r="M224" s="3" t="s">
        <v>521</v>
      </c>
      <c r="N224" s="3" t="s">
        <v>861</v>
      </c>
      <c r="O224" s="3" t="s">
        <v>521</v>
      </c>
      <c r="P224" s="3" t="s">
        <v>1820</v>
      </c>
      <c r="Q224" s="3" t="s">
        <v>670</v>
      </c>
      <c r="R224" s="5">
        <v>45303</v>
      </c>
      <c r="S224" s="6">
        <v>4073.27</v>
      </c>
      <c r="T224" s="7">
        <v>0</v>
      </c>
    </row>
    <row r="225" s="1" customFormat="1" spans="1:20">
      <c r="A225" s="3" t="s">
        <v>1889</v>
      </c>
      <c r="B225" s="3" t="s">
        <v>862</v>
      </c>
      <c r="C225" s="3" t="s">
        <v>1768</v>
      </c>
      <c r="D225" s="3" t="s">
        <v>660</v>
      </c>
      <c r="E225" s="3" t="s">
        <v>661</v>
      </c>
      <c r="F225" s="3" t="s">
        <v>864</v>
      </c>
      <c r="G225" s="3" t="s">
        <v>1822</v>
      </c>
      <c r="H225" s="3" t="s">
        <v>1770</v>
      </c>
      <c r="I225" s="3" t="s">
        <v>1775</v>
      </c>
      <c r="J225" s="3" t="s">
        <v>2085</v>
      </c>
      <c r="K225" s="3"/>
      <c r="L225" s="3"/>
      <c r="M225" s="3" t="s">
        <v>521</v>
      </c>
      <c r="N225" s="3" t="s">
        <v>863</v>
      </c>
      <c r="O225" s="3" t="s">
        <v>521</v>
      </c>
      <c r="P225" s="3" t="s">
        <v>1820</v>
      </c>
      <c r="Q225" s="3" t="s">
        <v>670</v>
      </c>
      <c r="R225" s="5">
        <v>45310</v>
      </c>
      <c r="S225" s="6">
        <v>1093.07</v>
      </c>
      <c r="T225" s="7">
        <v>0</v>
      </c>
    </row>
    <row r="226" s="1" customFormat="1" spans="1:20">
      <c r="A226" s="3" t="s">
        <v>1890</v>
      </c>
      <c r="B226" s="3" t="s">
        <v>865</v>
      </c>
      <c r="C226" s="3" t="s">
        <v>1768</v>
      </c>
      <c r="D226" s="3" t="s">
        <v>660</v>
      </c>
      <c r="E226" s="3" t="s">
        <v>661</v>
      </c>
      <c r="F226" s="3" t="s">
        <v>867</v>
      </c>
      <c r="G226" s="3" t="s">
        <v>1822</v>
      </c>
      <c r="H226" s="3" t="s">
        <v>1770</v>
      </c>
      <c r="I226" s="3" t="s">
        <v>1775</v>
      </c>
      <c r="J226" s="3" t="s">
        <v>2085</v>
      </c>
      <c r="K226" s="3"/>
      <c r="L226" s="3"/>
      <c r="M226" s="3" t="s">
        <v>521</v>
      </c>
      <c r="N226" s="3" t="s">
        <v>866</v>
      </c>
      <c r="O226" s="3" t="s">
        <v>521</v>
      </c>
      <c r="P226" s="3" t="s">
        <v>1820</v>
      </c>
      <c r="Q226" s="3" t="s">
        <v>670</v>
      </c>
      <c r="R226" s="5">
        <v>45314</v>
      </c>
      <c r="S226" s="6">
        <v>4073.27</v>
      </c>
      <c r="T226" s="7">
        <v>0</v>
      </c>
    </row>
    <row r="227" s="1" customFormat="1" spans="1:20">
      <c r="A227" s="3" t="s">
        <v>1891</v>
      </c>
      <c r="B227" s="3" t="s">
        <v>868</v>
      </c>
      <c r="C227" s="3" t="s">
        <v>1768</v>
      </c>
      <c r="D227" s="3" t="s">
        <v>660</v>
      </c>
      <c r="E227" s="3" t="s">
        <v>661</v>
      </c>
      <c r="F227" s="3" t="s">
        <v>681</v>
      </c>
      <c r="G227" s="3" t="s">
        <v>1822</v>
      </c>
      <c r="H227" s="3" t="s">
        <v>1770</v>
      </c>
      <c r="I227" s="3" t="s">
        <v>1775</v>
      </c>
      <c r="J227" s="3" t="s">
        <v>2085</v>
      </c>
      <c r="K227" s="3"/>
      <c r="L227" s="3"/>
      <c r="M227" s="3" t="s">
        <v>521</v>
      </c>
      <c r="N227" s="3" t="s">
        <v>869</v>
      </c>
      <c r="O227" s="3" t="s">
        <v>521</v>
      </c>
      <c r="P227" s="3" t="s">
        <v>1820</v>
      </c>
      <c r="Q227" s="3" t="s">
        <v>670</v>
      </c>
      <c r="R227" s="5">
        <v>45323</v>
      </c>
      <c r="S227" s="6">
        <v>771.11</v>
      </c>
      <c r="T227" s="7">
        <v>0</v>
      </c>
    </row>
    <row r="228" s="1" customFormat="1" spans="1:20">
      <c r="A228" s="3" t="s">
        <v>1892</v>
      </c>
      <c r="B228" s="3" t="s">
        <v>870</v>
      </c>
      <c r="C228" s="3" t="s">
        <v>1768</v>
      </c>
      <c r="D228" s="3" t="s">
        <v>660</v>
      </c>
      <c r="E228" s="3" t="s">
        <v>661</v>
      </c>
      <c r="F228" s="3" t="s">
        <v>763</v>
      </c>
      <c r="G228" s="3" t="s">
        <v>1822</v>
      </c>
      <c r="H228" s="3" t="s">
        <v>1770</v>
      </c>
      <c r="I228" s="3" t="s">
        <v>1775</v>
      </c>
      <c r="J228" s="3" t="s">
        <v>2085</v>
      </c>
      <c r="K228" s="3"/>
      <c r="L228" s="3"/>
      <c r="M228" s="3" t="s">
        <v>521</v>
      </c>
      <c r="N228" s="3" t="s">
        <v>871</v>
      </c>
      <c r="O228" s="3" t="s">
        <v>521</v>
      </c>
      <c r="P228" s="3" t="s">
        <v>1820</v>
      </c>
      <c r="Q228" s="3" t="s">
        <v>670</v>
      </c>
      <c r="R228" s="5">
        <v>45323</v>
      </c>
      <c r="S228" s="6">
        <v>1168.32</v>
      </c>
      <c r="T228" s="7">
        <v>0</v>
      </c>
    </row>
    <row r="229" s="1" customFormat="1" spans="1:20">
      <c r="A229" s="3" t="s">
        <v>1893</v>
      </c>
      <c r="B229" s="3" t="s">
        <v>872</v>
      </c>
      <c r="C229" s="3" t="s">
        <v>1768</v>
      </c>
      <c r="D229" s="3" t="s">
        <v>660</v>
      </c>
      <c r="E229" s="3" t="s">
        <v>661</v>
      </c>
      <c r="F229" s="3" t="s">
        <v>669</v>
      </c>
      <c r="G229" s="3" t="s">
        <v>1822</v>
      </c>
      <c r="H229" s="3" t="s">
        <v>1770</v>
      </c>
      <c r="I229" s="3" t="s">
        <v>1775</v>
      </c>
      <c r="J229" s="3" t="s">
        <v>2085</v>
      </c>
      <c r="K229" s="3"/>
      <c r="L229" s="3"/>
      <c r="M229" s="3" t="s">
        <v>521</v>
      </c>
      <c r="N229" s="3" t="s">
        <v>873</v>
      </c>
      <c r="O229" s="3" t="s">
        <v>521</v>
      </c>
      <c r="P229" s="3" t="s">
        <v>1820</v>
      </c>
      <c r="Q229" s="3" t="s">
        <v>670</v>
      </c>
      <c r="R229" s="5">
        <v>45323</v>
      </c>
      <c r="S229" s="6">
        <v>750.83</v>
      </c>
      <c r="T229" s="7">
        <v>0</v>
      </c>
    </row>
    <row r="230" s="1" customFormat="1" spans="1:20">
      <c r="A230" s="3" t="s">
        <v>1835</v>
      </c>
      <c r="B230" s="3" t="s">
        <v>874</v>
      </c>
      <c r="C230" s="3" t="s">
        <v>1768</v>
      </c>
      <c r="D230" s="3" t="s">
        <v>660</v>
      </c>
      <c r="E230" s="3" t="s">
        <v>661</v>
      </c>
      <c r="F230" s="3" t="s">
        <v>876</v>
      </c>
      <c r="G230" s="3" t="s">
        <v>1822</v>
      </c>
      <c r="H230" s="3" t="s">
        <v>1770</v>
      </c>
      <c r="I230" s="3" t="s">
        <v>1775</v>
      </c>
      <c r="J230" s="3" t="s">
        <v>2085</v>
      </c>
      <c r="K230" s="3"/>
      <c r="L230" s="3"/>
      <c r="M230" s="3" t="s">
        <v>521</v>
      </c>
      <c r="N230" s="3" t="s">
        <v>875</v>
      </c>
      <c r="O230" s="3" t="s">
        <v>521</v>
      </c>
      <c r="P230" s="3" t="s">
        <v>1820</v>
      </c>
      <c r="Q230" s="3" t="s">
        <v>670</v>
      </c>
      <c r="R230" s="5">
        <v>45340</v>
      </c>
      <c r="S230" s="6">
        <v>721.26</v>
      </c>
      <c r="T230" s="7">
        <v>0</v>
      </c>
    </row>
    <row r="231" s="1" customFormat="1" spans="1:20">
      <c r="A231" s="3" t="s">
        <v>1894</v>
      </c>
      <c r="B231" s="3" t="s">
        <v>877</v>
      </c>
      <c r="C231" s="3" t="s">
        <v>1768</v>
      </c>
      <c r="D231" s="3" t="s">
        <v>660</v>
      </c>
      <c r="E231" s="3" t="s">
        <v>661</v>
      </c>
      <c r="F231" s="3" t="s">
        <v>693</v>
      </c>
      <c r="G231" s="3" t="s">
        <v>1822</v>
      </c>
      <c r="H231" s="3" t="s">
        <v>1770</v>
      </c>
      <c r="I231" s="3" t="s">
        <v>1775</v>
      </c>
      <c r="J231" s="3" t="s">
        <v>2085</v>
      </c>
      <c r="K231" s="3"/>
      <c r="L231" s="3"/>
      <c r="M231" s="3" t="s">
        <v>521</v>
      </c>
      <c r="N231" s="3" t="s">
        <v>878</v>
      </c>
      <c r="O231" s="3" t="s">
        <v>521</v>
      </c>
      <c r="P231" s="3" t="s">
        <v>1820</v>
      </c>
      <c r="Q231" s="3" t="s">
        <v>670</v>
      </c>
      <c r="R231" s="5">
        <v>45323</v>
      </c>
      <c r="S231" s="6">
        <v>2036.63</v>
      </c>
      <c r="T231" s="7">
        <v>0</v>
      </c>
    </row>
    <row r="232" s="1" customFormat="1" spans="1:20">
      <c r="A232" s="3" t="s">
        <v>1895</v>
      </c>
      <c r="B232" s="3" t="s">
        <v>881</v>
      </c>
      <c r="C232" s="3" t="s">
        <v>1768</v>
      </c>
      <c r="D232" s="3" t="s">
        <v>660</v>
      </c>
      <c r="E232" s="3" t="s">
        <v>661</v>
      </c>
      <c r="F232" s="3" t="s">
        <v>883</v>
      </c>
      <c r="G232" s="3" t="s">
        <v>1822</v>
      </c>
      <c r="H232" s="3" t="s">
        <v>1770</v>
      </c>
      <c r="I232" s="3" t="s">
        <v>1775</v>
      </c>
      <c r="J232" s="3" t="s">
        <v>2085</v>
      </c>
      <c r="K232" s="3"/>
      <c r="L232" s="3"/>
      <c r="M232" s="3" t="s">
        <v>521</v>
      </c>
      <c r="N232" s="3" t="s">
        <v>882</v>
      </c>
      <c r="O232" s="3" t="s">
        <v>521</v>
      </c>
      <c r="P232" s="3" t="s">
        <v>1820</v>
      </c>
      <c r="Q232" s="3" t="s">
        <v>670</v>
      </c>
      <c r="R232" s="5">
        <v>45356</v>
      </c>
      <c r="S232" s="6">
        <v>6900</v>
      </c>
      <c r="T232" s="7">
        <v>0</v>
      </c>
    </row>
    <row r="233" s="1" customFormat="1" spans="1:20">
      <c r="A233" s="3" t="s">
        <v>1896</v>
      </c>
      <c r="B233" s="3" t="s">
        <v>884</v>
      </c>
      <c r="C233" s="3" t="s">
        <v>1768</v>
      </c>
      <c r="D233" s="3" t="s">
        <v>660</v>
      </c>
      <c r="E233" s="3" t="s">
        <v>661</v>
      </c>
      <c r="F233" s="3" t="s">
        <v>669</v>
      </c>
      <c r="G233" s="3" t="s">
        <v>1822</v>
      </c>
      <c r="H233" s="3" t="s">
        <v>1770</v>
      </c>
      <c r="I233" s="3" t="s">
        <v>1775</v>
      </c>
      <c r="J233" s="3" t="s">
        <v>2085</v>
      </c>
      <c r="K233" s="3"/>
      <c r="L233" s="3"/>
      <c r="M233" s="3" t="s">
        <v>521</v>
      </c>
      <c r="N233" s="3" t="s">
        <v>885</v>
      </c>
      <c r="O233" s="3" t="s">
        <v>521</v>
      </c>
      <c r="P233" s="3" t="s">
        <v>1820</v>
      </c>
      <c r="Q233" s="3" t="s">
        <v>670</v>
      </c>
      <c r="R233" s="5">
        <v>45356</v>
      </c>
      <c r="S233" s="6">
        <v>865.31</v>
      </c>
      <c r="T233" s="7">
        <v>0</v>
      </c>
    </row>
    <row r="234" s="1" customFormat="1" spans="1:20">
      <c r="A234" s="3" t="s">
        <v>1897</v>
      </c>
      <c r="B234" s="3" t="s">
        <v>889</v>
      </c>
      <c r="C234" s="3" t="s">
        <v>1768</v>
      </c>
      <c r="D234" s="3" t="s">
        <v>660</v>
      </c>
      <c r="E234" s="3" t="s">
        <v>661</v>
      </c>
      <c r="F234" s="3" t="s">
        <v>826</v>
      </c>
      <c r="G234" s="3" t="s">
        <v>1822</v>
      </c>
      <c r="H234" s="3" t="s">
        <v>1770</v>
      </c>
      <c r="I234" s="3" t="s">
        <v>1775</v>
      </c>
      <c r="J234" s="3" t="s">
        <v>2085</v>
      </c>
      <c r="K234" s="3"/>
      <c r="L234" s="3"/>
      <c r="M234" s="3" t="s">
        <v>521</v>
      </c>
      <c r="N234" s="3" t="s">
        <v>890</v>
      </c>
      <c r="O234" s="3" t="s">
        <v>521</v>
      </c>
      <c r="P234" s="3" t="s">
        <v>1820</v>
      </c>
      <c r="Q234" s="3" t="s">
        <v>670</v>
      </c>
      <c r="R234" s="5">
        <v>45356</v>
      </c>
      <c r="S234" s="6">
        <v>6091.72</v>
      </c>
      <c r="T234" s="7">
        <v>0</v>
      </c>
    </row>
    <row r="235" s="1" customFormat="1" spans="1:20">
      <c r="A235" s="3" t="s">
        <v>1898</v>
      </c>
      <c r="B235" s="3" t="s">
        <v>886</v>
      </c>
      <c r="C235" s="3" t="s">
        <v>1768</v>
      </c>
      <c r="D235" s="3" t="s">
        <v>660</v>
      </c>
      <c r="E235" s="3" t="s">
        <v>661</v>
      </c>
      <c r="F235" s="3" t="s">
        <v>888</v>
      </c>
      <c r="G235" s="3" t="s">
        <v>1822</v>
      </c>
      <c r="H235" s="3" t="s">
        <v>1770</v>
      </c>
      <c r="I235" s="3" t="s">
        <v>1775</v>
      </c>
      <c r="J235" s="3" t="s">
        <v>2085</v>
      </c>
      <c r="K235" s="3"/>
      <c r="L235" s="3"/>
      <c r="M235" s="3" t="s">
        <v>521</v>
      </c>
      <c r="N235" s="3" t="s">
        <v>887</v>
      </c>
      <c r="O235" s="3" t="s">
        <v>521</v>
      </c>
      <c r="P235" s="3" t="s">
        <v>1820</v>
      </c>
      <c r="Q235" s="3" t="s">
        <v>670</v>
      </c>
      <c r="R235" s="5">
        <v>45356</v>
      </c>
      <c r="S235" s="6">
        <v>1561.82</v>
      </c>
      <c r="T235" s="7">
        <v>0</v>
      </c>
    </row>
    <row r="236" s="1" customFormat="1" spans="1:20">
      <c r="A236" s="3" t="s">
        <v>1899</v>
      </c>
      <c r="B236" s="3" t="s">
        <v>900</v>
      </c>
      <c r="C236" s="3" t="s">
        <v>1768</v>
      </c>
      <c r="D236" s="3" t="s">
        <v>660</v>
      </c>
      <c r="E236" s="3" t="s">
        <v>661</v>
      </c>
      <c r="F236" s="3" t="s">
        <v>693</v>
      </c>
      <c r="G236" s="3" t="s">
        <v>1822</v>
      </c>
      <c r="H236" s="3" t="s">
        <v>1770</v>
      </c>
      <c r="I236" s="3" t="s">
        <v>1775</v>
      </c>
      <c r="J236" s="3" t="s">
        <v>2085</v>
      </c>
      <c r="K236" s="3"/>
      <c r="L236" s="3"/>
      <c r="M236" s="3" t="s">
        <v>521</v>
      </c>
      <c r="N236" s="3" t="s">
        <v>901</v>
      </c>
      <c r="O236" s="3" t="s">
        <v>521</v>
      </c>
      <c r="P236" s="3" t="s">
        <v>1820</v>
      </c>
      <c r="Q236" s="3" t="s">
        <v>670</v>
      </c>
      <c r="R236" s="5">
        <v>45366</v>
      </c>
      <c r="S236" s="6">
        <v>1997.03</v>
      </c>
      <c r="T236" s="7">
        <v>0</v>
      </c>
    </row>
    <row r="237" s="1" customFormat="1" spans="1:20">
      <c r="A237" s="3" t="s">
        <v>1900</v>
      </c>
      <c r="B237" s="3" t="s">
        <v>902</v>
      </c>
      <c r="C237" s="3" t="s">
        <v>1768</v>
      </c>
      <c r="D237" s="3" t="s">
        <v>660</v>
      </c>
      <c r="E237" s="3" t="s">
        <v>661</v>
      </c>
      <c r="F237" s="3" t="s">
        <v>693</v>
      </c>
      <c r="G237" s="3" t="s">
        <v>1822</v>
      </c>
      <c r="H237" s="3" t="s">
        <v>1770</v>
      </c>
      <c r="I237" s="3" t="s">
        <v>1775</v>
      </c>
      <c r="J237" s="3" t="s">
        <v>2085</v>
      </c>
      <c r="K237" s="3"/>
      <c r="L237" s="3"/>
      <c r="M237" s="3" t="s">
        <v>521</v>
      </c>
      <c r="N237" s="3" t="s">
        <v>903</v>
      </c>
      <c r="O237" s="3" t="s">
        <v>521</v>
      </c>
      <c r="P237" s="3" t="s">
        <v>1820</v>
      </c>
      <c r="Q237" s="3" t="s">
        <v>670</v>
      </c>
      <c r="R237" s="5">
        <v>45366</v>
      </c>
      <c r="S237" s="6">
        <v>1997.03</v>
      </c>
      <c r="T237" s="7">
        <v>0</v>
      </c>
    </row>
    <row r="238" s="1" customFormat="1" spans="1:20">
      <c r="A238" s="3" t="s">
        <v>1901</v>
      </c>
      <c r="B238" s="3" t="s">
        <v>898</v>
      </c>
      <c r="C238" s="3" t="s">
        <v>1768</v>
      </c>
      <c r="D238" s="3" t="s">
        <v>660</v>
      </c>
      <c r="E238" s="3" t="s">
        <v>661</v>
      </c>
      <c r="F238" s="3" t="s">
        <v>754</v>
      </c>
      <c r="G238" s="3" t="s">
        <v>1822</v>
      </c>
      <c r="H238" s="3" t="s">
        <v>1770</v>
      </c>
      <c r="I238" s="3" t="s">
        <v>1775</v>
      </c>
      <c r="J238" s="3" t="s">
        <v>2085</v>
      </c>
      <c r="K238" s="3"/>
      <c r="L238" s="3"/>
      <c r="M238" s="3" t="s">
        <v>521</v>
      </c>
      <c r="N238" s="3" t="s">
        <v>899</v>
      </c>
      <c r="O238" s="3" t="s">
        <v>521</v>
      </c>
      <c r="P238" s="3" t="s">
        <v>1820</v>
      </c>
      <c r="Q238" s="3" t="s">
        <v>670</v>
      </c>
      <c r="R238" s="5">
        <v>45366</v>
      </c>
      <c r="S238" s="6">
        <v>1434.87</v>
      </c>
      <c r="T238" s="7">
        <v>0</v>
      </c>
    </row>
    <row r="239" s="1" customFormat="1" spans="1:20">
      <c r="A239" s="3" t="s">
        <v>1801</v>
      </c>
      <c r="B239" s="3" t="s">
        <v>904</v>
      </c>
      <c r="C239" s="3" t="s">
        <v>1768</v>
      </c>
      <c r="D239" s="3" t="s">
        <v>660</v>
      </c>
      <c r="E239" s="3" t="s">
        <v>661</v>
      </c>
      <c r="F239" s="3" t="s">
        <v>681</v>
      </c>
      <c r="G239" s="3" t="s">
        <v>1822</v>
      </c>
      <c r="H239" s="3" t="s">
        <v>1770</v>
      </c>
      <c r="I239" s="3" t="s">
        <v>1775</v>
      </c>
      <c r="J239" s="3" t="s">
        <v>2085</v>
      </c>
      <c r="K239" s="3"/>
      <c r="L239" s="3"/>
      <c r="M239" s="3" t="s">
        <v>521</v>
      </c>
      <c r="N239" s="3" t="s">
        <v>905</v>
      </c>
      <c r="O239" s="3" t="s">
        <v>521</v>
      </c>
      <c r="P239" s="3" t="s">
        <v>1820</v>
      </c>
      <c r="Q239" s="3" t="s">
        <v>670</v>
      </c>
      <c r="R239" s="5">
        <v>45363</v>
      </c>
      <c r="S239" s="6">
        <v>1266.2</v>
      </c>
      <c r="T239" s="7">
        <v>0</v>
      </c>
    </row>
    <row r="240" s="1" customFormat="1" spans="1:20">
      <c r="A240" s="3" t="s">
        <v>1902</v>
      </c>
      <c r="B240" s="3" t="s">
        <v>906</v>
      </c>
      <c r="C240" s="3" t="s">
        <v>1768</v>
      </c>
      <c r="D240" s="3" t="s">
        <v>660</v>
      </c>
      <c r="E240" s="3" t="s">
        <v>661</v>
      </c>
      <c r="F240" s="3" t="s">
        <v>693</v>
      </c>
      <c r="G240" s="3" t="s">
        <v>1822</v>
      </c>
      <c r="H240" s="3" t="s">
        <v>1770</v>
      </c>
      <c r="I240" s="3" t="s">
        <v>1775</v>
      </c>
      <c r="J240" s="3" t="s">
        <v>2085</v>
      </c>
      <c r="K240" s="3"/>
      <c r="L240" s="3"/>
      <c r="M240" s="3" t="s">
        <v>521</v>
      </c>
      <c r="N240" s="3" t="s">
        <v>907</v>
      </c>
      <c r="O240" s="3" t="s">
        <v>521</v>
      </c>
      <c r="P240" s="3" t="s">
        <v>1820</v>
      </c>
      <c r="Q240" s="3" t="s">
        <v>670</v>
      </c>
      <c r="R240" s="5">
        <v>45364</v>
      </c>
      <c r="S240" s="6">
        <v>1048.51</v>
      </c>
      <c r="T240" s="7">
        <v>0</v>
      </c>
    </row>
    <row r="241" s="1" customFormat="1" spans="1:20">
      <c r="A241" s="3" t="s">
        <v>1839</v>
      </c>
      <c r="B241" s="3" t="s">
        <v>908</v>
      </c>
      <c r="C241" s="3" t="s">
        <v>1768</v>
      </c>
      <c r="D241" s="3" t="s">
        <v>660</v>
      </c>
      <c r="E241" s="3" t="s">
        <v>661</v>
      </c>
      <c r="F241" s="3" t="s">
        <v>876</v>
      </c>
      <c r="G241" s="3" t="s">
        <v>1822</v>
      </c>
      <c r="H241" s="3" t="s">
        <v>1770</v>
      </c>
      <c r="I241" s="3" t="s">
        <v>1775</v>
      </c>
      <c r="J241" s="3" t="s">
        <v>2085</v>
      </c>
      <c r="K241" s="3"/>
      <c r="L241" s="3"/>
      <c r="M241" s="3" t="s">
        <v>521</v>
      </c>
      <c r="N241" s="3" t="s">
        <v>909</v>
      </c>
      <c r="O241" s="3" t="s">
        <v>521</v>
      </c>
      <c r="P241" s="3" t="s">
        <v>1820</v>
      </c>
      <c r="Q241" s="3" t="s">
        <v>670</v>
      </c>
      <c r="R241" s="5">
        <v>45366</v>
      </c>
      <c r="S241" s="6">
        <v>774.4</v>
      </c>
      <c r="T241" s="7">
        <v>0</v>
      </c>
    </row>
    <row r="242" s="1" customFormat="1" spans="1:20">
      <c r="A242" s="3" t="s">
        <v>1903</v>
      </c>
      <c r="B242" s="3" t="s">
        <v>910</v>
      </c>
      <c r="C242" s="3" t="s">
        <v>1768</v>
      </c>
      <c r="D242" s="3" t="s">
        <v>660</v>
      </c>
      <c r="E242" s="3" t="s">
        <v>661</v>
      </c>
      <c r="F242" s="3" t="s">
        <v>731</v>
      </c>
      <c r="G242" s="3" t="s">
        <v>1822</v>
      </c>
      <c r="H242" s="3" t="s">
        <v>1770</v>
      </c>
      <c r="I242" s="3" t="s">
        <v>1775</v>
      </c>
      <c r="J242" s="3" t="s">
        <v>2085</v>
      </c>
      <c r="K242" s="3"/>
      <c r="L242" s="3"/>
      <c r="M242" s="3" t="s">
        <v>521</v>
      </c>
      <c r="N242" s="3" t="s">
        <v>911</v>
      </c>
      <c r="O242" s="3" t="s">
        <v>521</v>
      </c>
      <c r="P242" s="3" t="s">
        <v>1820</v>
      </c>
      <c r="Q242" s="3" t="s">
        <v>670</v>
      </c>
      <c r="R242" s="5">
        <v>45376</v>
      </c>
      <c r="S242" s="6">
        <v>611.26</v>
      </c>
      <c r="T242" s="7">
        <v>0</v>
      </c>
    </row>
    <row r="243" s="1" customFormat="1" spans="1:20">
      <c r="A243" s="3" t="s">
        <v>1904</v>
      </c>
      <c r="B243" s="3" t="s">
        <v>912</v>
      </c>
      <c r="C243" s="3" t="s">
        <v>1768</v>
      </c>
      <c r="D243" s="3" t="s">
        <v>660</v>
      </c>
      <c r="E243" s="3" t="s">
        <v>661</v>
      </c>
      <c r="F243" s="3" t="s">
        <v>731</v>
      </c>
      <c r="G243" s="3" t="s">
        <v>1822</v>
      </c>
      <c r="H243" s="3" t="s">
        <v>1770</v>
      </c>
      <c r="I243" s="3" t="s">
        <v>1775</v>
      </c>
      <c r="J243" s="3" t="s">
        <v>2085</v>
      </c>
      <c r="K243" s="3"/>
      <c r="L243" s="3"/>
      <c r="M243" s="3" t="s">
        <v>521</v>
      </c>
      <c r="N243" s="3" t="s">
        <v>913</v>
      </c>
      <c r="O243" s="3" t="s">
        <v>521</v>
      </c>
      <c r="P243" s="3" t="s">
        <v>1820</v>
      </c>
      <c r="Q243" s="3" t="s">
        <v>670</v>
      </c>
      <c r="R243" s="5">
        <v>45371</v>
      </c>
      <c r="S243" s="6">
        <v>556.44</v>
      </c>
      <c r="T243" s="7">
        <v>0</v>
      </c>
    </row>
    <row r="244" s="1" customFormat="1" spans="1:20">
      <c r="A244" s="3" t="s">
        <v>1905</v>
      </c>
      <c r="B244" s="3" t="s">
        <v>914</v>
      </c>
      <c r="C244" s="3" t="s">
        <v>1768</v>
      </c>
      <c r="D244" s="3" t="s">
        <v>660</v>
      </c>
      <c r="E244" s="3" t="s">
        <v>661</v>
      </c>
      <c r="F244" s="3" t="s">
        <v>693</v>
      </c>
      <c r="G244" s="3" t="s">
        <v>1822</v>
      </c>
      <c r="H244" s="3" t="s">
        <v>1770</v>
      </c>
      <c r="I244" s="3" t="s">
        <v>1775</v>
      </c>
      <c r="J244" s="3" t="s">
        <v>2085</v>
      </c>
      <c r="K244" s="3"/>
      <c r="L244" s="3"/>
      <c r="M244" s="3" t="s">
        <v>521</v>
      </c>
      <c r="N244" s="3" t="s">
        <v>915</v>
      </c>
      <c r="O244" s="3" t="s">
        <v>521</v>
      </c>
      <c r="P244" s="3" t="s">
        <v>1820</v>
      </c>
      <c r="Q244" s="3" t="s">
        <v>670</v>
      </c>
      <c r="R244" s="5">
        <v>45366</v>
      </c>
      <c r="S244" s="6">
        <v>574.26</v>
      </c>
      <c r="T244" s="7">
        <v>0</v>
      </c>
    </row>
    <row r="245" s="1" customFormat="1" spans="1:20">
      <c r="A245" s="3" t="s">
        <v>1906</v>
      </c>
      <c r="B245" s="3" t="s">
        <v>916</v>
      </c>
      <c r="C245" s="3" t="s">
        <v>1768</v>
      </c>
      <c r="D245" s="3" t="s">
        <v>660</v>
      </c>
      <c r="E245" s="3" t="s">
        <v>661</v>
      </c>
      <c r="F245" s="3" t="s">
        <v>669</v>
      </c>
      <c r="G245" s="3" t="s">
        <v>1822</v>
      </c>
      <c r="H245" s="3" t="s">
        <v>1770</v>
      </c>
      <c r="I245" s="3" t="s">
        <v>1775</v>
      </c>
      <c r="J245" s="3" t="s">
        <v>2085</v>
      </c>
      <c r="K245" s="3"/>
      <c r="L245" s="3"/>
      <c r="M245" s="3" t="s">
        <v>521</v>
      </c>
      <c r="N245" s="3" t="s">
        <v>917</v>
      </c>
      <c r="O245" s="3" t="s">
        <v>521</v>
      </c>
      <c r="P245" s="3" t="s">
        <v>1820</v>
      </c>
      <c r="Q245" s="3" t="s">
        <v>670</v>
      </c>
      <c r="R245" s="5">
        <v>45371</v>
      </c>
      <c r="S245" s="6">
        <v>342.25</v>
      </c>
      <c r="T245" s="7">
        <v>0</v>
      </c>
    </row>
    <row r="246" s="1" customFormat="1" spans="1:20">
      <c r="A246" s="3" t="s">
        <v>1865</v>
      </c>
      <c r="B246" s="3" t="s">
        <v>936</v>
      </c>
      <c r="C246" s="3" t="s">
        <v>1768</v>
      </c>
      <c r="D246" s="3" t="s">
        <v>660</v>
      </c>
      <c r="E246" s="3" t="s">
        <v>661</v>
      </c>
      <c r="F246" s="3" t="s">
        <v>669</v>
      </c>
      <c r="G246" s="3" t="s">
        <v>1822</v>
      </c>
      <c r="H246" s="3" t="s">
        <v>1770</v>
      </c>
      <c r="I246" s="3" t="s">
        <v>1775</v>
      </c>
      <c r="J246" s="3" t="s">
        <v>2085</v>
      </c>
      <c r="K246" s="3"/>
      <c r="L246" s="3"/>
      <c r="M246" s="3" t="s">
        <v>521</v>
      </c>
      <c r="N246" s="3" t="s">
        <v>937</v>
      </c>
      <c r="O246" s="3" t="s">
        <v>521</v>
      </c>
      <c r="P246" s="3" t="s">
        <v>1820</v>
      </c>
      <c r="Q246" s="3" t="s">
        <v>670</v>
      </c>
      <c r="R246" s="5">
        <v>45394</v>
      </c>
      <c r="S246" s="6">
        <v>2035.28</v>
      </c>
      <c r="T246" s="7">
        <v>0</v>
      </c>
    </row>
    <row r="247" s="1" customFormat="1" spans="1:20">
      <c r="A247" s="3" t="s">
        <v>1876</v>
      </c>
      <c r="B247" s="3" t="s">
        <v>938</v>
      </c>
      <c r="C247" s="3" t="s">
        <v>1768</v>
      </c>
      <c r="D247" s="3" t="s">
        <v>660</v>
      </c>
      <c r="E247" s="3" t="s">
        <v>661</v>
      </c>
      <c r="F247" s="3" t="s">
        <v>940</v>
      </c>
      <c r="G247" s="3" t="s">
        <v>1822</v>
      </c>
      <c r="H247" s="3" t="s">
        <v>1770</v>
      </c>
      <c r="I247" s="3" t="s">
        <v>1775</v>
      </c>
      <c r="J247" s="3" t="s">
        <v>2085</v>
      </c>
      <c r="K247" s="3"/>
      <c r="L247" s="3"/>
      <c r="M247" s="3" t="s">
        <v>521</v>
      </c>
      <c r="N247" s="3" t="s">
        <v>939</v>
      </c>
      <c r="O247" s="3" t="s">
        <v>521</v>
      </c>
      <c r="P247" s="3" t="s">
        <v>1820</v>
      </c>
      <c r="Q247" s="3" t="s">
        <v>670</v>
      </c>
      <c r="R247" s="5">
        <v>45394</v>
      </c>
      <c r="S247" s="6">
        <v>3044.15</v>
      </c>
      <c r="T247" s="7">
        <v>0</v>
      </c>
    </row>
    <row r="248" s="1" customFormat="1" spans="1:20">
      <c r="A248" s="3" t="s">
        <v>1805</v>
      </c>
      <c r="B248" s="3" t="s">
        <v>918</v>
      </c>
      <c r="C248" s="3" t="s">
        <v>1768</v>
      </c>
      <c r="D248" s="3" t="s">
        <v>660</v>
      </c>
      <c r="E248" s="3" t="s">
        <v>661</v>
      </c>
      <c r="F248" s="3" t="s">
        <v>693</v>
      </c>
      <c r="G248" s="3" t="s">
        <v>1822</v>
      </c>
      <c r="H248" s="3" t="s">
        <v>1770</v>
      </c>
      <c r="I248" s="3" t="s">
        <v>1775</v>
      </c>
      <c r="J248" s="3" t="s">
        <v>2085</v>
      </c>
      <c r="K248" s="3"/>
      <c r="L248" s="3"/>
      <c r="M248" s="3" t="s">
        <v>521</v>
      </c>
      <c r="N248" s="3" t="s">
        <v>919</v>
      </c>
      <c r="O248" s="3" t="s">
        <v>521</v>
      </c>
      <c r="P248" s="3" t="s">
        <v>1820</v>
      </c>
      <c r="Q248" s="3" t="s">
        <v>670</v>
      </c>
      <c r="R248" s="5">
        <v>45401</v>
      </c>
      <c r="S248" s="6">
        <v>1997.03</v>
      </c>
      <c r="T248" s="7">
        <v>0</v>
      </c>
    </row>
    <row r="249" s="1" customFormat="1" spans="1:20">
      <c r="A249" s="3" t="s">
        <v>1860</v>
      </c>
      <c r="B249" s="3" t="s">
        <v>920</v>
      </c>
      <c r="C249" s="3" t="s">
        <v>1768</v>
      </c>
      <c r="D249" s="3" t="s">
        <v>660</v>
      </c>
      <c r="E249" s="3" t="s">
        <v>661</v>
      </c>
      <c r="F249" s="3" t="s">
        <v>922</v>
      </c>
      <c r="G249" s="3" t="s">
        <v>1822</v>
      </c>
      <c r="H249" s="3" t="s">
        <v>1770</v>
      </c>
      <c r="I249" s="3" t="s">
        <v>1775</v>
      </c>
      <c r="J249" s="3" t="s">
        <v>2085</v>
      </c>
      <c r="K249" s="3"/>
      <c r="L249" s="3"/>
      <c r="M249" s="3" t="s">
        <v>521</v>
      </c>
      <c r="N249" s="3" t="s">
        <v>921</v>
      </c>
      <c r="O249" s="3" t="s">
        <v>521</v>
      </c>
      <c r="P249" s="3" t="s">
        <v>1820</v>
      </c>
      <c r="Q249" s="3" t="s">
        <v>670</v>
      </c>
      <c r="R249" s="5">
        <v>45385</v>
      </c>
      <c r="S249" s="6">
        <v>300</v>
      </c>
      <c r="T249" s="7">
        <v>0</v>
      </c>
    </row>
    <row r="250" s="1" customFormat="1" spans="1:20">
      <c r="A250" s="3" t="s">
        <v>1907</v>
      </c>
      <c r="B250" s="3" t="s">
        <v>923</v>
      </c>
      <c r="C250" s="3" t="s">
        <v>1768</v>
      </c>
      <c r="D250" s="3" t="s">
        <v>660</v>
      </c>
      <c r="E250" s="3" t="s">
        <v>661</v>
      </c>
      <c r="F250" s="3" t="s">
        <v>693</v>
      </c>
      <c r="G250" s="3" t="s">
        <v>1822</v>
      </c>
      <c r="H250" s="3" t="s">
        <v>1770</v>
      </c>
      <c r="I250" s="3" t="s">
        <v>1775</v>
      </c>
      <c r="J250" s="3" t="s">
        <v>2085</v>
      </c>
      <c r="K250" s="3"/>
      <c r="L250" s="3"/>
      <c r="M250" s="3" t="s">
        <v>521</v>
      </c>
      <c r="N250" s="3" t="s">
        <v>924</v>
      </c>
      <c r="O250" s="3" t="s">
        <v>521</v>
      </c>
      <c r="P250" s="3" t="s">
        <v>1820</v>
      </c>
      <c r="Q250" s="3" t="s">
        <v>670</v>
      </c>
      <c r="R250" s="5">
        <v>45385</v>
      </c>
      <c r="S250" s="6">
        <v>1422.77</v>
      </c>
      <c r="T250" s="7">
        <v>0</v>
      </c>
    </row>
    <row r="251" s="1" customFormat="1" spans="1:20">
      <c r="A251" s="3" t="s">
        <v>1908</v>
      </c>
      <c r="B251" s="3" t="s">
        <v>925</v>
      </c>
      <c r="C251" s="3" t="s">
        <v>1768</v>
      </c>
      <c r="D251" s="3" t="s">
        <v>660</v>
      </c>
      <c r="E251" s="3" t="s">
        <v>661</v>
      </c>
      <c r="F251" s="3" t="s">
        <v>754</v>
      </c>
      <c r="G251" s="3" t="s">
        <v>1822</v>
      </c>
      <c r="H251" s="3" t="s">
        <v>1770</v>
      </c>
      <c r="I251" s="3" t="s">
        <v>1775</v>
      </c>
      <c r="J251" s="3" t="s">
        <v>2085</v>
      </c>
      <c r="K251" s="3"/>
      <c r="L251" s="3"/>
      <c r="M251" s="3" t="s">
        <v>521</v>
      </c>
      <c r="N251" s="3" t="s">
        <v>926</v>
      </c>
      <c r="O251" s="3" t="s">
        <v>521</v>
      </c>
      <c r="P251" s="3" t="s">
        <v>1820</v>
      </c>
      <c r="Q251" s="3" t="s">
        <v>670</v>
      </c>
      <c r="R251" s="5">
        <v>45385</v>
      </c>
      <c r="S251" s="6">
        <v>10272.17</v>
      </c>
      <c r="T251" s="7">
        <v>0</v>
      </c>
    </row>
    <row r="252" s="1" customFormat="1" spans="1:20">
      <c r="A252" s="3" t="s">
        <v>1909</v>
      </c>
      <c r="B252" s="3" t="s">
        <v>927</v>
      </c>
      <c r="C252" s="3" t="s">
        <v>1768</v>
      </c>
      <c r="D252" s="3" t="s">
        <v>660</v>
      </c>
      <c r="E252" s="3" t="s">
        <v>661</v>
      </c>
      <c r="F252" s="3" t="s">
        <v>763</v>
      </c>
      <c r="G252" s="3" t="s">
        <v>1822</v>
      </c>
      <c r="H252" s="3" t="s">
        <v>1770</v>
      </c>
      <c r="I252" s="3" t="s">
        <v>1775</v>
      </c>
      <c r="J252" s="3" t="s">
        <v>2085</v>
      </c>
      <c r="K252" s="3"/>
      <c r="L252" s="3"/>
      <c r="M252" s="3" t="s">
        <v>521</v>
      </c>
      <c r="N252" s="3" t="s">
        <v>928</v>
      </c>
      <c r="O252" s="3" t="s">
        <v>521</v>
      </c>
      <c r="P252" s="3" t="s">
        <v>1820</v>
      </c>
      <c r="Q252" s="3" t="s">
        <v>670</v>
      </c>
      <c r="R252" s="5">
        <v>45385</v>
      </c>
      <c r="S252" s="6">
        <v>200</v>
      </c>
      <c r="T252" s="7">
        <v>0</v>
      </c>
    </row>
    <row r="253" s="1" customFormat="1" spans="1:20">
      <c r="A253" s="3" t="s">
        <v>1910</v>
      </c>
      <c r="B253" s="3" t="s">
        <v>941</v>
      </c>
      <c r="C253" s="3" t="s">
        <v>1768</v>
      </c>
      <c r="D253" s="3" t="s">
        <v>660</v>
      </c>
      <c r="E253" s="3" t="s">
        <v>661</v>
      </c>
      <c r="F253" s="3" t="s">
        <v>943</v>
      </c>
      <c r="G253" s="3" t="s">
        <v>1822</v>
      </c>
      <c r="H253" s="3" t="s">
        <v>1770</v>
      </c>
      <c r="I253" s="3" t="s">
        <v>1775</v>
      </c>
      <c r="J253" s="3" t="s">
        <v>2085</v>
      </c>
      <c r="K253" s="3"/>
      <c r="L253" s="3"/>
      <c r="M253" s="3" t="s">
        <v>521</v>
      </c>
      <c r="N253" s="3" t="s">
        <v>942</v>
      </c>
      <c r="O253" s="3" t="s">
        <v>521</v>
      </c>
      <c r="P253" s="3" t="s">
        <v>1820</v>
      </c>
      <c r="Q253" s="3" t="s">
        <v>670</v>
      </c>
      <c r="R253" s="5">
        <v>45423</v>
      </c>
      <c r="S253" s="6">
        <v>500</v>
      </c>
      <c r="T253" s="7">
        <v>0</v>
      </c>
    </row>
    <row r="254" s="1" customFormat="1" spans="1:20">
      <c r="A254" s="3" t="s">
        <v>1911</v>
      </c>
      <c r="B254" s="3" t="s">
        <v>931</v>
      </c>
      <c r="C254" s="3" t="s">
        <v>1768</v>
      </c>
      <c r="D254" s="3" t="s">
        <v>660</v>
      </c>
      <c r="E254" s="3" t="s">
        <v>661</v>
      </c>
      <c r="F254" s="3" t="s">
        <v>933</v>
      </c>
      <c r="G254" s="3" t="s">
        <v>1822</v>
      </c>
      <c r="H254" s="3" t="s">
        <v>1770</v>
      </c>
      <c r="I254" s="3" t="s">
        <v>1775</v>
      </c>
      <c r="J254" s="3" t="s">
        <v>2085</v>
      </c>
      <c r="K254" s="3"/>
      <c r="L254" s="3"/>
      <c r="M254" s="3" t="s">
        <v>521</v>
      </c>
      <c r="N254" s="3" t="s">
        <v>932</v>
      </c>
      <c r="O254" s="3" t="s">
        <v>521</v>
      </c>
      <c r="P254" s="3" t="s">
        <v>1820</v>
      </c>
      <c r="Q254" s="3" t="s">
        <v>670</v>
      </c>
      <c r="R254" s="5">
        <v>45423</v>
      </c>
      <c r="S254" s="6">
        <v>1055.85</v>
      </c>
      <c r="T254" s="7">
        <v>0</v>
      </c>
    </row>
    <row r="255" s="1" customFormat="1" spans="1:20">
      <c r="A255" s="3" t="s">
        <v>1912</v>
      </c>
      <c r="B255" s="3" t="s">
        <v>944</v>
      </c>
      <c r="C255" s="3" t="s">
        <v>1768</v>
      </c>
      <c r="D255" s="3" t="s">
        <v>946</v>
      </c>
      <c r="E255" s="3" t="s">
        <v>947</v>
      </c>
      <c r="F255" s="3" t="s">
        <v>948</v>
      </c>
      <c r="G255" s="3" t="s">
        <v>1913</v>
      </c>
      <c r="H255" s="3" t="s">
        <v>1770</v>
      </c>
      <c r="I255" s="3" t="s">
        <v>1775</v>
      </c>
      <c r="J255" s="3" t="s">
        <v>2085</v>
      </c>
      <c r="K255" s="3"/>
      <c r="L255" s="3"/>
      <c r="M255" s="3" t="s">
        <v>508</v>
      </c>
      <c r="N255" s="3" t="s">
        <v>945</v>
      </c>
      <c r="O255" s="3" t="s">
        <v>508</v>
      </c>
      <c r="P255" s="3" t="s">
        <v>1820</v>
      </c>
      <c r="Q255" s="3" t="s">
        <v>949</v>
      </c>
      <c r="R255" s="5">
        <v>45279</v>
      </c>
      <c r="S255" s="6">
        <v>1117.44</v>
      </c>
      <c r="T255" s="7">
        <v>0</v>
      </c>
    </row>
    <row r="256" s="1" customFormat="1" spans="1:20">
      <c r="A256" s="3" t="s">
        <v>1914</v>
      </c>
      <c r="B256" s="3" t="s">
        <v>950</v>
      </c>
      <c r="C256" s="3" t="s">
        <v>1768</v>
      </c>
      <c r="D256" s="3" t="s">
        <v>946</v>
      </c>
      <c r="E256" s="3" t="s">
        <v>947</v>
      </c>
      <c r="F256" s="3" t="s">
        <v>952</v>
      </c>
      <c r="G256" s="3" t="s">
        <v>1913</v>
      </c>
      <c r="H256" s="3" t="s">
        <v>1770</v>
      </c>
      <c r="I256" s="3" t="s">
        <v>1775</v>
      </c>
      <c r="J256" s="3" t="s">
        <v>2085</v>
      </c>
      <c r="K256" s="3"/>
      <c r="L256" s="3"/>
      <c r="M256" s="3" t="s">
        <v>508</v>
      </c>
      <c r="N256" s="3" t="s">
        <v>951</v>
      </c>
      <c r="O256" s="3" t="s">
        <v>508</v>
      </c>
      <c r="P256" s="3" t="s">
        <v>1820</v>
      </c>
      <c r="Q256" s="3" t="s">
        <v>949</v>
      </c>
      <c r="R256" s="5">
        <v>45275</v>
      </c>
      <c r="S256" s="6">
        <v>7200</v>
      </c>
      <c r="T256" s="7">
        <v>0</v>
      </c>
    </row>
    <row r="257" s="1" customFormat="1" spans="1:20">
      <c r="A257" s="3" t="s">
        <v>1915</v>
      </c>
      <c r="B257" s="3" t="s">
        <v>956</v>
      </c>
      <c r="C257" s="3" t="s">
        <v>1768</v>
      </c>
      <c r="D257" s="3" t="s">
        <v>946</v>
      </c>
      <c r="E257" s="3" t="s">
        <v>947</v>
      </c>
      <c r="F257" s="3" t="s">
        <v>958</v>
      </c>
      <c r="G257" s="3" t="s">
        <v>1913</v>
      </c>
      <c r="H257" s="3" t="s">
        <v>1770</v>
      </c>
      <c r="I257" s="3" t="s">
        <v>1775</v>
      </c>
      <c r="J257" s="3" t="s">
        <v>2085</v>
      </c>
      <c r="K257" s="3"/>
      <c r="L257" s="3"/>
      <c r="M257" s="3" t="s">
        <v>508</v>
      </c>
      <c r="N257" s="3" t="s">
        <v>957</v>
      </c>
      <c r="O257" s="3" t="s">
        <v>508</v>
      </c>
      <c r="P257" s="3" t="s">
        <v>1820</v>
      </c>
      <c r="Q257" s="3" t="s">
        <v>949</v>
      </c>
      <c r="R257" s="5">
        <v>45275</v>
      </c>
      <c r="S257" s="6">
        <v>13411.78</v>
      </c>
      <c r="T257" s="7">
        <v>0</v>
      </c>
    </row>
    <row r="258" s="1" customFormat="1" spans="1:20">
      <c r="A258" s="3" t="s">
        <v>1916</v>
      </c>
      <c r="B258" s="3" t="s">
        <v>963</v>
      </c>
      <c r="C258" s="3" t="s">
        <v>1768</v>
      </c>
      <c r="D258" s="3" t="s">
        <v>946</v>
      </c>
      <c r="E258" s="3" t="s">
        <v>947</v>
      </c>
      <c r="F258" s="3" t="s">
        <v>314</v>
      </c>
      <c r="G258" s="3" t="s">
        <v>1913</v>
      </c>
      <c r="H258" s="3" t="s">
        <v>1770</v>
      </c>
      <c r="I258" s="3" t="s">
        <v>1775</v>
      </c>
      <c r="J258" s="3" t="s">
        <v>2085</v>
      </c>
      <c r="K258" s="3"/>
      <c r="L258" s="3"/>
      <c r="M258" s="3" t="s">
        <v>521</v>
      </c>
      <c r="N258" s="3" t="s">
        <v>964</v>
      </c>
      <c r="O258" s="3" t="s">
        <v>521</v>
      </c>
      <c r="P258" s="3" t="s">
        <v>1820</v>
      </c>
      <c r="Q258" s="3" t="s">
        <v>949</v>
      </c>
      <c r="R258" s="5">
        <v>45314</v>
      </c>
      <c r="S258" s="6">
        <v>11785.05</v>
      </c>
      <c r="T258" s="7">
        <v>0</v>
      </c>
    </row>
    <row r="259" s="1" customFormat="1" spans="1:20">
      <c r="A259" s="3" t="s">
        <v>1917</v>
      </c>
      <c r="B259" s="3" t="s">
        <v>965</v>
      </c>
      <c r="C259" s="3" t="s">
        <v>1768</v>
      </c>
      <c r="D259" s="3" t="s">
        <v>946</v>
      </c>
      <c r="E259" s="3" t="s">
        <v>947</v>
      </c>
      <c r="F259" s="3" t="s">
        <v>967</v>
      </c>
      <c r="G259" s="3" t="s">
        <v>1913</v>
      </c>
      <c r="H259" s="3" t="s">
        <v>1770</v>
      </c>
      <c r="I259" s="3" t="s">
        <v>1775</v>
      </c>
      <c r="J259" s="3" t="s">
        <v>2085</v>
      </c>
      <c r="K259" s="3"/>
      <c r="L259" s="3"/>
      <c r="M259" s="3" t="s">
        <v>508</v>
      </c>
      <c r="N259" s="3" t="s">
        <v>966</v>
      </c>
      <c r="O259" s="3" t="s">
        <v>508</v>
      </c>
      <c r="P259" s="3" t="s">
        <v>1820</v>
      </c>
      <c r="Q259" s="3" t="s">
        <v>949</v>
      </c>
      <c r="R259" s="5">
        <v>45278</v>
      </c>
      <c r="S259" s="6">
        <v>1128.72</v>
      </c>
      <c r="T259" s="7">
        <v>0</v>
      </c>
    </row>
    <row r="260" s="1" customFormat="1" spans="1:20">
      <c r="A260" s="3" t="s">
        <v>1918</v>
      </c>
      <c r="B260" s="3" t="s">
        <v>968</v>
      </c>
      <c r="C260" s="3" t="s">
        <v>1768</v>
      </c>
      <c r="D260" s="3" t="s">
        <v>946</v>
      </c>
      <c r="E260" s="3" t="s">
        <v>947</v>
      </c>
      <c r="F260" s="3" t="s">
        <v>970</v>
      </c>
      <c r="G260" s="3" t="s">
        <v>1913</v>
      </c>
      <c r="H260" s="3" t="s">
        <v>1770</v>
      </c>
      <c r="I260" s="3" t="s">
        <v>1775</v>
      </c>
      <c r="J260" s="3" t="s">
        <v>2085</v>
      </c>
      <c r="K260" s="3"/>
      <c r="L260" s="3"/>
      <c r="M260" s="3" t="s">
        <v>508</v>
      </c>
      <c r="N260" s="3" t="s">
        <v>969</v>
      </c>
      <c r="O260" s="3" t="s">
        <v>508</v>
      </c>
      <c r="P260" s="3" t="s">
        <v>1820</v>
      </c>
      <c r="Q260" s="3" t="s">
        <v>949</v>
      </c>
      <c r="R260" s="5">
        <v>45288</v>
      </c>
      <c r="S260" s="6">
        <v>11.28</v>
      </c>
      <c r="T260" s="7">
        <v>0</v>
      </c>
    </row>
    <row r="261" s="1" customFormat="1" spans="1:20">
      <c r="A261" s="3" t="s">
        <v>1919</v>
      </c>
      <c r="B261" s="3" t="s">
        <v>971</v>
      </c>
      <c r="C261" s="3" t="s">
        <v>1768</v>
      </c>
      <c r="D261" s="3" t="s">
        <v>973</v>
      </c>
      <c r="E261" s="3" t="s">
        <v>974</v>
      </c>
      <c r="F261" s="3" t="s">
        <v>975</v>
      </c>
      <c r="G261" s="3" t="s">
        <v>1920</v>
      </c>
      <c r="H261" s="3" t="s">
        <v>1770</v>
      </c>
      <c r="I261" s="3" t="s">
        <v>1775</v>
      </c>
      <c r="J261" s="3" t="s">
        <v>2085</v>
      </c>
      <c r="K261" s="3"/>
      <c r="L261" s="3"/>
      <c r="M261" s="3" t="s">
        <v>508</v>
      </c>
      <c r="N261" s="3" t="s">
        <v>972</v>
      </c>
      <c r="O261" s="3" t="s">
        <v>508</v>
      </c>
      <c r="P261" s="3" t="s">
        <v>1820</v>
      </c>
      <c r="Q261" s="3" t="s">
        <v>976</v>
      </c>
      <c r="R261" s="5">
        <v>45247</v>
      </c>
      <c r="S261" s="6">
        <v>287.12</v>
      </c>
      <c r="T261" s="7">
        <v>0</v>
      </c>
    </row>
    <row r="262" s="1" customFormat="1" spans="1:20">
      <c r="A262" s="3" t="s">
        <v>1887</v>
      </c>
      <c r="B262" s="3" t="s">
        <v>989</v>
      </c>
      <c r="C262" s="3" t="s">
        <v>1768</v>
      </c>
      <c r="D262" s="3" t="s">
        <v>991</v>
      </c>
      <c r="E262" s="3" t="s">
        <v>992</v>
      </c>
      <c r="F262" s="3" t="s">
        <v>993</v>
      </c>
      <c r="G262" s="3" t="s">
        <v>1921</v>
      </c>
      <c r="H262" s="3" t="s">
        <v>1770</v>
      </c>
      <c r="I262" s="3" t="s">
        <v>1775</v>
      </c>
      <c r="J262" s="3" t="s">
        <v>2085</v>
      </c>
      <c r="K262" s="3"/>
      <c r="L262" s="3"/>
      <c r="M262" s="3" t="s">
        <v>508</v>
      </c>
      <c r="N262" s="3" t="s">
        <v>990</v>
      </c>
      <c r="O262" s="3" t="s">
        <v>508</v>
      </c>
      <c r="P262" s="3" t="s">
        <v>1820</v>
      </c>
      <c r="Q262" s="3" t="s">
        <v>994</v>
      </c>
      <c r="R262" s="5">
        <v>45189</v>
      </c>
      <c r="S262" s="6">
        <v>740</v>
      </c>
      <c r="T262" s="7">
        <v>0</v>
      </c>
    </row>
    <row r="263" s="1" customFormat="1" spans="1:20">
      <c r="A263" s="3" t="s">
        <v>1922</v>
      </c>
      <c r="B263" s="3" t="s">
        <v>995</v>
      </c>
      <c r="C263" s="3" t="s">
        <v>1768</v>
      </c>
      <c r="D263" s="3" t="s">
        <v>991</v>
      </c>
      <c r="E263" s="3" t="s">
        <v>992</v>
      </c>
      <c r="F263" s="3" t="s">
        <v>997</v>
      </c>
      <c r="G263" s="3" t="s">
        <v>1921</v>
      </c>
      <c r="H263" s="3" t="s">
        <v>1770</v>
      </c>
      <c r="I263" s="3" t="s">
        <v>1775</v>
      </c>
      <c r="J263" s="3" t="s">
        <v>2085</v>
      </c>
      <c r="K263" s="3"/>
      <c r="L263" s="3"/>
      <c r="M263" s="3" t="s">
        <v>508</v>
      </c>
      <c r="N263" s="3" t="s">
        <v>996</v>
      </c>
      <c r="O263" s="3" t="s">
        <v>508</v>
      </c>
      <c r="P263" s="3" t="s">
        <v>1820</v>
      </c>
      <c r="Q263" s="3" t="s">
        <v>994</v>
      </c>
      <c r="R263" s="5">
        <v>45208</v>
      </c>
      <c r="S263" s="6">
        <v>980</v>
      </c>
      <c r="T263" s="7">
        <v>0</v>
      </c>
    </row>
    <row r="264" s="1" customFormat="1" spans="1:20">
      <c r="A264" s="3" t="s">
        <v>1923</v>
      </c>
      <c r="B264" s="3" t="s">
        <v>998</v>
      </c>
      <c r="C264" s="3" t="s">
        <v>1768</v>
      </c>
      <c r="D264" s="3" t="s">
        <v>991</v>
      </c>
      <c r="E264" s="3" t="s">
        <v>992</v>
      </c>
      <c r="F264" s="3" t="s">
        <v>1000</v>
      </c>
      <c r="G264" s="3" t="s">
        <v>1921</v>
      </c>
      <c r="H264" s="3" t="s">
        <v>1770</v>
      </c>
      <c r="I264" s="3" t="s">
        <v>1775</v>
      </c>
      <c r="J264" s="3" t="s">
        <v>2085</v>
      </c>
      <c r="K264" s="3"/>
      <c r="L264" s="3"/>
      <c r="M264" s="3" t="s">
        <v>508</v>
      </c>
      <c r="N264" s="3" t="s">
        <v>999</v>
      </c>
      <c r="O264" s="3" t="s">
        <v>508</v>
      </c>
      <c r="P264" s="3" t="s">
        <v>1820</v>
      </c>
      <c r="Q264" s="3" t="s">
        <v>994</v>
      </c>
      <c r="R264" s="5">
        <v>45270</v>
      </c>
      <c r="S264" s="6">
        <v>1165</v>
      </c>
      <c r="T264" s="7">
        <v>0</v>
      </c>
    </row>
    <row r="265" s="1" customFormat="1" spans="1:20">
      <c r="A265" s="3" t="s">
        <v>1924</v>
      </c>
      <c r="B265" s="3" t="s">
        <v>1008</v>
      </c>
      <c r="C265" s="3" t="s">
        <v>1768</v>
      </c>
      <c r="D265" s="3" t="s">
        <v>991</v>
      </c>
      <c r="E265" s="3" t="s">
        <v>992</v>
      </c>
      <c r="F265" s="3" t="s">
        <v>1010</v>
      </c>
      <c r="G265" s="3" t="s">
        <v>1921</v>
      </c>
      <c r="H265" s="3" t="s">
        <v>1770</v>
      </c>
      <c r="I265" s="3" t="s">
        <v>1775</v>
      </c>
      <c r="J265" s="3" t="s">
        <v>2085</v>
      </c>
      <c r="K265" s="3"/>
      <c r="L265" s="3"/>
      <c r="M265" s="3" t="s">
        <v>521</v>
      </c>
      <c r="N265" s="3" t="s">
        <v>1009</v>
      </c>
      <c r="O265" s="3" t="s">
        <v>521</v>
      </c>
      <c r="P265" s="3" t="s">
        <v>1820</v>
      </c>
      <c r="Q265" s="3" t="s">
        <v>994</v>
      </c>
      <c r="R265" s="5">
        <v>45310</v>
      </c>
      <c r="S265" s="6">
        <v>1570</v>
      </c>
      <c r="T265" s="7">
        <v>0</v>
      </c>
    </row>
    <row r="266" s="1" customFormat="1" spans="1:20">
      <c r="A266" s="3" t="s">
        <v>1925</v>
      </c>
      <c r="B266" s="3" t="s">
        <v>1011</v>
      </c>
      <c r="C266" s="3" t="s">
        <v>1768</v>
      </c>
      <c r="D266" s="3" t="s">
        <v>991</v>
      </c>
      <c r="E266" s="3" t="s">
        <v>992</v>
      </c>
      <c r="F266" s="3" t="s">
        <v>1013</v>
      </c>
      <c r="G266" s="3" t="s">
        <v>1921</v>
      </c>
      <c r="H266" s="3" t="s">
        <v>1770</v>
      </c>
      <c r="I266" s="3" t="s">
        <v>1775</v>
      </c>
      <c r="J266" s="3" t="s">
        <v>2085</v>
      </c>
      <c r="K266" s="3"/>
      <c r="L266" s="3"/>
      <c r="M266" s="3" t="s">
        <v>508</v>
      </c>
      <c r="N266" s="3" t="s">
        <v>1012</v>
      </c>
      <c r="O266" s="3" t="s">
        <v>508</v>
      </c>
      <c r="P266" s="3" t="s">
        <v>1820</v>
      </c>
      <c r="Q266" s="3" t="s">
        <v>994</v>
      </c>
      <c r="R266" s="5">
        <v>45209</v>
      </c>
      <c r="S266" s="6">
        <v>700</v>
      </c>
      <c r="T266" s="7">
        <v>0</v>
      </c>
    </row>
    <row r="267" s="1" customFormat="1" spans="1:20">
      <c r="A267" s="3" t="s">
        <v>1926</v>
      </c>
      <c r="B267" s="3" t="s">
        <v>1014</v>
      </c>
      <c r="C267" s="3" t="s">
        <v>1768</v>
      </c>
      <c r="D267" s="3" t="s">
        <v>991</v>
      </c>
      <c r="E267" s="3" t="s">
        <v>992</v>
      </c>
      <c r="F267" s="3" t="s">
        <v>1016</v>
      </c>
      <c r="G267" s="3" t="s">
        <v>1921</v>
      </c>
      <c r="H267" s="3" t="s">
        <v>1770</v>
      </c>
      <c r="I267" s="3" t="s">
        <v>1775</v>
      </c>
      <c r="J267" s="3" t="s">
        <v>2085</v>
      </c>
      <c r="K267" s="3"/>
      <c r="L267" s="3"/>
      <c r="M267" s="3" t="s">
        <v>508</v>
      </c>
      <c r="N267" s="3" t="s">
        <v>1015</v>
      </c>
      <c r="O267" s="3" t="s">
        <v>508</v>
      </c>
      <c r="P267" s="3" t="s">
        <v>1820</v>
      </c>
      <c r="Q267" s="3" t="s">
        <v>994</v>
      </c>
      <c r="R267" s="5">
        <v>45212</v>
      </c>
      <c r="S267" s="6">
        <v>1196</v>
      </c>
      <c r="T267" s="7">
        <v>0</v>
      </c>
    </row>
    <row r="268" s="1" customFormat="1" spans="1:20">
      <c r="A268" s="3" t="s">
        <v>1927</v>
      </c>
      <c r="B268" s="3" t="s">
        <v>1017</v>
      </c>
      <c r="C268" s="3" t="s">
        <v>1768</v>
      </c>
      <c r="D268" s="3" t="s">
        <v>991</v>
      </c>
      <c r="E268" s="3" t="s">
        <v>992</v>
      </c>
      <c r="F268" s="3" t="s">
        <v>1016</v>
      </c>
      <c r="G268" s="3" t="s">
        <v>1921</v>
      </c>
      <c r="H268" s="3" t="s">
        <v>1770</v>
      </c>
      <c r="I268" s="3" t="s">
        <v>1775</v>
      </c>
      <c r="J268" s="3" t="s">
        <v>2085</v>
      </c>
      <c r="K268" s="3"/>
      <c r="L268" s="3"/>
      <c r="M268" s="3" t="s">
        <v>508</v>
      </c>
      <c r="N268" s="3" t="s">
        <v>1018</v>
      </c>
      <c r="O268" s="3" t="s">
        <v>508</v>
      </c>
      <c r="P268" s="3" t="s">
        <v>1820</v>
      </c>
      <c r="Q268" s="3" t="s">
        <v>994</v>
      </c>
      <c r="R268" s="5">
        <v>45212</v>
      </c>
      <c r="S268" s="6">
        <v>1097</v>
      </c>
      <c r="T268" s="7">
        <v>0</v>
      </c>
    </row>
    <row r="269" s="1" customFormat="1" spans="1:20">
      <c r="A269" s="3" t="s">
        <v>1928</v>
      </c>
      <c r="B269" s="3" t="s">
        <v>1019</v>
      </c>
      <c r="C269" s="3" t="s">
        <v>1768</v>
      </c>
      <c r="D269" s="3" t="s">
        <v>991</v>
      </c>
      <c r="E269" s="3" t="s">
        <v>992</v>
      </c>
      <c r="F269" s="3" t="s">
        <v>1016</v>
      </c>
      <c r="G269" s="3" t="s">
        <v>1921</v>
      </c>
      <c r="H269" s="3" t="s">
        <v>1770</v>
      </c>
      <c r="I269" s="3" t="s">
        <v>1775</v>
      </c>
      <c r="J269" s="3" t="s">
        <v>2085</v>
      </c>
      <c r="K269" s="3"/>
      <c r="L269" s="3"/>
      <c r="M269" s="3" t="s">
        <v>508</v>
      </c>
      <c r="N269" s="3" t="s">
        <v>1020</v>
      </c>
      <c r="O269" s="3" t="s">
        <v>508</v>
      </c>
      <c r="P269" s="3" t="s">
        <v>1820</v>
      </c>
      <c r="Q269" s="3" t="s">
        <v>994</v>
      </c>
      <c r="R269" s="5">
        <v>45225</v>
      </c>
      <c r="S269" s="6">
        <v>996</v>
      </c>
      <c r="T269" s="7">
        <v>0</v>
      </c>
    </row>
    <row r="270" s="1" customFormat="1" spans="1:20">
      <c r="A270" s="3" t="s">
        <v>1929</v>
      </c>
      <c r="B270" s="3" t="s">
        <v>1021</v>
      </c>
      <c r="C270" s="3" t="s">
        <v>1768</v>
      </c>
      <c r="D270" s="3" t="s">
        <v>991</v>
      </c>
      <c r="E270" s="3" t="s">
        <v>992</v>
      </c>
      <c r="F270" s="3" t="s">
        <v>1023</v>
      </c>
      <c r="G270" s="3" t="s">
        <v>1921</v>
      </c>
      <c r="H270" s="3" t="s">
        <v>1770</v>
      </c>
      <c r="I270" s="3" t="s">
        <v>1775</v>
      </c>
      <c r="J270" s="3" t="s">
        <v>2085</v>
      </c>
      <c r="K270" s="3"/>
      <c r="L270" s="3"/>
      <c r="M270" s="3" t="s">
        <v>508</v>
      </c>
      <c r="N270" s="3" t="s">
        <v>1022</v>
      </c>
      <c r="O270" s="3" t="s">
        <v>508</v>
      </c>
      <c r="P270" s="3" t="s">
        <v>1820</v>
      </c>
      <c r="Q270" s="3" t="s">
        <v>994</v>
      </c>
      <c r="R270" s="5">
        <v>45244</v>
      </c>
      <c r="S270" s="6">
        <v>680</v>
      </c>
      <c r="T270" s="7">
        <v>0</v>
      </c>
    </row>
    <row r="271" s="1" customFormat="1" spans="1:20">
      <c r="A271" s="3" t="s">
        <v>1930</v>
      </c>
      <c r="B271" s="3" t="s">
        <v>1024</v>
      </c>
      <c r="C271" s="3" t="s">
        <v>1768</v>
      </c>
      <c r="D271" s="3" t="s">
        <v>991</v>
      </c>
      <c r="E271" s="3" t="s">
        <v>992</v>
      </c>
      <c r="F271" s="3" t="s">
        <v>1026</v>
      </c>
      <c r="G271" s="3" t="s">
        <v>1921</v>
      </c>
      <c r="H271" s="3" t="s">
        <v>1770</v>
      </c>
      <c r="I271" s="3" t="s">
        <v>1775</v>
      </c>
      <c r="J271" s="3" t="s">
        <v>2085</v>
      </c>
      <c r="K271" s="3"/>
      <c r="L271" s="3"/>
      <c r="M271" s="3" t="s">
        <v>508</v>
      </c>
      <c r="N271" s="3" t="s">
        <v>1025</v>
      </c>
      <c r="O271" s="3" t="s">
        <v>508</v>
      </c>
      <c r="P271" s="3" t="s">
        <v>1820</v>
      </c>
      <c r="Q271" s="3" t="s">
        <v>994</v>
      </c>
      <c r="R271" s="5">
        <v>45244</v>
      </c>
      <c r="S271" s="6">
        <v>1816</v>
      </c>
      <c r="T271" s="7">
        <v>0</v>
      </c>
    </row>
    <row r="272" s="1" customFormat="1" spans="1:20">
      <c r="A272" s="3" t="s">
        <v>1931</v>
      </c>
      <c r="B272" s="3" t="s">
        <v>1028</v>
      </c>
      <c r="C272" s="3" t="s">
        <v>1768</v>
      </c>
      <c r="D272" s="3" t="s">
        <v>991</v>
      </c>
      <c r="E272" s="3" t="s">
        <v>992</v>
      </c>
      <c r="F272" s="3" t="s">
        <v>1030</v>
      </c>
      <c r="G272" s="3" t="s">
        <v>1921</v>
      </c>
      <c r="H272" s="3" t="s">
        <v>1770</v>
      </c>
      <c r="I272" s="3" t="s">
        <v>1775</v>
      </c>
      <c r="J272" s="3" t="s">
        <v>2085</v>
      </c>
      <c r="K272" s="3"/>
      <c r="L272" s="3"/>
      <c r="M272" s="3" t="s">
        <v>508</v>
      </c>
      <c r="N272" s="3" t="s">
        <v>1029</v>
      </c>
      <c r="O272" s="3" t="s">
        <v>508</v>
      </c>
      <c r="P272" s="3" t="s">
        <v>1820</v>
      </c>
      <c r="Q272" s="3" t="s">
        <v>994</v>
      </c>
      <c r="R272" s="5">
        <v>45264</v>
      </c>
      <c r="S272" s="6">
        <v>1000</v>
      </c>
      <c r="T272" s="7">
        <v>0</v>
      </c>
    </row>
    <row r="273" s="1" customFormat="1" spans="1:20">
      <c r="A273" s="3" t="s">
        <v>1932</v>
      </c>
      <c r="B273" s="3" t="s">
        <v>1031</v>
      </c>
      <c r="C273" s="3" t="s">
        <v>1768</v>
      </c>
      <c r="D273" s="3" t="s">
        <v>991</v>
      </c>
      <c r="E273" s="3" t="s">
        <v>992</v>
      </c>
      <c r="F273" s="3" t="s">
        <v>997</v>
      </c>
      <c r="G273" s="3" t="s">
        <v>1921</v>
      </c>
      <c r="H273" s="3" t="s">
        <v>1770</v>
      </c>
      <c r="I273" s="3" t="s">
        <v>1775</v>
      </c>
      <c r="J273" s="3" t="s">
        <v>2085</v>
      </c>
      <c r="K273" s="3"/>
      <c r="L273" s="3"/>
      <c r="M273" s="3" t="s">
        <v>508</v>
      </c>
      <c r="N273" s="3" t="s">
        <v>1032</v>
      </c>
      <c r="O273" s="3" t="s">
        <v>508</v>
      </c>
      <c r="P273" s="3" t="s">
        <v>1820</v>
      </c>
      <c r="Q273" s="3" t="s">
        <v>994</v>
      </c>
      <c r="R273" s="5">
        <v>45277</v>
      </c>
      <c r="S273" s="6">
        <v>1480</v>
      </c>
      <c r="T273" s="7">
        <v>0</v>
      </c>
    </row>
    <row r="274" s="1" customFormat="1" spans="1:20">
      <c r="A274" s="3" t="s">
        <v>1933</v>
      </c>
      <c r="B274" s="3" t="s">
        <v>1033</v>
      </c>
      <c r="C274" s="3" t="s">
        <v>1768</v>
      </c>
      <c r="D274" s="3" t="s">
        <v>991</v>
      </c>
      <c r="E274" s="3" t="s">
        <v>992</v>
      </c>
      <c r="F274" s="3" t="s">
        <v>1030</v>
      </c>
      <c r="G274" s="3" t="s">
        <v>1921</v>
      </c>
      <c r="H274" s="3" t="s">
        <v>1770</v>
      </c>
      <c r="I274" s="3" t="s">
        <v>1775</v>
      </c>
      <c r="J274" s="3" t="s">
        <v>2085</v>
      </c>
      <c r="K274" s="3"/>
      <c r="L274" s="3"/>
      <c r="M274" s="3" t="s">
        <v>508</v>
      </c>
      <c r="N274" s="3" t="s">
        <v>1034</v>
      </c>
      <c r="O274" s="3" t="s">
        <v>508</v>
      </c>
      <c r="P274" s="3" t="s">
        <v>1820</v>
      </c>
      <c r="Q274" s="3" t="s">
        <v>994</v>
      </c>
      <c r="R274" s="5">
        <v>45275</v>
      </c>
      <c r="S274" s="6">
        <v>1480</v>
      </c>
      <c r="T274" s="7">
        <v>0</v>
      </c>
    </row>
    <row r="275" s="1" customFormat="1" spans="1:20">
      <c r="A275" s="3" t="s">
        <v>1934</v>
      </c>
      <c r="B275" s="3" t="s">
        <v>1035</v>
      </c>
      <c r="C275" s="3" t="s">
        <v>1768</v>
      </c>
      <c r="D275" s="3" t="s">
        <v>991</v>
      </c>
      <c r="E275" s="3" t="s">
        <v>992</v>
      </c>
      <c r="F275" s="3" t="s">
        <v>1037</v>
      </c>
      <c r="G275" s="3" t="s">
        <v>1921</v>
      </c>
      <c r="H275" s="3" t="s">
        <v>1770</v>
      </c>
      <c r="I275" s="3" t="s">
        <v>1775</v>
      </c>
      <c r="J275" s="3" t="s">
        <v>2085</v>
      </c>
      <c r="K275" s="3"/>
      <c r="L275" s="3"/>
      <c r="M275" s="3" t="s">
        <v>508</v>
      </c>
      <c r="N275" s="3" t="s">
        <v>1036</v>
      </c>
      <c r="O275" s="3" t="s">
        <v>508</v>
      </c>
      <c r="P275" s="3" t="s">
        <v>1820</v>
      </c>
      <c r="Q275" s="3" t="s">
        <v>994</v>
      </c>
      <c r="R275" s="5">
        <v>45277</v>
      </c>
      <c r="S275" s="6">
        <v>1860</v>
      </c>
      <c r="T275" s="7">
        <v>0</v>
      </c>
    </row>
    <row r="276" s="1" customFormat="1" spans="1:20">
      <c r="A276" s="3" t="s">
        <v>1935</v>
      </c>
      <c r="B276" s="3" t="s">
        <v>1040</v>
      </c>
      <c r="C276" s="3" t="s">
        <v>1768</v>
      </c>
      <c r="D276" s="3" t="s">
        <v>991</v>
      </c>
      <c r="E276" s="3" t="s">
        <v>992</v>
      </c>
      <c r="F276" s="3" t="s">
        <v>1042</v>
      </c>
      <c r="G276" s="3" t="s">
        <v>1921</v>
      </c>
      <c r="H276" s="3" t="s">
        <v>1770</v>
      </c>
      <c r="I276" s="3" t="s">
        <v>1775</v>
      </c>
      <c r="J276" s="3" t="s">
        <v>2085</v>
      </c>
      <c r="K276" s="3"/>
      <c r="L276" s="3"/>
      <c r="M276" s="3" t="s">
        <v>521</v>
      </c>
      <c r="N276" s="3" t="s">
        <v>1041</v>
      </c>
      <c r="O276" s="3" t="s">
        <v>521</v>
      </c>
      <c r="P276" s="3" t="s">
        <v>1820</v>
      </c>
      <c r="Q276" s="3" t="s">
        <v>994</v>
      </c>
      <c r="R276" s="5">
        <v>45310</v>
      </c>
      <c r="S276" s="6">
        <v>1752</v>
      </c>
      <c r="T276" s="7">
        <v>0</v>
      </c>
    </row>
    <row r="277" s="1" customFormat="1" spans="1:20">
      <c r="A277" s="3" t="s">
        <v>1824</v>
      </c>
      <c r="B277" s="3" t="s">
        <v>1044</v>
      </c>
      <c r="C277" s="3" t="s">
        <v>1768</v>
      </c>
      <c r="D277" s="3" t="s">
        <v>991</v>
      </c>
      <c r="E277" s="3" t="s">
        <v>992</v>
      </c>
      <c r="F277" s="3" t="s">
        <v>1000</v>
      </c>
      <c r="G277" s="3" t="s">
        <v>1921</v>
      </c>
      <c r="H277" s="3" t="s">
        <v>1770</v>
      </c>
      <c r="I277" s="3" t="s">
        <v>1775</v>
      </c>
      <c r="J277" s="3" t="s">
        <v>2085</v>
      </c>
      <c r="K277" s="3"/>
      <c r="L277" s="3"/>
      <c r="M277" s="3" t="s">
        <v>521</v>
      </c>
      <c r="N277" s="3" t="s">
        <v>1045</v>
      </c>
      <c r="O277" s="3" t="s">
        <v>521</v>
      </c>
      <c r="P277" s="3" t="s">
        <v>1820</v>
      </c>
      <c r="Q277" s="3" t="s">
        <v>994</v>
      </c>
      <c r="R277" s="5">
        <v>45310</v>
      </c>
      <c r="S277" s="6">
        <v>1368</v>
      </c>
      <c r="T277" s="7">
        <v>0</v>
      </c>
    </row>
    <row r="278" s="1" customFormat="1" spans="1:20">
      <c r="A278" s="3" t="s">
        <v>1936</v>
      </c>
      <c r="B278" s="3" t="s">
        <v>1046</v>
      </c>
      <c r="C278" s="3" t="s">
        <v>1768</v>
      </c>
      <c r="D278" s="3" t="s">
        <v>991</v>
      </c>
      <c r="E278" s="3" t="s">
        <v>992</v>
      </c>
      <c r="F278" s="3" t="s">
        <v>1023</v>
      </c>
      <c r="G278" s="3" t="s">
        <v>1921</v>
      </c>
      <c r="H278" s="3" t="s">
        <v>1770</v>
      </c>
      <c r="I278" s="3" t="s">
        <v>1775</v>
      </c>
      <c r="J278" s="3" t="s">
        <v>2085</v>
      </c>
      <c r="K278" s="3"/>
      <c r="L278" s="3"/>
      <c r="M278" s="3" t="s">
        <v>521</v>
      </c>
      <c r="N278" s="3" t="s">
        <v>1047</v>
      </c>
      <c r="O278" s="3" t="s">
        <v>521</v>
      </c>
      <c r="P278" s="3" t="s">
        <v>1820</v>
      </c>
      <c r="Q278" s="3" t="s">
        <v>994</v>
      </c>
      <c r="R278" s="5">
        <v>45303</v>
      </c>
      <c r="S278" s="6">
        <v>1138</v>
      </c>
      <c r="T278" s="7">
        <v>0</v>
      </c>
    </row>
    <row r="279" s="1" customFormat="1" spans="1:20">
      <c r="A279" s="3" t="s">
        <v>1937</v>
      </c>
      <c r="B279" s="3" t="s">
        <v>1048</v>
      </c>
      <c r="C279" s="3" t="s">
        <v>1768</v>
      </c>
      <c r="D279" s="3" t="s">
        <v>991</v>
      </c>
      <c r="E279" s="3" t="s">
        <v>992</v>
      </c>
      <c r="F279" s="3" t="s">
        <v>1013</v>
      </c>
      <c r="G279" s="3" t="s">
        <v>1921</v>
      </c>
      <c r="H279" s="3" t="s">
        <v>1770</v>
      </c>
      <c r="I279" s="3" t="s">
        <v>1775</v>
      </c>
      <c r="J279" s="3" t="s">
        <v>2085</v>
      </c>
      <c r="K279" s="3"/>
      <c r="L279" s="3"/>
      <c r="M279" s="3" t="s">
        <v>521</v>
      </c>
      <c r="N279" s="3" t="s">
        <v>1049</v>
      </c>
      <c r="O279" s="3" t="s">
        <v>521</v>
      </c>
      <c r="P279" s="3" t="s">
        <v>1820</v>
      </c>
      <c r="Q279" s="3" t="s">
        <v>994</v>
      </c>
      <c r="R279" s="5">
        <v>45313</v>
      </c>
      <c r="S279" s="6">
        <v>900</v>
      </c>
      <c r="T279" s="7">
        <v>0</v>
      </c>
    </row>
    <row r="280" s="1" customFormat="1" spans="1:20">
      <c r="A280" s="3" t="s">
        <v>1938</v>
      </c>
      <c r="B280" s="3" t="s">
        <v>1050</v>
      </c>
      <c r="C280" s="3" t="s">
        <v>1768</v>
      </c>
      <c r="D280" s="3" t="s">
        <v>991</v>
      </c>
      <c r="E280" s="3" t="s">
        <v>992</v>
      </c>
      <c r="F280" s="3" t="s">
        <v>1052</v>
      </c>
      <c r="G280" s="3" t="s">
        <v>1921</v>
      </c>
      <c r="H280" s="3" t="s">
        <v>1770</v>
      </c>
      <c r="I280" s="3" t="s">
        <v>1775</v>
      </c>
      <c r="J280" s="3" t="s">
        <v>2085</v>
      </c>
      <c r="K280" s="3"/>
      <c r="L280" s="3"/>
      <c r="M280" s="3" t="s">
        <v>521</v>
      </c>
      <c r="N280" s="3" t="s">
        <v>1051</v>
      </c>
      <c r="O280" s="3" t="s">
        <v>521</v>
      </c>
      <c r="P280" s="3" t="s">
        <v>1820</v>
      </c>
      <c r="Q280" s="3" t="s">
        <v>994</v>
      </c>
      <c r="R280" s="5">
        <v>45323</v>
      </c>
      <c r="S280" s="6">
        <v>1700</v>
      </c>
      <c r="T280" s="7">
        <v>0</v>
      </c>
    </row>
    <row r="281" s="1" customFormat="1" spans="1:20">
      <c r="A281" s="3" t="s">
        <v>1847</v>
      </c>
      <c r="B281" s="3" t="s">
        <v>1054</v>
      </c>
      <c r="C281" s="3" t="s">
        <v>1768</v>
      </c>
      <c r="D281" s="3" t="s">
        <v>991</v>
      </c>
      <c r="E281" s="3" t="s">
        <v>992</v>
      </c>
      <c r="F281" s="3" t="s">
        <v>1056</v>
      </c>
      <c r="G281" s="3" t="s">
        <v>1921</v>
      </c>
      <c r="H281" s="3" t="s">
        <v>1770</v>
      </c>
      <c r="I281" s="3" t="s">
        <v>1775</v>
      </c>
      <c r="J281" s="3" t="s">
        <v>2085</v>
      </c>
      <c r="K281" s="3"/>
      <c r="L281" s="3"/>
      <c r="M281" s="3" t="s">
        <v>521</v>
      </c>
      <c r="N281" s="3" t="s">
        <v>1055</v>
      </c>
      <c r="O281" s="3" t="s">
        <v>521</v>
      </c>
      <c r="P281" s="3" t="s">
        <v>1820</v>
      </c>
      <c r="Q281" s="3" t="s">
        <v>994</v>
      </c>
      <c r="R281" s="5">
        <v>45356</v>
      </c>
      <c r="S281" s="6">
        <v>1380</v>
      </c>
      <c r="T281" s="7">
        <v>0</v>
      </c>
    </row>
    <row r="282" s="1" customFormat="1" spans="1:20">
      <c r="A282" s="3" t="s">
        <v>1939</v>
      </c>
      <c r="B282" s="3" t="s">
        <v>1057</v>
      </c>
      <c r="C282" s="3" t="s">
        <v>1768</v>
      </c>
      <c r="D282" s="3" t="s">
        <v>991</v>
      </c>
      <c r="E282" s="3" t="s">
        <v>992</v>
      </c>
      <c r="F282" s="3" t="s">
        <v>1059</v>
      </c>
      <c r="G282" s="3" t="s">
        <v>1921</v>
      </c>
      <c r="H282" s="3" t="s">
        <v>1770</v>
      </c>
      <c r="I282" s="3" t="s">
        <v>1775</v>
      </c>
      <c r="J282" s="3" t="s">
        <v>2085</v>
      </c>
      <c r="K282" s="3"/>
      <c r="L282" s="3"/>
      <c r="M282" s="3" t="s">
        <v>521</v>
      </c>
      <c r="N282" s="3" t="s">
        <v>1058</v>
      </c>
      <c r="O282" s="3" t="s">
        <v>521</v>
      </c>
      <c r="P282" s="3" t="s">
        <v>1820</v>
      </c>
      <c r="Q282" s="3" t="s">
        <v>994</v>
      </c>
      <c r="R282" s="5">
        <v>45356</v>
      </c>
      <c r="S282" s="6">
        <v>1400</v>
      </c>
      <c r="T282" s="7">
        <v>0</v>
      </c>
    </row>
    <row r="283" s="1" customFormat="1" spans="1:20">
      <c r="A283" s="3" t="s">
        <v>1843</v>
      </c>
      <c r="B283" s="3" t="s">
        <v>1060</v>
      </c>
      <c r="C283" s="3" t="s">
        <v>1768</v>
      </c>
      <c r="D283" s="3" t="s">
        <v>991</v>
      </c>
      <c r="E283" s="3" t="s">
        <v>992</v>
      </c>
      <c r="F283" s="3" t="s">
        <v>997</v>
      </c>
      <c r="G283" s="3" t="s">
        <v>1921</v>
      </c>
      <c r="H283" s="3" t="s">
        <v>1770</v>
      </c>
      <c r="I283" s="3" t="s">
        <v>1775</v>
      </c>
      <c r="J283" s="3" t="s">
        <v>2085</v>
      </c>
      <c r="K283" s="3"/>
      <c r="L283" s="3"/>
      <c r="M283" s="3" t="s">
        <v>521</v>
      </c>
      <c r="N283" s="3" t="s">
        <v>1061</v>
      </c>
      <c r="O283" s="3" t="s">
        <v>521</v>
      </c>
      <c r="P283" s="3" t="s">
        <v>1820</v>
      </c>
      <c r="Q283" s="3" t="s">
        <v>994</v>
      </c>
      <c r="R283" s="5">
        <v>45366</v>
      </c>
      <c r="S283" s="6">
        <v>1380</v>
      </c>
      <c r="T283" s="7">
        <v>0</v>
      </c>
    </row>
    <row r="284" s="1" customFormat="1" spans="1:20">
      <c r="A284" s="3" t="s">
        <v>1940</v>
      </c>
      <c r="B284" s="3" t="s">
        <v>1062</v>
      </c>
      <c r="C284" s="3" t="s">
        <v>1768</v>
      </c>
      <c r="D284" s="3" t="s">
        <v>991</v>
      </c>
      <c r="E284" s="3" t="s">
        <v>992</v>
      </c>
      <c r="F284" s="3" t="s">
        <v>1016</v>
      </c>
      <c r="G284" s="3" t="s">
        <v>1921</v>
      </c>
      <c r="H284" s="3" t="s">
        <v>1770</v>
      </c>
      <c r="I284" s="3" t="s">
        <v>1775</v>
      </c>
      <c r="J284" s="3" t="s">
        <v>2085</v>
      </c>
      <c r="K284" s="3"/>
      <c r="L284" s="3"/>
      <c r="M284" s="3" t="s">
        <v>521</v>
      </c>
      <c r="N284" s="3" t="s">
        <v>1063</v>
      </c>
      <c r="O284" s="3" t="s">
        <v>521</v>
      </c>
      <c r="P284" s="3" t="s">
        <v>1820</v>
      </c>
      <c r="Q284" s="3" t="s">
        <v>994</v>
      </c>
      <c r="R284" s="5">
        <v>45356</v>
      </c>
      <c r="S284" s="6">
        <v>1275</v>
      </c>
      <c r="T284" s="7">
        <v>0</v>
      </c>
    </row>
    <row r="285" s="1" customFormat="1" spans="1:20">
      <c r="A285" s="3" t="s">
        <v>1941</v>
      </c>
      <c r="B285" s="3" t="s">
        <v>1072</v>
      </c>
      <c r="C285" s="3" t="s">
        <v>1768</v>
      </c>
      <c r="D285" s="3" t="s">
        <v>991</v>
      </c>
      <c r="E285" s="3" t="s">
        <v>992</v>
      </c>
      <c r="F285" s="3" t="s">
        <v>1000</v>
      </c>
      <c r="G285" s="3" t="s">
        <v>1921</v>
      </c>
      <c r="H285" s="3" t="s">
        <v>1770</v>
      </c>
      <c r="I285" s="3" t="s">
        <v>1775</v>
      </c>
      <c r="J285" s="3" t="s">
        <v>2085</v>
      </c>
      <c r="K285" s="3"/>
      <c r="L285" s="3"/>
      <c r="M285" s="3" t="s">
        <v>521</v>
      </c>
      <c r="N285" s="3" t="s">
        <v>1073</v>
      </c>
      <c r="O285" s="3" t="s">
        <v>521</v>
      </c>
      <c r="P285" s="3" t="s">
        <v>1820</v>
      </c>
      <c r="Q285" s="3" t="s">
        <v>994</v>
      </c>
      <c r="R285" s="5">
        <v>45303</v>
      </c>
      <c r="S285" s="6">
        <v>1278</v>
      </c>
      <c r="T285" s="7">
        <v>0</v>
      </c>
    </row>
    <row r="286" s="1" customFormat="1" spans="1:20">
      <c r="A286" s="3" t="s">
        <v>1942</v>
      </c>
      <c r="B286" s="3" t="s">
        <v>1074</v>
      </c>
      <c r="C286" s="3" t="s">
        <v>1768</v>
      </c>
      <c r="D286" s="3" t="s">
        <v>991</v>
      </c>
      <c r="E286" s="3" t="s">
        <v>992</v>
      </c>
      <c r="F286" s="3" t="s">
        <v>1076</v>
      </c>
      <c r="G286" s="3" t="s">
        <v>1921</v>
      </c>
      <c r="H286" s="3" t="s">
        <v>1770</v>
      </c>
      <c r="I286" s="3" t="s">
        <v>1775</v>
      </c>
      <c r="J286" s="3" t="s">
        <v>2085</v>
      </c>
      <c r="K286" s="3"/>
      <c r="L286" s="3"/>
      <c r="M286" s="3" t="s">
        <v>521</v>
      </c>
      <c r="N286" s="3" t="s">
        <v>1075</v>
      </c>
      <c r="O286" s="3" t="s">
        <v>521</v>
      </c>
      <c r="P286" s="3" t="s">
        <v>1820</v>
      </c>
      <c r="Q286" s="3" t="s">
        <v>994</v>
      </c>
      <c r="R286" s="5">
        <v>45394</v>
      </c>
      <c r="S286" s="6">
        <v>1789</v>
      </c>
      <c r="T286" s="7">
        <v>0</v>
      </c>
    </row>
    <row r="287" s="1" customFormat="1" spans="1:20">
      <c r="A287" s="3" t="s">
        <v>1943</v>
      </c>
      <c r="B287" s="3" t="s">
        <v>1216</v>
      </c>
      <c r="C287" s="3" t="s">
        <v>1768</v>
      </c>
      <c r="D287" s="3" t="s">
        <v>991</v>
      </c>
      <c r="E287" s="3" t="s">
        <v>992</v>
      </c>
      <c r="F287" s="3" t="s">
        <v>1037</v>
      </c>
      <c r="G287" s="3" t="s">
        <v>1921</v>
      </c>
      <c r="H287" s="3" t="s">
        <v>1770</v>
      </c>
      <c r="I287" s="3" t="s">
        <v>1775</v>
      </c>
      <c r="J287" s="3" t="s">
        <v>2085</v>
      </c>
      <c r="K287" s="3"/>
      <c r="L287" s="3"/>
      <c r="M287" s="3" t="s">
        <v>521</v>
      </c>
      <c r="N287" s="3" t="s">
        <v>1217</v>
      </c>
      <c r="O287" s="3" t="s">
        <v>521</v>
      </c>
      <c r="P287" s="3" t="s">
        <v>1820</v>
      </c>
      <c r="Q287" s="3" t="s">
        <v>994</v>
      </c>
      <c r="R287" s="5">
        <v>45394</v>
      </c>
      <c r="S287" s="6">
        <v>950</v>
      </c>
      <c r="T287" s="7">
        <v>0</v>
      </c>
    </row>
    <row r="288" s="1" customFormat="1" spans="1:20">
      <c r="A288" s="3" t="s">
        <v>1944</v>
      </c>
      <c r="B288" s="3" t="s">
        <v>1078</v>
      </c>
      <c r="C288" s="3" t="s">
        <v>1768</v>
      </c>
      <c r="D288" s="3" t="s">
        <v>991</v>
      </c>
      <c r="E288" s="3" t="s">
        <v>992</v>
      </c>
      <c r="F288" s="3" t="s">
        <v>1016</v>
      </c>
      <c r="G288" s="3" t="s">
        <v>1921</v>
      </c>
      <c r="H288" s="3" t="s">
        <v>1770</v>
      </c>
      <c r="I288" s="3" t="s">
        <v>1775</v>
      </c>
      <c r="J288" s="3" t="s">
        <v>2085</v>
      </c>
      <c r="K288" s="3"/>
      <c r="L288" s="3"/>
      <c r="M288" s="3" t="s">
        <v>508</v>
      </c>
      <c r="N288" s="3" t="s">
        <v>1079</v>
      </c>
      <c r="O288" s="3" t="s">
        <v>508</v>
      </c>
      <c r="P288" s="3" t="s">
        <v>1820</v>
      </c>
      <c r="Q288" s="3" t="s">
        <v>994</v>
      </c>
      <c r="R288" s="5">
        <v>45212</v>
      </c>
      <c r="S288" s="6">
        <v>894</v>
      </c>
      <c r="T288" s="7">
        <v>0</v>
      </c>
    </row>
    <row r="289" s="1" customFormat="1" spans="1:20">
      <c r="A289" s="3" t="s">
        <v>1888</v>
      </c>
      <c r="B289" s="3" t="s">
        <v>1080</v>
      </c>
      <c r="C289" s="3" t="s">
        <v>1768</v>
      </c>
      <c r="D289" s="3" t="s">
        <v>991</v>
      </c>
      <c r="E289" s="3" t="s">
        <v>992</v>
      </c>
      <c r="F289" s="3" t="s">
        <v>1082</v>
      </c>
      <c r="G289" s="3" t="s">
        <v>1921</v>
      </c>
      <c r="H289" s="3" t="s">
        <v>1770</v>
      </c>
      <c r="I289" s="3" t="s">
        <v>1775</v>
      </c>
      <c r="J289" s="3" t="s">
        <v>2085</v>
      </c>
      <c r="K289" s="3"/>
      <c r="L289" s="3"/>
      <c r="M289" s="3" t="s">
        <v>508</v>
      </c>
      <c r="N289" s="3" t="s">
        <v>1081</v>
      </c>
      <c r="O289" s="3" t="s">
        <v>508</v>
      </c>
      <c r="P289" s="3" t="s">
        <v>1820</v>
      </c>
      <c r="Q289" s="3" t="s">
        <v>994</v>
      </c>
      <c r="R289" s="5">
        <v>45209</v>
      </c>
      <c r="S289" s="6">
        <v>650</v>
      </c>
      <c r="T289" s="7">
        <v>0</v>
      </c>
    </row>
    <row r="290" s="1" customFormat="1" spans="1:20">
      <c r="A290" s="3" t="s">
        <v>1945</v>
      </c>
      <c r="B290" s="3" t="s">
        <v>1083</v>
      </c>
      <c r="C290" s="3" t="s">
        <v>1768</v>
      </c>
      <c r="D290" s="3" t="s">
        <v>991</v>
      </c>
      <c r="E290" s="3" t="s">
        <v>992</v>
      </c>
      <c r="F290" s="3" t="s">
        <v>1016</v>
      </c>
      <c r="G290" s="3" t="s">
        <v>1921</v>
      </c>
      <c r="H290" s="3" t="s">
        <v>1770</v>
      </c>
      <c r="I290" s="3" t="s">
        <v>1775</v>
      </c>
      <c r="J290" s="3" t="s">
        <v>2085</v>
      </c>
      <c r="K290" s="3"/>
      <c r="L290" s="3"/>
      <c r="M290" s="3" t="s">
        <v>508</v>
      </c>
      <c r="N290" s="3" t="s">
        <v>1084</v>
      </c>
      <c r="O290" s="3" t="s">
        <v>508</v>
      </c>
      <c r="P290" s="3" t="s">
        <v>1820</v>
      </c>
      <c r="Q290" s="3" t="s">
        <v>994</v>
      </c>
      <c r="R290" s="5">
        <v>45223</v>
      </c>
      <c r="S290" s="6">
        <v>897</v>
      </c>
      <c r="T290" s="7">
        <v>0</v>
      </c>
    </row>
    <row r="291" s="1" customFormat="1" spans="1:20">
      <c r="A291" s="3" t="s">
        <v>1946</v>
      </c>
      <c r="B291" s="3" t="s">
        <v>1085</v>
      </c>
      <c r="C291" s="3" t="s">
        <v>1768</v>
      </c>
      <c r="D291" s="3" t="s">
        <v>991</v>
      </c>
      <c r="E291" s="3" t="s">
        <v>992</v>
      </c>
      <c r="F291" s="3" t="s">
        <v>1087</v>
      </c>
      <c r="G291" s="3" t="s">
        <v>1921</v>
      </c>
      <c r="H291" s="3" t="s">
        <v>1770</v>
      </c>
      <c r="I291" s="3" t="s">
        <v>1775</v>
      </c>
      <c r="J291" s="3" t="s">
        <v>2085</v>
      </c>
      <c r="K291" s="3"/>
      <c r="L291" s="3"/>
      <c r="M291" s="3" t="s">
        <v>508</v>
      </c>
      <c r="N291" s="3" t="s">
        <v>1086</v>
      </c>
      <c r="O291" s="3" t="s">
        <v>508</v>
      </c>
      <c r="P291" s="3" t="s">
        <v>1820</v>
      </c>
      <c r="Q291" s="3" t="s">
        <v>994</v>
      </c>
      <c r="R291" s="5">
        <v>45223</v>
      </c>
      <c r="S291" s="6">
        <v>1790</v>
      </c>
      <c r="T291" s="7">
        <v>0</v>
      </c>
    </row>
    <row r="292" s="1" customFormat="1" spans="1:20">
      <c r="A292" s="3" t="s">
        <v>1947</v>
      </c>
      <c r="B292" s="3" t="s">
        <v>1089</v>
      </c>
      <c r="C292" s="3" t="s">
        <v>1768</v>
      </c>
      <c r="D292" s="3" t="s">
        <v>991</v>
      </c>
      <c r="E292" s="3" t="s">
        <v>992</v>
      </c>
      <c r="F292" s="3" t="s">
        <v>1000</v>
      </c>
      <c r="G292" s="3" t="s">
        <v>1921</v>
      </c>
      <c r="H292" s="3" t="s">
        <v>1770</v>
      </c>
      <c r="I292" s="3" t="s">
        <v>1775</v>
      </c>
      <c r="J292" s="3" t="s">
        <v>2085</v>
      </c>
      <c r="K292" s="3"/>
      <c r="L292" s="3"/>
      <c r="M292" s="3" t="s">
        <v>508</v>
      </c>
      <c r="N292" s="3" t="s">
        <v>1090</v>
      </c>
      <c r="O292" s="3" t="s">
        <v>508</v>
      </c>
      <c r="P292" s="3" t="s">
        <v>1820</v>
      </c>
      <c r="Q292" s="3" t="s">
        <v>994</v>
      </c>
      <c r="R292" s="5">
        <v>45223</v>
      </c>
      <c r="S292" s="6">
        <v>1565</v>
      </c>
      <c r="T292" s="7">
        <v>0</v>
      </c>
    </row>
    <row r="293" s="1" customFormat="1" spans="1:20">
      <c r="A293" s="3" t="s">
        <v>1948</v>
      </c>
      <c r="B293" s="3" t="s">
        <v>1091</v>
      </c>
      <c r="C293" s="3" t="s">
        <v>1768</v>
      </c>
      <c r="D293" s="3" t="s">
        <v>991</v>
      </c>
      <c r="E293" s="3" t="s">
        <v>992</v>
      </c>
      <c r="F293" s="3" t="s">
        <v>1037</v>
      </c>
      <c r="G293" s="3" t="s">
        <v>1921</v>
      </c>
      <c r="H293" s="3" t="s">
        <v>1770</v>
      </c>
      <c r="I293" s="3" t="s">
        <v>1775</v>
      </c>
      <c r="J293" s="3" t="s">
        <v>2085</v>
      </c>
      <c r="K293" s="3"/>
      <c r="L293" s="3"/>
      <c r="M293" s="3" t="s">
        <v>508</v>
      </c>
      <c r="N293" s="3" t="s">
        <v>1092</v>
      </c>
      <c r="O293" s="3" t="s">
        <v>508</v>
      </c>
      <c r="P293" s="3" t="s">
        <v>1820</v>
      </c>
      <c r="Q293" s="3" t="s">
        <v>994</v>
      </c>
      <c r="R293" s="5">
        <v>45223</v>
      </c>
      <c r="S293" s="6">
        <v>1280</v>
      </c>
      <c r="T293" s="7">
        <v>0</v>
      </c>
    </row>
    <row r="294" s="1" customFormat="1" spans="1:20">
      <c r="A294" s="3" t="s">
        <v>1949</v>
      </c>
      <c r="B294" s="3" t="s">
        <v>1093</v>
      </c>
      <c r="C294" s="3" t="s">
        <v>1768</v>
      </c>
      <c r="D294" s="3" t="s">
        <v>991</v>
      </c>
      <c r="E294" s="3" t="s">
        <v>992</v>
      </c>
      <c r="F294" s="3" t="s">
        <v>1030</v>
      </c>
      <c r="G294" s="3" t="s">
        <v>1921</v>
      </c>
      <c r="H294" s="3" t="s">
        <v>1770</v>
      </c>
      <c r="I294" s="3" t="s">
        <v>1775</v>
      </c>
      <c r="J294" s="3" t="s">
        <v>2085</v>
      </c>
      <c r="K294" s="3"/>
      <c r="L294" s="3"/>
      <c r="M294" s="3" t="s">
        <v>508</v>
      </c>
      <c r="N294" s="3" t="s">
        <v>1094</v>
      </c>
      <c r="O294" s="3" t="s">
        <v>508</v>
      </c>
      <c r="P294" s="3" t="s">
        <v>1820</v>
      </c>
      <c r="Q294" s="3" t="s">
        <v>994</v>
      </c>
      <c r="R294" s="5">
        <v>45223</v>
      </c>
      <c r="S294" s="6">
        <v>998</v>
      </c>
      <c r="T294" s="7">
        <v>0</v>
      </c>
    </row>
    <row r="295" s="1" customFormat="1" spans="1:20">
      <c r="A295" s="3" t="s">
        <v>1950</v>
      </c>
      <c r="B295" s="3" t="s">
        <v>1095</v>
      </c>
      <c r="C295" s="3" t="s">
        <v>1768</v>
      </c>
      <c r="D295" s="3" t="s">
        <v>991</v>
      </c>
      <c r="E295" s="3" t="s">
        <v>992</v>
      </c>
      <c r="F295" s="3" t="s">
        <v>1023</v>
      </c>
      <c r="G295" s="3" t="s">
        <v>1921</v>
      </c>
      <c r="H295" s="3" t="s">
        <v>1770</v>
      </c>
      <c r="I295" s="3" t="s">
        <v>1775</v>
      </c>
      <c r="J295" s="3" t="s">
        <v>2085</v>
      </c>
      <c r="K295" s="3"/>
      <c r="L295" s="3"/>
      <c r="M295" s="3" t="s">
        <v>508</v>
      </c>
      <c r="N295" s="3" t="s">
        <v>1096</v>
      </c>
      <c r="O295" s="3" t="s">
        <v>508</v>
      </c>
      <c r="P295" s="3" t="s">
        <v>1820</v>
      </c>
      <c r="Q295" s="3" t="s">
        <v>994</v>
      </c>
      <c r="R295" s="5">
        <v>45225</v>
      </c>
      <c r="S295" s="6">
        <v>1094</v>
      </c>
      <c r="T295" s="7">
        <v>0</v>
      </c>
    </row>
    <row r="296" s="1" customFormat="1" spans="1:20">
      <c r="A296" s="3" t="s">
        <v>1951</v>
      </c>
      <c r="B296" s="3" t="s">
        <v>1097</v>
      </c>
      <c r="C296" s="3" t="s">
        <v>1768</v>
      </c>
      <c r="D296" s="3" t="s">
        <v>991</v>
      </c>
      <c r="E296" s="3" t="s">
        <v>992</v>
      </c>
      <c r="F296" s="3" t="s">
        <v>1000</v>
      </c>
      <c r="G296" s="3" t="s">
        <v>1921</v>
      </c>
      <c r="H296" s="3" t="s">
        <v>1770</v>
      </c>
      <c r="I296" s="3" t="s">
        <v>1775</v>
      </c>
      <c r="J296" s="3" t="s">
        <v>2085</v>
      </c>
      <c r="K296" s="3"/>
      <c r="L296" s="3"/>
      <c r="M296" s="3" t="s">
        <v>508</v>
      </c>
      <c r="N296" s="3" t="s">
        <v>1098</v>
      </c>
      <c r="O296" s="3" t="s">
        <v>508</v>
      </c>
      <c r="P296" s="3" t="s">
        <v>1820</v>
      </c>
      <c r="Q296" s="3" t="s">
        <v>994</v>
      </c>
      <c r="R296" s="5">
        <v>45225</v>
      </c>
      <c r="S296" s="6">
        <v>1580</v>
      </c>
      <c r="T296" s="7">
        <v>0</v>
      </c>
    </row>
    <row r="297" s="1" customFormat="1" spans="1:20">
      <c r="A297" s="3" t="s">
        <v>1952</v>
      </c>
      <c r="B297" s="3" t="s">
        <v>1099</v>
      </c>
      <c r="C297" s="3" t="s">
        <v>1768</v>
      </c>
      <c r="D297" s="3" t="s">
        <v>991</v>
      </c>
      <c r="E297" s="3" t="s">
        <v>992</v>
      </c>
      <c r="F297" s="3" t="s">
        <v>1082</v>
      </c>
      <c r="G297" s="3" t="s">
        <v>1921</v>
      </c>
      <c r="H297" s="3" t="s">
        <v>1770</v>
      </c>
      <c r="I297" s="3" t="s">
        <v>1775</v>
      </c>
      <c r="J297" s="3" t="s">
        <v>2085</v>
      </c>
      <c r="K297" s="3"/>
      <c r="L297" s="3"/>
      <c r="M297" s="3" t="s">
        <v>508</v>
      </c>
      <c r="N297" s="3" t="s">
        <v>1100</v>
      </c>
      <c r="O297" s="3" t="s">
        <v>508</v>
      </c>
      <c r="P297" s="3" t="s">
        <v>1820</v>
      </c>
      <c r="Q297" s="3" t="s">
        <v>994</v>
      </c>
      <c r="R297" s="5">
        <v>45225</v>
      </c>
      <c r="S297" s="6">
        <v>600</v>
      </c>
      <c r="T297" s="7">
        <v>0</v>
      </c>
    </row>
    <row r="298" s="1" customFormat="1" spans="1:20">
      <c r="A298" s="3" t="s">
        <v>1953</v>
      </c>
      <c r="B298" s="3" t="s">
        <v>1101</v>
      </c>
      <c r="C298" s="3" t="s">
        <v>1768</v>
      </c>
      <c r="D298" s="3" t="s">
        <v>991</v>
      </c>
      <c r="E298" s="3" t="s">
        <v>992</v>
      </c>
      <c r="F298" s="3" t="s">
        <v>1103</v>
      </c>
      <c r="G298" s="3" t="s">
        <v>1921</v>
      </c>
      <c r="H298" s="3" t="s">
        <v>1770</v>
      </c>
      <c r="I298" s="3" t="s">
        <v>1775</v>
      </c>
      <c r="J298" s="3" t="s">
        <v>2085</v>
      </c>
      <c r="K298" s="3"/>
      <c r="L298" s="3"/>
      <c r="M298" s="3" t="s">
        <v>508</v>
      </c>
      <c r="N298" s="3" t="s">
        <v>1102</v>
      </c>
      <c r="O298" s="3" t="s">
        <v>508</v>
      </c>
      <c r="P298" s="3" t="s">
        <v>1820</v>
      </c>
      <c r="Q298" s="3" t="s">
        <v>994</v>
      </c>
      <c r="R298" s="5">
        <v>45223</v>
      </c>
      <c r="S298" s="6">
        <v>1243</v>
      </c>
      <c r="T298" s="7">
        <v>0</v>
      </c>
    </row>
    <row r="299" s="1" customFormat="1" spans="1:20">
      <c r="A299" s="3" t="s">
        <v>1954</v>
      </c>
      <c r="B299" s="3" t="s">
        <v>1104</v>
      </c>
      <c r="C299" s="3" t="s">
        <v>1768</v>
      </c>
      <c r="D299" s="3" t="s">
        <v>991</v>
      </c>
      <c r="E299" s="3" t="s">
        <v>992</v>
      </c>
      <c r="F299" s="3" t="s">
        <v>1000</v>
      </c>
      <c r="G299" s="3" t="s">
        <v>1921</v>
      </c>
      <c r="H299" s="3" t="s">
        <v>1770</v>
      </c>
      <c r="I299" s="3" t="s">
        <v>1775</v>
      </c>
      <c r="J299" s="3" t="s">
        <v>2085</v>
      </c>
      <c r="K299" s="3"/>
      <c r="L299" s="3"/>
      <c r="M299" s="3" t="s">
        <v>508</v>
      </c>
      <c r="N299" s="3" t="s">
        <v>1105</v>
      </c>
      <c r="O299" s="3" t="s">
        <v>508</v>
      </c>
      <c r="P299" s="3" t="s">
        <v>1820</v>
      </c>
      <c r="Q299" s="3" t="s">
        <v>994</v>
      </c>
      <c r="R299" s="5">
        <v>45223</v>
      </c>
      <c r="S299" s="6">
        <v>600</v>
      </c>
      <c r="T299" s="7">
        <v>0</v>
      </c>
    </row>
    <row r="300" s="1" customFormat="1" spans="1:20">
      <c r="A300" s="3" t="s">
        <v>1955</v>
      </c>
      <c r="B300" s="3" t="s">
        <v>1106</v>
      </c>
      <c r="C300" s="3" t="s">
        <v>1768</v>
      </c>
      <c r="D300" s="3" t="s">
        <v>991</v>
      </c>
      <c r="E300" s="3" t="s">
        <v>992</v>
      </c>
      <c r="F300" s="3" t="s">
        <v>1013</v>
      </c>
      <c r="G300" s="3" t="s">
        <v>1921</v>
      </c>
      <c r="H300" s="3" t="s">
        <v>1770</v>
      </c>
      <c r="I300" s="3" t="s">
        <v>1775</v>
      </c>
      <c r="J300" s="3" t="s">
        <v>2085</v>
      </c>
      <c r="K300" s="3"/>
      <c r="L300" s="3"/>
      <c r="M300" s="3" t="s">
        <v>508</v>
      </c>
      <c r="N300" s="3" t="s">
        <v>1107</v>
      </c>
      <c r="O300" s="3" t="s">
        <v>508</v>
      </c>
      <c r="P300" s="3" t="s">
        <v>1820</v>
      </c>
      <c r="Q300" s="3" t="s">
        <v>994</v>
      </c>
      <c r="R300" s="5">
        <v>45233</v>
      </c>
      <c r="S300" s="6">
        <v>1580</v>
      </c>
      <c r="T300" s="7">
        <v>0</v>
      </c>
    </row>
    <row r="301" s="1" customFormat="1" spans="1:20">
      <c r="A301" s="3" t="s">
        <v>1956</v>
      </c>
      <c r="B301" s="3" t="s">
        <v>1108</v>
      </c>
      <c r="C301" s="3" t="s">
        <v>1768</v>
      </c>
      <c r="D301" s="3" t="s">
        <v>991</v>
      </c>
      <c r="E301" s="3" t="s">
        <v>992</v>
      </c>
      <c r="F301" s="3" t="s">
        <v>1013</v>
      </c>
      <c r="G301" s="3" t="s">
        <v>1921</v>
      </c>
      <c r="H301" s="3" t="s">
        <v>1770</v>
      </c>
      <c r="I301" s="3" t="s">
        <v>1775</v>
      </c>
      <c r="J301" s="3" t="s">
        <v>2085</v>
      </c>
      <c r="K301" s="3"/>
      <c r="L301" s="3"/>
      <c r="M301" s="3" t="s">
        <v>508</v>
      </c>
      <c r="N301" s="3" t="s">
        <v>1109</v>
      </c>
      <c r="O301" s="3" t="s">
        <v>508</v>
      </c>
      <c r="P301" s="3" t="s">
        <v>1820</v>
      </c>
      <c r="Q301" s="3" t="s">
        <v>994</v>
      </c>
      <c r="R301" s="5">
        <v>45233</v>
      </c>
      <c r="S301" s="6">
        <v>1780</v>
      </c>
      <c r="T301" s="7">
        <v>0</v>
      </c>
    </row>
    <row r="302" s="1" customFormat="1" spans="1:20">
      <c r="A302" s="3" t="s">
        <v>1783</v>
      </c>
      <c r="B302" s="3" t="s">
        <v>1110</v>
      </c>
      <c r="C302" s="3" t="s">
        <v>1768</v>
      </c>
      <c r="D302" s="3" t="s">
        <v>991</v>
      </c>
      <c r="E302" s="3" t="s">
        <v>992</v>
      </c>
      <c r="F302" s="3" t="s">
        <v>1016</v>
      </c>
      <c r="G302" s="3" t="s">
        <v>1921</v>
      </c>
      <c r="H302" s="3" t="s">
        <v>1770</v>
      </c>
      <c r="I302" s="3" t="s">
        <v>1775</v>
      </c>
      <c r="J302" s="3" t="s">
        <v>2085</v>
      </c>
      <c r="K302" s="3"/>
      <c r="L302" s="3"/>
      <c r="M302" s="3" t="s">
        <v>508</v>
      </c>
      <c r="N302" s="3" t="s">
        <v>1111</v>
      </c>
      <c r="O302" s="3" t="s">
        <v>508</v>
      </c>
      <c r="P302" s="3" t="s">
        <v>1820</v>
      </c>
      <c r="Q302" s="3" t="s">
        <v>994</v>
      </c>
      <c r="R302" s="5">
        <v>45233</v>
      </c>
      <c r="S302" s="6">
        <v>997</v>
      </c>
      <c r="T302" s="7">
        <v>0</v>
      </c>
    </row>
    <row r="303" s="1" customFormat="1" spans="1:20">
      <c r="A303" s="3" t="s">
        <v>1957</v>
      </c>
      <c r="B303" s="3" t="s">
        <v>1112</v>
      </c>
      <c r="C303" s="3" t="s">
        <v>1768</v>
      </c>
      <c r="D303" s="3" t="s">
        <v>991</v>
      </c>
      <c r="E303" s="3" t="s">
        <v>992</v>
      </c>
      <c r="F303" s="3" t="s">
        <v>1114</v>
      </c>
      <c r="G303" s="3" t="s">
        <v>1921</v>
      </c>
      <c r="H303" s="3" t="s">
        <v>1770</v>
      </c>
      <c r="I303" s="3" t="s">
        <v>1775</v>
      </c>
      <c r="J303" s="3" t="s">
        <v>2085</v>
      </c>
      <c r="K303" s="3"/>
      <c r="L303" s="3"/>
      <c r="M303" s="3" t="s">
        <v>508</v>
      </c>
      <c r="N303" s="3" t="s">
        <v>1113</v>
      </c>
      <c r="O303" s="3" t="s">
        <v>508</v>
      </c>
      <c r="P303" s="3" t="s">
        <v>1820</v>
      </c>
      <c r="Q303" s="3" t="s">
        <v>994</v>
      </c>
      <c r="R303" s="5">
        <v>45233</v>
      </c>
      <c r="S303" s="6">
        <v>1176</v>
      </c>
      <c r="T303" s="7">
        <v>0</v>
      </c>
    </row>
    <row r="304" s="1" customFormat="1" spans="1:20">
      <c r="A304" s="3" t="s">
        <v>1958</v>
      </c>
      <c r="B304" s="3" t="s">
        <v>1115</v>
      </c>
      <c r="C304" s="3" t="s">
        <v>1768</v>
      </c>
      <c r="D304" s="3" t="s">
        <v>991</v>
      </c>
      <c r="E304" s="3" t="s">
        <v>992</v>
      </c>
      <c r="F304" s="3" t="s">
        <v>1013</v>
      </c>
      <c r="G304" s="3" t="s">
        <v>1921</v>
      </c>
      <c r="H304" s="3" t="s">
        <v>1770</v>
      </c>
      <c r="I304" s="3" t="s">
        <v>1775</v>
      </c>
      <c r="J304" s="3" t="s">
        <v>2085</v>
      </c>
      <c r="K304" s="3"/>
      <c r="L304" s="3"/>
      <c r="M304" s="3" t="s">
        <v>508</v>
      </c>
      <c r="N304" s="3" t="s">
        <v>1116</v>
      </c>
      <c r="O304" s="3" t="s">
        <v>508</v>
      </c>
      <c r="P304" s="3" t="s">
        <v>1820</v>
      </c>
      <c r="Q304" s="3" t="s">
        <v>994</v>
      </c>
      <c r="R304" s="5">
        <v>45233</v>
      </c>
      <c r="S304" s="6">
        <v>1000</v>
      </c>
      <c r="T304" s="7">
        <v>0</v>
      </c>
    </row>
    <row r="305" s="1" customFormat="1" spans="1:20">
      <c r="A305" s="3" t="s">
        <v>1959</v>
      </c>
      <c r="B305" s="3" t="s">
        <v>1117</v>
      </c>
      <c r="C305" s="3" t="s">
        <v>1768</v>
      </c>
      <c r="D305" s="3" t="s">
        <v>991</v>
      </c>
      <c r="E305" s="3" t="s">
        <v>992</v>
      </c>
      <c r="F305" s="3" t="s">
        <v>1119</v>
      </c>
      <c r="G305" s="3" t="s">
        <v>1921</v>
      </c>
      <c r="H305" s="3" t="s">
        <v>1770</v>
      </c>
      <c r="I305" s="3" t="s">
        <v>1775</v>
      </c>
      <c r="J305" s="3" t="s">
        <v>2085</v>
      </c>
      <c r="K305" s="3"/>
      <c r="L305" s="3"/>
      <c r="M305" s="3" t="s">
        <v>508</v>
      </c>
      <c r="N305" s="3" t="s">
        <v>1118</v>
      </c>
      <c r="O305" s="3" t="s">
        <v>508</v>
      </c>
      <c r="P305" s="3" t="s">
        <v>1820</v>
      </c>
      <c r="Q305" s="3" t="s">
        <v>994</v>
      </c>
      <c r="R305" s="5">
        <v>45233</v>
      </c>
      <c r="S305" s="6">
        <v>1484</v>
      </c>
      <c r="T305" s="7">
        <v>0</v>
      </c>
    </row>
    <row r="306" s="1" customFormat="1" spans="1:20">
      <c r="A306" s="3" t="s">
        <v>1960</v>
      </c>
      <c r="B306" s="3" t="s">
        <v>1121</v>
      </c>
      <c r="C306" s="3" t="s">
        <v>1768</v>
      </c>
      <c r="D306" s="3" t="s">
        <v>991</v>
      </c>
      <c r="E306" s="3" t="s">
        <v>992</v>
      </c>
      <c r="F306" s="3" t="s">
        <v>1037</v>
      </c>
      <c r="G306" s="3" t="s">
        <v>1921</v>
      </c>
      <c r="H306" s="3" t="s">
        <v>1770</v>
      </c>
      <c r="I306" s="3" t="s">
        <v>1775</v>
      </c>
      <c r="J306" s="3" t="s">
        <v>2085</v>
      </c>
      <c r="K306" s="3"/>
      <c r="L306" s="3"/>
      <c r="M306" s="3" t="s">
        <v>508</v>
      </c>
      <c r="N306" s="3" t="s">
        <v>1122</v>
      </c>
      <c r="O306" s="3" t="s">
        <v>508</v>
      </c>
      <c r="P306" s="3" t="s">
        <v>1820</v>
      </c>
      <c r="Q306" s="3" t="s">
        <v>994</v>
      </c>
      <c r="R306" s="5">
        <v>45233</v>
      </c>
      <c r="S306" s="6">
        <v>1350</v>
      </c>
      <c r="T306" s="7">
        <v>0</v>
      </c>
    </row>
    <row r="307" s="1" customFormat="1" spans="1:20">
      <c r="A307" s="3" t="s">
        <v>1961</v>
      </c>
      <c r="B307" s="3" t="s">
        <v>1123</v>
      </c>
      <c r="C307" s="3" t="s">
        <v>1768</v>
      </c>
      <c r="D307" s="3" t="s">
        <v>991</v>
      </c>
      <c r="E307" s="3" t="s">
        <v>992</v>
      </c>
      <c r="F307" s="3" t="s">
        <v>1013</v>
      </c>
      <c r="G307" s="3" t="s">
        <v>1921</v>
      </c>
      <c r="H307" s="3" t="s">
        <v>1770</v>
      </c>
      <c r="I307" s="3" t="s">
        <v>1775</v>
      </c>
      <c r="J307" s="3" t="s">
        <v>2085</v>
      </c>
      <c r="K307" s="3"/>
      <c r="L307" s="3"/>
      <c r="M307" s="3" t="s">
        <v>508</v>
      </c>
      <c r="N307" s="3" t="s">
        <v>1124</v>
      </c>
      <c r="O307" s="3" t="s">
        <v>508</v>
      </c>
      <c r="P307" s="3" t="s">
        <v>1820</v>
      </c>
      <c r="Q307" s="3" t="s">
        <v>994</v>
      </c>
      <c r="R307" s="5">
        <v>45233</v>
      </c>
      <c r="S307" s="6">
        <v>890</v>
      </c>
      <c r="T307" s="7">
        <v>0</v>
      </c>
    </row>
    <row r="308" s="1" customFormat="1" spans="1:20">
      <c r="A308" s="3" t="s">
        <v>1962</v>
      </c>
      <c r="B308" s="3" t="s">
        <v>1125</v>
      </c>
      <c r="C308" s="3" t="s">
        <v>1768</v>
      </c>
      <c r="D308" s="3" t="s">
        <v>991</v>
      </c>
      <c r="E308" s="3" t="s">
        <v>992</v>
      </c>
      <c r="F308" s="3" t="s">
        <v>1127</v>
      </c>
      <c r="G308" s="3" t="s">
        <v>1921</v>
      </c>
      <c r="H308" s="3" t="s">
        <v>1770</v>
      </c>
      <c r="I308" s="3" t="s">
        <v>1775</v>
      </c>
      <c r="J308" s="3" t="s">
        <v>2085</v>
      </c>
      <c r="K308" s="3"/>
      <c r="L308" s="3"/>
      <c r="M308" s="3" t="s">
        <v>508</v>
      </c>
      <c r="N308" s="3" t="s">
        <v>1126</v>
      </c>
      <c r="O308" s="3" t="s">
        <v>508</v>
      </c>
      <c r="P308" s="3" t="s">
        <v>1820</v>
      </c>
      <c r="Q308" s="3" t="s">
        <v>994</v>
      </c>
      <c r="R308" s="5">
        <v>45233</v>
      </c>
      <c r="S308" s="6">
        <v>1204</v>
      </c>
      <c r="T308" s="7">
        <v>0</v>
      </c>
    </row>
    <row r="309" s="1" customFormat="1" spans="1:20">
      <c r="A309" s="3" t="s">
        <v>1963</v>
      </c>
      <c r="B309" s="3" t="s">
        <v>1129</v>
      </c>
      <c r="C309" s="3" t="s">
        <v>1768</v>
      </c>
      <c r="D309" s="3" t="s">
        <v>991</v>
      </c>
      <c r="E309" s="3" t="s">
        <v>992</v>
      </c>
      <c r="F309" s="3" t="s">
        <v>1013</v>
      </c>
      <c r="G309" s="3" t="s">
        <v>1921</v>
      </c>
      <c r="H309" s="3" t="s">
        <v>1770</v>
      </c>
      <c r="I309" s="3" t="s">
        <v>1775</v>
      </c>
      <c r="J309" s="3" t="s">
        <v>2085</v>
      </c>
      <c r="K309" s="3"/>
      <c r="L309" s="3"/>
      <c r="M309" s="3" t="s">
        <v>508</v>
      </c>
      <c r="N309" s="3" t="s">
        <v>1130</v>
      </c>
      <c r="O309" s="3" t="s">
        <v>508</v>
      </c>
      <c r="P309" s="3" t="s">
        <v>1820</v>
      </c>
      <c r="Q309" s="3" t="s">
        <v>994</v>
      </c>
      <c r="R309" s="5">
        <v>45233</v>
      </c>
      <c r="S309" s="6">
        <v>1420</v>
      </c>
      <c r="T309" s="7">
        <v>0</v>
      </c>
    </row>
    <row r="310" s="1" customFormat="1" spans="1:20">
      <c r="A310" s="3" t="s">
        <v>1964</v>
      </c>
      <c r="B310" s="3" t="s">
        <v>1131</v>
      </c>
      <c r="C310" s="3" t="s">
        <v>1768</v>
      </c>
      <c r="D310" s="3" t="s">
        <v>991</v>
      </c>
      <c r="E310" s="3" t="s">
        <v>992</v>
      </c>
      <c r="F310" s="3" t="s">
        <v>1133</v>
      </c>
      <c r="G310" s="3" t="s">
        <v>1921</v>
      </c>
      <c r="H310" s="3" t="s">
        <v>1770</v>
      </c>
      <c r="I310" s="3" t="s">
        <v>1775</v>
      </c>
      <c r="J310" s="3" t="s">
        <v>2085</v>
      </c>
      <c r="K310" s="3"/>
      <c r="L310" s="3"/>
      <c r="M310" s="3" t="s">
        <v>508</v>
      </c>
      <c r="N310" s="3" t="s">
        <v>1132</v>
      </c>
      <c r="O310" s="3" t="s">
        <v>508</v>
      </c>
      <c r="P310" s="3" t="s">
        <v>1820</v>
      </c>
      <c r="Q310" s="3" t="s">
        <v>994</v>
      </c>
      <c r="R310" s="5">
        <v>45251</v>
      </c>
      <c r="S310" s="6">
        <v>700</v>
      </c>
      <c r="T310" s="7">
        <v>0</v>
      </c>
    </row>
    <row r="311" s="1" customFormat="1" spans="1:20">
      <c r="A311" s="3" t="s">
        <v>1965</v>
      </c>
      <c r="B311" s="3" t="s">
        <v>1134</v>
      </c>
      <c r="C311" s="3" t="s">
        <v>1768</v>
      </c>
      <c r="D311" s="3" t="s">
        <v>991</v>
      </c>
      <c r="E311" s="3" t="s">
        <v>992</v>
      </c>
      <c r="F311" s="3" t="s">
        <v>1133</v>
      </c>
      <c r="G311" s="3" t="s">
        <v>1921</v>
      </c>
      <c r="H311" s="3" t="s">
        <v>1770</v>
      </c>
      <c r="I311" s="3" t="s">
        <v>1775</v>
      </c>
      <c r="J311" s="3" t="s">
        <v>2085</v>
      </c>
      <c r="K311" s="3"/>
      <c r="L311" s="3"/>
      <c r="M311" s="3" t="s">
        <v>508</v>
      </c>
      <c r="N311" s="3" t="s">
        <v>1135</v>
      </c>
      <c r="O311" s="3" t="s">
        <v>508</v>
      </c>
      <c r="P311" s="3" t="s">
        <v>1820</v>
      </c>
      <c r="Q311" s="3" t="s">
        <v>994</v>
      </c>
      <c r="R311" s="5">
        <v>45250</v>
      </c>
      <c r="S311" s="6">
        <v>1000</v>
      </c>
      <c r="T311" s="7">
        <v>0</v>
      </c>
    </row>
    <row r="312" s="1" customFormat="1" spans="1:20">
      <c r="A312" s="3" t="s">
        <v>1966</v>
      </c>
      <c r="B312" s="3" t="s">
        <v>1136</v>
      </c>
      <c r="C312" s="3" t="s">
        <v>1768</v>
      </c>
      <c r="D312" s="3" t="s">
        <v>991</v>
      </c>
      <c r="E312" s="3" t="s">
        <v>992</v>
      </c>
      <c r="F312" s="3" t="s">
        <v>1030</v>
      </c>
      <c r="G312" s="3" t="s">
        <v>1921</v>
      </c>
      <c r="H312" s="3" t="s">
        <v>1770</v>
      </c>
      <c r="I312" s="3" t="s">
        <v>1775</v>
      </c>
      <c r="J312" s="3" t="s">
        <v>2085</v>
      </c>
      <c r="K312" s="3"/>
      <c r="L312" s="3"/>
      <c r="M312" s="3" t="s">
        <v>508</v>
      </c>
      <c r="N312" s="3" t="s">
        <v>1137</v>
      </c>
      <c r="O312" s="3" t="s">
        <v>508</v>
      </c>
      <c r="P312" s="3" t="s">
        <v>1820</v>
      </c>
      <c r="Q312" s="3" t="s">
        <v>994</v>
      </c>
      <c r="R312" s="5">
        <v>45244</v>
      </c>
      <c r="S312" s="6">
        <v>990</v>
      </c>
      <c r="T312" s="7">
        <v>0</v>
      </c>
    </row>
    <row r="313" s="1" customFormat="1" spans="1:20">
      <c r="A313" s="3" t="s">
        <v>1967</v>
      </c>
      <c r="B313" s="3" t="s">
        <v>1138</v>
      </c>
      <c r="C313" s="3" t="s">
        <v>1768</v>
      </c>
      <c r="D313" s="3" t="s">
        <v>991</v>
      </c>
      <c r="E313" s="3" t="s">
        <v>992</v>
      </c>
      <c r="F313" s="3" t="s">
        <v>1037</v>
      </c>
      <c r="G313" s="3" t="s">
        <v>1921</v>
      </c>
      <c r="H313" s="3" t="s">
        <v>1770</v>
      </c>
      <c r="I313" s="3" t="s">
        <v>1775</v>
      </c>
      <c r="J313" s="3" t="s">
        <v>2085</v>
      </c>
      <c r="K313" s="3"/>
      <c r="L313" s="3"/>
      <c r="M313" s="3" t="s">
        <v>508</v>
      </c>
      <c r="N313" s="3" t="s">
        <v>1139</v>
      </c>
      <c r="O313" s="3" t="s">
        <v>508</v>
      </c>
      <c r="P313" s="3" t="s">
        <v>1820</v>
      </c>
      <c r="Q313" s="3" t="s">
        <v>994</v>
      </c>
      <c r="R313" s="5">
        <v>45244</v>
      </c>
      <c r="S313" s="6">
        <v>1850</v>
      </c>
      <c r="T313" s="7">
        <v>0</v>
      </c>
    </row>
    <row r="314" s="1" customFormat="1" spans="1:20">
      <c r="A314" s="3" t="s">
        <v>1968</v>
      </c>
      <c r="B314" s="3" t="s">
        <v>1140</v>
      </c>
      <c r="C314" s="3" t="s">
        <v>1768</v>
      </c>
      <c r="D314" s="3" t="s">
        <v>991</v>
      </c>
      <c r="E314" s="3" t="s">
        <v>992</v>
      </c>
      <c r="F314" s="3" t="s">
        <v>1037</v>
      </c>
      <c r="G314" s="3" t="s">
        <v>1921</v>
      </c>
      <c r="H314" s="3" t="s">
        <v>1770</v>
      </c>
      <c r="I314" s="3" t="s">
        <v>1775</v>
      </c>
      <c r="J314" s="3" t="s">
        <v>2085</v>
      </c>
      <c r="K314" s="3"/>
      <c r="L314" s="3"/>
      <c r="M314" s="3" t="s">
        <v>508</v>
      </c>
      <c r="N314" s="3" t="s">
        <v>1141</v>
      </c>
      <c r="O314" s="3" t="s">
        <v>508</v>
      </c>
      <c r="P314" s="3" t="s">
        <v>1820</v>
      </c>
      <c r="Q314" s="3" t="s">
        <v>994</v>
      </c>
      <c r="R314" s="5">
        <v>45244</v>
      </c>
      <c r="S314" s="6">
        <v>1900</v>
      </c>
      <c r="T314" s="7">
        <v>0</v>
      </c>
    </row>
    <row r="315" s="1" customFormat="1" spans="1:20">
      <c r="A315" s="3" t="s">
        <v>1815</v>
      </c>
      <c r="B315" s="3" t="s">
        <v>1142</v>
      </c>
      <c r="C315" s="3" t="s">
        <v>1768</v>
      </c>
      <c r="D315" s="3" t="s">
        <v>991</v>
      </c>
      <c r="E315" s="3" t="s">
        <v>992</v>
      </c>
      <c r="F315" s="3" t="s">
        <v>1030</v>
      </c>
      <c r="G315" s="3" t="s">
        <v>1921</v>
      </c>
      <c r="H315" s="3" t="s">
        <v>1770</v>
      </c>
      <c r="I315" s="3" t="s">
        <v>1775</v>
      </c>
      <c r="J315" s="3" t="s">
        <v>2085</v>
      </c>
      <c r="K315" s="3"/>
      <c r="L315" s="3"/>
      <c r="M315" s="3" t="s">
        <v>508</v>
      </c>
      <c r="N315" s="3" t="s">
        <v>1143</v>
      </c>
      <c r="O315" s="3" t="s">
        <v>508</v>
      </c>
      <c r="P315" s="3" t="s">
        <v>1820</v>
      </c>
      <c r="Q315" s="3" t="s">
        <v>994</v>
      </c>
      <c r="R315" s="5">
        <v>45245</v>
      </c>
      <c r="S315" s="6">
        <v>1180</v>
      </c>
      <c r="T315" s="7">
        <v>0</v>
      </c>
    </row>
    <row r="316" s="1" customFormat="1" spans="1:20">
      <c r="A316" s="3" t="s">
        <v>1969</v>
      </c>
      <c r="B316" s="3" t="s">
        <v>1144</v>
      </c>
      <c r="C316" s="3" t="s">
        <v>1768</v>
      </c>
      <c r="D316" s="3" t="s">
        <v>991</v>
      </c>
      <c r="E316" s="3" t="s">
        <v>992</v>
      </c>
      <c r="F316" s="3" t="s">
        <v>1146</v>
      </c>
      <c r="G316" s="3" t="s">
        <v>1921</v>
      </c>
      <c r="H316" s="3" t="s">
        <v>1770</v>
      </c>
      <c r="I316" s="3" t="s">
        <v>1775</v>
      </c>
      <c r="J316" s="3" t="s">
        <v>2085</v>
      </c>
      <c r="K316" s="3"/>
      <c r="L316" s="3"/>
      <c r="M316" s="3" t="s">
        <v>508</v>
      </c>
      <c r="N316" s="3" t="s">
        <v>1145</v>
      </c>
      <c r="O316" s="3" t="s">
        <v>508</v>
      </c>
      <c r="P316" s="3" t="s">
        <v>1820</v>
      </c>
      <c r="Q316" s="3" t="s">
        <v>994</v>
      </c>
      <c r="R316" s="5">
        <v>45245</v>
      </c>
      <c r="S316" s="6">
        <v>1980</v>
      </c>
      <c r="T316" s="7">
        <v>0</v>
      </c>
    </row>
    <row r="317" s="1" customFormat="1" spans="1:20">
      <c r="A317" s="3" t="s">
        <v>1970</v>
      </c>
      <c r="B317" s="3" t="s">
        <v>1147</v>
      </c>
      <c r="C317" s="3" t="s">
        <v>1768</v>
      </c>
      <c r="D317" s="3" t="s">
        <v>991</v>
      </c>
      <c r="E317" s="3" t="s">
        <v>992</v>
      </c>
      <c r="F317" s="3" t="s">
        <v>1030</v>
      </c>
      <c r="G317" s="3" t="s">
        <v>1921</v>
      </c>
      <c r="H317" s="3" t="s">
        <v>1770</v>
      </c>
      <c r="I317" s="3" t="s">
        <v>1775</v>
      </c>
      <c r="J317" s="3" t="s">
        <v>2085</v>
      </c>
      <c r="K317" s="3"/>
      <c r="L317" s="3"/>
      <c r="M317" s="3" t="s">
        <v>508</v>
      </c>
      <c r="N317" s="3" t="s">
        <v>1148</v>
      </c>
      <c r="O317" s="3" t="s">
        <v>508</v>
      </c>
      <c r="P317" s="3" t="s">
        <v>1820</v>
      </c>
      <c r="Q317" s="3" t="s">
        <v>994</v>
      </c>
      <c r="R317" s="5">
        <v>45244</v>
      </c>
      <c r="S317" s="6">
        <v>1190</v>
      </c>
      <c r="T317" s="7">
        <v>0</v>
      </c>
    </row>
    <row r="318" s="1" customFormat="1" spans="1:20">
      <c r="A318" s="3" t="s">
        <v>1971</v>
      </c>
      <c r="B318" s="3" t="s">
        <v>1149</v>
      </c>
      <c r="C318" s="3" t="s">
        <v>1768</v>
      </c>
      <c r="D318" s="3" t="s">
        <v>991</v>
      </c>
      <c r="E318" s="3" t="s">
        <v>992</v>
      </c>
      <c r="F318" s="3" t="s">
        <v>1010</v>
      </c>
      <c r="G318" s="3" t="s">
        <v>1921</v>
      </c>
      <c r="H318" s="3" t="s">
        <v>1770</v>
      </c>
      <c r="I318" s="3" t="s">
        <v>1775</v>
      </c>
      <c r="J318" s="3" t="s">
        <v>2085</v>
      </c>
      <c r="K318" s="3"/>
      <c r="L318" s="3"/>
      <c r="M318" s="3" t="s">
        <v>508</v>
      </c>
      <c r="N318" s="3" t="s">
        <v>1150</v>
      </c>
      <c r="O318" s="3" t="s">
        <v>508</v>
      </c>
      <c r="P318" s="3" t="s">
        <v>1820</v>
      </c>
      <c r="Q318" s="3" t="s">
        <v>994</v>
      </c>
      <c r="R318" s="5">
        <v>45245</v>
      </c>
      <c r="S318" s="6">
        <v>1450</v>
      </c>
      <c r="T318" s="7">
        <v>0</v>
      </c>
    </row>
    <row r="319" s="1" customFormat="1" spans="1:20">
      <c r="A319" s="3" t="s">
        <v>1972</v>
      </c>
      <c r="B319" s="3" t="s">
        <v>1151</v>
      </c>
      <c r="C319" s="3" t="s">
        <v>1768</v>
      </c>
      <c r="D319" s="3" t="s">
        <v>991</v>
      </c>
      <c r="E319" s="3" t="s">
        <v>992</v>
      </c>
      <c r="F319" s="3" t="s">
        <v>1153</v>
      </c>
      <c r="G319" s="3" t="s">
        <v>1921</v>
      </c>
      <c r="H319" s="3" t="s">
        <v>1770</v>
      </c>
      <c r="I319" s="3" t="s">
        <v>1775</v>
      </c>
      <c r="J319" s="3" t="s">
        <v>2085</v>
      </c>
      <c r="K319" s="3"/>
      <c r="L319" s="3"/>
      <c r="M319" s="3" t="s">
        <v>508</v>
      </c>
      <c r="N319" s="3" t="s">
        <v>1152</v>
      </c>
      <c r="O319" s="3" t="s">
        <v>508</v>
      </c>
      <c r="P319" s="3" t="s">
        <v>1820</v>
      </c>
      <c r="Q319" s="3" t="s">
        <v>994</v>
      </c>
      <c r="R319" s="5">
        <v>45265</v>
      </c>
      <c r="S319" s="6">
        <v>1588</v>
      </c>
      <c r="T319" s="7">
        <v>0</v>
      </c>
    </row>
    <row r="320" s="1" customFormat="1" spans="1:20">
      <c r="A320" s="3" t="s">
        <v>1973</v>
      </c>
      <c r="B320" s="3" t="s">
        <v>1155</v>
      </c>
      <c r="C320" s="3" t="s">
        <v>1768</v>
      </c>
      <c r="D320" s="3" t="s">
        <v>991</v>
      </c>
      <c r="E320" s="3" t="s">
        <v>992</v>
      </c>
      <c r="F320" s="3" t="s">
        <v>1133</v>
      </c>
      <c r="G320" s="3" t="s">
        <v>1921</v>
      </c>
      <c r="H320" s="3" t="s">
        <v>1770</v>
      </c>
      <c r="I320" s="3" t="s">
        <v>1775</v>
      </c>
      <c r="J320" s="3" t="s">
        <v>2085</v>
      </c>
      <c r="K320" s="3"/>
      <c r="L320" s="3"/>
      <c r="M320" s="3" t="s">
        <v>508</v>
      </c>
      <c r="N320" s="3" t="s">
        <v>1156</v>
      </c>
      <c r="O320" s="3" t="s">
        <v>508</v>
      </c>
      <c r="P320" s="3" t="s">
        <v>1820</v>
      </c>
      <c r="Q320" s="3" t="s">
        <v>994</v>
      </c>
      <c r="R320" s="5">
        <v>45265</v>
      </c>
      <c r="S320" s="6">
        <v>1288</v>
      </c>
      <c r="T320" s="7">
        <v>0</v>
      </c>
    </row>
    <row r="321" s="1" customFormat="1" spans="1:20">
      <c r="A321" s="3" t="s">
        <v>1974</v>
      </c>
      <c r="B321" s="3" t="s">
        <v>1157</v>
      </c>
      <c r="C321" s="3" t="s">
        <v>1768</v>
      </c>
      <c r="D321" s="3" t="s">
        <v>991</v>
      </c>
      <c r="E321" s="3" t="s">
        <v>992</v>
      </c>
      <c r="F321" s="3" t="s">
        <v>1016</v>
      </c>
      <c r="G321" s="3" t="s">
        <v>1921</v>
      </c>
      <c r="H321" s="3" t="s">
        <v>1770</v>
      </c>
      <c r="I321" s="3" t="s">
        <v>1775</v>
      </c>
      <c r="J321" s="3" t="s">
        <v>2085</v>
      </c>
      <c r="K321" s="3"/>
      <c r="L321" s="3"/>
      <c r="M321" s="3" t="s">
        <v>508</v>
      </c>
      <c r="N321" s="3" t="s">
        <v>1158</v>
      </c>
      <c r="O321" s="3" t="s">
        <v>508</v>
      </c>
      <c r="P321" s="3" t="s">
        <v>1820</v>
      </c>
      <c r="Q321" s="3" t="s">
        <v>994</v>
      </c>
      <c r="R321" s="5">
        <v>45273</v>
      </c>
      <c r="S321" s="6">
        <v>1284</v>
      </c>
      <c r="T321" s="7">
        <v>0</v>
      </c>
    </row>
    <row r="322" s="1" customFormat="1" spans="1:20">
      <c r="A322" s="3" t="s">
        <v>1975</v>
      </c>
      <c r="B322" s="3" t="s">
        <v>1159</v>
      </c>
      <c r="C322" s="3" t="s">
        <v>1768</v>
      </c>
      <c r="D322" s="3" t="s">
        <v>991</v>
      </c>
      <c r="E322" s="3" t="s">
        <v>992</v>
      </c>
      <c r="F322" s="3" t="s">
        <v>1023</v>
      </c>
      <c r="G322" s="3" t="s">
        <v>1921</v>
      </c>
      <c r="H322" s="3" t="s">
        <v>1770</v>
      </c>
      <c r="I322" s="3" t="s">
        <v>1775</v>
      </c>
      <c r="J322" s="3" t="s">
        <v>2085</v>
      </c>
      <c r="K322" s="3"/>
      <c r="L322" s="3"/>
      <c r="M322" s="3" t="s">
        <v>508</v>
      </c>
      <c r="N322" s="3" t="s">
        <v>1160</v>
      </c>
      <c r="O322" s="3" t="s">
        <v>508</v>
      </c>
      <c r="P322" s="3" t="s">
        <v>1820</v>
      </c>
      <c r="Q322" s="3" t="s">
        <v>994</v>
      </c>
      <c r="R322" s="5">
        <v>45275</v>
      </c>
      <c r="S322" s="6">
        <v>1194</v>
      </c>
      <c r="T322" s="7">
        <v>0</v>
      </c>
    </row>
    <row r="323" s="1" customFormat="1" spans="1:20">
      <c r="A323" s="3" t="s">
        <v>1976</v>
      </c>
      <c r="B323" s="3" t="s">
        <v>1161</v>
      </c>
      <c r="C323" s="3" t="s">
        <v>1768</v>
      </c>
      <c r="D323" s="3" t="s">
        <v>991</v>
      </c>
      <c r="E323" s="3" t="s">
        <v>992</v>
      </c>
      <c r="F323" s="3" t="s">
        <v>1082</v>
      </c>
      <c r="G323" s="3" t="s">
        <v>1921</v>
      </c>
      <c r="H323" s="3" t="s">
        <v>1770</v>
      </c>
      <c r="I323" s="3" t="s">
        <v>1775</v>
      </c>
      <c r="J323" s="3" t="s">
        <v>2085</v>
      </c>
      <c r="K323" s="3"/>
      <c r="L323" s="3"/>
      <c r="M323" s="3" t="s">
        <v>508</v>
      </c>
      <c r="N323" s="3" t="s">
        <v>1162</v>
      </c>
      <c r="O323" s="3" t="s">
        <v>508</v>
      </c>
      <c r="P323" s="3" t="s">
        <v>1820</v>
      </c>
      <c r="Q323" s="3" t="s">
        <v>994</v>
      </c>
      <c r="R323" s="5">
        <v>45264</v>
      </c>
      <c r="S323" s="6">
        <v>820</v>
      </c>
      <c r="T323" s="7">
        <v>0</v>
      </c>
    </row>
    <row r="324" s="1" customFormat="1" spans="1:20">
      <c r="A324" s="3" t="s">
        <v>1977</v>
      </c>
      <c r="B324" s="3" t="s">
        <v>1163</v>
      </c>
      <c r="C324" s="3" t="s">
        <v>1768</v>
      </c>
      <c r="D324" s="3" t="s">
        <v>991</v>
      </c>
      <c r="E324" s="3" t="s">
        <v>992</v>
      </c>
      <c r="F324" s="3" t="s">
        <v>1000</v>
      </c>
      <c r="G324" s="3" t="s">
        <v>1921</v>
      </c>
      <c r="H324" s="3" t="s">
        <v>1770</v>
      </c>
      <c r="I324" s="3" t="s">
        <v>1775</v>
      </c>
      <c r="J324" s="3" t="s">
        <v>2085</v>
      </c>
      <c r="K324" s="3"/>
      <c r="L324" s="3"/>
      <c r="M324" s="3" t="s">
        <v>508</v>
      </c>
      <c r="N324" s="3" t="s">
        <v>1164</v>
      </c>
      <c r="O324" s="3" t="s">
        <v>508</v>
      </c>
      <c r="P324" s="3" t="s">
        <v>1820</v>
      </c>
      <c r="Q324" s="3" t="s">
        <v>994</v>
      </c>
      <c r="R324" s="5">
        <v>45279</v>
      </c>
      <c r="S324" s="6">
        <v>1300</v>
      </c>
      <c r="T324" s="7">
        <v>0</v>
      </c>
    </row>
    <row r="325" s="1" customFormat="1" spans="1:20">
      <c r="A325" s="3" t="s">
        <v>1978</v>
      </c>
      <c r="B325" s="3" t="s">
        <v>1165</v>
      </c>
      <c r="C325" s="3" t="s">
        <v>1768</v>
      </c>
      <c r="D325" s="3" t="s">
        <v>991</v>
      </c>
      <c r="E325" s="3" t="s">
        <v>992</v>
      </c>
      <c r="F325" s="3" t="s">
        <v>1000</v>
      </c>
      <c r="G325" s="3" t="s">
        <v>1921</v>
      </c>
      <c r="H325" s="3" t="s">
        <v>1770</v>
      </c>
      <c r="I325" s="3" t="s">
        <v>1775</v>
      </c>
      <c r="J325" s="3" t="s">
        <v>2085</v>
      </c>
      <c r="K325" s="3"/>
      <c r="L325" s="3"/>
      <c r="M325" s="3" t="s">
        <v>508</v>
      </c>
      <c r="N325" s="3" t="s">
        <v>1166</v>
      </c>
      <c r="O325" s="3" t="s">
        <v>508</v>
      </c>
      <c r="P325" s="3" t="s">
        <v>1820</v>
      </c>
      <c r="Q325" s="3" t="s">
        <v>994</v>
      </c>
      <c r="R325" s="5">
        <v>45279</v>
      </c>
      <c r="S325" s="6">
        <v>1208</v>
      </c>
      <c r="T325" s="7">
        <v>0</v>
      </c>
    </row>
    <row r="326" s="1" customFormat="1" spans="1:20">
      <c r="A326" s="3" t="s">
        <v>1979</v>
      </c>
      <c r="B326" s="3" t="s">
        <v>1167</v>
      </c>
      <c r="C326" s="3" t="s">
        <v>1768</v>
      </c>
      <c r="D326" s="3" t="s">
        <v>991</v>
      </c>
      <c r="E326" s="3" t="s">
        <v>992</v>
      </c>
      <c r="F326" s="3" t="s">
        <v>1133</v>
      </c>
      <c r="G326" s="3" t="s">
        <v>1921</v>
      </c>
      <c r="H326" s="3" t="s">
        <v>1770</v>
      </c>
      <c r="I326" s="3" t="s">
        <v>1775</v>
      </c>
      <c r="J326" s="3" t="s">
        <v>2085</v>
      </c>
      <c r="K326" s="3"/>
      <c r="L326" s="3"/>
      <c r="M326" s="3" t="s">
        <v>508</v>
      </c>
      <c r="N326" s="3" t="s">
        <v>1168</v>
      </c>
      <c r="O326" s="3" t="s">
        <v>508</v>
      </c>
      <c r="P326" s="3" t="s">
        <v>1820</v>
      </c>
      <c r="Q326" s="3" t="s">
        <v>994</v>
      </c>
      <c r="R326" s="5">
        <v>45280</v>
      </c>
      <c r="S326" s="6">
        <v>915</v>
      </c>
      <c r="T326" s="7">
        <v>0</v>
      </c>
    </row>
    <row r="327" s="1" customFormat="1" spans="1:20">
      <c r="A327" s="3" t="s">
        <v>1980</v>
      </c>
      <c r="B327" s="3" t="s">
        <v>1169</v>
      </c>
      <c r="C327" s="3" t="s">
        <v>1768</v>
      </c>
      <c r="D327" s="3" t="s">
        <v>991</v>
      </c>
      <c r="E327" s="3" t="s">
        <v>992</v>
      </c>
      <c r="F327" s="3" t="s">
        <v>1133</v>
      </c>
      <c r="G327" s="3" t="s">
        <v>1921</v>
      </c>
      <c r="H327" s="3" t="s">
        <v>1770</v>
      </c>
      <c r="I327" s="3" t="s">
        <v>1775</v>
      </c>
      <c r="J327" s="3" t="s">
        <v>2085</v>
      </c>
      <c r="K327" s="3"/>
      <c r="L327" s="3"/>
      <c r="M327" s="3" t="s">
        <v>508</v>
      </c>
      <c r="N327" s="3" t="s">
        <v>1170</v>
      </c>
      <c r="O327" s="3" t="s">
        <v>508</v>
      </c>
      <c r="P327" s="3" t="s">
        <v>1820</v>
      </c>
      <c r="Q327" s="3" t="s">
        <v>994</v>
      </c>
      <c r="R327" s="5">
        <v>45264</v>
      </c>
      <c r="S327" s="6">
        <v>600</v>
      </c>
      <c r="T327" s="7">
        <v>0</v>
      </c>
    </row>
    <row r="328" s="1" customFormat="1" spans="1:20">
      <c r="A328" s="3" t="s">
        <v>1981</v>
      </c>
      <c r="B328" s="3" t="s">
        <v>1171</v>
      </c>
      <c r="C328" s="3" t="s">
        <v>1768</v>
      </c>
      <c r="D328" s="3" t="s">
        <v>991</v>
      </c>
      <c r="E328" s="3" t="s">
        <v>992</v>
      </c>
      <c r="F328" s="3" t="s">
        <v>1010</v>
      </c>
      <c r="G328" s="3" t="s">
        <v>1921</v>
      </c>
      <c r="H328" s="3" t="s">
        <v>1770</v>
      </c>
      <c r="I328" s="3" t="s">
        <v>1775</v>
      </c>
      <c r="J328" s="3" t="s">
        <v>2085</v>
      </c>
      <c r="K328" s="3"/>
      <c r="L328" s="3"/>
      <c r="M328" s="3" t="s">
        <v>508</v>
      </c>
      <c r="N328" s="3" t="s">
        <v>1172</v>
      </c>
      <c r="O328" s="3" t="s">
        <v>508</v>
      </c>
      <c r="P328" s="3" t="s">
        <v>1820</v>
      </c>
      <c r="Q328" s="3" t="s">
        <v>994</v>
      </c>
      <c r="R328" s="5">
        <v>45270</v>
      </c>
      <c r="S328" s="6">
        <v>1870</v>
      </c>
      <c r="T328" s="7">
        <v>0</v>
      </c>
    </row>
    <row r="329" s="1" customFormat="1" spans="1:20">
      <c r="A329" s="3" t="s">
        <v>1982</v>
      </c>
      <c r="B329" s="3" t="s">
        <v>1173</v>
      </c>
      <c r="C329" s="3" t="s">
        <v>1768</v>
      </c>
      <c r="D329" s="3" t="s">
        <v>991</v>
      </c>
      <c r="E329" s="3" t="s">
        <v>992</v>
      </c>
      <c r="F329" s="3" t="s">
        <v>1000</v>
      </c>
      <c r="G329" s="3" t="s">
        <v>1921</v>
      </c>
      <c r="H329" s="3" t="s">
        <v>1770</v>
      </c>
      <c r="I329" s="3" t="s">
        <v>1775</v>
      </c>
      <c r="J329" s="3" t="s">
        <v>2085</v>
      </c>
      <c r="K329" s="3"/>
      <c r="L329" s="3"/>
      <c r="M329" s="3" t="s">
        <v>508</v>
      </c>
      <c r="N329" s="3" t="s">
        <v>1174</v>
      </c>
      <c r="O329" s="3" t="s">
        <v>508</v>
      </c>
      <c r="P329" s="3" t="s">
        <v>1820</v>
      </c>
      <c r="Q329" s="3" t="s">
        <v>994</v>
      </c>
      <c r="R329" s="5">
        <v>45270</v>
      </c>
      <c r="S329" s="6">
        <v>1320</v>
      </c>
      <c r="T329" s="7">
        <v>0</v>
      </c>
    </row>
    <row r="330" s="1" customFormat="1" spans="1:20">
      <c r="A330" s="3" t="s">
        <v>1983</v>
      </c>
      <c r="B330" s="3" t="s">
        <v>1175</v>
      </c>
      <c r="C330" s="3" t="s">
        <v>1768</v>
      </c>
      <c r="D330" s="3" t="s">
        <v>991</v>
      </c>
      <c r="E330" s="3" t="s">
        <v>992</v>
      </c>
      <c r="F330" s="3" t="s">
        <v>1177</v>
      </c>
      <c r="G330" s="3" t="s">
        <v>1921</v>
      </c>
      <c r="H330" s="3" t="s">
        <v>1770</v>
      </c>
      <c r="I330" s="3" t="s">
        <v>1775</v>
      </c>
      <c r="J330" s="3" t="s">
        <v>2085</v>
      </c>
      <c r="K330" s="3"/>
      <c r="L330" s="3"/>
      <c r="M330" s="3" t="s">
        <v>508</v>
      </c>
      <c r="N330" s="3" t="s">
        <v>1176</v>
      </c>
      <c r="O330" s="3" t="s">
        <v>508</v>
      </c>
      <c r="P330" s="3" t="s">
        <v>1820</v>
      </c>
      <c r="Q330" s="3" t="s">
        <v>994</v>
      </c>
      <c r="R330" s="5">
        <v>45268</v>
      </c>
      <c r="S330" s="6">
        <v>1850</v>
      </c>
      <c r="T330" s="7">
        <v>0</v>
      </c>
    </row>
    <row r="331" s="1" customFormat="1" spans="1:20">
      <c r="A331" s="3" t="s">
        <v>1984</v>
      </c>
      <c r="B331" s="3" t="s">
        <v>1179</v>
      </c>
      <c r="C331" s="3" t="s">
        <v>1768</v>
      </c>
      <c r="D331" s="3" t="s">
        <v>991</v>
      </c>
      <c r="E331" s="3" t="s">
        <v>992</v>
      </c>
      <c r="F331" s="3" t="s">
        <v>1013</v>
      </c>
      <c r="G331" s="3" t="s">
        <v>1921</v>
      </c>
      <c r="H331" s="3" t="s">
        <v>1770</v>
      </c>
      <c r="I331" s="3" t="s">
        <v>1775</v>
      </c>
      <c r="J331" s="3" t="s">
        <v>2085</v>
      </c>
      <c r="K331" s="3"/>
      <c r="L331" s="3"/>
      <c r="M331" s="3" t="s">
        <v>508</v>
      </c>
      <c r="N331" s="3" t="s">
        <v>1180</v>
      </c>
      <c r="O331" s="3" t="s">
        <v>508</v>
      </c>
      <c r="P331" s="3" t="s">
        <v>1820</v>
      </c>
      <c r="Q331" s="3" t="s">
        <v>994</v>
      </c>
      <c r="R331" s="5">
        <v>45268</v>
      </c>
      <c r="S331" s="6">
        <v>1480</v>
      </c>
      <c r="T331" s="7">
        <v>0</v>
      </c>
    </row>
    <row r="332" s="1" customFormat="1" spans="1:20">
      <c r="A332" s="3" t="s">
        <v>1907</v>
      </c>
      <c r="B332" s="3" t="s">
        <v>1181</v>
      </c>
      <c r="C332" s="3" t="s">
        <v>1768</v>
      </c>
      <c r="D332" s="3" t="s">
        <v>991</v>
      </c>
      <c r="E332" s="3" t="s">
        <v>992</v>
      </c>
      <c r="F332" s="3" t="s">
        <v>1133</v>
      </c>
      <c r="G332" s="3" t="s">
        <v>1921</v>
      </c>
      <c r="H332" s="3" t="s">
        <v>1770</v>
      </c>
      <c r="I332" s="3" t="s">
        <v>1775</v>
      </c>
      <c r="J332" s="3" t="s">
        <v>2085</v>
      </c>
      <c r="K332" s="3"/>
      <c r="L332" s="3"/>
      <c r="M332" s="3" t="s">
        <v>508</v>
      </c>
      <c r="N332" s="3" t="s">
        <v>1182</v>
      </c>
      <c r="O332" s="3" t="s">
        <v>508</v>
      </c>
      <c r="P332" s="3" t="s">
        <v>1820</v>
      </c>
      <c r="Q332" s="3" t="s">
        <v>994</v>
      </c>
      <c r="R332" s="5">
        <v>45268</v>
      </c>
      <c r="S332" s="6">
        <v>700</v>
      </c>
      <c r="T332" s="7">
        <v>0</v>
      </c>
    </row>
    <row r="333" s="1" customFormat="1" spans="1:20">
      <c r="A333" s="3" t="s">
        <v>1985</v>
      </c>
      <c r="B333" s="3" t="s">
        <v>1183</v>
      </c>
      <c r="C333" s="3" t="s">
        <v>1768</v>
      </c>
      <c r="D333" s="3" t="s">
        <v>991</v>
      </c>
      <c r="E333" s="3" t="s">
        <v>992</v>
      </c>
      <c r="F333" s="3" t="s">
        <v>1023</v>
      </c>
      <c r="G333" s="3" t="s">
        <v>1921</v>
      </c>
      <c r="H333" s="3" t="s">
        <v>1770</v>
      </c>
      <c r="I333" s="3" t="s">
        <v>1775</v>
      </c>
      <c r="J333" s="3" t="s">
        <v>2085</v>
      </c>
      <c r="K333" s="3"/>
      <c r="L333" s="3"/>
      <c r="M333" s="3" t="s">
        <v>508</v>
      </c>
      <c r="N333" s="3" t="s">
        <v>1184</v>
      </c>
      <c r="O333" s="3" t="s">
        <v>508</v>
      </c>
      <c r="P333" s="3" t="s">
        <v>1820</v>
      </c>
      <c r="Q333" s="3" t="s">
        <v>994</v>
      </c>
      <c r="R333" s="5">
        <v>45268</v>
      </c>
      <c r="S333" s="6">
        <v>986</v>
      </c>
      <c r="T333" s="7">
        <v>0</v>
      </c>
    </row>
    <row r="334" s="1" customFormat="1" spans="1:20">
      <c r="A334" s="3" t="s">
        <v>1909</v>
      </c>
      <c r="B334" s="3" t="s">
        <v>1185</v>
      </c>
      <c r="C334" s="3" t="s">
        <v>1768</v>
      </c>
      <c r="D334" s="3" t="s">
        <v>991</v>
      </c>
      <c r="E334" s="3" t="s">
        <v>992</v>
      </c>
      <c r="F334" s="3" t="s">
        <v>1000</v>
      </c>
      <c r="G334" s="3" t="s">
        <v>1921</v>
      </c>
      <c r="H334" s="3" t="s">
        <v>1770</v>
      </c>
      <c r="I334" s="3" t="s">
        <v>1775</v>
      </c>
      <c r="J334" s="3" t="s">
        <v>2085</v>
      </c>
      <c r="K334" s="3"/>
      <c r="L334" s="3"/>
      <c r="M334" s="3" t="s">
        <v>508</v>
      </c>
      <c r="N334" s="3" t="s">
        <v>1186</v>
      </c>
      <c r="O334" s="3" t="s">
        <v>508</v>
      </c>
      <c r="P334" s="3" t="s">
        <v>1820</v>
      </c>
      <c r="Q334" s="3" t="s">
        <v>994</v>
      </c>
      <c r="R334" s="5">
        <v>45268</v>
      </c>
      <c r="S334" s="6">
        <v>937</v>
      </c>
      <c r="T334" s="7">
        <v>0</v>
      </c>
    </row>
    <row r="335" s="1" customFormat="1" spans="1:20">
      <c r="A335" s="3" t="s">
        <v>1986</v>
      </c>
      <c r="B335" s="3" t="s">
        <v>1187</v>
      </c>
      <c r="C335" s="3" t="s">
        <v>1768</v>
      </c>
      <c r="D335" s="3" t="s">
        <v>991</v>
      </c>
      <c r="E335" s="3" t="s">
        <v>992</v>
      </c>
      <c r="F335" s="3" t="s">
        <v>1037</v>
      </c>
      <c r="G335" s="3" t="s">
        <v>1921</v>
      </c>
      <c r="H335" s="3" t="s">
        <v>1770</v>
      </c>
      <c r="I335" s="3" t="s">
        <v>1775</v>
      </c>
      <c r="J335" s="3" t="s">
        <v>2085</v>
      </c>
      <c r="K335" s="3"/>
      <c r="L335" s="3"/>
      <c r="M335" s="3" t="s">
        <v>508</v>
      </c>
      <c r="N335" s="3" t="s">
        <v>1188</v>
      </c>
      <c r="O335" s="3" t="s">
        <v>508</v>
      </c>
      <c r="P335" s="3" t="s">
        <v>1820</v>
      </c>
      <c r="Q335" s="3" t="s">
        <v>994</v>
      </c>
      <c r="R335" s="5">
        <v>45276</v>
      </c>
      <c r="S335" s="6">
        <v>1900</v>
      </c>
      <c r="T335" s="7">
        <v>0</v>
      </c>
    </row>
    <row r="336" s="1" customFormat="1" spans="1:20">
      <c r="A336" s="3" t="s">
        <v>1987</v>
      </c>
      <c r="B336" s="3" t="s">
        <v>1189</v>
      </c>
      <c r="C336" s="3" t="s">
        <v>1768</v>
      </c>
      <c r="D336" s="3" t="s">
        <v>991</v>
      </c>
      <c r="E336" s="3" t="s">
        <v>992</v>
      </c>
      <c r="F336" s="3" t="s">
        <v>1133</v>
      </c>
      <c r="G336" s="3" t="s">
        <v>1921</v>
      </c>
      <c r="H336" s="3" t="s">
        <v>1770</v>
      </c>
      <c r="I336" s="3" t="s">
        <v>1775</v>
      </c>
      <c r="J336" s="3" t="s">
        <v>2085</v>
      </c>
      <c r="K336" s="3"/>
      <c r="L336" s="3"/>
      <c r="M336" s="3" t="s">
        <v>508</v>
      </c>
      <c r="N336" s="3" t="s">
        <v>1190</v>
      </c>
      <c r="O336" s="3" t="s">
        <v>508</v>
      </c>
      <c r="P336" s="3" t="s">
        <v>1820</v>
      </c>
      <c r="Q336" s="3" t="s">
        <v>994</v>
      </c>
      <c r="R336" s="5">
        <v>45280</v>
      </c>
      <c r="S336" s="6">
        <v>1195</v>
      </c>
      <c r="T336" s="7">
        <v>0</v>
      </c>
    </row>
    <row r="337" s="1" customFormat="1" spans="1:20">
      <c r="A337" s="3" t="s">
        <v>1988</v>
      </c>
      <c r="B337" s="3" t="s">
        <v>1191</v>
      </c>
      <c r="C337" s="3" t="s">
        <v>1768</v>
      </c>
      <c r="D337" s="3" t="s">
        <v>991</v>
      </c>
      <c r="E337" s="3" t="s">
        <v>992</v>
      </c>
      <c r="F337" s="3" t="s">
        <v>1133</v>
      </c>
      <c r="G337" s="3" t="s">
        <v>1921</v>
      </c>
      <c r="H337" s="3" t="s">
        <v>1770</v>
      </c>
      <c r="I337" s="3" t="s">
        <v>1775</v>
      </c>
      <c r="J337" s="3" t="s">
        <v>2085</v>
      </c>
      <c r="K337" s="3"/>
      <c r="L337" s="3"/>
      <c r="M337" s="3" t="s">
        <v>508</v>
      </c>
      <c r="N337" s="3" t="s">
        <v>1192</v>
      </c>
      <c r="O337" s="3" t="s">
        <v>508</v>
      </c>
      <c r="P337" s="3" t="s">
        <v>1820</v>
      </c>
      <c r="Q337" s="3" t="s">
        <v>994</v>
      </c>
      <c r="R337" s="5">
        <v>45275</v>
      </c>
      <c r="S337" s="6">
        <v>296</v>
      </c>
      <c r="T337" s="7">
        <v>0</v>
      </c>
    </row>
    <row r="338" s="1" customFormat="1" spans="1:20">
      <c r="A338" s="3" t="s">
        <v>1942</v>
      </c>
      <c r="B338" s="3" t="s">
        <v>1193</v>
      </c>
      <c r="C338" s="3" t="s">
        <v>1768</v>
      </c>
      <c r="D338" s="3" t="s">
        <v>991</v>
      </c>
      <c r="E338" s="3" t="s">
        <v>992</v>
      </c>
      <c r="F338" s="3" t="s">
        <v>1082</v>
      </c>
      <c r="G338" s="3" t="s">
        <v>1921</v>
      </c>
      <c r="H338" s="3" t="s">
        <v>1770</v>
      </c>
      <c r="I338" s="3" t="s">
        <v>1775</v>
      </c>
      <c r="J338" s="3" t="s">
        <v>2085</v>
      </c>
      <c r="K338" s="3"/>
      <c r="L338" s="3"/>
      <c r="M338" s="3" t="s">
        <v>508</v>
      </c>
      <c r="N338" s="3" t="s">
        <v>1194</v>
      </c>
      <c r="O338" s="3" t="s">
        <v>508</v>
      </c>
      <c r="P338" s="3" t="s">
        <v>1820</v>
      </c>
      <c r="Q338" s="3" t="s">
        <v>994</v>
      </c>
      <c r="R338" s="5">
        <v>45268</v>
      </c>
      <c r="S338" s="6">
        <v>800</v>
      </c>
      <c r="T338" s="7">
        <v>0</v>
      </c>
    </row>
    <row r="339" s="1" customFormat="1" spans="1:20">
      <c r="A339" s="3" t="s">
        <v>1827</v>
      </c>
      <c r="B339" s="3" t="s">
        <v>1195</v>
      </c>
      <c r="C339" s="3" t="s">
        <v>1768</v>
      </c>
      <c r="D339" s="3" t="s">
        <v>991</v>
      </c>
      <c r="E339" s="3" t="s">
        <v>992</v>
      </c>
      <c r="F339" s="3" t="s">
        <v>1010</v>
      </c>
      <c r="G339" s="3" t="s">
        <v>1921</v>
      </c>
      <c r="H339" s="3" t="s">
        <v>1770</v>
      </c>
      <c r="I339" s="3" t="s">
        <v>1775</v>
      </c>
      <c r="J339" s="3" t="s">
        <v>2085</v>
      </c>
      <c r="K339" s="3"/>
      <c r="L339" s="3"/>
      <c r="M339" s="3" t="s">
        <v>521</v>
      </c>
      <c r="N339" s="3" t="s">
        <v>1196</v>
      </c>
      <c r="O339" s="3" t="s">
        <v>521</v>
      </c>
      <c r="P339" s="3" t="s">
        <v>1820</v>
      </c>
      <c r="Q339" s="3" t="s">
        <v>994</v>
      </c>
      <c r="R339" s="5">
        <v>45310</v>
      </c>
      <c r="S339" s="6">
        <v>1480</v>
      </c>
      <c r="T339" s="7">
        <v>0</v>
      </c>
    </row>
    <row r="340" s="1" customFormat="1" spans="1:20">
      <c r="A340" s="3" t="s">
        <v>1989</v>
      </c>
      <c r="B340" s="3" t="s">
        <v>1197</v>
      </c>
      <c r="C340" s="3" t="s">
        <v>1768</v>
      </c>
      <c r="D340" s="3" t="s">
        <v>991</v>
      </c>
      <c r="E340" s="3" t="s">
        <v>992</v>
      </c>
      <c r="F340" s="3" t="s">
        <v>1000</v>
      </c>
      <c r="G340" s="3" t="s">
        <v>1921</v>
      </c>
      <c r="H340" s="3" t="s">
        <v>1770</v>
      </c>
      <c r="I340" s="3" t="s">
        <v>1775</v>
      </c>
      <c r="J340" s="3" t="s">
        <v>2085</v>
      </c>
      <c r="K340" s="3"/>
      <c r="L340" s="3"/>
      <c r="M340" s="3" t="s">
        <v>521</v>
      </c>
      <c r="N340" s="3" t="s">
        <v>1198</v>
      </c>
      <c r="O340" s="3" t="s">
        <v>521</v>
      </c>
      <c r="P340" s="3" t="s">
        <v>1820</v>
      </c>
      <c r="Q340" s="3" t="s">
        <v>994</v>
      </c>
      <c r="R340" s="5">
        <v>45303</v>
      </c>
      <c r="S340" s="6">
        <v>1185</v>
      </c>
      <c r="T340" s="7">
        <v>0</v>
      </c>
    </row>
    <row r="341" s="1" customFormat="1" spans="1:20">
      <c r="A341" s="3" t="s">
        <v>1990</v>
      </c>
      <c r="B341" s="3" t="s">
        <v>1199</v>
      </c>
      <c r="C341" s="3" t="s">
        <v>1768</v>
      </c>
      <c r="D341" s="3" t="s">
        <v>991</v>
      </c>
      <c r="E341" s="3" t="s">
        <v>992</v>
      </c>
      <c r="F341" s="3" t="s">
        <v>1082</v>
      </c>
      <c r="G341" s="3" t="s">
        <v>1921</v>
      </c>
      <c r="H341" s="3" t="s">
        <v>1770</v>
      </c>
      <c r="I341" s="3" t="s">
        <v>1775</v>
      </c>
      <c r="J341" s="3" t="s">
        <v>2085</v>
      </c>
      <c r="K341" s="3"/>
      <c r="L341" s="3"/>
      <c r="M341" s="3" t="s">
        <v>521</v>
      </c>
      <c r="N341" s="3" t="s">
        <v>1200</v>
      </c>
      <c r="O341" s="3" t="s">
        <v>521</v>
      </c>
      <c r="P341" s="3" t="s">
        <v>1820</v>
      </c>
      <c r="Q341" s="3" t="s">
        <v>994</v>
      </c>
      <c r="R341" s="5">
        <v>45303</v>
      </c>
      <c r="S341" s="6">
        <v>1200</v>
      </c>
      <c r="T341" s="7">
        <v>0</v>
      </c>
    </row>
    <row r="342" s="1" customFormat="1" spans="1:20">
      <c r="A342" s="3" t="s">
        <v>1991</v>
      </c>
      <c r="B342" s="3" t="s">
        <v>1201</v>
      </c>
      <c r="C342" s="3" t="s">
        <v>1768</v>
      </c>
      <c r="D342" s="3" t="s">
        <v>991</v>
      </c>
      <c r="E342" s="3" t="s">
        <v>992</v>
      </c>
      <c r="F342" s="3" t="s">
        <v>1133</v>
      </c>
      <c r="G342" s="3" t="s">
        <v>1921</v>
      </c>
      <c r="H342" s="3" t="s">
        <v>1770</v>
      </c>
      <c r="I342" s="3" t="s">
        <v>1775</v>
      </c>
      <c r="J342" s="3" t="s">
        <v>2085</v>
      </c>
      <c r="K342" s="3"/>
      <c r="L342" s="3"/>
      <c r="M342" s="3" t="s">
        <v>521</v>
      </c>
      <c r="N342" s="3" t="s">
        <v>1202</v>
      </c>
      <c r="O342" s="3" t="s">
        <v>521</v>
      </c>
      <c r="P342" s="3" t="s">
        <v>1820</v>
      </c>
      <c r="Q342" s="3" t="s">
        <v>994</v>
      </c>
      <c r="R342" s="5">
        <v>45303</v>
      </c>
      <c r="S342" s="6">
        <v>1146</v>
      </c>
      <c r="T342" s="7">
        <v>0</v>
      </c>
    </row>
    <row r="343" s="1" customFormat="1" spans="1:20">
      <c r="A343" s="3" t="s">
        <v>1992</v>
      </c>
      <c r="B343" s="3" t="s">
        <v>1203</v>
      </c>
      <c r="C343" s="3" t="s">
        <v>1768</v>
      </c>
      <c r="D343" s="3" t="s">
        <v>991</v>
      </c>
      <c r="E343" s="3" t="s">
        <v>992</v>
      </c>
      <c r="F343" s="3" t="s">
        <v>1205</v>
      </c>
      <c r="G343" s="3" t="s">
        <v>1921</v>
      </c>
      <c r="H343" s="3" t="s">
        <v>1770</v>
      </c>
      <c r="I343" s="3" t="s">
        <v>1775</v>
      </c>
      <c r="J343" s="3" t="s">
        <v>2085</v>
      </c>
      <c r="K343" s="3"/>
      <c r="L343" s="3"/>
      <c r="M343" s="3" t="s">
        <v>521</v>
      </c>
      <c r="N343" s="3" t="s">
        <v>1204</v>
      </c>
      <c r="O343" s="3" t="s">
        <v>521</v>
      </c>
      <c r="P343" s="3" t="s">
        <v>1820</v>
      </c>
      <c r="Q343" s="3" t="s">
        <v>994</v>
      </c>
      <c r="R343" s="5">
        <v>45363</v>
      </c>
      <c r="S343" s="6">
        <v>1940</v>
      </c>
      <c r="T343" s="7">
        <v>0</v>
      </c>
    </row>
    <row r="344" s="1" customFormat="1" spans="1:20">
      <c r="A344" s="3" t="s">
        <v>1993</v>
      </c>
      <c r="B344" s="3" t="s">
        <v>1207</v>
      </c>
      <c r="C344" s="3" t="s">
        <v>1768</v>
      </c>
      <c r="D344" s="3" t="s">
        <v>991</v>
      </c>
      <c r="E344" s="3" t="s">
        <v>992</v>
      </c>
      <c r="F344" s="3" t="s">
        <v>1209</v>
      </c>
      <c r="G344" s="3" t="s">
        <v>1921</v>
      </c>
      <c r="H344" s="3" t="s">
        <v>1770</v>
      </c>
      <c r="I344" s="3" t="s">
        <v>1775</v>
      </c>
      <c r="J344" s="3" t="s">
        <v>2085</v>
      </c>
      <c r="K344" s="3"/>
      <c r="L344" s="3"/>
      <c r="M344" s="3" t="s">
        <v>521</v>
      </c>
      <c r="N344" s="3" t="s">
        <v>1208</v>
      </c>
      <c r="O344" s="3" t="s">
        <v>521</v>
      </c>
      <c r="P344" s="3" t="s">
        <v>1820</v>
      </c>
      <c r="Q344" s="3" t="s">
        <v>994</v>
      </c>
      <c r="R344" s="5">
        <v>45364</v>
      </c>
      <c r="S344" s="6">
        <v>968</v>
      </c>
      <c r="T344" s="7">
        <v>0</v>
      </c>
    </row>
    <row r="345" s="1" customFormat="1" spans="1:20">
      <c r="A345" s="3" t="s">
        <v>1994</v>
      </c>
      <c r="B345" s="3" t="s">
        <v>1210</v>
      </c>
      <c r="C345" s="3" t="s">
        <v>1768</v>
      </c>
      <c r="D345" s="3" t="s">
        <v>991</v>
      </c>
      <c r="E345" s="3" t="s">
        <v>992</v>
      </c>
      <c r="F345" s="3" t="s">
        <v>1082</v>
      </c>
      <c r="G345" s="3" t="s">
        <v>1921</v>
      </c>
      <c r="H345" s="3" t="s">
        <v>1770</v>
      </c>
      <c r="I345" s="3" t="s">
        <v>1775</v>
      </c>
      <c r="J345" s="3" t="s">
        <v>2085</v>
      </c>
      <c r="K345" s="3"/>
      <c r="L345" s="3"/>
      <c r="M345" s="3" t="s">
        <v>521</v>
      </c>
      <c r="N345" s="3" t="s">
        <v>1211</v>
      </c>
      <c r="O345" s="3" t="s">
        <v>521</v>
      </c>
      <c r="P345" s="3" t="s">
        <v>1820</v>
      </c>
      <c r="Q345" s="3" t="s">
        <v>994</v>
      </c>
      <c r="R345" s="5">
        <v>45376</v>
      </c>
      <c r="S345" s="6">
        <v>1254</v>
      </c>
      <c r="T345" s="7">
        <v>0</v>
      </c>
    </row>
    <row r="346" s="1" customFormat="1" spans="1:20">
      <c r="A346" s="3" t="s">
        <v>1995</v>
      </c>
      <c r="B346" s="3" t="s">
        <v>1212</v>
      </c>
      <c r="C346" s="3" t="s">
        <v>1768</v>
      </c>
      <c r="D346" s="3" t="s">
        <v>991</v>
      </c>
      <c r="E346" s="3" t="s">
        <v>992</v>
      </c>
      <c r="F346" s="3" t="s">
        <v>1000</v>
      </c>
      <c r="G346" s="3" t="s">
        <v>1921</v>
      </c>
      <c r="H346" s="3" t="s">
        <v>1770</v>
      </c>
      <c r="I346" s="3" t="s">
        <v>1775</v>
      </c>
      <c r="J346" s="3" t="s">
        <v>2085</v>
      </c>
      <c r="K346" s="3"/>
      <c r="L346" s="3"/>
      <c r="M346" s="3" t="s">
        <v>521</v>
      </c>
      <c r="N346" s="3" t="s">
        <v>1213</v>
      </c>
      <c r="O346" s="3" t="s">
        <v>521</v>
      </c>
      <c r="P346" s="3" t="s">
        <v>1820</v>
      </c>
      <c r="Q346" s="3" t="s">
        <v>994</v>
      </c>
      <c r="R346" s="5">
        <v>45376</v>
      </c>
      <c r="S346" s="6">
        <v>1150</v>
      </c>
      <c r="T346" s="7">
        <v>0</v>
      </c>
    </row>
    <row r="347" s="1" customFormat="1" spans="1:20">
      <c r="A347" s="3" t="s">
        <v>1996</v>
      </c>
      <c r="B347" s="3" t="s">
        <v>1214</v>
      </c>
      <c r="C347" s="3" t="s">
        <v>1768</v>
      </c>
      <c r="D347" s="3" t="s">
        <v>991</v>
      </c>
      <c r="E347" s="3" t="s">
        <v>992</v>
      </c>
      <c r="F347" s="3" t="s">
        <v>1037</v>
      </c>
      <c r="G347" s="3" t="s">
        <v>1921</v>
      </c>
      <c r="H347" s="3" t="s">
        <v>1770</v>
      </c>
      <c r="I347" s="3" t="s">
        <v>1775</v>
      </c>
      <c r="J347" s="3" t="s">
        <v>2085</v>
      </c>
      <c r="K347" s="3"/>
      <c r="L347" s="3"/>
      <c r="M347" s="3" t="s">
        <v>521</v>
      </c>
      <c r="N347" s="3" t="s">
        <v>1215</v>
      </c>
      <c r="O347" s="3" t="s">
        <v>521</v>
      </c>
      <c r="P347" s="3" t="s">
        <v>1820</v>
      </c>
      <c r="Q347" s="3" t="s">
        <v>994</v>
      </c>
      <c r="R347" s="5">
        <v>45394</v>
      </c>
      <c r="S347" s="6">
        <v>960</v>
      </c>
      <c r="T347" s="7">
        <v>0</v>
      </c>
    </row>
    <row r="348" s="1" customFormat="1" spans="1:20">
      <c r="A348" s="3" t="s">
        <v>1997</v>
      </c>
      <c r="B348" s="3" t="s">
        <v>1230</v>
      </c>
      <c r="C348" s="3" t="s">
        <v>1768</v>
      </c>
      <c r="D348" s="3" t="s">
        <v>1232</v>
      </c>
      <c r="E348" s="3" t="s">
        <v>1233</v>
      </c>
      <c r="F348" s="3" t="s">
        <v>170</v>
      </c>
      <c r="G348" s="3" t="s">
        <v>1819</v>
      </c>
      <c r="H348" s="3" t="s">
        <v>1770</v>
      </c>
      <c r="I348" s="3" t="s">
        <v>1775</v>
      </c>
      <c r="J348" s="3" t="s">
        <v>2085</v>
      </c>
      <c r="K348" s="3"/>
      <c r="L348" s="3"/>
      <c r="M348" s="3" t="s">
        <v>508</v>
      </c>
      <c r="N348" s="3" t="s">
        <v>1231</v>
      </c>
      <c r="O348" s="3" t="s">
        <v>508</v>
      </c>
      <c r="P348" s="3" t="s">
        <v>1820</v>
      </c>
      <c r="Q348" s="3" t="s">
        <v>647</v>
      </c>
      <c r="R348" s="5">
        <v>45216</v>
      </c>
      <c r="S348" s="6">
        <v>159281.3</v>
      </c>
      <c r="T348" s="7">
        <v>0</v>
      </c>
    </row>
    <row r="349" s="1" customFormat="1" spans="1:20">
      <c r="A349" s="3" t="s">
        <v>1998</v>
      </c>
      <c r="B349" s="3" t="s">
        <v>1237</v>
      </c>
      <c r="C349" s="3" t="s">
        <v>1768</v>
      </c>
      <c r="D349" s="3" t="s">
        <v>1239</v>
      </c>
      <c r="E349" s="3" t="s">
        <v>1240</v>
      </c>
      <c r="F349" s="3" t="s">
        <v>175</v>
      </c>
      <c r="G349" s="3" t="s">
        <v>1819</v>
      </c>
      <c r="H349" s="3" t="s">
        <v>1770</v>
      </c>
      <c r="I349" s="3" t="s">
        <v>1775</v>
      </c>
      <c r="J349" s="3" t="s">
        <v>2085</v>
      </c>
      <c r="K349" s="3"/>
      <c r="L349" s="3"/>
      <c r="M349" s="3" t="s">
        <v>508</v>
      </c>
      <c r="N349" s="3" t="s">
        <v>1238</v>
      </c>
      <c r="O349" s="3" t="s">
        <v>508</v>
      </c>
      <c r="P349" s="3" t="s">
        <v>1820</v>
      </c>
      <c r="Q349" s="3" t="s">
        <v>647</v>
      </c>
      <c r="R349" s="5">
        <v>45273</v>
      </c>
      <c r="S349" s="6">
        <v>471858.4</v>
      </c>
      <c r="T349" s="7">
        <v>0</v>
      </c>
    </row>
    <row r="350" s="1" customFormat="1" spans="1:20">
      <c r="A350" s="3" t="s">
        <v>1999</v>
      </c>
      <c r="B350" s="3" t="s">
        <v>1257</v>
      </c>
      <c r="C350" s="3" t="s">
        <v>1768</v>
      </c>
      <c r="D350" s="3" t="s">
        <v>1259</v>
      </c>
      <c r="E350" s="3" t="s">
        <v>1260</v>
      </c>
      <c r="F350" s="3" t="s">
        <v>119</v>
      </c>
      <c r="G350" s="3" t="s">
        <v>1819</v>
      </c>
      <c r="H350" s="3" t="s">
        <v>1770</v>
      </c>
      <c r="I350" s="3" t="s">
        <v>1775</v>
      </c>
      <c r="J350" s="3" t="s">
        <v>2085</v>
      </c>
      <c r="K350" s="3"/>
      <c r="L350" s="3"/>
      <c r="M350" s="3" t="s">
        <v>508</v>
      </c>
      <c r="N350" s="3" t="s">
        <v>1258</v>
      </c>
      <c r="O350" s="3" t="s">
        <v>508</v>
      </c>
      <c r="P350" s="3" t="s">
        <v>1820</v>
      </c>
      <c r="Q350" s="3" t="s">
        <v>647</v>
      </c>
      <c r="R350" s="5">
        <v>45223</v>
      </c>
      <c r="S350" s="6">
        <v>350943.4</v>
      </c>
      <c r="T350" s="7">
        <v>0</v>
      </c>
    </row>
    <row r="351" s="1" customFormat="1" spans="1:20">
      <c r="A351" s="3" t="s">
        <v>2000</v>
      </c>
      <c r="B351" s="3" t="s">
        <v>1261</v>
      </c>
      <c r="C351" s="3" t="s">
        <v>1768</v>
      </c>
      <c r="D351" s="3" t="s">
        <v>1259</v>
      </c>
      <c r="E351" s="3" t="s">
        <v>1260</v>
      </c>
      <c r="F351" s="3" t="s">
        <v>165</v>
      </c>
      <c r="G351" s="3" t="s">
        <v>1819</v>
      </c>
      <c r="H351" s="3" t="s">
        <v>1770</v>
      </c>
      <c r="I351" s="3" t="s">
        <v>1775</v>
      </c>
      <c r="J351" s="3" t="s">
        <v>2085</v>
      </c>
      <c r="K351" s="3"/>
      <c r="L351" s="3"/>
      <c r="M351" s="3" t="s">
        <v>508</v>
      </c>
      <c r="N351" s="3" t="s">
        <v>1262</v>
      </c>
      <c r="O351" s="3" t="s">
        <v>508</v>
      </c>
      <c r="P351" s="3" t="s">
        <v>1820</v>
      </c>
      <c r="Q351" s="3" t="s">
        <v>647</v>
      </c>
      <c r="R351" s="5">
        <v>45244</v>
      </c>
      <c r="S351" s="6">
        <v>174757.28</v>
      </c>
      <c r="T351" s="7">
        <v>0</v>
      </c>
    </row>
    <row r="352" s="1" customFormat="1" spans="1:20">
      <c r="A352" s="3" t="s">
        <v>2001</v>
      </c>
      <c r="B352" s="3" t="s">
        <v>1268</v>
      </c>
      <c r="C352" s="3" t="s">
        <v>1768</v>
      </c>
      <c r="D352" s="3" t="s">
        <v>1259</v>
      </c>
      <c r="E352" s="3" t="s">
        <v>1260</v>
      </c>
      <c r="F352" s="3" t="s">
        <v>161</v>
      </c>
      <c r="G352" s="3" t="s">
        <v>1819</v>
      </c>
      <c r="H352" s="3" t="s">
        <v>1770</v>
      </c>
      <c r="I352" s="3" t="s">
        <v>1775</v>
      </c>
      <c r="J352" s="3" t="s">
        <v>2085</v>
      </c>
      <c r="K352" s="3"/>
      <c r="L352" s="3"/>
      <c r="M352" s="3" t="s">
        <v>508</v>
      </c>
      <c r="N352" s="3" t="s">
        <v>1269</v>
      </c>
      <c r="O352" s="3" t="s">
        <v>508</v>
      </c>
      <c r="P352" s="3" t="s">
        <v>1820</v>
      </c>
      <c r="Q352" s="3" t="s">
        <v>647</v>
      </c>
      <c r="R352" s="5">
        <v>45244</v>
      </c>
      <c r="S352" s="6">
        <v>231067.96</v>
      </c>
      <c r="T352" s="7">
        <v>0</v>
      </c>
    </row>
    <row r="353" s="1" customFormat="1" spans="1:20">
      <c r="A353" s="3" t="s">
        <v>2002</v>
      </c>
      <c r="B353" s="3" t="s">
        <v>1270</v>
      </c>
      <c r="C353" s="3" t="s">
        <v>1768</v>
      </c>
      <c r="D353" s="3" t="s">
        <v>1259</v>
      </c>
      <c r="E353" s="3" t="s">
        <v>1260</v>
      </c>
      <c r="F353" s="3" t="s">
        <v>141</v>
      </c>
      <c r="G353" s="3" t="s">
        <v>1819</v>
      </c>
      <c r="H353" s="3" t="s">
        <v>1770</v>
      </c>
      <c r="I353" s="3" t="s">
        <v>1775</v>
      </c>
      <c r="J353" s="3" t="s">
        <v>2085</v>
      </c>
      <c r="K353" s="3"/>
      <c r="L353" s="3"/>
      <c r="M353" s="3" t="s">
        <v>508</v>
      </c>
      <c r="N353" s="3" t="s">
        <v>1271</v>
      </c>
      <c r="O353" s="3" t="s">
        <v>508</v>
      </c>
      <c r="P353" s="3" t="s">
        <v>1820</v>
      </c>
      <c r="Q353" s="3" t="s">
        <v>647</v>
      </c>
      <c r="R353" s="5">
        <v>45239</v>
      </c>
      <c r="S353" s="6">
        <v>424528.3</v>
      </c>
      <c r="T353" s="7">
        <v>0</v>
      </c>
    </row>
    <row r="354" s="1" customFormat="1" spans="1:20">
      <c r="A354" s="3" t="s">
        <v>2003</v>
      </c>
      <c r="B354" s="3" t="s">
        <v>1278</v>
      </c>
      <c r="C354" s="3" t="s">
        <v>1768</v>
      </c>
      <c r="D354" s="3" t="s">
        <v>1259</v>
      </c>
      <c r="E354" s="3" t="s">
        <v>1260</v>
      </c>
      <c r="F354" s="3" t="s">
        <v>146</v>
      </c>
      <c r="G354" s="3" t="s">
        <v>1819</v>
      </c>
      <c r="H354" s="3" t="s">
        <v>1770</v>
      </c>
      <c r="I354" s="3" t="s">
        <v>1775</v>
      </c>
      <c r="J354" s="3" t="s">
        <v>2085</v>
      </c>
      <c r="K354" s="3"/>
      <c r="L354" s="3"/>
      <c r="M354" s="3" t="s">
        <v>508</v>
      </c>
      <c r="N354" s="3" t="s">
        <v>1279</v>
      </c>
      <c r="O354" s="3" t="s">
        <v>508</v>
      </c>
      <c r="P354" s="3" t="s">
        <v>1820</v>
      </c>
      <c r="Q354" s="3" t="s">
        <v>647</v>
      </c>
      <c r="R354" s="5">
        <v>45279</v>
      </c>
      <c r="S354" s="6">
        <v>89622.64</v>
      </c>
      <c r="T354" s="7">
        <v>0</v>
      </c>
    </row>
    <row r="355" s="1" customFormat="1" spans="1:20">
      <c r="A355" s="3" t="s">
        <v>2004</v>
      </c>
      <c r="B355" s="3" t="s">
        <v>1280</v>
      </c>
      <c r="C355" s="3" t="s">
        <v>1768</v>
      </c>
      <c r="D355" s="3" t="s">
        <v>1259</v>
      </c>
      <c r="E355" s="3" t="s">
        <v>1260</v>
      </c>
      <c r="F355" s="3" t="s">
        <v>151</v>
      </c>
      <c r="G355" s="3" t="s">
        <v>1819</v>
      </c>
      <c r="H355" s="3" t="s">
        <v>1770</v>
      </c>
      <c r="I355" s="3" t="s">
        <v>1775</v>
      </c>
      <c r="J355" s="3" t="s">
        <v>2085</v>
      </c>
      <c r="K355" s="3"/>
      <c r="L355" s="3"/>
      <c r="M355" s="3" t="s">
        <v>508</v>
      </c>
      <c r="N355" s="3" t="s">
        <v>1281</v>
      </c>
      <c r="O355" s="3" t="s">
        <v>508</v>
      </c>
      <c r="P355" s="3" t="s">
        <v>1820</v>
      </c>
      <c r="Q355" s="3" t="s">
        <v>647</v>
      </c>
      <c r="R355" s="5">
        <v>45272</v>
      </c>
      <c r="S355" s="6">
        <v>641509.43</v>
      </c>
      <c r="T355" s="7">
        <v>0</v>
      </c>
    </row>
    <row r="356" s="1" customFormat="1" spans="1:20">
      <c r="A356" s="3" t="s">
        <v>2005</v>
      </c>
      <c r="B356" s="3" t="s">
        <v>413</v>
      </c>
      <c r="C356" s="3" t="s">
        <v>1768</v>
      </c>
      <c r="D356" s="3" t="s">
        <v>1259</v>
      </c>
      <c r="E356" s="3" t="s">
        <v>1260</v>
      </c>
      <c r="F356" s="3" t="s">
        <v>194</v>
      </c>
      <c r="G356" s="3" t="s">
        <v>1819</v>
      </c>
      <c r="H356" s="3" t="s">
        <v>1770</v>
      </c>
      <c r="I356" s="3" t="s">
        <v>1775</v>
      </c>
      <c r="J356" s="3" t="s">
        <v>2085</v>
      </c>
      <c r="K356" s="3"/>
      <c r="L356" s="3"/>
      <c r="M356" s="3" t="s">
        <v>508</v>
      </c>
      <c r="N356" s="3" t="s">
        <v>1282</v>
      </c>
      <c r="O356" s="3" t="s">
        <v>508</v>
      </c>
      <c r="P356" s="3" t="s">
        <v>1820</v>
      </c>
      <c r="Q356" s="3" t="s">
        <v>647</v>
      </c>
      <c r="R356" s="5">
        <v>45289</v>
      </c>
      <c r="S356" s="6">
        <v>1878069.73</v>
      </c>
      <c r="T356" s="7">
        <v>0</v>
      </c>
    </row>
    <row r="357" s="1" customFormat="1" spans="1:20">
      <c r="A357" s="3" t="s">
        <v>2006</v>
      </c>
      <c r="B357" s="3" t="s">
        <v>412</v>
      </c>
      <c r="C357" s="3" t="s">
        <v>1768</v>
      </c>
      <c r="D357" s="3" t="s">
        <v>1259</v>
      </c>
      <c r="E357" s="3" t="s">
        <v>1260</v>
      </c>
      <c r="F357" s="3" t="s">
        <v>194</v>
      </c>
      <c r="G357" s="3" t="s">
        <v>1819</v>
      </c>
      <c r="H357" s="3" t="s">
        <v>1770</v>
      </c>
      <c r="I357" s="3" t="s">
        <v>1775</v>
      </c>
      <c r="J357" s="3" t="s">
        <v>2085</v>
      </c>
      <c r="K357" s="3"/>
      <c r="L357" s="3"/>
      <c r="M357" s="3" t="s">
        <v>508</v>
      </c>
      <c r="N357" s="3" t="s">
        <v>1283</v>
      </c>
      <c r="O357" s="3" t="s">
        <v>508</v>
      </c>
      <c r="P357" s="3" t="s">
        <v>1820</v>
      </c>
      <c r="Q357" s="3" t="s">
        <v>647</v>
      </c>
      <c r="R357" s="5">
        <v>45289</v>
      </c>
      <c r="S357" s="6">
        <v>460890.63</v>
      </c>
      <c r="T357" s="7">
        <v>0</v>
      </c>
    </row>
    <row r="358" s="1" customFormat="1" spans="1:20">
      <c r="A358" s="3" t="s">
        <v>2007</v>
      </c>
      <c r="B358" s="3" t="s">
        <v>1287</v>
      </c>
      <c r="C358" s="3" t="s">
        <v>1768</v>
      </c>
      <c r="D358" s="3" t="s">
        <v>1289</v>
      </c>
      <c r="E358" s="3" t="s">
        <v>1290</v>
      </c>
      <c r="F358" s="3" t="s">
        <v>115</v>
      </c>
      <c r="G358" s="3" t="s">
        <v>1819</v>
      </c>
      <c r="H358" s="3" t="s">
        <v>1770</v>
      </c>
      <c r="I358" s="3" t="s">
        <v>1775</v>
      </c>
      <c r="J358" s="3" t="s">
        <v>2085</v>
      </c>
      <c r="K358" s="3"/>
      <c r="L358" s="3"/>
      <c r="M358" s="3" t="s">
        <v>508</v>
      </c>
      <c r="N358" s="3" t="s">
        <v>1288</v>
      </c>
      <c r="O358" s="3" t="s">
        <v>508</v>
      </c>
      <c r="P358" s="3" t="s">
        <v>1820</v>
      </c>
      <c r="Q358" s="3" t="s">
        <v>647</v>
      </c>
      <c r="R358" s="5">
        <v>45222</v>
      </c>
      <c r="S358" s="6">
        <v>165094.34</v>
      </c>
      <c r="T358" s="7">
        <v>0</v>
      </c>
    </row>
    <row r="359" s="1" customFormat="1" spans="1:20">
      <c r="A359" s="3" t="s">
        <v>2008</v>
      </c>
      <c r="B359" s="3" t="s">
        <v>1294</v>
      </c>
      <c r="C359" s="3" t="s">
        <v>1768</v>
      </c>
      <c r="D359" s="3" t="s">
        <v>1296</v>
      </c>
      <c r="E359" s="3" t="s">
        <v>1297</v>
      </c>
      <c r="F359" s="3" t="s">
        <v>100</v>
      </c>
      <c r="G359" s="3" t="s">
        <v>1819</v>
      </c>
      <c r="H359" s="3" t="s">
        <v>1770</v>
      </c>
      <c r="I359" s="3" t="s">
        <v>1775</v>
      </c>
      <c r="J359" s="3" t="s">
        <v>2085</v>
      </c>
      <c r="K359" s="3"/>
      <c r="L359" s="3"/>
      <c r="M359" s="3" t="s">
        <v>508</v>
      </c>
      <c r="N359" s="3" t="s">
        <v>1295</v>
      </c>
      <c r="O359" s="3" t="s">
        <v>508</v>
      </c>
      <c r="P359" s="3" t="s">
        <v>1820</v>
      </c>
      <c r="Q359" s="3" t="s">
        <v>647</v>
      </c>
      <c r="R359" s="5">
        <v>45222</v>
      </c>
      <c r="S359" s="6">
        <v>35754.72</v>
      </c>
      <c r="T359" s="7">
        <v>0</v>
      </c>
    </row>
    <row r="360" s="1" customFormat="1" spans="1:20">
      <c r="A360" s="3" t="s">
        <v>1878</v>
      </c>
      <c r="B360" s="3" t="s">
        <v>1308</v>
      </c>
      <c r="C360" s="3" t="s">
        <v>1768</v>
      </c>
      <c r="D360" s="3" t="s">
        <v>1310</v>
      </c>
      <c r="E360" s="3" t="s">
        <v>1311</v>
      </c>
      <c r="F360" s="3" t="s">
        <v>90</v>
      </c>
      <c r="G360" s="3" t="s">
        <v>1819</v>
      </c>
      <c r="H360" s="3" t="s">
        <v>1770</v>
      </c>
      <c r="I360" s="3" t="s">
        <v>1775</v>
      </c>
      <c r="J360" s="3" t="s">
        <v>2085</v>
      </c>
      <c r="K360" s="3"/>
      <c r="L360" s="3"/>
      <c r="M360" s="3" t="s">
        <v>508</v>
      </c>
      <c r="N360" s="3" t="s">
        <v>1309</v>
      </c>
      <c r="O360" s="3" t="s">
        <v>508</v>
      </c>
      <c r="P360" s="3" t="s">
        <v>1820</v>
      </c>
      <c r="Q360" s="3" t="s">
        <v>647</v>
      </c>
      <c r="R360" s="5">
        <v>45223</v>
      </c>
      <c r="S360" s="6">
        <v>627358.49</v>
      </c>
      <c r="T360" s="7">
        <v>0</v>
      </c>
    </row>
    <row r="361" s="1" customFormat="1" spans="1:20">
      <c r="A361" s="3" t="s">
        <v>2009</v>
      </c>
      <c r="B361" s="3" t="s">
        <v>1312</v>
      </c>
      <c r="C361" s="3" t="s">
        <v>1768</v>
      </c>
      <c r="D361" s="3" t="s">
        <v>1310</v>
      </c>
      <c r="E361" s="3" t="s">
        <v>1311</v>
      </c>
      <c r="F361" s="3" t="s">
        <v>1314</v>
      </c>
      <c r="G361" s="3" t="s">
        <v>1819</v>
      </c>
      <c r="H361" s="3" t="s">
        <v>1770</v>
      </c>
      <c r="I361" s="3" t="s">
        <v>1775</v>
      </c>
      <c r="J361" s="3" t="s">
        <v>2085</v>
      </c>
      <c r="K361" s="3"/>
      <c r="L361" s="3"/>
      <c r="M361" s="3" t="s">
        <v>508</v>
      </c>
      <c r="N361" s="3" t="s">
        <v>1313</v>
      </c>
      <c r="O361" s="3" t="s">
        <v>508</v>
      </c>
      <c r="P361" s="3" t="s">
        <v>1820</v>
      </c>
      <c r="Q361" s="3" t="s">
        <v>647</v>
      </c>
      <c r="R361" s="5">
        <v>45246</v>
      </c>
      <c r="S361" s="6">
        <v>141509.43</v>
      </c>
      <c r="T361" s="7">
        <v>0</v>
      </c>
    </row>
    <row r="362" s="1" customFormat="1" spans="1:20">
      <c r="A362" s="3" t="s">
        <v>2010</v>
      </c>
      <c r="B362" s="3" t="s">
        <v>360</v>
      </c>
      <c r="C362" s="3" t="s">
        <v>1768</v>
      </c>
      <c r="D362" s="3" t="s">
        <v>1322</v>
      </c>
      <c r="E362" s="3" t="s">
        <v>1323</v>
      </c>
      <c r="F362" s="3" t="s">
        <v>361</v>
      </c>
      <c r="G362" s="3" t="s">
        <v>1819</v>
      </c>
      <c r="H362" s="3" t="s">
        <v>1770</v>
      </c>
      <c r="I362" s="3" t="s">
        <v>1775</v>
      </c>
      <c r="J362" s="3" t="s">
        <v>2085</v>
      </c>
      <c r="K362" s="3"/>
      <c r="L362" s="3"/>
      <c r="M362" s="3" t="s">
        <v>521</v>
      </c>
      <c r="N362" s="3" t="s">
        <v>1321</v>
      </c>
      <c r="O362" s="3" t="s">
        <v>521</v>
      </c>
      <c r="P362" s="3" t="s">
        <v>1820</v>
      </c>
      <c r="Q362" s="3" t="s">
        <v>647</v>
      </c>
      <c r="R362" s="5">
        <v>45362</v>
      </c>
      <c r="S362" s="6">
        <v>94339.62</v>
      </c>
      <c r="T362" s="7">
        <v>0</v>
      </c>
    </row>
    <row r="363" s="1" customFormat="1" spans="1:20">
      <c r="A363" s="3" t="s">
        <v>2011</v>
      </c>
      <c r="B363" s="3" t="s">
        <v>414</v>
      </c>
      <c r="C363" s="3" t="s">
        <v>1768</v>
      </c>
      <c r="D363" s="3" t="s">
        <v>1322</v>
      </c>
      <c r="E363" s="3" t="s">
        <v>1323</v>
      </c>
      <c r="F363" s="3" t="s">
        <v>415</v>
      </c>
      <c r="G363" s="3" t="s">
        <v>1819</v>
      </c>
      <c r="H363" s="3" t="s">
        <v>1770</v>
      </c>
      <c r="I363" s="3" t="s">
        <v>1775</v>
      </c>
      <c r="J363" s="3" t="s">
        <v>2085</v>
      </c>
      <c r="K363" s="3"/>
      <c r="L363" s="3"/>
      <c r="M363" s="3" t="s">
        <v>521</v>
      </c>
      <c r="N363" s="3" t="s">
        <v>1324</v>
      </c>
      <c r="O363" s="3" t="s">
        <v>521</v>
      </c>
      <c r="P363" s="3" t="s">
        <v>1820</v>
      </c>
      <c r="Q363" s="3" t="s">
        <v>647</v>
      </c>
      <c r="R363" s="5">
        <v>45429</v>
      </c>
      <c r="S363" s="6">
        <v>229950.5</v>
      </c>
      <c r="T363" s="7">
        <v>0</v>
      </c>
    </row>
    <row r="364" s="1" customFormat="1" spans="1:20">
      <c r="A364" s="3" t="s">
        <v>1935</v>
      </c>
      <c r="B364" s="3" t="s">
        <v>1330</v>
      </c>
      <c r="C364" s="3" t="s">
        <v>1768</v>
      </c>
      <c r="D364" s="3" t="s">
        <v>1332</v>
      </c>
      <c r="E364" s="3" t="s">
        <v>1333</v>
      </c>
      <c r="F364" s="3" t="s">
        <v>110</v>
      </c>
      <c r="G364" s="3" t="s">
        <v>1819</v>
      </c>
      <c r="H364" s="3" t="s">
        <v>1770</v>
      </c>
      <c r="I364" s="3" t="s">
        <v>1775</v>
      </c>
      <c r="J364" s="3" t="s">
        <v>2085</v>
      </c>
      <c r="K364" s="3"/>
      <c r="L364" s="3"/>
      <c r="M364" s="3" t="s">
        <v>508</v>
      </c>
      <c r="N364" s="3" t="s">
        <v>1331</v>
      </c>
      <c r="O364" s="3" t="s">
        <v>508</v>
      </c>
      <c r="P364" s="3" t="s">
        <v>1820</v>
      </c>
      <c r="Q364" s="3" t="s">
        <v>647</v>
      </c>
      <c r="R364" s="5">
        <v>45223</v>
      </c>
      <c r="S364" s="6">
        <v>83207.55</v>
      </c>
      <c r="T364" s="7">
        <v>0</v>
      </c>
    </row>
    <row r="365" s="1" customFormat="1" spans="1:20">
      <c r="A365" s="3" t="s">
        <v>2012</v>
      </c>
      <c r="B365" s="3" t="s">
        <v>1337</v>
      </c>
      <c r="C365" s="3" t="s">
        <v>1768</v>
      </c>
      <c r="D365" s="3" t="s">
        <v>1339</v>
      </c>
      <c r="E365" s="3" t="s">
        <v>1340</v>
      </c>
      <c r="F365" s="3" t="s">
        <v>105</v>
      </c>
      <c r="G365" s="3" t="s">
        <v>1819</v>
      </c>
      <c r="H365" s="3" t="s">
        <v>1770</v>
      </c>
      <c r="I365" s="3" t="s">
        <v>1775</v>
      </c>
      <c r="J365" s="3" t="s">
        <v>2085</v>
      </c>
      <c r="K365" s="3"/>
      <c r="L365" s="3"/>
      <c r="M365" s="3" t="s">
        <v>508</v>
      </c>
      <c r="N365" s="3" t="s">
        <v>1338</v>
      </c>
      <c r="O365" s="3" t="s">
        <v>508</v>
      </c>
      <c r="P365" s="3" t="s">
        <v>1820</v>
      </c>
      <c r="Q365" s="3" t="s">
        <v>647</v>
      </c>
      <c r="R365" s="5">
        <v>45222</v>
      </c>
      <c r="S365" s="6">
        <v>131132.08</v>
      </c>
      <c r="T365" s="7">
        <v>0</v>
      </c>
    </row>
    <row r="366" s="1" customFormat="1" spans="1:20">
      <c r="A366" s="3" t="s">
        <v>2013</v>
      </c>
      <c r="B366" s="3" t="s">
        <v>1353</v>
      </c>
      <c r="C366" s="3" t="s">
        <v>1768</v>
      </c>
      <c r="D366" s="3" t="s">
        <v>1355</v>
      </c>
      <c r="E366" s="3" t="s">
        <v>1356</v>
      </c>
      <c r="F366" s="3" t="s">
        <v>1357</v>
      </c>
      <c r="G366" s="3" t="s">
        <v>1822</v>
      </c>
      <c r="H366" s="3" t="s">
        <v>1770</v>
      </c>
      <c r="I366" s="3" t="s">
        <v>1775</v>
      </c>
      <c r="J366" s="3" t="s">
        <v>2085</v>
      </c>
      <c r="K366" s="3"/>
      <c r="L366" s="3"/>
      <c r="M366" s="3" t="s">
        <v>508</v>
      </c>
      <c r="N366" s="3" t="s">
        <v>1354</v>
      </c>
      <c r="O366" s="3" t="s">
        <v>508</v>
      </c>
      <c r="P366" s="3" t="s">
        <v>1820</v>
      </c>
      <c r="Q366" s="3" t="s">
        <v>670</v>
      </c>
      <c r="R366" s="5">
        <v>45278</v>
      </c>
      <c r="S366" s="6">
        <v>3171.16</v>
      </c>
      <c r="T366" s="7">
        <v>0</v>
      </c>
    </row>
    <row r="367" s="1" customFormat="1" spans="1:20">
      <c r="A367" s="3" t="s">
        <v>2014</v>
      </c>
      <c r="B367" s="3" t="s">
        <v>1358</v>
      </c>
      <c r="C367" s="3" t="s">
        <v>1768</v>
      </c>
      <c r="D367" s="3" t="s">
        <v>1355</v>
      </c>
      <c r="E367" s="3" t="s">
        <v>1356</v>
      </c>
      <c r="F367" s="3" t="s">
        <v>1360</v>
      </c>
      <c r="G367" s="3" t="s">
        <v>1822</v>
      </c>
      <c r="H367" s="3" t="s">
        <v>1770</v>
      </c>
      <c r="I367" s="3" t="s">
        <v>1775</v>
      </c>
      <c r="J367" s="3" t="s">
        <v>2085</v>
      </c>
      <c r="K367" s="3"/>
      <c r="L367" s="3"/>
      <c r="M367" s="3" t="s">
        <v>508</v>
      </c>
      <c r="N367" s="3" t="s">
        <v>1359</v>
      </c>
      <c r="O367" s="3" t="s">
        <v>508</v>
      </c>
      <c r="P367" s="3" t="s">
        <v>1820</v>
      </c>
      <c r="Q367" s="3" t="s">
        <v>670</v>
      </c>
      <c r="R367" s="5">
        <v>45278</v>
      </c>
      <c r="S367" s="6">
        <v>3408.78</v>
      </c>
      <c r="T367" s="7">
        <v>0</v>
      </c>
    </row>
    <row r="368" s="1" customFormat="1" spans="1:20">
      <c r="A368" s="3" t="s">
        <v>2015</v>
      </c>
      <c r="B368" s="3" t="s">
        <v>1375</v>
      </c>
      <c r="C368" s="3" t="s">
        <v>1768</v>
      </c>
      <c r="D368" s="3" t="s">
        <v>1355</v>
      </c>
      <c r="E368" s="3" t="s">
        <v>1356</v>
      </c>
      <c r="F368" s="3" t="s">
        <v>922</v>
      </c>
      <c r="G368" s="3" t="s">
        <v>1822</v>
      </c>
      <c r="H368" s="3" t="s">
        <v>1770</v>
      </c>
      <c r="I368" s="3" t="s">
        <v>1775</v>
      </c>
      <c r="J368" s="3" t="s">
        <v>2085</v>
      </c>
      <c r="K368" s="3"/>
      <c r="L368" s="3"/>
      <c r="M368" s="3" t="s">
        <v>521</v>
      </c>
      <c r="N368" s="3" t="s">
        <v>1376</v>
      </c>
      <c r="O368" s="3" t="s">
        <v>521</v>
      </c>
      <c r="P368" s="3" t="s">
        <v>1820</v>
      </c>
      <c r="Q368" s="3" t="s">
        <v>670</v>
      </c>
      <c r="R368" s="5">
        <v>45450</v>
      </c>
      <c r="S368" s="6">
        <v>800</v>
      </c>
      <c r="T368" s="7">
        <v>0</v>
      </c>
    </row>
    <row r="369" s="1" customFormat="1" spans="1:20">
      <c r="A369" s="3" t="s">
        <v>2016</v>
      </c>
      <c r="B369" s="3" t="s">
        <v>1366</v>
      </c>
      <c r="C369" s="3" t="s">
        <v>1768</v>
      </c>
      <c r="D369" s="3" t="s">
        <v>1355</v>
      </c>
      <c r="E369" s="3" t="s">
        <v>1356</v>
      </c>
      <c r="F369" s="3" t="s">
        <v>1368</v>
      </c>
      <c r="G369" s="3" t="s">
        <v>1822</v>
      </c>
      <c r="H369" s="3" t="s">
        <v>1770</v>
      </c>
      <c r="I369" s="3" t="s">
        <v>1775</v>
      </c>
      <c r="J369" s="3" t="s">
        <v>2085</v>
      </c>
      <c r="K369" s="3"/>
      <c r="L369" s="3"/>
      <c r="M369" s="3" t="s">
        <v>521</v>
      </c>
      <c r="N369" s="3" t="s">
        <v>1367</v>
      </c>
      <c r="O369" s="3" t="s">
        <v>521</v>
      </c>
      <c r="P369" s="3" t="s">
        <v>1820</v>
      </c>
      <c r="Q369" s="3" t="s">
        <v>670</v>
      </c>
      <c r="R369" s="5">
        <v>45394</v>
      </c>
      <c r="S369" s="6">
        <v>688.77</v>
      </c>
      <c r="T369" s="7">
        <v>0</v>
      </c>
    </row>
    <row r="370" s="1" customFormat="1" spans="1:20">
      <c r="A370" s="3" t="s">
        <v>2017</v>
      </c>
      <c r="B370" s="3" t="s">
        <v>1369</v>
      </c>
      <c r="C370" s="3" t="s">
        <v>1768</v>
      </c>
      <c r="D370" s="3" t="s">
        <v>1355</v>
      </c>
      <c r="E370" s="3" t="s">
        <v>1356</v>
      </c>
      <c r="F370" s="3" t="s">
        <v>1371</v>
      </c>
      <c r="G370" s="3" t="s">
        <v>1822</v>
      </c>
      <c r="H370" s="3" t="s">
        <v>1770</v>
      </c>
      <c r="I370" s="3" t="s">
        <v>1775</v>
      </c>
      <c r="J370" s="3" t="s">
        <v>2085</v>
      </c>
      <c r="K370" s="3"/>
      <c r="L370" s="3"/>
      <c r="M370" s="3" t="s">
        <v>521</v>
      </c>
      <c r="N370" s="3" t="s">
        <v>1370</v>
      </c>
      <c r="O370" s="3" t="s">
        <v>521</v>
      </c>
      <c r="P370" s="3" t="s">
        <v>1820</v>
      </c>
      <c r="Q370" s="3" t="s">
        <v>670</v>
      </c>
      <c r="R370" s="5">
        <v>45423</v>
      </c>
      <c r="S370" s="6">
        <v>690.54</v>
      </c>
      <c r="T370" s="7">
        <v>0</v>
      </c>
    </row>
    <row r="371" s="1" customFormat="1" spans="1:20">
      <c r="A371" s="3" t="s">
        <v>2018</v>
      </c>
      <c r="B371" s="3" t="s">
        <v>1372</v>
      </c>
      <c r="C371" s="3" t="s">
        <v>1768</v>
      </c>
      <c r="D371" s="3" t="s">
        <v>1355</v>
      </c>
      <c r="E371" s="3" t="s">
        <v>1356</v>
      </c>
      <c r="F371" s="3" t="s">
        <v>1374</v>
      </c>
      <c r="G371" s="3" t="s">
        <v>1822</v>
      </c>
      <c r="H371" s="3" t="s">
        <v>1770</v>
      </c>
      <c r="I371" s="3" t="s">
        <v>1775</v>
      </c>
      <c r="J371" s="3" t="s">
        <v>2085</v>
      </c>
      <c r="K371" s="3"/>
      <c r="L371" s="3"/>
      <c r="M371" s="3" t="s">
        <v>521</v>
      </c>
      <c r="N371" s="3" t="s">
        <v>1373</v>
      </c>
      <c r="O371" s="3" t="s">
        <v>521</v>
      </c>
      <c r="P371" s="3" t="s">
        <v>1820</v>
      </c>
      <c r="Q371" s="3" t="s">
        <v>670</v>
      </c>
      <c r="R371" s="5">
        <v>45423</v>
      </c>
      <c r="S371" s="6">
        <v>7634</v>
      </c>
      <c r="T371" s="7">
        <v>0</v>
      </c>
    </row>
    <row r="372" s="1" customFormat="1" spans="1:20">
      <c r="A372" s="3" t="s">
        <v>2019</v>
      </c>
      <c r="B372" s="3" t="s">
        <v>1412</v>
      </c>
      <c r="C372" s="3" t="s">
        <v>1768</v>
      </c>
      <c r="D372" s="3" t="s">
        <v>1414</v>
      </c>
      <c r="E372" s="3" t="s">
        <v>1415</v>
      </c>
      <c r="F372" s="3" t="s">
        <v>1416</v>
      </c>
      <c r="G372" s="3" t="s">
        <v>1819</v>
      </c>
      <c r="H372" s="3" t="s">
        <v>1770</v>
      </c>
      <c r="I372" s="3" t="s">
        <v>1775</v>
      </c>
      <c r="J372" s="3" t="s">
        <v>2085</v>
      </c>
      <c r="K372" s="3"/>
      <c r="L372" s="3"/>
      <c r="M372" s="3" t="s">
        <v>521</v>
      </c>
      <c r="N372" s="3" t="s">
        <v>1413</v>
      </c>
      <c r="O372" s="3" t="s">
        <v>521</v>
      </c>
      <c r="P372" s="3" t="s">
        <v>1820</v>
      </c>
      <c r="Q372" s="3" t="s">
        <v>647</v>
      </c>
      <c r="R372" s="5">
        <v>45371</v>
      </c>
      <c r="S372" s="6">
        <v>2442.48</v>
      </c>
      <c r="T372" s="7">
        <v>0</v>
      </c>
    </row>
    <row r="373" s="1" customFormat="1" spans="1:20">
      <c r="A373" s="3" t="s">
        <v>2020</v>
      </c>
      <c r="B373" s="3" t="s">
        <v>1417</v>
      </c>
      <c r="C373" s="3" t="s">
        <v>1768</v>
      </c>
      <c r="D373" s="3" t="s">
        <v>1414</v>
      </c>
      <c r="E373" s="3" t="s">
        <v>1415</v>
      </c>
      <c r="F373" s="3" t="s">
        <v>1419</v>
      </c>
      <c r="G373" s="3" t="s">
        <v>1819</v>
      </c>
      <c r="H373" s="3" t="s">
        <v>1770</v>
      </c>
      <c r="I373" s="3" t="s">
        <v>1775</v>
      </c>
      <c r="J373" s="3" t="s">
        <v>2085</v>
      </c>
      <c r="K373" s="3"/>
      <c r="L373" s="3"/>
      <c r="M373" s="3" t="s">
        <v>521</v>
      </c>
      <c r="N373" s="3" t="s">
        <v>1418</v>
      </c>
      <c r="O373" s="3" t="s">
        <v>521</v>
      </c>
      <c r="P373" s="3" t="s">
        <v>1820</v>
      </c>
      <c r="Q373" s="3" t="s">
        <v>647</v>
      </c>
      <c r="R373" s="5">
        <v>45371</v>
      </c>
      <c r="S373" s="6">
        <v>41592.92</v>
      </c>
      <c r="T373" s="7">
        <v>0</v>
      </c>
    </row>
    <row r="374" s="1" customFormat="1" spans="1:20">
      <c r="A374" s="3" t="s">
        <v>2021</v>
      </c>
      <c r="B374" s="3" t="s">
        <v>1425</v>
      </c>
      <c r="C374" s="3" t="s">
        <v>1768</v>
      </c>
      <c r="D374" s="3" t="s">
        <v>1414</v>
      </c>
      <c r="E374" s="3" t="s">
        <v>1415</v>
      </c>
      <c r="F374" s="3" t="s">
        <v>1427</v>
      </c>
      <c r="G374" s="3" t="s">
        <v>1819</v>
      </c>
      <c r="H374" s="3" t="s">
        <v>1770</v>
      </c>
      <c r="I374" s="3" t="s">
        <v>1775</v>
      </c>
      <c r="J374" s="3" t="s">
        <v>2085</v>
      </c>
      <c r="K374" s="3"/>
      <c r="L374" s="3"/>
      <c r="M374" s="3" t="s">
        <v>521</v>
      </c>
      <c r="N374" s="3" t="s">
        <v>1426</v>
      </c>
      <c r="O374" s="3" t="s">
        <v>521</v>
      </c>
      <c r="P374" s="3" t="s">
        <v>1820</v>
      </c>
      <c r="Q374" s="3" t="s">
        <v>647</v>
      </c>
      <c r="R374" s="5">
        <v>45371</v>
      </c>
      <c r="S374" s="6">
        <v>9150.44</v>
      </c>
      <c r="T374" s="7">
        <v>0</v>
      </c>
    </row>
    <row r="375" s="1" customFormat="1" spans="1:20">
      <c r="A375" s="3" t="s">
        <v>1790</v>
      </c>
      <c r="B375" s="3" t="s">
        <v>510</v>
      </c>
      <c r="C375" s="3" t="s">
        <v>1768</v>
      </c>
      <c r="D375" s="3" t="s">
        <v>1455</v>
      </c>
      <c r="E375" s="3" t="s">
        <v>1456</v>
      </c>
      <c r="F375" s="3" t="s">
        <v>514</v>
      </c>
      <c r="G375" s="3" t="s">
        <v>1819</v>
      </c>
      <c r="H375" s="3" t="s">
        <v>1770</v>
      </c>
      <c r="I375" s="3" t="s">
        <v>1775</v>
      </c>
      <c r="J375" s="3" t="s">
        <v>2085</v>
      </c>
      <c r="K375" s="3"/>
      <c r="L375" s="3"/>
      <c r="M375" s="3" t="s">
        <v>508</v>
      </c>
      <c r="N375" s="3" t="s">
        <v>511</v>
      </c>
      <c r="O375" s="3" t="s">
        <v>508</v>
      </c>
      <c r="P375" s="3" t="s">
        <v>1820</v>
      </c>
      <c r="Q375" s="3" t="s">
        <v>647</v>
      </c>
      <c r="R375" s="5">
        <v>45207</v>
      </c>
      <c r="S375" s="6">
        <v>764150.94</v>
      </c>
      <c r="T375" s="7">
        <v>0</v>
      </c>
    </row>
    <row r="376" s="1" customFormat="1" spans="1:20">
      <c r="A376" s="3" t="s">
        <v>2022</v>
      </c>
      <c r="B376" s="3" t="s">
        <v>1469</v>
      </c>
      <c r="C376" s="3" t="s">
        <v>1768</v>
      </c>
      <c r="D376" s="3" t="s">
        <v>1471</v>
      </c>
      <c r="E376" s="3" t="s">
        <v>1472</v>
      </c>
      <c r="F376" s="3" t="s">
        <v>124</v>
      </c>
      <c r="G376" s="3" t="s">
        <v>1819</v>
      </c>
      <c r="H376" s="3" t="s">
        <v>1770</v>
      </c>
      <c r="I376" s="3" t="s">
        <v>1775</v>
      </c>
      <c r="J376" s="3" t="s">
        <v>2085</v>
      </c>
      <c r="K376" s="3"/>
      <c r="L376" s="3"/>
      <c r="M376" s="3" t="s">
        <v>508</v>
      </c>
      <c r="N376" s="3" t="s">
        <v>1470</v>
      </c>
      <c r="O376" s="3" t="s">
        <v>508</v>
      </c>
      <c r="P376" s="3" t="s">
        <v>1820</v>
      </c>
      <c r="Q376" s="3" t="s">
        <v>647</v>
      </c>
      <c r="R376" s="5">
        <v>45223</v>
      </c>
      <c r="S376" s="6">
        <v>472680</v>
      </c>
      <c r="T376" s="7">
        <v>0</v>
      </c>
    </row>
    <row r="377" s="1" customFormat="1" spans="1:20">
      <c r="A377" s="3" t="s">
        <v>2023</v>
      </c>
      <c r="B377" s="3" t="s">
        <v>1473</v>
      </c>
      <c r="C377" s="3" t="s">
        <v>1768</v>
      </c>
      <c r="D377" s="3" t="s">
        <v>1471</v>
      </c>
      <c r="E377" s="3" t="s">
        <v>1472</v>
      </c>
      <c r="F377" s="3" t="s">
        <v>1475</v>
      </c>
      <c r="G377" s="3" t="s">
        <v>1819</v>
      </c>
      <c r="H377" s="3" t="s">
        <v>1770</v>
      </c>
      <c r="I377" s="3" t="s">
        <v>1775</v>
      </c>
      <c r="J377" s="3" t="s">
        <v>2085</v>
      </c>
      <c r="K377" s="3"/>
      <c r="L377" s="3"/>
      <c r="M377" s="3" t="s">
        <v>508</v>
      </c>
      <c r="N377" s="3" t="s">
        <v>1474</v>
      </c>
      <c r="O377" s="3" t="s">
        <v>508</v>
      </c>
      <c r="P377" s="3" t="s">
        <v>1820</v>
      </c>
      <c r="Q377" s="3" t="s">
        <v>647</v>
      </c>
      <c r="R377" s="5">
        <v>45279</v>
      </c>
      <c r="S377" s="6">
        <v>48750</v>
      </c>
      <c r="T377" s="7">
        <v>0</v>
      </c>
    </row>
    <row r="378" s="1" customFormat="1" spans="1:20">
      <c r="A378" s="3" t="s">
        <v>2024</v>
      </c>
      <c r="B378" s="3" t="s">
        <v>1677</v>
      </c>
      <c r="C378" s="3" t="s">
        <v>1768</v>
      </c>
      <c r="D378" s="3" t="s">
        <v>1679</v>
      </c>
      <c r="E378" s="3" t="s">
        <v>1680</v>
      </c>
      <c r="F378" s="3" t="s">
        <v>1681</v>
      </c>
      <c r="G378" s="3" t="s">
        <v>1819</v>
      </c>
      <c r="H378" s="3" t="s">
        <v>1770</v>
      </c>
      <c r="I378" s="3" t="s">
        <v>1775</v>
      </c>
      <c r="J378" s="3" t="s">
        <v>2085</v>
      </c>
      <c r="K378" s="3"/>
      <c r="L378" s="3"/>
      <c r="M378" s="3" t="s">
        <v>508</v>
      </c>
      <c r="N378" s="3" t="s">
        <v>1678</v>
      </c>
      <c r="O378" s="3" t="s">
        <v>508</v>
      </c>
      <c r="P378" s="3" t="s">
        <v>1820</v>
      </c>
      <c r="Q378" s="3" t="s">
        <v>647</v>
      </c>
      <c r="R378" s="5">
        <v>45197</v>
      </c>
      <c r="S378" s="6">
        <v>150</v>
      </c>
      <c r="T378" s="7">
        <v>0</v>
      </c>
    </row>
    <row r="379" s="1" customFormat="1" spans="1:20">
      <c r="A379" s="3" t="s">
        <v>1808</v>
      </c>
      <c r="B379" s="3" t="s">
        <v>181</v>
      </c>
      <c r="C379" s="3" t="s">
        <v>1768</v>
      </c>
      <c r="D379" s="3" t="s">
        <v>1245</v>
      </c>
      <c r="E379" s="3" t="s">
        <v>1246</v>
      </c>
      <c r="F379" s="3" t="s">
        <v>182</v>
      </c>
      <c r="G379" s="3" t="s">
        <v>1809</v>
      </c>
      <c r="H379" s="3" t="s">
        <v>1770</v>
      </c>
      <c r="I379" s="3" t="s">
        <v>1775</v>
      </c>
      <c r="J379" s="3" t="s">
        <v>2085</v>
      </c>
      <c r="K379" s="3"/>
      <c r="L379" s="3"/>
      <c r="M379" s="3" t="s">
        <v>508</v>
      </c>
      <c r="N379" s="3" t="s">
        <v>1244</v>
      </c>
      <c r="O379" s="3" t="s">
        <v>508</v>
      </c>
      <c r="P379" s="3" t="s">
        <v>1810</v>
      </c>
      <c r="Q379" s="3" t="s">
        <v>1247</v>
      </c>
      <c r="R379" s="5">
        <v>45273</v>
      </c>
      <c r="S379" s="6">
        <v>22528.3</v>
      </c>
      <c r="T379" s="7">
        <v>0</v>
      </c>
    </row>
    <row r="380" s="1" customFormat="1" spans="1:20">
      <c r="A380" s="3" t="s">
        <v>1811</v>
      </c>
      <c r="B380" s="3" t="s">
        <v>377</v>
      </c>
      <c r="C380" s="3" t="s">
        <v>1768</v>
      </c>
      <c r="D380" s="3" t="s">
        <v>1245</v>
      </c>
      <c r="E380" s="3" t="s">
        <v>1246</v>
      </c>
      <c r="F380" s="3" t="s">
        <v>378</v>
      </c>
      <c r="G380" s="3" t="s">
        <v>1809</v>
      </c>
      <c r="H380" s="3" t="s">
        <v>1770</v>
      </c>
      <c r="I380" s="3" t="s">
        <v>1775</v>
      </c>
      <c r="J380" s="3" t="s">
        <v>2085</v>
      </c>
      <c r="K380" s="3"/>
      <c r="L380" s="3"/>
      <c r="M380" s="3" t="s">
        <v>521</v>
      </c>
      <c r="N380" s="3" t="s">
        <v>1251</v>
      </c>
      <c r="O380" s="3" t="s">
        <v>521</v>
      </c>
      <c r="P380" s="3" t="s">
        <v>1810</v>
      </c>
      <c r="Q380" s="3" t="s">
        <v>1247</v>
      </c>
      <c r="R380" s="5">
        <v>45405</v>
      </c>
      <c r="S380" s="6">
        <v>127358.49</v>
      </c>
      <c r="T380" s="7">
        <v>0</v>
      </c>
    </row>
    <row r="381" s="1" customFormat="1" spans="1:20">
      <c r="A381" s="3" t="s">
        <v>1812</v>
      </c>
      <c r="B381" s="3" t="s">
        <v>1301</v>
      </c>
      <c r="C381" s="3" t="s">
        <v>1768</v>
      </c>
      <c r="D381" s="3" t="s">
        <v>1303</v>
      </c>
      <c r="E381" s="3" t="s">
        <v>1304</v>
      </c>
      <c r="F381" s="3" t="s">
        <v>95</v>
      </c>
      <c r="G381" s="3" t="s">
        <v>1809</v>
      </c>
      <c r="H381" s="3" t="s">
        <v>1770</v>
      </c>
      <c r="I381" s="3" t="s">
        <v>1775</v>
      </c>
      <c r="J381" s="3" t="s">
        <v>2085</v>
      </c>
      <c r="K381" s="3"/>
      <c r="L381" s="3"/>
      <c r="M381" s="3" t="s">
        <v>508</v>
      </c>
      <c r="N381" s="3" t="s">
        <v>1302</v>
      </c>
      <c r="O381" s="3" t="s">
        <v>508</v>
      </c>
      <c r="P381" s="3" t="s">
        <v>1810</v>
      </c>
      <c r="Q381" s="3" t="s">
        <v>1247</v>
      </c>
      <c r="R381" s="5">
        <v>45223</v>
      </c>
      <c r="S381" s="6">
        <v>197452.83</v>
      </c>
      <c r="T381" s="7">
        <v>0</v>
      </c>
    </row>
    <row r="382" s="1" customFormat="1" spans="1:20">
      <c r="A382" s="3" t="s">
        <v>1813</v>
      </c>
      <c r="B382" s="3" t="s">
        <v>1344</v>
      </c>
      <c r="C382" s="3" t="s">
        <v>1768</v>
      </c>
      <c r="D382" s="3" t="s">
        <v>1346</v>
      </c>
      <c r="E382" s="3" t="s">
        <v>1347</v>
      </c>
      <c r="F382" s="3" t="s">
        <v>1348</v>
      </c>
      <c r="G382" s="3" t="s">
        <v>1809</v>
      </c>
      <c r="H382" s="3" t="s">
        <v>1770</v>
      </c>
      <c r="I382" s="3" t="s">
        <v>1775</v>
      </c>
      <c r="J382" s="3" t="s">
        <v>2085</v>
      </c>
      <c r="K382" s="3"/>
      <c r="L382" s="3"/>
      <c r="M382" s="3" t="s">
        <v>521</v>
      </c>
      <c r="N382" s="3" t="s">
        <v>1345</v>
      </c>
      <c r="O382" s="3" t="s">
        <v>521</v>
      </c>
      <c r="P382" s="3" t="s">
        <v>1810</v>
      </c>
      <c r="Q382" s="3" t="s">
        <v>1247</v>
      </c>
      <c r="R382" s="5">
        <v>45455</v>
      </c>
      <c r="S382" s="6">
        <v>376226.42</v>
      </c>
      <c r="T382" s="7">
        <v>0</v>
      </c>
    </row>
    <row r="383" s="1" customFormat="1" spans="1:20">
      <c r="A383" s="3" t="s">
        <v>1814</v>
      </c>
      <c r="B383" s="3" t="s">
        <v>1442</v>
      </c>
      <c r="C383" s="3" t="s">
        <v>1768</v>
      </c>
      <c r="D383" s="3" t="s">
        <v>1444</v>
      </c>
      <c r="E383" s="3" t="s">
        <v>1445</v>
      </c>
      <c r="F383" s="3" t="s">
        <v>53</v>
      </c>
      <c r="G383" s="3" t="s">
        <v>1809</v>
      </c>
      <c r="H383" s="3" t="s">
        <v>1770</v>
      </c>
      <c r="I383" s="3" t="s">
        <v>1775</v>
      </c>
      <c r="J383" s="3" t="s">
        <v>2085</v>
      </c>
      <c r="K383" s="3"/>
      <c r="L383" s="3"/>
      <c r="M383" s="3" t="s">
        <v>508</v>
      </c>
      <c r="N383" s="3" t="s">
        <v>1443</v>
      </c>
      <c r="O383" s="3" t="s">
        <v>508</v>
      </c>
      <c r="P383" s="3" t="s">
        <v>1810</v>
      </c>
      <c r="Q383" s="3" t="s">
        <v>1247</v>
      </c>
      <c r="R383" s="5">
        <v>45223</v>
      </c>
      <c r="S383" s="6">
        <v>320754.72</v>
      </c>
      <c r="T383" s="7">
        <v>0</v>
      </c>
    </row>
    <row r="384" s="1" customFormat="1" spans="1:20">
      <c r="A384" s="3" t="s">
        <v>1815</v>
      </c>
      <c r="B384" s="3" t="s">
        <v>352</v>
      </c>
      <c r="C384" s="3" t="s">
        <v>1768</v>
      </c>
      <c r="D384" s="3" t="s">
        <v>1444</v>
      </c>
      <c r="E384" s="3" t="s">
        <v>1445</v>
      </c>
      <c r="F384" s="3" t="s">
        <v>353</v>
      </c>
      <c r="G384" s="3" t="s">
        <v>1809</v>
      </c>
      <c r="H384" s="3" t="s">
        <v>1770</v>
      </c>
      <c r="I384" s="3" t="s">
        <v>1775</v>
      </c>
      <c r="J384" s="3" t="s">
        <v>2085</v>
      </c>
      <c r="K384" s="3"/>
      <c r="L384" s="3"/>
      <c r="M384" s="3" t="s">
        <v>521</v>
      </c>
      <c r="N384" s="3" t="s">
        <v>1449</v>
      </c>
      <c r="O384" s="3" t="s">
        <v>521</v>
      </c>
      <c r="P384" s="3" t="s">
        <v>1810</v>
      </c>
      <c r="Q384" s="3" t="s">
        <v>1247</v>
      </c>
      <c r="R384" s="5">
        <v>45362</v>
      </c>
      <c r="S384" s="6">
        <v>914728.77</v>
      </c>
      <c r="T384" s="7">
        <v>0</v>
      </c>
    </row>
    <row r="385" s="1" customFormat="1" spans="1:20">
      <c r="A385" s="3" t="s">
        <v>1816</v>
      </c>
      <c r="B385" s="3" t="s">
        <v>371</v>
      </c>
      <c r="C385" s="3" t="s">
        <v>1768</v>
      </c>
      <c r="D385" s="3" t="s">
        <v>1444</v>
      </c>
      <c r="E385" s="3" t="s">
        <v>1445</v>
      </c>
      <c r="F385" s="3" t="s">
        <v>372</v>
      </c>
      <c r="G385" s="3" t="s">
        <v>1809</v>
      </c>
      <c r="H385" s="3" t="s">
        <v>1770</v>
      </c>
      <c r="I385" s="3" t="s">
        <v>1775</v>
      </c>
      <c r="J385" s="3" t="s">
        <v>2085</v>
      </c>
      <c r="K385" s="3"/>
      <c r="L385" s="3"/>
      <c r="M385" s="3" t="s">
        <v>521</v>
      </c>
      <c r="N385" s="3" t="s">
        <v>1450</v>
      </c>
      <c r="O385" s="3" t="s">
        <v>521</v>
      </c>
      <c r="P385" s="3" t="s">
        <v>1810</v>
      </c>
      <c r="Q385" s="3" t="s">
        <v>1247</v>
      </c>
      <c r="R385" s="5">
        <v>45405</v>
      </c>
      <c r="S385" s="6">
        <v>241813.68</v>
      </c>
      <c r="T385" s="7">
        <v>0</v>
      </c>
    </row>
    <row r="386" s="1" customFormat="1" spans="1:20">
      <c r="A386" s="3" t="s">
        <v>1797</v>
      </c>
      <c r="B386" s="3" t="s">
        <v>406</v>
      </c>
      <c r="C386" s="3" t="s">
        <v>1768</v>
      </c>
      <c r="D386" s="3" t="s">
        <v>1455</v>
      </c>
      <c r="E386" s="3" t="s">
        <v>1456</v>
      </c>
      <c r="F386" s="3" t="s">
        <v>407</v>
      </c>
      <c r="G386" s="3" t="s">
        <v>1809</v>
      </c>
      <c r="H386" s="3" t="s">
        <v>1770</v>
      </c>
      <c r="I386" s="3" t="s">
        <v>1775</v>
      </c>
      <c r="J386" s="3" t="s">
        <v>2085</v>
      </c>
      <c r="K386" s="3"/>
      <c r="L386" s="3"/>
      <c r="M386" s="3" t="s">
        <v>521</v>
      </c>
      <c r="N386" s="3" t="s">
        <v>563</v>
      </c>
      <c r="O386" s="3" t="s">
        <v>521</v>
      </c>
      <c r="P386" s="3" t="s">
        <v>1810</v>
      </c>
      <c r="Q386" s="3" t="s">
        <v>1247</v>
      </c>
      <c r="R386" s="5">
        <v>45433</v>
      </c>
      <c r="S386" s="6">
        <v>198113.21</v>
      </c>
      <c r="T386" s="7">
        <v>0</v>
      </c>
    </row>
    <row r="387" s="1" customFormat="1" spans="1:20">
      <c r="A387" s="3" t="s">
        <v>1817</v>
      </c>
      <c r="B387" s="3" t="s">
        <v>1462</v>
      </c>
      <c r="C387" s="3" t="s">
        <v>1768</v>
      </c>
      <c r="D387" s="3" t="s">
        <v>1464</v>
      </c>
      <c r="E387" s="3" t="s">
        <v>1465</v>
      </c>
      <c r="F387" s="3" t="s">
        <v>382</v>
      </c>
      <c r="G387" s="3" t="s">
        <v>1809</v>
      </c>
      <c r="H387" s="3" t="s">
        <v>1770</v>
      </c>
      <c r="I387" s="3" t="s">
        <v>1775</v>
      </c>
      <c r="J387" s="3" t="s">
        <v>2085</v>
      </c>
      <c r="K387" s="3"/>
      <c r="L387" s="3"/>
      <c r="M387" s="3" t="s">
        <v>521</v>
      </c>
      <c r="N387" s="3" t="s">
        <v>1463</v>
      </c>
      <c r="O387" s="3" t="s">
        <v>521</v>
      </c>
      <c r="P387" s="3" t="s">
        <v>1810</v>
      </c>
      <c r="Q387" s="3" t="s">
        <v>1247</v>
      </c>
      <c r="R387" s="5">
        <v>45405</v>
      </c>
      <c r="S387" s="6">
        <v>149900.94</v>
      </c>
      <c r="T387" s="7">
        <v>0</v>
      </c>
    </row>
    <row r="388" s="1" customFormat="1" spans="1:20">
      <c r="A388" s="3" t="s">
        <v>1795</v>
      </c>
      <c r="B388" s="3" t="s">
        <v>548</v>
      </c>
      <c r="C388" s="3" t="s">
        <v>1768</v>
      </c>
      <c r="D388" s="3" t="s">
        <v>545</v>
      </c>
      <c r="E388" s="3" t="s">
        <v>546</v>
      </c>
      <c r="F388" s="3" t="s">
        <v>43</v>
      </c>
      <c r="G388" s="3" t="s">
        <v>1800</v>
      </c>
      <c r="H388" s="3" t="s">
        <v>1770</v>
      </c>
      <c r="I388" s="3" t="s">
        <v>1775</v>
      </c>
      <c r="J388" s="3" t="s">
        <v>2088</v>
      </c>
      <c r="K388" s="3"/>
      <c r="L388" s="3"/>
      <c r="M388" s="3" t="s">
        <v>508</v>
      </c>
      <c r="N388" s="3" t="s">
        <v>549</v>
      </c>
      <c r="O388" s="3" t="s">
        <v>508</v>
      </c>
      <c r="P388" s="3" t="s">
        <v>550</v>
      </c>
      <c r="Q388" s="3" t="s">
        <v>550</v>
      </c>
      <c r="R388" s="5">
        <v>45265</v>
      </c>
      <c r="S388" s="6">
        <v>9877809.73</v>
      </c>
      <c r="T388" s="7">
        <v>0</v>
      </c>
    </row>
    <row r="389" s="1" customFormat="1" spans="1:20">
      <c r="A389" s="3" t="s">
        <v>1796</v>
      </c>
      <c r="B389" s="3" t="s">
        <v>551</v>
      </c>
      <c r="C389" s="3" t="s">
        <v>1768</v>
      </c>
      <c r="D389" s="3" t="s">
        <v>545</v>
      </c>
      <c r="E389" s="3" t="s">
        <v>546</v>
      </c>
      <c r="F389" s="3" t="s">
        <v>553</v>
      </c>
      <c r="G389" s="3" t="s">
        <v>1800</v>
      </c>
      <c r="H389" s="3" t="s">
        <v>1770</v>
      </c>
      <c r="I389" s="3" t="s">
        <v>1775</v>
      </c>
      <c r="J389" s="3" t="s">
        <v>2088</v>
      </c>
      <c r="K389" s="3"/>
      <c r="L389" s="3"/>
      <c r="M389" s="3" t="s">
        <v>508</v>
      </c>
      <c r="N389" s="3" t="s">
        <v>552</v>
      </c>
      <c r="O389" s="3" t="s">
        <v>508</v>
      </c>
      <c r="P389" s="3" t="s">
        <v>550</v>
      </c>
      <c r="Q389" s="3" t="s">
        <v>550</v>
      </c>
      <c r="R389" s="5">
        <v>45280</v>
      </c>
      <c r="S389" s="6">
        <v>3170698.41</v>
      </c>
      <c r="T389" s="7">
        <v>0</v>
      </c>
    </row>
    <row r="390" s="1" customFormat="1" spans="1:20">
      <c r="A390" s="3" t="s">
        <v>1801</v>
      </c>
      <c r="B390" s="3" t="s">
        <v>559</v>
      </c>
      <c r="C390" s="3" t="s">
        <v>1768</v>
      </c>
      <c r="D390" s="3" t="s">
        <v>545</v>
      </c>
      <c r="E390" s="3" t="s">
        <v>546</v>
      </c>
      <c r="F390" s="3" t="s">
        <v>561</v>
      </c>
      <c r="G390" s="3" t="s">
        <v>1800</v>
      </c>
      <c r="H390" s="3" t="s">
        <v>1770</v>
      </c>
      <c r="I390" s="3" t="s">
        <v>1775</v>
      </c>
      <c r="J390" s="3" t="s">
        <v>2088</v>
      </c>
      <c r="K390" s="3"/>
      <c r="L390" s="3"/>
      <c r="M390" s="3" t="s">
        <v>508</v>
      </c>
      <c r="N390" s="3" t="s">
        <v>560</v>
      </c>
      <c r="O390" s="3" t="s">
        <v>508</v>
      </c>
      <c r="P390" s="3" t="s">
        <v>550</v>
      </c>
      <c r="Q390" s="3" t="s">
        <v>550</v>
      </c>
      <c r="R390" s="5">
        <v>45246</v>
      </c>
      <c r="S390" s="6">
        <v>11222091.93</v>
      </c>
      <c r="T390" s="7">
        <v>0</v>
      </c>
    </row>
    <row r="391" s="1" customFormat="1" spans="1:20">
      <c r="A391" s="3" t="s">
        <v>1802</v>
      </c>
      <c r="B391" s="3" t="s">
        <v>568</v>
      </c>
      <c r="C391" s="3" t="s">
        <v>1768</v>
      </c>
      <c r="D391" s="3" t="s">
        <v>566</v>
      </c>
      <c r="E391" s="3" t="s">
        <v>567</v>
      </c>
      <c r="F391" s="3" t="s">
        <v>570</v>
      </c>
      <c r="G391" s="3" t="s">
        <v>1800</v>
      </c>
      <c r="H391" s="3" t="s">
        <v>1770</v>
      </c>
      <c r="I391" s="3" t="s">
        <v>1775</v>
      </c>
      <c r="J391" s="3" t="s">
        <v>2088</v>
      </c>
      <c r="K391" s="3"/>
      <c r="L391" s="3"/>
      <c r="M391" s="3" t="s">
        <v>508</v>
      </c>
      <c r="N391" s="3" t="s">
        <v>569</v>
      </c>
      <c r="O391" s="3" t="s">
        <v>508</v>
      </c>
      <c r="P391" s="3" t="s">
        <v>550</v>
      </c>
      <c r="Q391" s="3" t="s">
        <v>550</v>
      </c>
      <c r="R391" s="5">
        <v>45250</v>
      </c>
      <c r="S391" s="6">
        <v>12303071.5</v>
      </c>
      <c r="T391" s="7">
        <v>0</v>
      </c>
    </row>
    <row r="392" s="1" customFormat="1" spans="1:20">
      <c r="A392" s="3" t="s">
        <v>1803</v>
      </c>
      <c r="B392" s="3" t="s">
        <v>476</v>
      </c>
      <c r="C392" s="3" t="s">
        <v>1768</v>
      </c>
      <c r="D392" s="3" t="s">
        <v>580</v>
      </c>
      <c r="E392" s="3" t="s">
        <v>581</v>
      </c>
      <c r="F392" s="3" t="s">
        <v>477</v>
      </c>
      <c r="G392" s="3" t="s">
        <v>1800</v>
      </c>
      <c r="H392" s="3" t="s">
        <v>1770</v>
      </c>
      <c r="I392" s="3" t="s">
        <v>1775</v>
      </c>
      <c r="J392" s="3" t="s">
        <v>2088</v>
      </c>
      <c r="K392" s="3"/>
      <c r="L392" s="3"/>
      <c r="M392" s="3" t="s">
        <v>521</v>
      </c>
      <c r="N392" s="3" t="s">
        <v>579</v>
      </c>
      <c r="O392" s="3" t="s">
        <v>521</v>
      </c>
      <c r="P392" s="3" t="s">
        <v>550</v>
      </c>
      <c r="Q392" s="3" t="s">
        <v>550</v>
      </c>
      <c r="R392" s="5">
        <v>45461</v>
      </c>
      <c r="S392" s="6">
        <v>1850748.14</v>
      </c>
      <c r="T392" s="7">
        <v>0</v>
      </c>
    </row>
    <row r="393" s="1" customFormat="1" spans="1:20">
      <c r="A393" s="3" t="s">
        <v>1804</v>
      </c>
      <c r="B393" s="3" t="s">
        <v>582</v>
      </c>
      <c r="C393" s="3" t="s">
        <v>1768</v>
      </c>
      <c r="D393" s="3" t="s">
        <v>584</v>
      </c>
      <c r="E393" s="3" t="s">
        <v>585</v>
      </c>
      <c r="F393" s="3" t="s">
        <v>73</v>
      </c>
      <c r="G393" s="3" t="s">
        <v>1800</v>
      </c>
      <c r="H393" s="3" t="s">
        <v>1770</v>
      </c>
      <c r="I393" s="3" t="s">
        <v>1775</v>
      </c>
      <c r="J393" s="3" t="s">
        <v>2088</v>
      </c>
      <c r="K393" s="3"/>
      <c r="L393" s="3"/>
      <c r="M393" s="3" t="s">
        <v>508</v>
      </c>
      <c r="N393" s="3" t="s">
        <v>583</v>
      </c>
      <c r="O393" s="3" t="s">
        <v>508</v>
      </c>
      <c r="P393" s="3" t="s">
        <v>550</v>
      </c>
      <c r="Q393" s="3" t="s">
        <v>550</v>
      </c>
      <c r="R393" s="5">
        <v>45239</v>
      </c>
      <c r="S393" s="6">
        <v>994777.12</v>
      </c>
      <c r="T393" s="7">
        <v>0</v>
      </c>
    </row>
    <row r="394" s="1" customFormat="1" spans="1:20">
      <c r="A394" s="3" t="s">
        <v>1804</v>
      </c>
      <c r="B394" s="3" t="s">
        <v>582</v>
      </c>
      <c r="C394" s="3" t="s">
        <v>1768</v>
      </c>
      <c r="D394" s="3" t="s">
        <v>584</v>
      </c>
      <c r="E394" s="3" t="s">
        <v>585</v>
      </c>
      <c r="F394" s="3" t="s">
        <v>73</v>
      </c>
      <c r="G394" s="3" t="s">
        <v>1800</v>
      </c>
      <c r="H394" s="3" t="s">
        <v>1770</v>
      </c>
      <c r="I394" s="3" t="s">
        <v>1775</v>
      </c>
      <c r="J394" s="3" t="s">
        <v>2088</v>
      </c>
      <c r="K394" s="3"/>
      <c r="L394" s="3"/>
      <c r="M394" s="3" t="s">
        <v>508</v>
      </c>
      <c r="N394" s="3" t="s">
        <v>583</v>
      </c>
      <c r="O394" s="3" t="s">
        <v>508</v>
      </c>
      <c r="P394" s="3" t="s">
        <v>550</v>
      </c>
      <c r="Q394" s="3" t="s">
        <v>550</v>
      </c>
      <c r="R394" s="5">
        <v>45239</v>
      </c>
      <c r="S394" s="6">
        <v>994777.12</v>
      </c>
      <c r="T394" s="7">
        <v>0</v>
      </c>
    </row>
    <row r="395" s="1" customFormat="1" spans="1:20">
      <c r="A395" s="3" t="s">
        <v>1804</v>
      </c>
      <c r="B395" s="3" t="s">
        <v>582</v>
      </c>
      <c r="C395" s="3" t="s">
        <v>1768</v>
      </c>
      <c r="D395" s="3" t="s">
        <v>584</v>
      </c>
      <c r="E395" s="3" t="s">
        <v>585</v>
      </c>
      <c r="F395" s="3" t="s">
        <v>73</v>
      </c>
      <c r="G395" s="3" t="s">
        <v>1800</v>
      </c>
      <c r="H395" s="3" t="s">
        <v>1770</v>
      </c>
      <c r="I395" s="3" t="s">
        <v>1775</v>
      </c>
      <c r="J395" s="3" t="s">
        <v>2088</v>
      </c>
      <c r="K395" s="3"/>
      <c r="L395" s="3"/>
      <c r="M395" s="3" t="s">
        <v>508</v>
      </c>
      <c r="N395" s="3" t="s">
        <v>583</v>
      </c>
      <c r="O395" s="3" t="s">
        <v>508</v>
      </c>
      <c r="P395" s="3" t="s">
        <v>550</v>
      </c>
      <c r="Q395" s="3" t="s">
        <v>550</v>
      </c>
      <c r="R395" s="5">
        <v>45239</v>
      </c>
      <c r="S395" s="6">
        <v>994777.12</v>
      </c>
      <c r="T395" s="7">
        <v>0</v>
      </c>
    </row>
    <row r="396" s="1" customFormat="1" spans="1:20">
      <c r="A396" s="3" t="s">
        <v>1804</v>
      </c>
      <c r="B396" s="3" t="s">
        <v>582</v>
      </c>
      <c r="C396" s="3" t="s">
        <v>1768</v>
      </c>
      <c r="D396" s="3" t="s">
        <v>584</v>
      </c>
      <c r="E396" s="3" t="s">
        <v>585</v>
      </c>
      <c r="F396" s="3" t="s">
        <v>73</v>
      </c>
      <c r="G396" s="3" t="s">
        <v>1800</v>
      </c>
      <c r="H396" s="3" t="s">
        <v>1770</v>
      </c>
      <c r="I396" s="3" t="s">
        <v>1775</v>
      </c>
      <c r="J396" s="3" t="s">
        <v>2088</v>
      </c>
      <c r="K396" s="3"/>
      <c r="L396" s="3"/>
      <c r="M396" s="3" t="s">
        <v>508</v>
      </c>
      <c r="N396" s="3" t="s">
        <v>583</v>
      </c>
      <c r="O396" s="3" t="s">
        <v>508</v>
      </c>
      <c r="P396" s="3" t="s">
        <v>550</v>
      </c>
      <c r="Q396" s="3" t="s">
        <v>550</v>
      </c>
      <c r="R396" s="5">
        <v>45239</v>
      </c>
      <c r="S396" s="6">
        <v>994777.12</v>
      </c>
      <c r="T396" s="7">
        <v>0</v>
      </c>
    </row>
    <row r="397" s="1" customFormat="1" spans="1:20">
      <c r="A397" s="3" t="s">
        <v>1804</v>
      </c>
      <c r="B397" s="3" t="s">
        <v>582</v>
      </c>
      <c r="C397" s="3" t="s">
        <v>1768</v>
      </c>
      <c r="D397" s="3" t="s">
        <v>584</v>
      </c>
      <c r="E397" s="3" t="s">
        <v>585</v>
      </c>
      <c r="F397" s="3" t="s">
        <v>73</v>
      </c>
      <c r="G397" s="3" t="s">
        <v>1800</v>
      </c>
      <c r="H397" s="3" t="s">
        <v>1770</v>
      </c>
      <c r="I397" s="3" t="s">
        <v>1775</v>
      </c>
      <c r="J397" s="3" t="s">
        <v>2088</v>
      </c>
      <c r="K397" s="3"/>
      <c r="L397" s="3"/>
      <c r="M397" s="3" t="s">
        <v>508</v>
      </c>
      <c r="N397" s="3" t="s">
        <v>583</v>
      </c>
      <c r="O397" s="3" t="s">
        <v>508</v>
      </c>
      <c r="P397" s="3" t="s">
        <v>550</v>
      </c>
      <c r="Q397" s="3" t="s">
        <v>550</v>
      </c>
      <c r="R397" s="5">
        <v>45239</v>
      </c>
      <c r="S397" s="6">
        <v>994777.12</v>
      </c>
      <c r="T397" s="7">
        <v>0</v>
      </c>
    </row>
    <row r="398" s="1" customFormat="1" spans="1:20">
      <c r="A398" s="3" t="s">
        <v>1804</v>
      </c>
      <c r="B398" s="3" t="s">
        <v>582</v>
      </c>
      <c r="C398" s="3" t="s">
        <v>1768</v>
      </c>
      <c r="D398" s="3" t="s">
        <v>584</v>
      </c>
      <c r="E398" s="3" t="s">
        <v>585</v>
      </c>
      <c r="F398" s="3" t="s">
        <v>73</v>
      </c>
      <c r="G398" s="3" t="s">
        <v>1800</v>
      </c>
      <c r="H398" s="3" t="s">
        <v>1770</v>
      </c>
      <c r="I398" s="3" t="s">
        <v>1775</v>
      </c>
      <c r="J398" s="3" t="s">
        <v>2088</v>
      </c>
      <c r="K398" s="3"/>
      <c r="L398" s="3"/>
      <c r="M398" s="3" t="s">
        <v>508</v>
      </c>
      <c r="N398" s="3" t="s">
        <v>583</v>
      </c>
      <c r="O398" s="3" t="s">
        <v>508</v>
      </c>
      <c r="P398" s="3" t="s">
        <v>550</v>
      </c>
      <c r="Q398" s="3" t="s">
        <v>550</v>
      </c>
      <c r="R398" s="5">
        <v>45239</v>
      </c>
      <c r="S398" s="6">
        <v>740299.29</v>
      </c>
      <c r="T398" s="7">
        <v>0</v>
      </c>
    </row>
    <row r="399" s="1" customFormat="1" spans="1:20">
      <c r="A399" s="3" t="s">
        <v>1804</v>
      </c>
      <c r="B399" s="3" t="s">
        <v>582</v>
      </c>
      <c r="C399" s="3" t="s">
        <v>1768</v>
      </c>
      <c r="D399" s="3" t="s">
        <v>584</v>
      </c>
      <c r="E399" s="3" t="s">
        <v>585</v>
      </c>
      <c r="F399" s="3" t="s">
        <v>73</v>
      </c>
      <c r="G399" s="3" t="s">
        <v>1800</v>
      </c>
      <c r="H399" s="3" t="s">
        <v>1770</v>
      </c>
      <c r="I399" s="3" t="s">
        <v>1775</v>
      </c>
      <c r="J399" s="3" t="s">
        <v>2088</v>
      </c>
      <c r="K399" s="3"/>
      <c r="L399" s="3"/>
      <c r="M399" s="3" t="s">
        <v>508</v>
      </c>
      <c r="N399" s="3" t="s">
        <v>583</v>
      </c>
      <c r="O399" s="3" t="s">
        <v>508</v>
      </c>
      <c r="P399" s="3" t="s">
        <v>550</v>
      </c>
      <c r="Q399" s="3" t="s">
        <v>550</v>
      </c>
      <c r="R399" s="5">
        <v>45239</v>
      </c>
      <c r="S399" s="6">
        <v>994777.12</v>
      </c>
      <c r="T399" s="7">
        <v>0</v>
      </c>
    </row>
    <row r="400" s="1" customFormat="1" spans="1:20">
      <c r="A400" s="3" t="s">
        <v>1804</v>
      </c>
      <c r="B400" s="3" t="s">
        <v>582</v>
      </c>
      <c r="C400" s="3" t="s">
        <v>1768</v>
      </c>
      <c r="D400" s="3" t="s">
        <v>584</v>
      </c>
      <c r="E400" s="3" t="s">
        <v>585</v>
      </c>
      <c r="F400" s="3" t="s">
        <v>73</v>
      </c>
      <c r="G400" s="3" t="s">
        <v>1800</v>
      </c>
      <c r="H400" s="3" t="s">
        <v>1770</v>
      </c>
      <c r="I400" s="3" t="s">
        <v>1775</v>
      </c>
      <c r="J400" s="3" t="s">
        <v>2088</v>
      </c>
      <c r="K400" s="3"/>
      <c r="L400" s="3"/>
      <c r="M400" s="3" t="s">
        <v>508</v>
      </c>
      <c r="N400" s="3" t="s">
        <v>583</v>
      </c>
      <c r="O400" s="3" t="s">
        <v>508</v>
      </c>
      <c r="P400" s="3" t="s">
        <v>550</v>
      </c>
      <c r="Q400" s="3" t="s">
        <v>550</v>
      </c>
      <c r="R400" s="5">
        <v>45239</v>
      </c>
      <c r="S400" s="6">
        <v>994777.12</v>
      </c>
      <c r="T400" s="7">
        <v>0</v>
      </c>
    </row>
    <row r="401" s="1" customFormat="1" spans="1:20">
      <c r="A401" s="3" t="s">
        <v>1804</v>
      </c>
      <c r="B401" s="3" t="s">
        <v>582</v>
      </c>
      <c r="C401" s="3" t="s">
        <v>1768</v>
      </c>
      <c r="D401" s="3" t="s">
        <v>584</v>
      </c>
      <c r="E401" s="3" t="s">
        <v>585</v>
      </c>
      <c r="F401" s="3" t="s">
        <v>73</v>
      </c>
      <c r="G401" s="3" t="s">
        <v>1800</v>
      </c>
      <c r="H401" s="3" t="s">
        <v>1770</v>
      </c>
      <c r="I401" s="3" t="s">
        <v>1775</v>
      </c>
      <c r="J401" s="3" t="s">
        <v>2088</v>
      </c>
      <c r="K401" s="3"/>
      <c r="L401" s="3"/>
      <c r="M401" s="3" t="s">
        <v>508</v>
      </c>
      <c r="N401" s="3" t="s">
        <v>583</v>
      </c>
      <c r="O401" s="3" t="s">
        <v>508</v>
      </c>
      <c r="P401" s="3" t="s">
        <v>550</v>
      </c>
      <c r="Q401" s="3" t="s">
        <v>550</v>
      </c>
      <c r="R401" s="5">
        <v>45239</v>
      </c>
      <c r="S401" s="6">
        <v>994777.12</v>
      </c>
      <c r="T401" s="7">
        <v>0</v>
      </c>
    </row>
    <row r="402" s="1" customFormat="1" spans="1:20">
      <c r="A402" s="3" t="s">
        <v>1804</v>
      </c>
      <c r="B402" s="3" t="s">
        <v>582</v>
      </c>
      <c r="C402" s="3" t="s">
        <v>1768</v>
      </c>
      <c r="D402" s="3" t="s">
        <v>584</v>
      </c>
      <c r="E402" s="3" t="s">
        <v>585</v>
      </c>
      <c r="F402" s="3" t="s">
        <v>73</v>
      </c>
      <c r="G402" s="3" t="s">
        <v>1800</v>
      </c>
      <c r="H402" s="3" t="s">
        <v>1770</v>
      </c>
      <c r="I402" s="3" t="s">
        <v>1775</v>
      </c>
      <c r="J402" s="3" t="s">
        <v>2088</v>
      </c>
      <c r="K402" s="3"/>
      <c r="L402" s="3"/>
      <c r="M402" s="3" t="s">
        <v>508</v>
      </c>
      <c r="N402" s="3" t="s">
        <v>583</v>
      </c>
      <c r="O402" s="3" t="s">
        <v>508</v>
      </c>
      <c r="P402" s="3" t="s">
        <v>550</v>
      </c>
      <c r="Q402" s="3" t="s">
        <v>550</v>
      </c>
      <c r="R402" s="5">
        <v>45239</v>
      </c>
      <c r="S402" s="6">
        <v>994777.12</v>
      </c>
      <c r="T402" s="7">
        <v>0</v>
      </c>
    </row>
    <row r="403" s="1" customFormat="1" spans="1:20">
      <c r="A403" s="3" t="s">
        <v>1804</v>
      </c>
      <c r="B403" s="3" t="s">
        <v>582</v>
      </c>
      <c r="C403" s="3" t="s">
        <v>1768</v>
      </c>
      <c r="D403" s="3" t="s">
        <v>584</v>
      </c>
      <c r="E403" s="3" t="s">
        <v>585</v>
      </c>
      <c r="F403" s="3" t="s">
        <v>73</v>
      </c>
      <c r="G403" s="3" t="s">
        <v>1800</v>
      </c>
      <c r="H403" s="3" t="s">
        <v>1770</v>
      </c>
      <c r="I403" s="3" t="s">
        <v>1775</v>
      </c>
      <c r="J403" s="3" t="s">
        <v>2088</v>
      </c>
      <c r="K403" s="3"/>
      <c r="L403" s="3"/>
      <c r="M403" s="3" t="s">
        <v>508</v>
      </c>
      <c r="N403" s="3" t="s">
        <v>583</v>
      </c>
      <c r="O403" s="3" t="s">
        <v>508</v>
      </c>
      <c r="P403" s="3" t="s">
        <v>550</v>
      </c>
      <c r="Q403" s="3" t="s">
        <v>550</v>
      </c>
      <c r="R403" s="5">
        <v>45239</v>
      </c>
      <c r="S403" s="6">
        <v>994777.12</v>
      </c>
      <c r="T403" s="7">
        <v>0</v>
      </c>
    </row>
    <row r="404" s="1" customFormat="1" spans="1:20">
      <c r="A404" s="3" t="s">
        <v>1804</v>
      </c>
      <c r="B404" s="3" t="s">
        <v>582</v>
      </c>
      <c r="C404" s="3" t="s">
        <v>1768</v>
      </c>
      <c r="D404" s="3" t="s">
        <v>584</v>
      </c>
      <c r="E404" s="3" t="s">
        <v>585</v>
      </c>
      <c r="F404" s="3" t="s">
        <v>73</v>
      </c>
      <c r="G404" s="3" t="s">
        <v>1800</v>
      </c>
      <c r="H404" s="3" t="s">
        <v>1770</v>
      </c>
      <c r="I404" s="3" t="s">
        <v>1775</v>
      </c>
      <c r="J404" s="3" t="s">
        <v>2088</v>
      </c>
      <c r="K404" s="3"/>
      <c r="L404" s="3"/>
      <c r="M404" s="3" t="s">
        <v>508</v>
      </c>
      <c r="N404" s="3" t="s">
        <v>583</v>
      </c>
      <c r="O404" s="3" t="s">
        <v>508</v>
      </c>
      <c r="P404" s="3" t="s">
        <v>550</v>
      </c>
      <c r="Q404" s="3" t="s">
        <v>550</v>
      </c>
      <c r="R404" s="5">
        <v>45239</v>
      </c>
      <c r="S404" s="6">
        <v>994777.12</v>
      </c>
      <c r="T404" s="7">
        <v>0</v>
      </c>
    </row>
    <row r="405" s="1" customFormat="1" spans="1:20">
      <c r="A405" s="3" t="s">
        <v>1804</v>
      </c>
      <c r="B405" s="3" t="s">
        <v>582</v>
      </c>
      <c r="C405" s="3" t="s">
        <v>1768</v>
      </c>
      <c r="D405" s="3" t="s">
        <v>584</v>
      </c>
      <c r="E405" s="3" t="s">
        <v>585</v>
      </c>
      <c r="F405" s="3" t="s">
        <v>73</v>
      </c>
      <c r="G405" s="3" t="s">
        <v>1800</v>
      </c>
      <c r="H405" s="3" t="s">
        <v>1770</v>
      </c>
      <c r="I405" s="3" t="s">
        <v>1775</v>
      </c>
      <c r="J405" s="3" t="s">
        <v>2088</v>
      </c>
      <c r="K405" s="3"/>
      <c r="L405" s="3"/>
      <c r="M405" s="3" t="s">
        <v>508</v>
      </c>
      <c r="N405" s="3" t="s">
        <v>583</v>
      </c>
      <c r="O405" s="3" t="s">
        <v>508</v>
      </c>
      <c r="P405" s="3" t="s">
        <v>550</v>
      </c>
      <c r="Q405" s="3" t="s">
        <v>550</v>
      </c>
      <c r="R405" s="5">
        <v>45239</v>
      </c>
      <c r="S405" s="6">
        <v>994777.12</v>
      </c>
      <c r="T405" s="7">
        <v>0</v>
      </c>
    </row>
    <row r="406" s="1" customFormat="1" spans="1:20">
      <c r="A406" s="3" t="s">
        <v>1804</v>
      </c>
      <c r="B406" s="3" t="s">
        <v>582</v>
      </c>
      <c r="C406" s="3" t="s">
        <v>1768</v>
      </c>
      <c r="D406" s="3" t="s">
        <v>584</v>
      </c>
      <c r="E406" s="3" t="s">
        <v>585</v>
      </c>
      <c r="F406" s="3" t="s">
        <v>73</v>
      </c>
      <c r="G406" s="3" t="s">
        <v>1800</v>
      </c>
      <c r="H406" s="3" t="s">
        <v>1770</v>
      </c>
      <c r="I406" s="3" t="s">
        <v>1775</v>
      </c>
      <c r="J406" s="3" t="s">
        <v>2088</v>
      </c>
      <c r="K406" s="3"/>
      <c r="L406" s="3"/>
      <c r="M406" s="3" t="s">
        <v>508</v>
      </c>
      <c r="N406" s="3" t="s">
        <v>583</v>
      </c>
      <c r="O406" s="3" t="s">
        <v>508</v>
      </c>
      <c r="P406" s="3" t="s">
        <v>550</v>
      </c>
      <c r="Q406" s="3" t="s">
        <v>550</v>
      </c>
      <c r="R406" s="5">
        <v>45239</v>
      </c>
      <c r="S406" s="6">
        <v>994777.12</v>
      </c>
      <c r="T406" s="7">
        <v>0</v>
      </c>
    </row>
    <row r="407" s="1" customFormat="1" spans="1:20">
      <c r="A407" s="3" t="s">
        <v>1804</v>
      </c>
      <c r="B407" s="3" t="s">
        <v>582</v>
      </c>
      <c r="C407" s="3" t="s">
        <v>1768</v>
      </c>
      <c r="D407" s="3" t="s">
        <v>584</v>
      </c>
      <c r="E407" s="3" t="s">
        <v>585</v>
      </c>
      <c r="F407" s="3" t="s">
        <v>73</v>
      </c>
      <c r="G407" s="3" t="s">
        <v>1800</v>
      </c>
      <c r="H407" s="3" t="s">
        <v>1770</v>
      </c>
      <c r="I407" s="3" t="s">
        <v>1775</v>
      </c>
      <c r="J407" s="3" t="s">
        <v>2088</v>
      </c>
      <c r="K407" s="3"/>
      <c r="L407" s="3"/>
      <c r="M407" s="3" t="s">
        <v>508</v>
      </c>
      <c r="N407" s="3" t="s">
        <v>583</v>
      </c>
      <c r="O407" s="3" t="s">
        <v>508</v>
      </c>
      <c r="P407" s="3" t="s">
        <v>550</v>
      </c>
      <c r="Q407" s="3" t="s">
        <v>550</v>
      </c>
      <c r="R407" s="5">
        <v>45239</v>
      </c>
      <c r="S407" s="6">
        <v>994777.12</v>
      </c>
      <c r="T407" s="7">
        <v>0</v>
      </c>
    </row>
    <row r="408" s="1" customFormat="1" spans="1:20">
      <c r="A408" s="3" t="s">
        <v>1804</v>
      </c>
      <c r="B408" s="3" t="s">
        <v>582</v>
      </c>
      <c r="C408" s="3" t="s">
        <v>1768</v>
      </c>
      <c r="D408" s="3" t="s">
        <v>584</v>
      </c>
      <c r="E408" s="3" t="s">
        <v>585</v>
      </c>
      <c r="F408" s="3" t="s">
        <v>73</v>
      </c>
      <c r="G408" s="3" t="s">
        <v>1800</v>
      </c>
      <c r="H408" s="3" t="s">
        <v>1770</v>
      </c>
      <c r="I408" s="3" t="s">
        <v>1775</v>
      </c>
      <c r="J408" s="3" t="s">
        <v>2088</v>
      </c>
      <c r="K408" s="3"/>
      <c r="L408" s="3"/>
      <c r="M408" s="3" t="s">
        <v>508</v>
      </c>
      <c r="N408" s="3" t="s">
        <v>583</v>
      </c>
      <c r="O408" s="3" t="s">
        <v>508</v>
      </c>
      <c r="P408" s="3" t="s">
        <v>550</v>
      </c>
      <c r="Q408" s="3" t="s">
        <v>550</v>
      </c>
      <c r="R408" s="5">
        <v>45239</v>
      </c>
      <c r="S408" s="6">
        <v>994777.12</v>
      </c>
      <c r="T408" s="7">
        <v>0</v>
      </c>
    </row>
    <row r="409" s="1" customFormat="1" spans="1:20">
      <c r="A409" s="3" t="s">
        <v>1804</v>
      </c>
      <c r="B409" s="3" t="s">
        <v>582</v>
      </c>
      <c r="C409" s="3" t="s">
        <v>1768</v>
      </c>
      <c r="D409" s="3" t="s">
        <v>584</v>
      </c>
      <c r="E409" s="3" t="s">
        <v>585</v>
      </c>
      <c r="F409" s="3" t="s">
        <v>73</v>
      </c>
      <c r="G409" s="3" t="s">
        <v>1800</v>
      </c>
      <c r="H409" s="3" t="s">
        <v>1770</v>
      </c>
      <c r="I409" s="3" t="s">
        <v>1775</v>
      </c>
      <c r="J409" s="3" t="s">
        <v>2088</v>
      </c>
      <c r="K409" s="3"/>
      <c r="L409" s="3"/>
      <c r="M409" s="3" t="s">
        <v>508</v>
      </c>
      <c r="N409" s="3" t="s">
        <v>583</v>
      </c>
      <c r="O409" s="3" t="s">
        <v>508</v>
      </c>
      <c r="P409" s="3" t="s">
        <v>550</v>
      </c>
      <c r="Q409" s="3" t="s">
        <v>550</v>
      </c>
      <c r="R409" s="5">
        <v>45239</v>
      </c>
      <c r="S409" s="6">
        <v>994777.12</v>
      </c>
      <c r="T409" s="7">
        <v>0</v>
      </c>
    </row>
    <row r="410" s="1" customFormat="1" spans="1:20">
      <c r="A410" s="3" t="s">
        <v>1805</v>
      </c>
      <c r="B410" s="3" t="s">
        <v>586</v>
      </c>
      <c r="C410" s="3" t="s">
        <v>1768</v>
      </c>
      <c r="D410" s="3" t="s">
        <v>584</v>
      </c>
      <c r="E410" s="3" t="s">
        <v>585</v>
      </c>
      <c r="F410" s="3" t="s">
        <v>75</v>
      </c>
      <c r="G410" s="3" t="s">
        <v>1800</v>
      </c>
      <c r="H410" s="3" t="s">
        <v>1770</v>
      </c>
      <c r="I410" s="3" t="s">
        <v>1775</v>
      </c>
      <c r="J410" s="3" t="s">
        <v>2088</v>
      </c>
      <c r="K410" s="3"/>
      <c r="L410" s="3"/>
      <c r="M410" s="3" t="s">
        <v>508</v>
      </c>
      <c r="N410" s="3" t="s">
        <v>587</v>
      </c>
      <c r="O410" s="3" t="s">
        <v>508</v>
      </c>
      <c r="P410" s="3" t="s">
        <v>550</v>
      </c>
      <c r="Q410" s="3" t="s">
        <v>550</v>
      </c>
      <c r="R410" s="5">
        <v>45274</v>
      </c>
      <c r="S410" s="6">
        <v>9253740.7</v>
      </c>
      <c r="T410" s="7">
        <v>0</v>
      </c>
    </row>
    <row r="411" s="1" customFormat="1" spans="1:20">
      <c r="A411" s="3" t="s">
        <v>1806</v>
      </c>
      <c r="B411" s="3" t="s">
        <v>591</v>
      </c>
      <c r="C411" s="3" t="s">
        <v>1768</v>
      </c>
      <c r="D411" s="3" t="s">
        <v>584</v>
      </c>
      <c r="E411" s="3" t="s">
        <v>585</v>
      </c>
      <c r="F411" s="3" t="s">
        <v>82</v>
      </c>
      <c r="G411" s="3" t="s">
        <v>1800</v>
      </c>
      <c r="H411" s="3" t="s">
        <v>1770</v>
      </c>
      <c r="I411" s="3" t="s">
        <v>1775</v>
      </c>
      <c r="J411" s="3" t="s">
        <v>2088</v>
      </c>
      <c r="K411" s="3"/>
      <c r="L411" s="3"/>
      <c r="M411" s="3" t="s">
        <v>508</v>
      </c>
      <c r="N411" s="3" t="s">
        <v>592</v>
      </c>
      <c r="O411" s="3" t="s">
        <v>508</v>
      </c>
      <c r="P411" s="3" t="s">
        <v>550</v>
      </c>
      <c r="Q411" s="3" t="s">
        <v>550</v>
      </c>
      <c r="R411" s="5">
        <v>45265</v>
      </c>
      <c r="S411" s="6">
        <v>70003539.82</v>
      </c>
      <c r="T411" s="7">
        <v>0</v>
      </c>
    </row>
    <row r="412" s="1" customFormat="1" spans="1:20">
      <c r="A412" s="3" t="s">
        <v>1807</v>
      </c>
      <c r="B412" s="3" t="s">
        <v>358</v>
      </c>
      <c r="C412" s="3" t="s">
        <v>1768</v>
      </c>
      <c r="D412" s="3" t="s">
        <v>599</v>
      </c>
      <c r="E412" s="3" t="s">
        <v>600</v>
      </c>
      <c r="F412" s="3" t="s">
        <v>359</v>
      </c>
      <c r="G412" s="3" t="s">
        <v>1800</v>
      </c>
      <c r="H412" s="3" t="s">
        <v>1770</v>
      </c>
      <c r="I412" s="3" t="s">
        <v>1775</v>
      </c>
      <c r="J412" s="3" t="s">
        <v>2088</v>
      </c>
      <c r="K412" s="3"/>
      <c r="L412" s="3"/>
      <c r="M412" s="3" t="s">
        <v>521</v>
      </c>
      <c r="N412" s="3" t="s">
        <v>598</v>
      </c>
      <c r="O412" s="3" t="s">
        <v>521</v>
      </c>
      <c r="P412" s="3" t="s">
        <v>550</v>
      </c>
      <c r="Q412" s="3" t="s">
        <v>550</v>
      </c>
      <c r="R412" s="5">
        <v>45379</v>
      </c>
      <c r="S412" s="6">
        <v>17500884.96</v>
      </c>
      <c r="T412" s="7">
        <v>0</v>
      </c>
    </row>
    <row r="413" s="1" customFormat="1" spans="1:20">
      <c r="A413" s="3" t="s">
        <v>1797</v>
      </c>
      <c r="B413" s="3" t="s">
        <v>406</v>
      </c>
      <c r="C413" s="3" t="s">
        <v>1768</v>
      </c>
      <c r="D413" s="3" t="s">
        <v>604</v>
      </c>
      <c r="E413" s="3" t="s">
        <v>605</v>
      </c>
      <c r="F413" s="3" t="s">
        <v>407</v>
      </c>
      <c r="G413" s="3" t="s">
        <v>1800</v>
      </c>
      <c r="H413" s="3" t="s">
        <v>1770</v>
      </c>
      <c r="I413" s="3" t="s">
        <v>1775</v>
      </c>
      <c r="J413" s="3" t="s">
        <v>2088</v>
      </c>
      <c r="K413" s="3"/>
      <c r="L413" s="3"/>
      <c r="M413" s="3" t="s">
        <v>521</v>
      </c>
      <c r="N413" s="3" t="s">
        <v>563</v>
      </c>
      <c r="O413" s="3" t="s">
        <v>521</v>
      </c>
      <c r="P413" s="3" t="s">
        <v>550</v>
      </c>
      <c r="Q413" s="3" t="s">
        <v>550</v>
      </c>
      <c r="R413" s="5">
        <v>45433</v>
      </c>
      <c r="S413" s="6">
        <v>2909931.2</v>
      </c>
      <c r="T413" s="7">
        <v>0</v>
      </c>
    </row>
    <row r="414" s="1" customFormat="1" spans="1:20">
      <c r="A414" s="3" t="s">
        <v>1785</v>
      </c>
      <c r="B414" s="3" t="s">
        <v>516</v>
      </c>
      <c r="C414" s="3" t="s">
        <v>1768</v>
      </c>
      <c r="D414" s="3" t="s">
        <v>609</v>
      </c>
      <c r="E414" s="3" t="s">
        <v>610</v>
      </c>
      <c r="F414" s="3" t="s">
        <v>60</v>
      </c>
      <c r="G414" s="3" t="s">
        <v>1800</v>
      </c>
      <c r="H414" s="3" t="s">
        <v>1770</v>
      </c>
      <c r="I414" s="3" t="s">
        <v>1775</v>
      </c>
      <c r="J414" s="3" t="s">
        <v>2088</v>
      </c>
      <c r="K414" s="3"/>
      <c r="L414" s="3"/>
      <c r="M414" s="3" t="s">
        <v>508</v>
      </c>
      <c r="N414" s="3" t="s">
        <v>517</v>
      </c>
      <c r="O414" s="3" t="s">
        <v>508</v>
      </c>
      <c r="P414" s="3" t="s">
        <v>550</v>
      </c>
      <c r="Q414" s="3" t="s">
        <v>550</v>
      </c>
      <c r="R414" s="5">
        <v>45224</v>
      </c>
      <c r="S414" s="6">
        <v>2307646.02</v>
      </c>
      <c r="T414" s="7">
        <v>0</v>
      </c>
    </row>
    <row r="415" s="1" customFormat="1" spans="1:20">
      <c r="A415" s="3" t="s">
        <v>1790</v>
      </c>
      <c r="B415" s="3" t="s">
        <v>510</v>
      </c>
      <c r="C415" s="3" t="s">
        <v>1768</v>
      </c>
      <c r="D415" s="3" t="s">
        <v>512</v>
      </c>
      <c r="E415" s="3" t="s">
        <v>513</v>
      </c>
      <c r="F415" s="3" t="s">
        <v>514</v>
      </c>
      <c r="G415" s="3" t="s">
        <v>1791</v>
      </c>
      <c r="H415" s="3" t="s">
        <v>1770</v>
      </c>
      <c r="I415" s="3" t="s">
        <v>1775</v>
      </c>
      <c r="J415" s="3" t="s">
        <v>2085</v>
      </c>
      <c r="K415" s="3"/>
      <c r="L415" s="3"/>
      <c r="M415" s="3" t="s">
        <v>508</v>
      </c>
      <c r="N415" s="3" t="s">
        <v>511</v>
      </c>
      <c r="O415" s="3" t="s">
        <v>508</v>
      </c>
      <c r="P415" s="3" t="s">
        <v>515</v>
      </c>
      <c r="Q415" s="3" t="s">
        <v>515</v>
      </c>
      <c r="R415" s="5">
        <v>45207</v>
      </c>
      <c r="S415" s="6">
        <v>26478900.92</v>
      </c>
      <c r="T415" s="7">
        <v>0</v>
      </c>
    </row>
    <row r="416" s="1" customFormat="1" spans="1:20">
      <c r="A416" s="3" t="s">
        <v>1785</v>
      </c>
      <c r="B416" s="3" t="s">
        <v>516</v>
      </c>
      <c r="C416" s="3" t="s">
        <v>1768</v>
      </c>
      <c r="D416" s="3" t="s">
        <v>512</v>
      </c>
      <c r="E416" s="3" t="s">
        <v>513</v>
      </c>
      <c r="F416" s="3" t="s">
        <v>60</v>
      </c>
      <c r="G416" s="3" t="s">
        <v>1791</v>
      </c>
      <c r="H416" s="3" t="s">
        <v>1770</v>
      </c>
      <c r="I416" s="3" t="s">
        <v>1775</v>
      </c>
      <c r="J416" s="3" t="s">
        <v>2085</v>
      </c>
      <c r="K416" s="3"/>
      <c r="L416" s="3"/>
      <c r="M416" s="3" t="s">
        <v>508</v>
      </c>
      <c r="N416" s="3" t="s">
        <v>517</v>
      </c>
      <c r="O416" s="3" t="s">
        <v>508</v>
      </c>
      <c r="P416" s="3" t="s">
        <v>515</v>
      </c>
      <c r="Q416" s="3" t="s">
        <v>515</v>
      </c>
      <c r="R416" s="5">
        <v>45224</v>
      </c>
      <c r="S416" s="6">
        <v>3153077.71</v>
      </c>
      <c r="T416" s="7">
        <v>0</v>
      </c>
    </row>
    <row r="417" s="1" customFormat="1" spans="1:20">
      <c r="A417" s="3" t="s">
        <v>1792</v>
      </c>
      <c r="B417" s="3" t="s">
        <v>519</v>
      </c>
      <c r="C417" s="3" t="s">
        <v>1768</v>
      </c>
      <c r="D417" s="3" t="s">
        <v>512</v>
      </c>
      <c r="E417" s="3" t="s">
        <v>513</v>
      </c>
      <c r="F417" s="3" t="s">
        <v>64</v>
      </c>
      <c r="G417" s="3" t="s">
        <v>1791</v>
      </c>
      <c r="H417" s="3" t="s">
        <v>1770</v>
      </c>
      <c r="I417" s="3" t="s">
        <v>1775</v>
      </c>
      <c r="J417" s="3" t="s">
        <v>2085</v>
      </c>
      <c r="K417" s="3"/>
      <c r="L417" s="3"/>
      <c r="M417" s="3" t="s">
        <v>508</v>
      </c>
      <c r="N417" s="3" t="s">
        <v>520</v>
      </c>
      <c r="O417" s="3" t="s">
        <v>508</v>
      </c>
      <c r="P417" s="3" t="s">
        <v>515</v>
      </c>
      <c r="Q417" s="3" t="s">
        <v>515</v>
      </c>
      <c r="R417" s="5">
        <v>45279</v>
      </c>
      <c r="S417" s="6">
        <v>2877914.34</v>
      </c>
      <c r="T417" s="7">
        <v>0</v>
      </c>
    </row>
    <row r="418" s="1" customFormat="1" spans="1:20">
      <c r="A418" s="3" t="s">
        <v>1792</v>
      </c>
      <c r="B418" s="3" t="s">
        <v>519</v>
      </c>
      <c r="C418" s="3" t="s">
        <v>1768</v>
      </c>
      <c r="D418" s="3" t="s">
        <v>512</v>
      </c>
      <c r="E418" s="3" t="s">
        <v>513</v>
      </c>
      <c r="F418" s="3" t="s">
        <v>64</v>
      </c>
      <c r="G418" s="3" t="s">
        <v>1791</v>
      </c>
      <c r="H418" s="3" t="s">
        <v>1770</v>
      </c>
      <c r="I418" s="3" t="s">
        <v>1775</v>
      </c>
      <c r="J418" s="3" t="s">
        <v>2085</v>
      </c>
      <c r="K418" s="3"/>
      <c r="L418" s="3"/>
      <c r="M418" s="3" t="s">
        <v>508</v>
      </c>
      <c r="N418" s="3" t="s">
        <v>520</v>
      </c>
      <c r="O418" s="3" t="s">
        <v>508</v>
      </c>
      <c r="P418" s="3" t="s">
        <v>515</v>
      </c>
      <c r="Q418" s="3" t="s">
        <v>515</v>
      </c>
      <c r="R418" s="5">
        <v>45279</v>
      </c>
      <c r="S418" s="6">
        <v>12612310.83</v>
      </c>
      <c r="T418" s="7">
        <v>0</v>
      </c>
    </row>
    <row r="419" s="1" customFormat="1" spans="1:20">
      <c r="A419" s="3" t="s">
        <v>1783</v>
      </c>
      <c r="B419" s="3" t="s">
        <v>330</v>
      </c>
      <c r="C419" s="3" t="s">
        <v>1768</v>
      </c>
      <c r="D419" s="3" t="s">
        <v>512</v>
      </c>
      <c r="E419" s="3" t="s">
        <v>513</v>
      </c>
      <c r="F419" s="3" t="s">
        <v>331</v>
      </c>
      <c r="G419" s="3" t="s">
        <v>1791</v>
      </c>
      <c r="H419" s="3" t="s">
        <v>1770</v>
      </c>
      <c r="I419" s="3" t="s">
        <v>1775</v>
      </c>
      <c r="J419" s="3" t="s">
        <v>2085</v>
      </c>
      <c r="K419" s="3"/>
      <c r="L419" s="3"/>
      <c r="M419" s="3" t="s">
        <v>521</v>
      </c>
      <c r="N419" s="3" t="s">
        <v>535</v>
      </c>
      <c r="O419" s="3" t="s">
        <v>521</v>
      </c>
      <c r="P419" s="3" t="s">
        <v>515</v>
      </c>
      <c r="Q419" s="3" t="s">
        <v>515</v>
      </c>
      <c r="R419" s="5">
        <v>45327</v>
      </c>
      <c r="S419" s="6">
        <v>8318111.97</v>
      </c>
      <c r="T419" s="7">
        <v>0</v>
      </c>
    </row>
    <row r="420" s="1" customFormat="1" spans="1:20">
      <c r="A420" s="3" t="s">
        <v>1793</v>
      </c>
      <c r="B420" s="3" t="s">
        <v>472</v>
      </c>
      <c r="C420" s="3" t="s">
        <v>1768</v>
      </c>
      <c r="D420" s="3" t="s">
        <v>512</v>
      </c>
      <c r="E420" s="3" t="s">
        <v>513</v>
      </c>
      <c r="F420" s="3" t="s">
        <v>473</v>
      </c>
      <c r="G420" s="3" t="s">
        <v>1791</v>
      </c>
      <c r="H420" s="3" t="s">
        <v>1770</v>
      </c>
      <c r="I420" s="3" t="s">
        <v>1775</v>
      </c>
      <c r="J420" s="3" t="s">
        <v>2085</v>
      </c>
      <c r="K420" s="3"/>
      <c r="L420" s="3"/>
      <c r="M420" s="3" t="s">
        <v>521</v>
      </c>
      <c r="N420" s="3" t="s">
        <v>531</v>
      </c>
      <c r="O420" s="3" t="s">
        <v>521</v>
      </c>
      <c r="P420" s="3" t="s">
        <v>515</v>
      </c>
      <c r="Q420" s="3" t="s">
        <v>515</v>
      </c>
      <c r="R420" s="5">
        <v>45460</v>
      </c>
      <c r="S420" s="6">
        <v>2752293.58</v>
      </c>
      <c r="T420" s="7">
        <v>0</v>
      </c>
    </row>
    <row r="421" s="1" customFormat="1" spans="1:20">
      <c r="A421" s="3" t="s">
        <v>1794</v>
      </c>
      <c r="B421" s="3" t="s">
        <v>543</v>
      </c>
      <c r="C421" s="3" t="s">
        <v>1768</v>
      </c>
      <c r="D421" s="3" t="s">
        <v>545</v>
      </c>
      <c r="E421" s="3" t="s">
        <v>546</v>
      </c>
      <c r="F421" s="3" t="s">
        <v>547</v>
      </c>
      <c r="G421" s="3" t="s">
        <v>1791</v>
      </c>
      <c r="H421" s="3" t="s">
        <v>1770</v>
      </c>
      <c r="I421" s="3" t="s">
        <v>1775</v>
      </c>
      <c r="J421" s="3" t="s">
        <v>2085</v>
      </c>
      <c r="K421" s="3"/>
      <c r="L421" s="3"/>
      <c r="M421" s="3" t="s">
        <v>508</v>
      </c>
      <c r="N421" s="3" t="s">
        <v>544</v>
      </c>
      <c r="O421" s="3" t="s">
        <v>508</v>
      </c>
      <c r="P421" s="3" t="s">
        <v>515</v>
      </c>
      <c r="Q421" s="3" t="s">
        <v>515</v>
      </c>
      <c r="R421" s="5">
        <v>45238</v>
      </c>
      <c r="S421" s="6">
        <v>9999999</v>
      </c>
      <c r="T421" s="7">
        <v>0</v>
      </c>
    </row>
    <row r="422" s="1" customFormat="1" spans="1:20">
      <c r="A422" s="3" t="s">
        <v>1794</v>
      </c>
      <c r="B422" s="3" t="s">
        <v>543</v>
      </c>
      <c r="C422" s="3" t="s">
        <v>1768</v>
      </c>
      <c r="D422" s="3" t="s">
        <v>545</v>
      </c>
      <c r="E422" s="3" t="s">
        <v>546</v>
      </c>
      <c r="F422" s="3" t="s">
        <v>547</v>
      </c>
      <c r="G422" s="3" t="s">
        <v>1791</v>
      </c>
      <c r="H422" s="3" t="s">
        <v>1770</v>
      </c>
      <c r="I422" s="3" t="s">
        <v>1775</v>
      </c>
      <c r="J422" s="3" t="s">
        <v>2085</v>
      </c>
      <c r="K422" s="3"/>
      <c r="L422" s="3"/>
      <c r="M422" s="3" t="s">
        <v>508</v>
      </c>
      <c r="N422" s="3" t="s">
        <v>544</v>
      </c>
      <c r="O422" s="3" t="s">
        <v>508</v>
      </c>
      <c r="P422" s="3" t="s">
        <v>515</v>
      </c>
      <c r="Q422" s="3" t="s">
        <v>515</v>
      </c>
      <c r="R422" s="5">
        <v>45238</v>
      </c>
      <c r="S422" s="6">
        <v>7013045.58</v>
      </c>
      <c r="T422" s="7">
        <v>0</v>
      </c>
    </row>
    <row r="423" s="1" customFormat="1" spans="1:20">
      <c r="A423" s="3" t="s">
        <v>1794</v>
      </c>
      <c r="B423" s="3" t="s">
        <v>543</v>
      </c>
      <c r="C423" s="3" t="s">
        <v>1768</v>
      </c>
      <c r="D423" s="3" t="s">
        <v>545</v>
      </c>
      <c r="E423" s="3" t="s">
        <v>546</v>
      </c>
      <c r="F423" s="3" t="s">
        <v>547</v>
      </c>
      <c r="G423" s="3" t="s">
        <v>1791</v>
      </c>
      <c r="H423" s="3" t="s">
        <v>1770</v>
      </c>
      <c r="I423" s="3" t="s">
        <v>1775</v>
      </c>
      <c r="J423" s="3" t="s">
        <v>2085</v>
      </c>
      <c r="K423" s="3"/>
      <c r="L423" s="3"/>
      <c r="M423" s="3" t="s">
        <v>508</v>
      </c>
      <c r="N423" s="3" t="s">
        <v>544</v>
      </c>
      <c r="O423" s="3" t="s">
        <v>508</v>
      </c>
      <c r="P423" s="3" t="s">
        <v>515</v>
      </c>
      <c r="Q423" s="3" t="s">
        <v>515</v>
      </c>
      <c r="R423" s="5">
        <v>45238</v>
      </c>
      <c r="S423" s="6">
        <v>9999999</v>
      </c>
      <c r="T423" s="7">
        <v>0</v>
      </c>
    </row>
    <row r="424" s="1" customFormat="1" spans="1:20">
      <c r="A424" s="3" t="s">
        <v>1795</v>
      </c>
      <c r="B424" s="3" t="s">
        <v>548</v>
      </c>
      <c r="C424" s="3" t="s">
        <v>1768</v>
      </c>
      <c r="D424" s="3" t="s">
        <v>545</v>
      </c>
      <c r="E424" s="3" t="s">
        <v>546</v>
      </c>
      <c r="F424" s="3" t="s">
        <v>43</v>
      </c>
      <c r="G424" s="3" t="s">
        <v>1791</v>
      </c>
      <c r="H424" s="3" t="s">
        <v>1770</v>
      </c>
      <c r="I424" s="3" t="s">
        <v>1775</v>
      </c>
      <c r="J424" s="3" t="s">
        <v>2085</v>
      </c>
      <c r="K424" s="3"/>
      <c r="L424" s="3"/>
      <c r="M424" s="3" t="s">
        <v>508</v>
      </c>
      <c r="N424" s="3" t="s">
        <v>549</v>
      </c>
      <c r="O424" s="3" t="s">
        <v>508</v>
      </c>
      <c r="P424" s="3" t="s">
        <v>515</v>
      </c>
      <c r="Q424" s="3" t="s">
        <v>515</v>
      </c>
      <c r="R424" s="5">
        <v>45265</v>
      </c>
      <c r="S424" s="6">
        <v>3193650.73</v>
      </c>
      <c r="T424" s="7">
        <v>0</v>
      </c>
    </row>
    <row r="425" s="1" customFormat="1" spans="1:20">
      <c r="A425" s="3" t="s">
        <v>1795</v>
      </c>
      <c r="B425" s="3" t="s">
        <v>548</v>
      </c>
      <c r="C425" s="3" t="s">
        <v>1768</v>
      </c>
      <c r="D425" s="3" t="s">
        <v>545</v>
      </c>
      <c r="E425" s="3" t="s">
        <v>546</v>
      </c>
      <c r="F425" s="3" t="s">
        <v>43</v>
      </c>
      <c r="G425" s="3" t="s">
        <v>1791</v>
      </c>
      <c r="H425" s="3" t="s">
        <v>1770</v>
      </c>
      <c r="I425" s="3" t="s">
        <v>1775</v>
      </c>
      <c r="J425" s="3" t="s">
        <v>2085</v>
      </c>
      <c r="K425" s="3"/>
      <c r="L425" s="3"/>
      <c r="M425" s="3" t="s">
        <v>508</v>
      </c>
      <c r="N425" s="3" t="s">
        <v>549</v>
      </c>
      <c r="O425" s="3" t="s">
        <v>508</v>
      </c>
      <c r="P425" s="3" t="s">
        <v>515</v>
      </c>
      <c r="Q425" s="3" t="s">
        <v>515</v>
      </c>
      <c r="R425" s="5">
        <v>45265</v>
      </c>
      <c r="S425" s="6">
        <v>990566.04</v>
      </c>
      <c r="T425" s="7">
        <v>0</v>
      </c>
    </row>
    <row r="426" s="1" customFormat="1" spans="1:20">
      <c r="A426" s="3" t="s">
        <v>1796</v>
      </c>
      <c r="B426" s="3" t="s">
        <v>551</v>
      </c>
      <c r="C426" s="3" t="s">
        <v>1768</v>
      </c>
      <c r="D426" s="3" t="s">
        <v>545</v>
      </c>
      <c r="E426" s="3" t="s">
        <v>546</v>
      </c>
      <c r="F426" s="3" t="s">
        <v>553</v>
      </c>
      <c r="G426" s="3" t="s">
        <v>1791</v>
      </c>
      <c r="H426" s="3" t="s">
        <v>1770</v>
      </c>
      <c r="I426" s="3" t="s">
        <v>1775</v>
      </c>
      <c r="J426" s="3" t="s">
        <v>2085</v>
      </c>
      <c r="K426" s="3"/>
      <c r="L426" s="3"/>
      <c r="M426" s="3" t="s">
        <v>508</v>
      </c>
      <c r="N426" s="3" t="s">
        <v>552</v>
      </c>
      <c r="O426" s="3" t="s">
        <v>508</v>
      </c>
      <c r="P426" s="3" t="s">
        <v>515</v>
      </c>
      <c r="Q426" s="3" t="s">
        <v>515</v>
      </c>
      <c r="R426" s="5">
        <v>45280</v>
      </c>
      <c r="S426" s="6">
        <v>1684264.97</v>
      </c>
      <c r="T426" s="7">
        <v>0</v>
      </c>
    </row>
    <row r="427" s="1" customFormat="1" spans="1:20">
      <c r="A427" s="3" t="s">
        <v>1796</v>
      </c>
      <c r="B427" s="3" t="s">
        <v>551</v>
      </c>
      <c r="C427" s="3" t="s">
        <v>1768</v>
      </c>
      <c r="D427" s="3" t="s">
        <v>545</v>
      </c>
      <c r="E427" s="3" t="s">
        <v>546</v>
      </c>
      <c r="F427" s="3" t="s">
        <v>553</v>
      </c>
      <c r="G427" s="3" t="s">
        <v>1791</v>
      </c>
      <c r="H427" s="3" t="s">
        <v>1770</v>
      </c>
      <c r="I427" s="3" t="s">
        <v>1775</v>
      </c>
      <c r="J427" s="3" t="s">
        <v>2085</v>
      </c>
      <c r="K427" s="3"/>
      <c r="L427" s="3"/>
      <c r="M427" s="3" t="s">
        <v>508</v>
      </c>
      <c r="N427" s="3" t="s">
        <v>552</v>
      </c>
      <c r="O427" s="3" t="s">
        <v>508</v>
      </c>
      <c r="P427" s="3" t="s">
        <v>515</v>
      </c>
      <c r="Q427" s="3" t="s">
        <v>515</v>
      </c>
      <c r="R427" s="5">
        <v>45280</v>
      </c>
      <c r="S427" s="6">
        <v>9174311.93</v>
      </c>
      <c r="T427" s="7">
        <v>0</v>
      </c>
    </row>
    <row r="428" s="1" customFormat="1" spans="1:20">
      <c r="A428" s="3" t="s">
        <v>1797</v>
      </c>
      <c r="B428" s="3" t="s">
        <v>406</v>
      </c>
      <c r="C428" s="3" t="s">
        <v>1768</v>
      </c>
      <c r="D428" s="3" t="s">
        <v>545</v>
      </c>
      <c r="E428" s="3" t="s">
        <v>546</v>
      </c>
      <c r="F428" s="3" t="s">
        <v>407</v>
      </c>
      <c r="G428" s="3" t="s">
        <v>1791</v>
      </c>
      <c r="H428" s="3" t="s">
        <v>1770</v>
      </c>
      <c r="I428" s="3" t="s">
        <v>1775</v>
      </c>
      <c r="J428" s="3" t="s">
        <v>2085</v>
      </c>
      <c r="K428" s="3"/>
      <c r="L428" s="3"/>
      <c r="M428" s="3" t="s">
        <v>521</v>
      </c>
      <c r="N428" s="3" t="s">
        <v>563</v>
      </c>
      <c r="O428" s="3" t="s">
        <v>521</v>
      </c>
      <c r="P428" s="3" t="s">
        <v>515</v>
      </c>
      <c r="Q428" s="3" t="s">
        <v>515</v>
      </c>
      <c r="R428" s="5">
        <v>45433</v>
      </c>
      <c r="S428" s="6">
        <v>2720001.87</v>
      </c>
      <c r="T428" s="7">
        <v>0</v>
      </c>
    </row>
    <row r="429" s="1" customFormat="1" spans="1:20">
      <c r="A429" s="3" t="s">
        <v>1796</v>
      </c>
      <c r="B429" s="3" t="s">
        <v>551</v>
      </c>
      <c r="C429" s="3" t="s">
        <v>1768</v>
      </c>
      <c r="D429" s="3" t="s">
        <v>566</v>
      </c>
      <c r="E429" s="3" t="s">
        <v>567</v>
      </c>
      <c r="F429" s="3" t="s">
        <v>553</v>
      </c>
      <c r="G429" s="3" t="s">
        <v>1791</v>
      </c>
      <c r="H429" s="3" t="s">
        <v>1770</v>
      </c>
      <c r="I429" s="3" t="s">
        <v>1775</v>
      </c>
      <c r="J429" s="3" t="s">
        <v>2085</v>
      </c>
      <c r="K429" s="3"/>
      <c r="L429" s="3"/>
      <c r="M429" s="3" t="s">
        <v>508</v>
      </c>
      <c r="N429" s="3" t="s">
        <v>552</v>
      </c>
      <c r="O429" s="3" t="s">
        <v>508</v>
      </c>
      <c r="P429" s="3" t="s">
        <v>515</v>
      </c>
      <c r="Q429" s="3" t="s">
        <v>515</v>
      </c>
      <c r="R429" s="5">
        <v>45280</v>
      </c>
      <c r="S429" s="6">
        <v>594339.62</v>
      </c>
      <c r="T429" s="7">
        <v>0</v>
      </c>
    </row>
    <row r="430" s="1" customFormat="1" spans="1:20">
      <c r="A430" s="3" t="s">
        <v>1798</v>
      </c>
      <c r="B430" s="3" t="s">
        <v>190</v>
      </c>
      <c r="C430" s="3" t="s">
        <v>1768</v>
      </c>
      <c r="D430" s="3" t="s">
        <v>640</v>
      </c>
      <c r="E430" s="3" t="s">
        <v>641</v>
      </c>
      <c r="F430" s="3" t="s">
        <v>642</v>
      </c>
      <c r="G430" s="3" t="s">
        <v>1791</v>
      </c>
      <c r="H430" s="3" t="s">
        <v>1770</v>
      </c>
      <c r="I430" s="3" t="s">
        <v>1775</v>
      </c>
      <c r="J430" s="3" t="s">
        <v>2085</v>
      </c>
      <c r="K430" s="3"/>
      <c r="L430" s="3"/>
      <c r="M430" s="3" t="s">
        <v>508</v>
      </c>
      <c r="N430" s="3" t="s">
        <v>639</v>
      </c>
      <c r="O430" s="3" t="s">
        <v>508</v>
      </c>
      <c r="P430" s="3" t="s">
        <v>515</v>
      </c>
      <c r="Q430" s="3" t="s">
        <v>515</v>
      </c>
      <c r="R430" s="5">
        <v>45287</v>
      </c>
      <c r="S430" s="6">
        <v>22005</v>
      </c>
      <c r="T430" s="7">
        <v>0</v>
      </c>
    </row>
    <row r="431" s="1" customFormat="1" spans="1:20">
      <c r="A431" s="3" t="s">
        <v>1798</v>
      </c>
      <c r="B431" s="3" t="s">
        <v>190</v>
      </c>
      <c r="C431" s="3" t="s">
        <v>1768</v>
      </c>
      <c r="D431" s="3" t="s">
        <v>640</v>
      </c>
      <c r="E431" s="3" t="s">
        <v>641</v>
      </c>
      <c r="F431" s="3" t="s">
        <v>642</v>
      </c>
      <c r="G431" s="3" t="s">
        <v>1791</v>
      </c>
      <c r="H431" s="3" t="s">
        <v>1770</v>
      </c>
      <c r="I431" s="3" t="s">
        <v>1775</v>
      </c>
      <c r="J431" s="3" t="s">
        <v>2085</v>
      </c>
      <c r="K431" s="3"/>
      <c r="L431" s="3"/>
      <c r="M431" s="3" t="s">
        <v>508</v>
      </c>
      <c r="N431" s="3" t="s">
        <v>639</v>
      </c>
      <c r="O431" s="3" t="s">
        <v>508</v>
      </c>
      <c r="P431" s="3" t="s">
        <v>515</v>
      </c>
      <c r="Q431" s="3" t="s">
        <v>515</v>
      </c>
      <c r="R431" s="5">
        <v>45287</v>
      </c>
      <c r="S431" s="6">
        <v>733495</v>
      </c>
      <c r="T431" s="7">
        <v>0</v>
      </c>
    </row>
    <row r="432" s="1" customFormat="1" spans="1:20">
      <c r="A432" s="3" t="s">
        <v>1799</v>
      </c>
      <c r="B432" s="3" t="s">
        <v>483</v>
      </c>
      <c r="C432" s="3" t="s">
        <v>1768</v>
      </c>
      <c r="D432" s="3" t="s">
        <v>1219</v>
      </c>
      <c r="E432" s="3" t="s">
        <v>1220</v>
      </c>
      <c r="F432" s="3" t="s">
        <v>484</v>
      </c>
      <c r="G432" s="3" t="s">
        <v>1791</v>
      </c>
      <c r="H432" s="3" t="s">
        <v>1770</v>
      </c>
      <c r="I432" s="3" t="s">
        <v>1775</v>
      </c>
      <c r="J432" s="3" t="s">
        <v>2085</v>
      </c>
      <c r="K432" s="3"/>
      <c r="L432" s="3"/>
      <c r="M432" s="3" t="s">
        <v>521</v>
      </c>
      <c r="N432" s="3" t="s">
        <v>1218</v>
      </c>
      <c r="O432" s="3" t="s">
        <v>521</v>
      </c>
      <c r="P432" s="3" t="s">
        <v>515</v>
      </c>
      <c r="Q432" s="3" t="s">
        <v>515</v>
      </c>
      <c r="R432" s="5">
        <v>45455</v>
      </c>
      <c r="S432" s="6">
        <v>18867.92</v>
      </c>
      <c r="T432" s="7">
        <v>0</v>
      </c>
    </row>
    <row r="433" s="1" customFormat="1" spans="1:20">
      <c r="A433" s="3" t="s">
        <v>1783</v>
      </c>
      <c r="B433" s="3" t="s">
        <v>330</v>
      </c>
      <c r="C433" s="3" t="s">
        <v>1768</v>
      </c>
      <c r="D433" s="3" t="s">
        <v>566</v>
      </c>
      <c r="E433" s="3" t="s">
        <v>567</v>
      </c>
      <c r="F433" s="3" t="s">
        <v>331</v>
      </c>
      <c r="G433" s="3" t="s">
        <v>1784</v>
      </c>
      <c r="H433" s="3" t="s">
        <v>1770</v>
      </c>
      <c r="I433" s="3" t="s">
        <v>1775</v>
      </c>
      <c r="J433" s="3" t="s">
        <v>2085</v>
      </c>
      <c r="K433" s="3"/>
      <c r="L433" s="3"/>
      <c r="M433" s="3" t="s">
        <v>521</v>
      </c>
      <c r="N433" s="3" t="s">
        <v>535</v>
      </c>
      <c r="O433" s="3" t="s">
        <v>521</v>
      </c>
      <c r="P433" s="3" t="s">
        <v>574</v>
      </c>
      <c r="Q433" s="3" t="s">
        <v>574</v>
      </c>
      <c r="R433" s="5">
        <v>45327</v>
      </c>
      <c r="S433" s="6">
        <v>954776.18</v>
      </c>
      <c r="T433" s="7">
        <v>0</v>
      </c>
    </row>
    <row r="434" s="1" customFormat="1" spans="1:20">
      <c r="A434" s="3" t="s">
        <v>1785</v>
      </c>
      <c r="B434" s="3" t="s">
        <v>516</v>
      </c>
      <c r="C434" s="3" t="s">
        <v>1768</v>
      </c>
      <c r="D434" s="3" t="s">
        <v>617</v>
      </c>
      <c r="E434" s="3" t="s">
        <v>618</v>
      </c>
      <c r="F434" s="3" t="s">
        <v>60</v>
      </c>
      <c r="G434" s="3" t="s">
        <v>1784</v>
      </c>
      <c r="H434" s="3" t="s">
        <v>1770</v>
      </c>
      <c r="I434" s="3" t="s">
        <v>1775</v>
      </c>
      <c r="J434" s="3" t="s">
        <v>2085</v>
      </c>
      <c r="K434" s="3"/>
      <c r="L434" s="3"/>
      <c r="M434" s="3" t="s">
        <v>508</v>
      </c>
      <c r="N434" s="3" t="s">
        <v>517</v>
      </c>
      <c r="O434" s="3" t="s">
        <v>508</v>
      </c>
      <c r="P434" s="3" t="s">
        <v>574</v>
      </c>
      <c r="Q434" s="3" t="s">
        <v>574</v>
      </c>
      <c r="R434" s="5">
        <v>45224</v>
      </c>
      <c r="S434" s="6">
        <v>636517.45</v>
      </c>
      <c r="T434" s="7">
        <v>0</v>
      </c>
    </row>
    <row r="435" s="1" customFormat="1" spans="1:20">
      <c r="A435" s="3" t="s">
        <v>1786</v>
      </c>
      <c r="B435" s="3" t="s">
        <v>419</v>
      </c>
      <c r="C435" s="3" t="s">
        <v>1768</v>
      </c>
      <c r="D435" s="3" t="s">
        <v>1245</v>
      </c>
      <c r="E435" s="3" t="s">
        <v>1246</v>
      </c>
      <c r="F435" s="3" t="s">
        <v>418</v>
      </c>
      <c r="G435" s="3" t="s">
        <v>1784</v>
      </c>
      <c r="H435" s="3" t="s">
        <v>1770</v>
      </c>
      <c r="I435" s="3" t="s">
        <v>1775</v>
      </c>
      <c r="J435" s="3" t="s">
        <v>2085</v>
      </c>
      <c r="K435" s="3"/>
      <c r="L435" s="3"/>
      <c r="M435" s="3" t="s">
        <v>521</v>
      </c>
      <c r="N435" s="3" t="s">
        <v>1256</v>
      </c>
      <c r="O435" s="3" t="s">
        <v>521</v>
      </c>
      <c r="P435" s="3" t="s">
        <v>574</v>
      </c>
      <c r="Q435" s="3" t="s">
        <v>574</v>
      </c>
      <c r="R435" s="5">
        <v>45435</v>
      </c>
      <c r="S435" s="6">
        <v>245283.02</v>
      </c>
      <c r="T435" s="7">
        <v>0</v>
      </c>
    </row>
    <row r="436" s="1" customFormat="1" spans="1:20">
      <c r="A436" s="3" t="s">
        <v>1787</v>
      </c>
      <c r="B436" s="3" t="s">
        <v>481</v>
      </c>
      <c r="C436" s="3" t="s">
        <v>1768</v>
      </c>
      <c r="D436" s="3" t="s">
        <v>1259</v>
      </c>
      <c r="E436" s="3" t="s">
        <v>1260</v>
      </c>
      <c r="F436" s="3" t="s">
        <v>482</v>
      </c>
      <c r="G436" s="3" t="s">
        <v>1784</v>
      </c>
      <c r="H436" s="3" t="s">
        <v>1770</v>
      </c>
      <c r="I436" s="3" t="s">
        <v>1775</v>
      </c>
      <c r="J436" s="3" t="s">
        <v>2085</v>
      </c>
      <c r="K436" s="3"/>
      <c r="L436" s="3"/>
      <c r="M436" s="3" t="s">
        <v>521</v>
      </c>
      <c r="N436" s="3" t="s">
        <v>1277</v>
      </c>
      <c r="O436" s="3" t="s">
        <v>521</v>
      </c>
      <c r="P436" s="3" t="s">
        <v>574</v>
      </c>
      <c r="Q436" s="3" t="s">
        <v>574</v>
      </c>
      <c r="R436" s="5">
        <v>45450</v>
      </c>
      <c r="S436" s="6">
        <v>4294080.42</v>
      </c>
      <c r="T436" s="7">
        <v>0</v>
      </c>
    </row>
    <row r="437" s="1" customFormat="1" spans="1:20">
      <c r="A437" s="3" t="s">
        <v>1788</v>
      </c>
      <c r="B437" s="3" t="s">
        <v>424</v>
      </c>
      <c r="C437" s="3" t="s">
        <v>1768</v>
      </c>
      <c r="D437" s="3" t="s">
        <v>1346</v>
      </c>
      <c r="E437" s="3" t="s">
        <v>1347</v>
      </c>
      <c r="F437" s="3" t="s">
        <v>425</v>
      </c>
      <c r="G437" s="3" t="s">
        <v>1784</v>
      </c>
      <c r="H437" s="3" t="s">
        <v>1770</v>
      </c>
      <c r="I437" s="3" t="s">
        <v>1775</v>
      </c>
      <c r="J437" s="3" t="s">
        <v>2085</v>
      </c>
      <c r="K437" s="3"/>
      <c r="L437" s="3"/>
      <c r="M437" s="3" t="s">
        <v>521</v>
      </c>
      <c r="N437" s="3" t="s">
        <v>1349</v>
      </c>
      <c r="O437" s="3" t="s">
        <v>521</v>
      </c>
      <c r="P437" s="3" t="s">
        <v>574</v>
      </c>
      <c r="Q437" s="3" t="s">
        <v>574</v>
      </c>
      <c r="R437" s="5">
        <v>45427</v>
      </c>
      <c r="S437" s="6">
        <v>13396.23</v>
      </c>
      <c r="T437" s="7">
        <v>0</v>
      </c>
    </row>
    <row r="438" s="1" customFormat="1" spans="1:20">
      <c r="A438" s="3" t="s">
        <v>1789</v>
      </c>
      <c r="B438" s="3" t="s">
        <v>451</v>
      </c>
      <c r="C438" s="3" t="s">
        <v>1768</v>
      </c>
      <c r="D438" s="3" t="s">
        <v>1389</v>
      </c>
      <c r="E438" s="3" t="s">
        <v>1390</v>
      </c>
      <c r="F438" s="3" t="s">
        <v>452</v>
      </c>
      <c r="G438" s="3" t="s">
        <v>1784</v>
      </c>
      <c r="H438" s="3" t="s">
        <v>1770</v>
      </c>
      <c r="I438" s="3" t="s">
        <v>1775</v>
      </c>
      <c r="J438" s="3" t="s">
        <v>2085</v>
      </c>
      <c r="K438" s="3"/>
      <c r="L438" s="3"/>
      <c r="M438" s="3" t="s">
        <v>521</v>
      </c>
      <c r="N438" s="3" t="s">
        <v>1411</v>
      </c>
      <c r="O438" s="3" t="s">
        <v>521</v>
      </c>
      <c r="P438" s="3" t="s">
        <v>574</v>
      </c>
      <c r="Q438" s="3" t="s">
        <v>574</v>
      </c>
      <c r="R438" s="5">
        <v>45421</v>
      </c>
      <c r="S438" s="6">
        <v>2079.21</v>
      </c>
      <c r="T438" s="7">
        <v>0</v>
      </c>
    </row>
    <row r="439" s="1" customFormat="1" spans="1:20">
      <c r="A439" s="3" t="s">
        <v>1773</v>
      </c>
      <c r="B439" s="3" t="s">
        <v>474</v>
      </c>
      <c r="C439" s="3" t="s">
        <v>1768</v>
      </c>
      <c r="D439" s="3" t="s">
        <v>512</v>
      </c>
      <c r="E439" s="3" t="s">
        <v>513</v>
      </c>
      <c r="F439" s="3" t="s">
        <v>475</v>
      </c>
      <c r="G439" s="3" t="s">
        <v>1774</v>
      </c>
      <c r="H439" s="3" t="s">
        <v>1770</v>
      </c>
      <c r="I439" s="3" t="s">
        <v>1775</v>
      </c>
      <c r="J439" s="3" t="s">
        <v>2085</v>
      </c>
      <c r="K439" s="3"/>
      <c r="L439" s="3"/>
      <c r="M439" s="3" t="s">
        <v>521</v>
      </c>
      <c r="N439" s="3" t="s">
        <v>532</v>
      </c>
      <c r="O439" s="3" t="s">
        <v>521</v>
      </c>
      <c r="P439" s="3" t="s">
        <v>533</v>
      </c>
      <c r="Q439" s="3" t="s">
        <v>533</v>
      </c>
      <c r="R439" s="5">
        <v>45460</v>
      </c>
      <c r="S439" s="6">
        <v>8577309.74</v>
      </c>
      <c r="T439" s="7">
        <v>0</v>
      </c>
    </row>
    <row r="440" s="1" customFormat="1" spans="1:20">
      <c r="A440" s="3" t="s">
        <v>1776</v>
      </c>
      <c r="B440" s="3" t="s">
        <v>470</v>
      </c>
      <c r="C440" s="3" t="s">
        <v>1768</v>
      </c>
      <c r="D440" s="3" t="s">
        <v>512</v>
      </c>
      <c r="E440" s="3" t="s">
        <v>513</v>
      </c>
      <c r="F440" s="3" t="s">
        <v>471</v>
      </c>
      <c r="G440" s="3" t="s">
        <v>1774</v>
      </c>
      <c r="H440" s="3" t="s">
        <v>1770</v>
      </c>
      <c r="I440" s="3" t="s">
        <v>1775</v>
      </c>
      <c r="J440" s="3" t="s">
        <v>2085</v>
      </c>
      <c r="K440" s="3"/>
      <c r="L440" s="3"/>
      <c r="M440" s="3" t="s">
        <v>521</v>
      </c>
      <c r="N440" s="3" t="s">
        <v>534</v>
      </c>
      <c r="O440" s="3" t="s">
        <v>521</v>
      </c>
      <c r="P440" s="3" t="s">
        <v>533</v>
      </c>
      <c r="Q440" s="3" t="s">
        <v>533</v>
      </c>
      <c r="R440" s="5">
        <v>45461</v>
      </c>
      <c r="S440" s="6">
        <v>4702774.53</v>
      </c>
      <c r="T440" s="7">
        <v>0</v>
      </c>
    </row>
    <row r="441" s="1" customFormat="1" spans="1:20">
      <c r="A441" s="3" t="s">
        <v>1777</v>
      </c>
      <c r="B441" s="3" t="s">
        <v>65</v>
      </c>
      <c r="C441" s="3" t="s">
        <v>1768</v>
      </c>
      <c r="D441" s="3" t="s">
        <v>512</v>
      </c>
      <c r="E441" s="3" t="s">
        <v>513</v>
      </c>
      <c r="F441" s="3" t="s">
        <v>539</v>
      </c>
      <c r="G441" s="3" t="s">
        <v>1774</v>
      </c>
      <c r="H441" s="3" t="s">
        <v>1770</v>
      </c>
      <c r="I441" s="3" t="s">
        <v>1775</v>
      </c>
      <c r="J441" s="3" t="s">
        <v>2085</v>
      </c>
      <c r="K441" s="3"/>
      <c r="L441" s="3"/>
      <c r="M441" s="3" t="s">
        <v>508</v>
      </c>
      <c r="N441" s="3" t="s">
        <v>538</v>
      </c>
      <c r="O441" s="3" t="s">
        <v>508</v>
      </c>
      <c r="P441" s="3" t="s">
        <v>533</v>
      </c>
      <c r="Q441" s="3" t="s">
        <v>533</v>
      </c>
      <c r="R441" s="5">
        <v>45281</v>
      </c>
      <c r="S441" s="6">
        <v>9272888.15</v>
      </c>
      <c r="T441" s="7">
        <v>0</v>
      </c>
    </row>
    <row r="442" s="1" customFormat="1" spans="1:20">
      <c r="A442" s="3" t="s">
        <v>1778</v>
      </c>
      <c r="B442" s="3" t="s">
        <v>328</v>
      </c>
      <c r="C442" s="3" t="s">
        <v>1768</v>
      </c>
      <c r="D442" s="3" t="s">
        <v>512</v>
      </c>
      <c r="E442" s="3" t="s">
        <v>513</v>
      </c>
      <c r="F442" s="3" t="s">
        <v>537</v>
      </c>
      <c r="G442" s="3" t="s">
        <v>1774</v>
      </c>
      <c r="H442" s="3" t="s">
        <v>1770</v>
      </c>
      <c r="I442" s="3" t="s">
        <v>1775</v>
      </c>
      <c r="J442" s="3" t="s">
        <v>2085</v>
      </c>
      <c r="K442" s="3"/>
      <c r="L442" s="3"/>
      <c r="M442" s="3" t="s">
        <v>521</v>
      </c>
      <c r="N442" s="3" t="s">
        <v>536</v>
      </c>
      <c r="O442" s="3" t="s">
        <v>521</v>
      </c>
      <c r="P442" s="3" t="s">
        <v>533</v>
      </c>
      <c r="Q442" s="3" t="s">
        <v>533</v>
      </c>
      <c r="R442" s="5">
        <v>45281</v>
      </c>
      <c r="S442" s="6">
        <v>-9272888.15</v>
      </c>
      <c r="T442" s="7">
        <v>0</v>
      </c>
    </row>
    <row r="443" s="1" customFormat="1" spans="1:20">
      <c r="A443" s="3" t="s">
        <v>1776</v>
      </c>
      <c r="B443" s="3" t="s">
        <v>470</v>
      </c>
      <c r="C443" s="3" t="s">
        <v>1768</v>
      </c>
      <c r="D443" s="3" t="s">
        <v>580</v>
      </c>
      <c r="E443" s="3" t="s">
        <v>581</v>
      </c>
      <c r="F443" s="3" t="s">
        <v>471</v>
      </c>
      <c r="G443" s="3" t="s">
        <v>1774</v>
      </c>
      <c r="H443" s="3" t="s">
        <v>1770</v>
      </c>
      <c r="I443" s="3" t="s">
        <v>1775</v>
      </c>
      <c r="J443" s="3" t="s">
        <v>2085</v>
      </c>
      <c r="K443" s="3"/>
      <c r="L443" s="3"/>
      <c r="M443" s="3" t="s">
        <v>521</v>
      </c>
      <c r="N443" s="3" t="s">
        <v>534</v>
      </c>
      <c r="O443" s="3" t="s">
        <v>521</v>
      </c>
      <c r="P443" s="3" t="s">
        <v>533</v>
      </c>
      <c r="Q443" s="3" t="s">
        <v>533</v>
      </c>
      <c r="R443" s="5">
        <v>45461</v>
      </c>
      <c r="S443" s="6">
        <v>1114016.8</v>
      </c>
      <c r="T443" s="7">
        <v>0</v>
      </c>
    </row>
    <row r="444" s="1" customFormat="1" spans="1:20">
      <c r="A444" s="3" t="s">
        <v>1773</v>
      </c>
      <c r="B444" s="3" t="s">
        <v>474</v>
      </c>
      <c r="C444" s="3" t="s">
        <v>1768</v>
      </c>
      <c r="D444" s="3" t="s">
        <v>595</v>
      </c>
      <c r="E444" s="3" t="s">
        <v>596</v>
      </c>
      <c r="F444" s="3" t="s">
        <v>475</v>
      </c>
      <c r="G444" s="3" t="s">
        <v>1774</v>
      </c>
      <c r="H444" s="3" t="s">
        <v>1770</v>
      </c>
      <c r="I444" s="3" t="s">
        <v>1775</v>
      </c>
      <c r="J444" s="3" t="s">
        <v>2085</v>
      </c>
      <c r="K444" s="3"/>
      <c r="L444" s="3"/>
      <c r="M444" s="3" t="s">
        <v>521</v>
      </c>
      <c r="N444" s="3" t="s">
        <v>532</v>
      </c>
      <c r="O444" s="3" t="s">
        <v>521</v>
      </c>
      <c r="P444" s="3" t="s">
        <v>533</v>
      </c>
      <c r="Q444" s="3" t="s">
        <v>533</v>
      </c>
      <c r="R444" s="5">
        <v>45460</v>
      </c>
      <c r="S444" s="6">
        <v>4583416.01</v>
      </c>
      <c r="T444" s="7">
        <v>0</v>
      </c>
    </row>
    <row r="445" s="1" customFormat="1" spans="1:20">
      <c r="A445" s="3" t="s">
        <v>1779</v>
      </c>
      <c r="B445" s="3" t="s">
        <v>417</v>
      </c>
      <c r="C445" s="3" t="s">
        <v>1768</v>
      </c>
      <c r="D445" s="3" t="s">
        <v>609</v>
      </c>
      <c r="E445" s="3" t="s">
        <v>610</v>
      </c>
      <c r="F445" s="3" t="s">
        <v>416</v>
      </c>
      <c r="G445" s="3" t="s">
        <v>1774</v>
      </c>
      <c r="H445" s="3" t="s">
        <v>1770</v>
      </c>
      <c r="I445" s="3" t="s">
        <v>1775</v>
      </c>
      <c r="J445" s="3" t="s">
        <v>2085</v>
      </c>
      <c r="K445" s="3"/>
      <c r="L445" s="3"/>
      <c r="M445" s="3" t="s">
        <v>521</v>
      </c>
      <c r="N445" s="3" t="s">
        <v>614</v>
      </c>
      <c r="O445" s="3" t="s">
        <v>521</v>
      </c>
      <c r="P445" s="3" t="s">
        <v>533</v>
      </c>
      <c r="Q445" s="3" t="s">
        <v>533</v>
      </c>
      <c r="R445" s="5">
        <v>45435</v>
      </c>
      <c r="S445" s="6">
        <v>1538584.07</v>
      </c>
      <c r="T445" s="7">
        <v>0</v>
      </c>
    </row>
    <row r="446" s="1" customFormat="1" spans="1:20">
      <c r="A446" s="3" t="s">
        <v>1780</v>
      </c>
      <c r="B446" s="3" t="s">
        <v>410</v>
      </c>
      <c r="C446" s="3" t="s">
        <v>1768</v>
      </c>
      <c r="D446" s="3" t="s">
        <v>624</v>
      </c>
      <c r="E446" s="3" t="s">
        <v>625</v>
      </c>
      <c r="F446" s="3" t="s">
        <v>411</v>
      </c>
      <c r="G446" s="3" t="s">
        <v>1774</v>
      </c>
      <c r="H446" s="3" t="s">
        <v>1770</v>
      </c>
      <c r="I446" s="3" t="s">
        <v>1775</v>
      </c>
      <c r="J446" s="3" t="s">
        <v>2085</v>
      </c>
      <c r="K446" s="3"/>
      <c r="L446" s="3"/>
      <c r="M446" s="3" t="s">
        <v>521</v>
      </c>
      <c r="N446" s="3" t="s">
        <v>636</v>
      </c>
      <c r="O446" s="3" t="s">
        <v>521</v>
      </c>
      <c r="P446" s="3" t="s">
        <v>533</v>
      </c>
      <c r="Q446" s="3" t="s">
        <v>533</v>
      </c>
      <c r="R446" s="5">
        <v>45436</v>
      </c>
      <c r="S446" s="6">
        <v>1011228</v>
      </c>
      <c r="T446" s="7">
        <v>0</v>
      </c>
    </row>
    <row r="447" s="1" customFormat="1" spans="1:20">
      <c r="A447" s="3" t="s">
        <v>1780</v>
      </c>
      <c r="B447" s="3" t="s">
        <v>410</v>
      </c>
      <c r="C447" s="3" t="s">
        <v>1768</v>
      </c>
      <c r="D447" s="3" t="s">
        <v>653</v>
      </c>
      <c r="E447" s="3" t="s">
        <v>654</v>
      </c>
      <c r="F447" s="3" t="s">
        <v>411</v>
      </c>
      <c r="G447" s="3" t="s">
        <v>1774</v>
      </c>
      <c r="H447" s="3" t="s">
        <v>1770</v>
      </c>
      <c r="I447" s="3" t="s">
        <v>1775</v>
      </c>
      <c r="J447" s="3" t="s">
        <v>2085</v>
      </c>
      <c r="K447" s="3"/>
      <c r="L447" s="3"/>
      <c r="M447" s="3" t="s">
        <v>521</v>
      </c>
      <c r="N447" s="3" t="s">
        <v>636</v>
      </c>
      <c r="O447" s="3" t="s">
        <v>521</v>
      </c>
      <c r="P447" s="3" t="s">
        <v>533</v>
      </c>
      <c r="Q447" s="3" t="s">
        <v>533</v>
      </c>
      <c r="R447" s="5">
        <v>45436</v>
      </c>
      <c r="S447" s="6">
        <v>247850</v>
      </c>
      <c r="T447" s="7">
        <v>0</v>
      </c>
    </row>
    <row r="448" s="1" customFormat="1" spans="1:20">
      <c r="A448" s="3" t="s">
        <v>1781</v>
      </c>
      <c r="B448" s="3" t="s">
        <v>479</v>
      </c>
      <c r="C448" s="3" t="s">
        <v>1768</v>
      </c>
      <c r="D448" s="3" t="s">
        <v>1259</v>
      </c>
      <c r="E448" s="3" t="s">
        <v>1260</v>
      </c>
      <c r="F448" s="3" t="s">
        <v>480</v>
      </c>
      <c r="G448" s="3" t="s">
        <v>1774</v>
      </c>
      <c r="H448" s="3" t="s">
        <v>1770</v>
      </c>
      <c r="I448" s="3" t="s">
        <v>1775</v>
      </c>
      <c r="J448" s="3" t="s">
        <v>2085</v>
      </c>
      <c r="K448" s="3"/>
      <c r="L448" s="3"/>
      <c r="M448" s="3" t="s">
        <v>521</v>
      </c>
      <c r="N448" s="3" t="s">
        <v>1276</v>
      </c>
      <c r="O448" s="3" t="s">
        <v>521</v>
      </c>
      <c r="P448" s="3" t="s">
        <v>533</v>
      </c>
      <c r="Q448" s="3" t="s">
        <v>533</v>
      </c>
      <c r="R448" s="5">
        <v>45436</v>
      </c>
      <c r="S448" s="6">
        <v>-4117077.53</v>
      </c>
      <c r="T448" s="7">
        <v>0</v>
      </c>
    </row>
    <row r="449" s="1" customFormat="1" spans="1:20">
      <c r="A449" s="3" t="s">
        <v>1782</v>
      </c>
      <c r="B449" s="3" t="s">
        <v>421</v>
      </c>
      <c r="C449" s="3" t="s">
        <v>1768</v>
      </c>
      <c r="D449" s="3" t="s">
        <v>1259</v>
      </c>
      <c r="E449" s="3" t="s">
        <v>1260</v>
      </c>
      <c r="F449" s="3" t="s">
        <v>420</v>
      </c>
      <c r="G449" s="3" t="s">
        <v>1774</v>
      </c>
      <c r="H449" s="3" t="s">
        <v>1770</v>
      </c>
      <c r="I449" s="3" t="s">
        <v>1775</v>
      </c>
      <c r="J449" s="3" t="s">
        <v>2085</v>
      </c>
      <c r="K449" s="3"/>
      <c r="L449" s="3"/>
      <c r="M449" s="3" t="s">
        <v>521</v>
      </c>
      <c r="N449" s="3" t="s">
        <v>1286</v>
      </c>
      <c r="O449" s="3" t="s">
        <v>521</v>
      </c>
      <c r="P449" s="3" t="s">
        <v>533</v>
      </c>
      <c r="Q449" s="3" t="s">
        <v>533</v>
      </c>
      <c r="R449" s="5">
        <v>45436</v>
      </c>
      <c r="S449" s="6">
        <v>4117077.53</v>
      </c>
      <c r="T449" s="7">
        <v>0</v>
      </c>
    </row>
    <row r="450" s="1" customFormat="1" spans="1:20">
      <c r="A450" s="3" t="s">
        <v>1773</v>
      </c>
      <c r="B450" s="3" t="s">
        <v>474</v>
      </c>
      <c r="C450" s="3" t="s">
        <v>1768</v>
      </c>
      <c r="D450" s="3" t="s">
        <v>1440</v>
      </c>
      <c r="E450" s="3" t="s">
        <v>1441</v>
      </c>
      <c r="F450" s="3" t="s">
        <v>475</v>
      </c>
      <c r="G450" s="3" t="s">
        <v>1774</v>
      </c>
      <c r="H450" s="3" t="s">
        <v>1770</v>
      </c>
      <c r="I450" s="3" t="s">
        <v>1775</v>
      </c>
      <c r="J450" s="3" t="s">
        <v>2085</v>
      </c>
      <c r="K450" s="3"/>
      <c r="L450" s="3"/>
      <c r="M450" s="3" t="s">
        <v>521</v>
      </c>
      <c r="N450" s="3" t="s">
        <v>532</v>
      </c>
      <c r="O450" s="3" t="s">
        <v>521</v>
      </c>
      <c r="P450" s="3" t="s">
        <v>533</v>
      </c>
      <c r="Q450" s="3" t="s">
        <v>533</v>
      </c>
      <c r="R450" s="5">
        <v>45460</v>
      </c>
      <c r="S450" s="6">
        <v>2839362.78</v>
      </c>
      <c r="T450" s="7">
        <v>0</v>
      </c>
    </row>
    <row r="451" s="1" customFormat="1" spans="1:20">
      <c r="A451" s="3" t="s">
        <v>1776</v>
      </c>
      <c r="B451" s="3" t="s">
        <v>470</v>
      </c>
      <c r="C451" s="3" t="s">
        <v>1768</v>
      </c>
      <c r="D451" s="3" t="s">
        <v>1440</v>
      </c>
      <c r="E451" s="3" t="s">
        <v>1441</v>
      </c>
      <c r="F451" s="3" t="s">
        <v>471</v>
      </c>
      <c r="G451" s="3" t="s">
        <v>1774</v>
      </c>
      <c r="H451" s="3" t="s">
        <v>1770</v>
      </c>
      <c r="I451" s="3" t="s">
        <v>1775</v>
      </c>
      <c r="J451" s="3" t="s">
        <v>2085</v>
      </c>
      <c r="K451" s="3"/>
      <c r="L451" s="3"/>
      <c r="M451" s="3" t="s">
        <v>521</v>
      </c>
      <c r="N451" s="3" t="s">
        <v>534</v>
      </c>
      <c r="O451" s="3" t="s">
        <v>521</v>
      </c>
      <c r="P451" s="3" t="s">
        <v>533</v>
      </c>
      <c r="Q451" s="3" t="s">
        <v>533</v>
      </c>
      <c r="R451" s="5">
        <v>45461</v>
      </c>
      <c r="S451" s="6">
        <v>2806453.33</v>
      </c>
      <c r="T451" s="7">
        <v>0</v>
      </c>
    </row>
    <row r="452" s="1" customFormat="1" spans="1:20">
      <c r="A452" s="3" t="s">
        <v>1767</v>
      </c>
      <c r="B452" s="3" t="s">
        <v>658</v>
      </c>
      <c r="C452" s="3" t="s">
        <v>1768</v>
      </c>
      <c r="D452" s="3" t="s">
        <v>660</v>
      </c>
      <c r="E452" s="3" t="s">
        <v>661</v>
      </c>
      <c r="F452" s="3" t="s">
        <v>662</v>
      </c>
      <c r="G452" s="3" t="s">
        <v>1769</v>
      </c>
      <c r="H452" s="3" t="s">
        <v>1770</v>
      </c>
      <c r="I452" s="3"/>
      <c r="J452" s="3"/>
      <c r="K452" s="3"/>
      <c r="L452" s="3"/>
      <c r="M452" s="3" t="s">
        <v>508</v>
      </c>
      <c r="N452" s="3" t="s">
        <v>659</v>
      </c>
      <c r="O452" s="3" t="s">
        <v>508</v>
      </c>
      <c r="P452" s="3" t="s">
        <v>663</v>
      </c>
      <c r="Q452" s="3" t="s">
        <v>663</v>
      </c>
      <c r="R452" s="5">
        <v>45253</v>
      </c>
      <c r="S452" s="6">
        <v>-3681.91</v>
      </c>
      <c r="T452" s="7">
        <v>0</v>
      </c>
    </row>
    <row r="453" s="1" customFormat="1" spans="1:20">
      <c r="A453" s="3" t="s">
        <v>1771</v>
      </c>
      <c r="B453" s="3" t="s">
        <v>664</v>
      </c>
      <c r="C453" s="3" t="s">
        <v>1768</v>
      </c>
      <c r="D453" s="3" t="s">
        <v>660</v>
      </c>
      <c r="E453" s="3" t="s">
        <v>661</v>
      </c>
      <c r="F453" s="3" t="s">
        <v>666</v>
      </c>
      <c r="G453" s="3" t="s">
        <v>1769</v>
      </c>
      <c r="H453" s="3" t="s">
        <v>1770</v>
      </c>
      <c r="I453" s="3" t="s">
        <v>1772</v>
      </c>
      <c r="J453" s="3"/>
      <c r="K453" s="3"/>
      <c r="L453" s="3"/>
      <c r="M453" s="3" t="s">
        <v>508</v>
      </c>
      <c r="N453" s="3" t="s">
        <v>665</v>
      </c>
      <c r="O453" s="3" t="s">
        <v>508</v>
      </c>
      <c r="P453" s="3" t="s">
        <v>663</v>
      </c>
      <c r="Q453" s="3" t="s">
        <v>663</v>
      </c>
      <c r="R453" s="5">
        <v>45244</v>
      </c>
      <c r="S453" s="6">
        <v>3681.91</v>
      </c>
      <c r="T453" s="7">
        <v>0</v>
      </c>
    </row>
    <row r="457" spans="19:19">
      <c r="S457" s="8">
        <f>SUM(S2:S456)</f>
        <v>327217535.78</v>
      </c>
    </row>
  </sheetData>
  <autoFilter ref="A1:T453">
    <sortState ref="A1:T453">
      <sortCondition ref="P1"/>
    </sortState>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6"/>
  <sheetViews>
    <sheetView workbookViewId="0">
      <selection activeCell="A1" sqref="$A1:$XFD65536"/>
    </sheetView>
  </sheetViews>
  <sheetFormatPr defaultColWidth="9" defaultRowHeight="13.5"/>
  <cols>
    <col min="1" max="1" width="5.375" style="1" customWidth="1"/>
    <col min="2" max="2" width="4.375" style="1" customWidth="1"/>
    <col min="3" max="3" width="21.25" style="1" customWidth="1"/>
    <col min="4" max="4" width="11.5" style="1" customWidth="1"/>
    <col min="5" max="5" width="19.375" style="1" customWidth="1"/>
    <col min="6" max="6" width="69.5" style="1" customWidth="1"/>
    <col min="7" max="8" width="49.625" style="1" customWidth="1"/>
    <col min="9" max="9" width="65.25" style="1" customWidth="1"/>
    <col min="10" max="11" width="11.5" style="1" customWidth="1"/>
    <col min="12" max="12" width="16" style="1" customWidth="1"/>
    <col min="13" max="16384" width="9" style="1"/>
  </cols>
  <sheetData>
    <row r="1" s="1" customFormat="1" spans="1:12">
      <c r="A1" s="2" t="s">
        <v>284</v>
      </c>
      <c r="B1" s="2" t="s">
        <v>498</v>
      </c>
      <c r="C1" s="2" t="s">
        <v>499</v>
      </c>
      <c r="D1" s="2" t="s">
        <v>7</v>
      </c>
      <c r="E1" s="2" t="s">
        <v>500</v>
      </c>
      <c r="F1" s="2" t="s">
        <v>501</v>
      </c>
      <c r="G1" s="2" t="s">
        <v>502</v>
      </c>
      <c r="H1" s="2" t="s">
        <v>503</v>
      </c>
      <c r="I1" s="2" t="s">
        <v>504</v>
      </c>
      <c r="J1" s="4" t="s">
        <v>505</v>
      </c>
      <c r="K1" s="4" t="s">
        <v>506</v>
      </c>
      <c r="L1" s="4" t="s">
        <v>507</v>
      </c>
    </row>
    <row r="2" s="1" customFormat="1" spans="1:12">
      <c r="A2" s="3" t="s">
        <v>521</v>
      </c>
      <c r="B2" s="3" t="s">
        <v>530</v>
      </c>
      <c r="C2" s="3" t="s">
        <v>472</v>
      </c>
      <c r="D2" s="3" t="s">
        <v>531</v>
      </c>
      <c r="E2" s="3" t="s">
        <v>512</v>
      </c>
      <c r="F2" s="3" t="s">
        <v>513</v>
      </c>
      <c r="G2" s="3" t="s">
        <v>473</v>
      </c>
      <c r="H2" s="3" t="s">
        <v>473</v>
      </c>
      <c r="I2" s="3" t="s">
        <v>515</v>
      </c>
      <c r="J2" s="5">
        <v>45460</v>
      </c>
      <c r="K2" s="5">
        <v>45460</v>
      </c>
      <c r="L2" s="6">
        <v>2752293.58</v>
      </c>
    </row>
    <row r="3" s="1" customFormat="1" spans="1:12">
      <c r="A3" s="3" t="s">
        <v>521</v>
      </c>
      <c r="B3" s="3" t="s">
        <v>530</v>
      </c>
      <c r="C3" s="3" t="s">
        <v>474</v>
      </c>
      <c r="D3" s="3" t="s">
        <v>532</v>
      </c>
      <c r="E3" s="3" t="s">
        <v>512</v>
      </c>
      <c r="F3" s="3" t="s">
        <v>513</v>
      </c>
      <c r="G3" s="3" t="s">
        <v>475</v>
      </c>
      <c r="H3" s="3" t="s">
        <v>475</v>
      </c>
      <c r="I3" s="3" t="s">
        <v>533</v>
      </c>
      <c r="J3" s="5">
        <v>45460</v>
      </c>
      <c r="K3" s="5">
        <v>45460</v>
      </c>
      <c r="L3" s="6">
        <v>8577309.74</v>
      </c>
    </row>
    <row r="4" s="1" customFormat="1" spans="1:12">
      <c r="A4" s="3" t="s">
        <v>521</v>
      </c>
      <c r="B4" s="3" t="s">
        <v>530</v>
      </c>
      <c r="C4" s="3" t="s">
        <v>470</v>
      </c>
      <c r="D4" s="3" t="s">
        <v>534</v>
      </c>
      <c r="E4" s="3" t="s">
        <v>512</v>
      </c>
      <c r="F4" s="3" t="s">
        <v>513</v>
      </c>
      <c r="G4" s="3" t="s">
        <v>471</v>
      </c>
      <c r="H4" s="3" t="s">
        <v>471</v>
      </c>
      <c r="I4" s="3" t="s">
        <v>533</v>
      </c>
      <c r="J4" s="5">
        <v>45461</v>
      </c>
      <c r="K4" s="5">
        <v>45461</v>
      </c>
      <c r="L4" s="6">
        <v>4702774.53</v>
      </c>
    </row>
    <row r="5" s="1" customFormat="1" spans="1:12">
      <c r="A5" s="3" t="s">
        <v>521</v>
      </c>
      <c r="B5" s="3" t="s">
        <v>530</v>
      </c>
      <c r="C5" s="3" t="s">
        <v>2089</v>
      </c>
      <c r="D5" s="3" t="s">
        <v>2090</v>
      </c>
      <c r="E5" s="3" t="s">
        <v>512</v>
      </c>
      <c r="F5" s="3" t="s">
        <v>513</v>
      </c>
      <c r="G5" s="3" t="s">
        <v>525</v>
      </c>
      <c r="H5" s="3" t="s">
        <v>526</v>
      </c>
      <c r="I5" s="3" t="s">
        <v>527</v>
      </c>
      <c r="J5" s="5">
        <v>45473</v>
      </c>
      <c r="K5" s="5">
        <v>45462</v>
      </c>
      <c r="L5" s="6">
        <v>-16032377.85</v>
      </c>
    </row>
    <row r="6" s="1" customFormat="1" spans="1:12">
      <c r="A6" s="3" t="s">
        <v>521</v>
      </c>
      <c r="B6" s="3" t="s">
        <v>530</v>
      </c>
      <c r="C6" s="3" t="s">
        <v>476</v>
      </c>
      <c r="D6" s="3" t="s">
        <v>579</v>
      </c>
      <c r="E6" s="3" t="s">
        <v>580</v>
      </c>
      <c r="F6" s="3" t="s">
        <v>581</v>
      </c>
      <c r="G6" s="3" t="s">
        <v>477</v>
      </c>
      <c r="H6" s="3" t="s">
        <v>477</v>
      </c>
      <c r="I6" s="3" t="s">
        <v>550</v>
      </c>
      <c r="J6" s="5">
        <v>45461</v>
      </c>
      <c r="K6" s="5">
        <v>45461</v>
      </c>
      <c r="L6" s="6">
        <v>1850748.14</v>
      </c>
    </row>
    <row r="7" s="1" customFormat="1" spans="1:12">
      <c r="A7" s="3" t="s">
        <v>521</v>
      </c>
      <c r="B7" s="3" t="s">
        <v>530</v>
      </c>
      <c r="C7" s="3" t="s">
        <v>470</v>
      </c>
      <c r="D7" s="3" t="s">
        <v>534</v>
      </c>
      <c r="E7" s="3" t="s">
        <v>580</v>
      </c>
      <c r="F7" s="3" t="s">
        <v>581</v>
      </c>
      <c r="G7" s="3" t="s">
        <v>471</v>
      </c>
      <c r="H7" s="3" t="s">
        <v>471</v>
      </c>
      <c r="I7" s="3" t="s">
        <v>533</v>
      </c>
      <c r="J7" s="5">
        <v>45461</v>
      </c>
      <c r="K7" s="5">
        <v>45461</v>
      </c>
      <c r="L7" s="6">
        <v>1114016.8</v>
      </c>
    </row>
    <row r="8" s="1" customFormat="1" spans="1:12">
      <c r="A8" s="3" t="s">
        <v>521</v>
      </c>
      <c r="B8" s="3" t="s">
        <v>530</v>
      </c>
      <c r="C8" s="3" t="s">
        <v>2091</v>
      </c>
      <c r="D8" s="3" t="s">
        <v>2092</v>
      </c>
      <c r="E8" s="3" t="s">
        <v>580</v>
      </c>
      <c r="F8" s="3" t="s">
        <v>581</v>
      </c>
      <c r="G8" s="3" t="s">
        <v>525</v>
      </c>
      <c r="H8" s="3" t="s">
        <v>2093</v>
      </c>
      <c r="I8" s="3" t="s">
        <v>527</v>
      </c>
      <c r="J8" s="5">
        <v>45473</v>
      </c>
      <c r="K8" s="5">
        <v>45462</v>
      </c>
      <c r="L8" s="6">
        <v>-2964764.94</v>
      </c>
    </row>
    <row r="9" s="1" customFormat="1" spans="1:12">
      <c r="A9" s="3" t="s">
        <v>521</v>
      </c>
      <c r="B9" s="3" t="s">
        <v>530</v>
      </c>
      <c r="C9" s="3" t="s">
        <v>474</v>
      </c>
      <c r="D9" s="3" t="s">
        <v>532</v>
      </c>
      <c r="E9" s="3" t="s">
        <v>595</v>
      </c>
      <c r="F9" s="3" t="s">
        <v>596</v>
      </c>
      <c r="G9" s="3" t="s">
        <v>475</v>
      </c>
      <c r="H9" s="3" t="s">
        <v>475</v>
      </c>
      <c r="I9" s="3" t="s">
        <v>533</v>
      </c>
      <c r="J9" s="5">
        <v>45460</v>
      </c>
      <c r="K9" s="5">
        <v>45460</v>
      </c>
      <c r="L9" s="6">
        <v>4583416.01</v>
      </c>
    </row>
    <row r="10" s="1" customFormat="1" spans="1:12">
      <c r="A10" s="3" t="s">
        <v>521</v>
      </c>
      <c r="B10" s="3" t="s">
        <v>530</v>
      </c>
      <c r="C10" s="3" t="s">
        <v>2094</v>
      </c>
      <c r="D10" s="3" t="s">
        <v>2095</v>
      </c>
      <c r="E10" s="3" t="s">
        <v>595</v>
      </c>
      <c r="F10" s="3" t="s">
        <v>596</v>
      </c>
      <c r="G10" s="3" t="s">
        <v>525</v>
      </c>
      <c r="H10" s="3" t="s">
        <v>2096</v>
      </c>
      <c r="I10" s="3" t="s">
        <v>527</v>
      </c>
      <c r="J10" s="5">
        <v>45473</v>
      </c>
      <c r="K10" s="5">
        <v>45462</v>
      </c>
      <c r="L10" s="6">
        <v>-4583416.01</v>
      </c>
    </row>
    <row r="11" s="1" customFormat="1" spans="1:12">
      <c r="A11" s="3" t="s">
        <v>521</v>
      </c>
      <c r="B11" s="3" t="s">
        <v>530</v>
      </c>
      <c r="C11" s="3" t="s">
        <v>483</v>
      </c>
      <c r="D11" s="3" t="s">
        <v>1218</v>
      </c>
      <c r="E11" s="3" t="s">
        <v>1219</v>
      </c>
      <c r="F11" s="3" t="s">
        <v>1220</v>
      </c>
      <c r="G11" s="3" t="s">
        <v>484</v>
      </c>
      <c r="H11" s="3" t="s">
        <v>484</v>
      </c>
      <c r="I11" s="3" t="s">
        <v>515</v>
      </c>
      <c r="J11" s="5">
        <v>45455</v>
      </c>
      <c r="K11" s="5">
        <v>45455</v>
      </c>
      <c r="L11" s="6">
        <v>18867.92</v>
      </c>
    </row>
    <row r="12" s="1" customFormat="1" spans="1:12">
      <c r="A12" s="3" t="s">
        <v>521</v>
      </c>
      <c r="B12" s="3" t="s">
        <v>530</v>
      </c>
      <c r="C12" s="3" t="s">
        <v>2097</v>
      </c>
      <c r="D12" s="3" t="s">
        <v>2098</v>
      </c>
      <c r="E12" s="3" t="s">
        <v>1219</v>
      </c>
      <c r="F12" s="3" t="s">
        <v>1220</v>
      </c>
      <c r="G12" s="3" t="s">
        <v>525</v>
      </c>
      <c r="H12" s="3" t="s">
        <v>2099</v>
      </c>
      <c r="I12" s="3" t="s">
        <v>527</v>
      </c>
      <c r="J12" s="5">
        <v>45473</v>
      </c>
      <c r="K12" s="5">
        <v>45462</v>
      </c>
      <c r="L12" s="6">
        <v>-18867.92</v>
      </c>
    </row>
    <row r="13" s="1" customFormat="1" spans="1:12">
      <c r="A13" s="3" t="s">
        <v>521</v>
      </c>
      <c r="B13" s="3" t="s">
        <v>530</v>
      </c>
      <c r="C13" s="3" t="s">
        <v>479</v>
      </c>
      <c r="D13" s="3" t="s">
        <v>1276</v>
      </c>
      <c r="E13" s="3" t="s">
        <v>1259</v>
      </c>
      <c r="F13" s="3" t="s">
        <v>1260</v>
      </c>
      <c r="G13" s="3" t="s">
        <v>480</v>
      </c>
      <c r="H13" s="3" t="s">
        <v>480</v>
      </c>
      <c r="I13" s="3" t="s">
        <v>533</v>
      </c>
      <c r="J13" s="5">
        <v>45444</v>
      </c>
      <c r="K13" s="5">
        <v>45436</v>
      </c>
      <c r="L13" s="6">
        <v>-4117077.53</v>
      </c>
    </row>
    <row r="14" s="1" customFormat="1" spans="1:12">
      <c r="A14" s="3" t="s">
        <v>521</v>
      </c>
      <c r="B14" s="3" t="s">
        <v>530</v>
      </c>
      <c r="C14" s="3" t="s">
        <v>481</v>
      </c>
      <c r="D14" s="3" t="s">
        <v>1277</v>
      </c>
      <c r="E14" s="3" t="s">
        <v>1259</v>
      </c>
      <c r="F14" s="3" t="s">
        <v>1260</v>
      </c>
      <c r="G14" s="3" t="s">
        <v>482</v>
      </c>
      <c r="H14" s="3" t="s">
        <v>482</v>
      </c>
      <c r="I14" s="3" t="s">
        <v>574</v>
      </c>
      <c r="J14" s="5">
        <v>45450</v>
      </c>
      <c r="K14" s="5">
        <v>45450</v>
      </c>
      <c r="L14" s="6">
        <v>4294080.42</v>
      </c>
    </row>
    <row r="15" s="1" customFormat="1" spans="1:12">
      <c r="A15" s="3" t="s">
        <v>521</v>
      </c>
      <c r="B15" s="3" t="s">
        <v>530</v>
      </c>
      <c r="C15" s="3" t="s">
        <v>2100</v>
      </c>
      <c r="D15" s="3" t="s">
        <v>2101</v>
      </c>
      <c r="E15" s="3" t="s">
        <v>1259</v>
      </c>
      <c r="F15" s="3" t="s">
        <v>1260</v>
      </c>
      <c r="G15" s="3" t="s">
        <v>525</v>
      </c>
      <c r="H15" s="3" t="s">
        <v>1265</v>
      </c>
      <c r="I15" s="3" t="s">
        <v>527</v>
      </c>
      <c r="J15" s="5">
        <v>45473</v>
      </c>
      <c r="K15" s="5">
        <v>45462</v>
      </c>
      <c r="L15" s="6">
        <v>-177002.89</v>
      </c>
    </row>
    <row r="16" s="1" customFormat="1" spans="1:12">
      <c r="A16" s="3" t="s">
        <v>521</v>
      </c>
      <c r="B16" s="3" t="s">
        <v>530</v>
      </c>
      <c r="C16" s="3" t="s">
        <v>1344</v>
      </c>
      <c r="D16" s="3" t="s">
        <v>1345</v>
      </c>
      <c r="E16" s="3" t="s">
        <v>1346</v>
      </c>
      <c r="F16" s="3" t="s">
        <v>1347</v>
      </c>
      <c r="G16" s="3" t="s">
        <v>1348</v>
      </c>
      <c r="H16" s="3" t="s">
        <v>1348</v>
      </c>
      <c r="I16" s="3" t="s">
        <v>1247</v>
      </c>
      <c r="J16" s="5">
        <v>45455</v>
      </c>
      <c r="K16" s="5">
        <v>45455</v>
      </c>
      <c r="L16" s="6">
        <v>376226.42</v>
      </c>
    </row>
    <row r="17" s="1" customFormat="1" spans="1:12">
      <c r="A17" s="3" t="s">
        <v>521</v>
      </c>
      <c r="B17" s="3" t="s">
        <v>530</v>
      </c>
      <c r="C17" s="3"/>
      <c r="D17" s="3" t="s">
        <v>2102</v>
      </c>
      <c r="E17" s="3" t="s">
        <v>1346</v>
      </c>
      <c r="F17" s="3" t="s">
        <v>1347</v>
      </c>
      <c r="G17" s="3" t="s">
        <v>2103</v>
      </c>
      <c r="H17" s="3" t="s">
        <v>487</v>
      </c>
      <c r="I17" s="3" t="s">
        <v>985</v>
      </c>
      <c r="J17" s="5">
        <v>45467</v>
      </c>
      <c r="K17" s="5">
        <v>45467</v>
      </c>
      <c r="L17" s="6">
        <v>132.26</v>
      </c>
    </row>
    <row r="18" s="1" customFormat="1" spans="1:12">
      <c r="A18" s="3" t="s">
        <v>521</v>
      </c>
      <c r="B18" s="3" t="s">
        <v>530</v>
      </c>
      <c r="C18" s="3" t="s">
        <v>2104</v>
      </c>
      <c r="D18" s="3" t="s">
        <v>2105</v>
      </c>
      <c r="E18" s="3" t="s">
        <v>1346</v>
      </c>
      <c r="F18" s="3" t="s">
        <v>1347</v>
      </c>
      <c r="G18" s="3" t="s">
        <v>525</v>
      </c>
      <c r="H18" s="3" t="s">
        <v>1352</v>
      </c>
      <c r="I18" s="3" t="s">
        <v>527</v>
      </c>
      <c r="J18" s="5">
        <v>45473</v>
      </c>
      <c r="K18" s="5">
        <v>45462</v>
      </c>
      <c r="L18" s="6">
        <v>-376226.42</v>
      </c>
    </row>
    <row r="19" s="1" customFormat="1" spans="1:12">
      <c r="A19" s="3" t="s">
        <v>521</v>
      </c>
      <c r="B19" s="3" t="s">
        <v>530</v>
      </c>
      <c r="C19" s="3" t="s">
        <v>1375</v>
      </c>
      <c r="D19" s="3" t="s">
        <v>1376</v>
      </c>
      <c r="E19" s="3" t="s">
        <v>1355</v>
      </c>
      <c r="F19" s="3" t="s">
        <v>1356</v>
      </c>
      <c r="G19" s="3" t="s">
        <v>922</v>
      </c>
      <c r="H19" s="3" t="s">
        <v>922</v>
      </c>
      <c r="I19" s="3" t="s">
        <v>670</v>
      </c>
      <c r="J19" s="5">
        <v>45450</v>
      </c>
      <c r="K19" s="5">
        <v>45450</v>
      </c>
      <c r="L19" s="6">
        <v>800</v>
      </c>
    </row>
    <row r="20" s="1" customFormat="1" spans="1:12">
      <c r="A20" s="3" t="s">
        <v>521</v>
      </c>
      <c r="B20" s="3" t="s">
        <v>530</v>
      </c>
      <c r="C20" s="3" t="s">
        <v>2106</v>
      </c>
      <c r="D20" s="3" t="s">
        <v>2107</v>
      </c>
      <c r="E20" s="3" t="s">
        <v>1355</v>
      </c>
      <c r="F20" s="3" t="s">
        <v>1356</v>
      </c>
      <c r="G20" s="3" t="s">
        <v>525</v>
      </c>
      <c r="H20" s="3" t="s">
        <v>1363</v>
      </c>
      <c r="I20" s="3" t="s">
        <v>527</v>
      </c>
      <c r="J20" s="5">
        <v>45473</v>
      </c>
      <c r="K20" s="5">
        <v>45462</v>
      </c>
      <c r="L20" s="6">
        <v>-800</v>
      </c>
    </row>
    <row r="21" s="1" customFormat="1" spans="1:12">
      <c r="A21" s="3" t="s">
        <v>521</v>
      </c>
      <c r="B21" s="3" t="s">
        <v>530</v>
      </c>
      <c r="C21" s="3"/>
      <c r="D21" s="3" t="s">
        <v>2108</v>
      </c>
      <c r="E21" s="3" t="s">
        <v>1414</v>
      </c>
      <c r="F21" s="3" t="s">
        <v>1415</v>
      </c>
      <c r="G21" s="3" t="s">
        <v>488</v>
      </c>
      <c r="H21" s="3" t="s">
        <v>488</v>
      </c>
      <c r="I21" s="3" t="s">
        <v>985</v>
      </c>
      <c r="J21" s="5">
        <v>45467</v>
      </c>
      <c r="K21" s="5">
        <v>45467</v>
      </c>
      <c r="L21" s="6">
        <v>4614.16</v>
      </c>
    </row>
    <row r="22" s="1" customFormat="1" spans="1:12">
      <c r="A22" s="3" t="s">
        <v>521</v>
      </c>
      <c r="B22" s="3" t="s">
        <v>530</v>
      </c>
      <c r="C22" s="3"/>
      <c r="D22" s="3" t="s">
        <v>2109</v>
      </c>
      <c r="E22" s="3" t="s">
        <v>1414</v>
      </c>
      <c r="F22" s="3" t="s">
        <v>1415</v>
      </c>
      <c r="G22" s="3" t="s">
        <v>489</v>
      </c>
      <c r="H22" s="3" t="s">
        <v>489</v>
      </c>
      <c r="I22" s="3" t="s">
        <v>985</v>
      </c>
      <c r="J22" s="5">
        <v>45467</v>
      </c>
      <c r="K22" s="5">
        <v>45467</v>
      </c>
      <c r="L22" s="6">
        <v>368.35</v>
      </c>
    </row>
    <row r="23" s="1" customFormat="1" spans="1:12">
      <c r="A23" s="3" t="s">
        <v>521</v>
      </c>
      <c r="B23" s="3" t="s">
        <v>530</v>
      </c>
      <c r="C23" s="3" t="s">
        <v>474</v>
      </c>
      <c r="D23" s="3" t="s">
        <v>532</v>
      </c>
      <c r="E23" s="3" t="s">
        <v>1440</v>
      </c>
      <c r="F23" s="3" t="s">
        <v>1441</v>
      </c>
      <c r="G23" s="3" t="s">
        <v>475</v>
      </c>
      <c r="H23" s="3" t="s">
        <v>475</v>
      </c>
      <c r="I23" s="3" t="s">
        <v>533</v>
      </c>
      <c r="J23" s="5">
        <v>45460</v>
      </c>
      <c r="K23" s="5">
        <v>45460</v>
      </c>
      <c r="L23" s="6">
        <v>2839362.78</v>
      </c>
    </row>
    <row r="24" s="1" customFormat="1" spans="1:12">
      <c r="A24" s="3" t="s">
        <v>521</v>
      </c>
      <c r="B24" s="3" t="s">
        <v>530</v>
      </c>
      <c r="C24" s="3" t="s">
        <v>470</v>
      </c>
      <c r="D24" s="3" t="s">
        <v>534</v>
      </c>
      <c r="E24" s="3" t="s">
        <v>1440</v>
      </c>
      <c r="F24" s="3" t="s">
        <v>1441</v>
      </c>
      <c r="G24" s="3" t="s">
        <v>471</v>
      </c>
      <c r="H24" s="3" t="s">
        <v>471</v>
      </c>
      <c r="I24" s="3" t="s">
        <v>533</v>
      </c>
      <c r="J24" s="5">
        <v>45461</v>
      </c>
      <c r="K24" s="5">
        <v>45461</v>
      </c>
      <c r="L24" s="6">
        <v>2806453.33</v>
      </c>
    </row>
    <row r="25" s="1" customFormat="1" spans="1:12">
      <c r="A25" s="3" t="s">
        <v>521</v>
      </c>
      <c r="B25" s="3" t="s">
        <v>530</v>
      </c>
      <c r="C25" s="3" t="s">
        <v>2110</v>
      </c>
      <c r="D25" s="3" t="s">
        <v>2111</v>
      </c>
      <c r="E25" s="3" t="s">
        <v>1440</v>
      </c>
      <c r="F25" s="3" t="s">
        <v>1441</v>
      </c>
      <c r="G25" s="3" t="s">
        <v>525</v>
      </c>
      <c r="H25" s="3" t="s">
        <v>2112</v>
      </c>
      <c r="I25" s="3" t="s">
        <v>527</v>
      </c>
      <c r="J25" s="5">
        <v>45473</v>
      </c>
      <c r="K25" s="5">
        <v>45462</v>
      </c>
      <c r="L25" s="6">
        <v>-5645816.11</v>
      </c>
    </row>
    <row r="26" s="1" customFormat="1" spans="1:12">
      <c r="A26" s="3" t="s">
        <v>521</v>
      </c>
      <c r="B26" s="3" t="s">
        <v>530</v>
      </c>
      <c r="C26" s="3"/>
      <c r="D26" s="3" t="s">
        <v>1590</v>
      </c>
      <c r="E26" s="3" t="s">
        <v>1483</v>
      </c>
      <c r="F26" s="3" t="s">
        <v>1484</v>
      </c>
      <c r="G26" s="3" t="s">
        <v>1538</v>
      </c>
      <c r="H26" s="3" t="s">
        <v>1538</v>
      </c>
      <c r="I26" s="3" t="s">
        <v>1486</v>
      </c>
      <c r="J26" s="5">
        <v>45444</v>
      </c>
      <c r="K26" s="5">
        <v>45444</v>
      </c>
      <c r="L26" s="6">
        <v>-55600</v>
      </c>
    </row>
    <row r="27" s="1" customFormat="1" spans="1:12">
      <c r="A27" s="3" t="s">
        <v>521</v>
      </c>
      <c r="B27" s="3" t="s">
        <v>530</v>
      </c>
      <c r="C27" s="3"/>
      <c r="D27" s="3" t="s">
        <v>1578</v>
      </c>
      <c r="E27" s="3" t="s">
        <v>1483</v>
      </c>
      <c r="F27" s="3" t="s">
        <v>1484</v>
      </c>
      <c r="G27" s="3" t="s">
        <v>1579</v>
      </c>
      <c r="H27" s="3" t="s">
        <v>1579</v>
      </c>
      <c r="I27" s="3" t="s">
        <v>1486</v>
      </c>
      <c r="J27" s="5">
        <v>45444</v>
      </c>
      <c r="K27" s="5">
        <v>45443</v>
      </c>
      <c r="L27" s="6">
        <v>-27084.45</v>
      </c>
    </row>
    <row r="28" s="1" customFormat="1" spans="1:12">
      <c r="A28" s="3" t="s">
        <v>521</v>
      </c>
      <c r="B28" s="3" t="s">
        <v>530</v>
      </c>
      <c r="C28" s="3"/>
      <c r="D28" s="3" t="s">
        <v>1578</v>
      </c>
      <c r="E28" s="3" t="s">
        <v>1483</v>
      </c>
      <c r="F28" s="3" t="s">
        <v>1484</v>
      </c>
      <c r="G28" s="3" t="s">
        <v>1579</v>
      </c>
      <c r="H28" s="3" t="s">
        <v>1579</v>
      </c>
      <c r="I28" s="3" t="s">
        <v>1486</v>
      </c>
      <c r="J28" s="5">
        <v>45444</v>
      </c>
      <c r="K28" s="5">
        <v>45443</v>
      </c>
      <c r="L28" s="6">
        <v>27084.45</v>
      </c>
    </row>
    <row r="29" s="1" customFormat="1" spans="1:12">
      <c r="A29" s="3" t="s">
        <v>521</v>
      </c>
      <c r="B29" s="3" t="s">
        <v>530</v>
      </c>
      <c r="C29" s="3" t="s">
        <v>1559</v>
      </c>
      <c r="D29" s="3" t="s">
        <v>1560</v>
      </c>
      <c r="E29" s="3" t="s">
        <v>1483</v>
      </c>
      <c r="F29" s="3" t="s">
        <v>1484</v>
      </c>
      <c r="G29" s="3" t="s">
        <v>1561</v>
      </c>
      <c r="H29" s="3" t="s">
        <v>1561</v>
      </c>
      <c r="I29" s="3" t="s">
        <v>1486</v>
      </c>
      <c r="J29" s="5">
        <v>45463</v>
      </c>
      <c r="K29" s="5">
        <v>45463</v>
      </c>
      <c r="L29" s="6">
        <v>71044.44</v>
      </c>
    </row>
    <row r="30" s="1" customFormat="1" spans="1:12">
      <c r="A30" s="3" t="s">
        <v>521</v>
      </c>
      <c r="B30" s="3" t="s">
        <v>530</v>
      </c>
      <c r="C30" s="3" t="s">
        <v>1559</v>
      </c>
      <c r="D30" s="3" t="s">
        <v>1560</v>
      </c>
      <c r="E30" s="3" t="s">
        <v>1483</v>
      </c>
      <c r="F30" s="3" t="s">
        <v>1484</v>
      </c>
      <c r="G30" s="3" t="s">
        <v>1561</v>
      </c>
      <c r="H30" s="3" t="s">
        <v>1561</v>
      </c>
      <c r="I30" s="3" t="s">
        <v>1486</v>
      </c>
      <c r="J30" s="5">
        <v>45463</v>
      </c>
      <c r="K30" s="5">
        <v>45463</v>
      </c>
      <c r="L30" s="6">
        <v>142088.89</v>
      </c>
    </row>
    <row r="31" s="1" customFormat="1" spans="1:12">
      <c r="A31" s="3" t="s">
        <v>521</v>
      </c>
      <c r="B31" s="3" t="s">
        <v>530</v>
      </c>
      <c r="C31" s="3" t="s">
        <v>2113</v>
      </c>
      <c r="D31" s="3" t="s">
        <v>2114</v>
      </c>
      <c r="E31" s="3" t="s">
        <v>1483</v>
      </c>
      <c r="F31" s="3" t="s">
        <v>1484</v>
      </c>
      <c r="G31" s="3" t="s">
        <v>525</v>
      </c>
      <c r="H31" s="3" t="s">
        <v>1495</v>
      </c>
      <c r="I31" s="3" t="s">
        <v>527</v>
      </c>
      <c r="J31" s="5">
        <v>45473</v>
      </c>
      <c r="K31" s="5">
        <v>45462</v>
      </c>
      <c r="L31" s="6">
        <v>-569353.04</v>
      </c>
    </row>
    <row r="32" s="1" customFormat="1" spans="1:12">
      <c r="A32" s="3" t="s">
        <v>521</v>
      </c>
      <c r="B32" s="3" t="s">
        <v>530</v>
      </c>
      <c r="C32" s="3"/>
      <c r="D32" s="3" t="s">
        <v>1592</v>
      </c>
      <c r="E32" s="3" t="s">
        <v>1483</v>
      </c>
      <c r="F32" s="3" t="s">
        <v>1484</v>
      </c>
      <c r="G32" s="3" t="s">
        <v>1538</v>
      </c>
      <c r="H32" s="3" t="s">
        <v>1538</v>
      </c>
      <c r="I32" s="3" t="s">
        <v>1486</v>
      </c>
      <c r="J32" s="5">
        <v>45444</v>
      </c>
      <c r="K32" s="5">
        <v>45444</v>
      </c>
      <c r="L32" s="6">
        <v>-278000</v>
      </c>
    </row>
    <row r="33" s="1" customFormat="1" spans="1:12">
      <c r="A33" s="3" t="s">
        <v>521</v>
      </c>
      <c r="B33" s="3" t="s">
        <v>530</v>
      </c>
      <c r="C33" s="3"/>
      <c r="D33" s="3" t="s">
        <v>1597</v>
      </c>
      <c r="E33" s="3" t="s">
        <v>1483</v>
      </c>
      <c r="F33" s="3" t="s">
        <v>1484</v>
      </c>
      <c r="G33" s="3" t="s">
        <v>1538</v>
      </c>
      <c r="H33" s="3" t="s">
        <v>1538</v>
      </c>
      <c r="I33" s="3" t="s">
        <v>1486</v>
      </c>
      <c r="J33" s="5">
        <v>45444</v>
      </c>
      <c r="K33" s="5">
        <v>45444</v>
      </c>
      <c r="L33" s="6">
        <v>-664800</v>
      </c>
    </row>
    <row r="34" s="1" customFormat="1" spans="1:12">
      <c r="A34" s="3" t="s">
        <v>521</v>
      </c>
      <c r="B34" s="3" t="s">
        <v>530</v>
      </c>
      <c r="C34" s="3"/>
      <c r="D34" s="3" t="s">
        <v>1599</v>
      </c>
      <c r="E34" s="3" t="s">
        <v>1483</v>
      </c>
      <c r="F34" s="3" t="s">
        <v>1484</v>
      </c>
      <c r="G34" s="3" t="s">
        <v>1538</v>
      </c>
      <c r="H34" s="3" t="s">
        <v>1538</v>
      </c>
      <c r="I34" s="3" t="s">
        <v>1486</v>
      </c>
      <c r="J34" s="5">
        <v>45444</v>
      </c>
      <c r="K34" s="5">
        <v>45444</v>
      </c>
      <c r="L34" s="6">
        <v>-111200</v>
      </c>
    </row>
    <row r="35" s="1" customFormat="1" spans="1:12">
      <c r="A35" s="3" t="s">
        <v>521</v>
      </c>
      <c r="B35" s="3" t="s">
        <v>530</v>
      </c>
      <c r="C35" s="3"/>
      <c r="D35" s="3" t="s">
        <v>1601</v>
      </c>
      <c r="E35" s="3" t="s">
        <v>1483</v>
      </c>
      <c r="F35" s="3" t="s">
        <v>1484</v>
      </c>
      <c r="G35" s="3" t="s">
        <v>1538</v>
      </c>
      <c r="H35" s="3" t="s">
        <v>1538</v>
      </c>
      <c r="I35" s="3" t="s">
        <v>1486</v>
      </c>
      <c r="J35" s="5">
        <v>45444</v>
      </c>
      <c r="K35" s="5">
        <v>45444</v>
      </c>
      <c r="L35" s="6">
        <v>-21852.22</v>
      </c>
    </row>
    <row r="36" s="1" customFormat="1" spans="1:12">
      <c r="A36" s="3" t="s">
        <v>521</v>
      </c>
      <c r="B36" s="3" t="s">
        <v>530</v>
      </c>
      <c r="C36" s="3" t="s">
        <v>1616</v>
      </c>
      <c r="D36" s="3" t="s">
        <v>2115</v>
      </c>
      <c r="E36" s="3" t="s">
        <v>1483</v>
      </c>
      <c r="F36" s="3" t="s">
        <v>1484</v>
      </c>
      <c r="G36" s="3" t="s">
        <v>2116</v>
      </c>
      <c r="H36" s="3" t="s">
        <v>2116</v>
      </c>
      <c r="I36" s="3" t="s">
        <v>1486</v>
      </c>
      <c r="J36" s="5">
        <v>45473</v>
      </c>
      <c r="K36" s="5">
        <v>45473</v>
      </c>
      <c r="L36" s="6">
        <v>-12311.11</v>
      </c>
    </row>
    <row r="37" s="1" customFormat="1" spans="1:12">
      <c r="A37" s="3" t="s">
        <v>521</v>
      </c>
      <c r="B37" s="3" t="s">
        <v>530</v>
      </c>
      <c r="C37" s="3" t="s">
        <v>1559</v>
      </c>
      <c r="D37" s="3" t="s">
        <v>1605</v>
      </c>
      <c r="E37" s="3" t="s">
        <v>1483</v>
      </c>
      <c r="F37" s="3" t="s">
        <v>1484</v>
      </c>
      <c r="G37" s="3" t="s">
        <v>1606</v>
      </c>
      <c r="H37" s="3" t="s">
        <v>1606</v>
      </c>
      <c r="I37" s="3" t="s">
        <v>1486</v>
      </c>
      <c r="J37" s="5">
        <v>45464</v>
      </c>
      <c r="K37" s="5">
        <v>45464</v>
      </c>
      <c r="L37" s="6">
        <v>28007.78</v>
      </c>
    </row>
    <row r="38" s="1" customFormat="1" spans="1:12">
      <c r="A38" s="3" t="s">
        <v>521</v>
      </c>
      <c r="B38" s="3" t="s">
        <v>530</v>
      </c>
      <c r="C38" s="3" t="s">
        <v>1559</v>
      </c>
      <c r="D38" s="3" t="s">
        <v>1607</v>
      </c>
      <c r="E38" s="3" t="s">
        <v>1483</v>
      </c>
      <c r="F38" s="3" t="s">
        <v>1484</v>
      </c>
      <c r="G38" s="3" t="s">
        <v>1561</v>
      </c>
      <c r="H38" s="3" t="s">
        <v>1561</v>
      </c>
      <c r="I38" s="3" t="s">
        <v>1486</v>
      </c>
      <c r="J38" s="5">
        <v>45463</v>
      </c>
      <c r="K38" s="5">
        <v>45463</v>
      </c>
      <c r="L38" s="6">
        <v>355222.22</v>
      </c>
    </row>
    <row r="39" s="1" customFormat="1" spans="1:12">
      <c r="A39" s="3" t="s">
        <v>521</v>
      </c>
      <c r="B39" s="3" t="s">
        <v>530</v>
      </c>
      <c r="C39" s="3" t="s">
        <v>1559</v>
      </c>
      <c r="D39" s="3" t="s">
        <v>1608</v>
      </c>
      <c r="E39" s="3" t="s">
        <v>1483</v>
      </c>
      <c r="F39" s="3" t="s">
        <v>1484</v>
      </c>
      <c r="G39" s="3" t="s">
        <v>1606</v>
      </c>
      <c r="H39" s="3" t="s">
        <v>1606</v>
      </c>
      <c r="I39" s="3" t="s">
        <v>1486</v>
      </c>
      <c r="J39" s="5">
        <v>45464</v>
      </c>
      <c r="K39" s="5">
        <v>45464</v>
      </c>
      <c r="L39" s="6">
        <v>849466.67</v>
      </c>
    </row>
    <row r="40" s="1" customFormat="1" spans="1:12">
      <c r="A40" s="3" t="s">
        <v>521</v>
      </c>
      <c r="B40" s="3" t="s">
        <v>530</v>
      </c>
      <c r="C40" s="3" t="s">
        <v>1559</v>
      </c>
      <c r="D40" s="3" t="s">
        <v>1609</v>
      </c>
      <c r="E40" s="3" t="s">
        <v>1483</v>
      </c>
      <c r="F40" s="3" t="s">
        <v>1484</v>
      </c>
      <c r="G40" s="3" t="s">
        <v>1606</v>
      </c>
      <c r="H40" s="3" t="s">
        <v>1606</v>
      </c>
      <c r="I40" s="3" t="s">
        <v>1486</v>
      </c>
      <c r="J40" s="5">
        <v>45464</v>
      </c>
      <c r="K40" s="5">
        <v>45464</v>
      </c>
      <c r="L40" s="6">
        <v>51706.67</v>
      </c>
    </row>
    <row r="41" s="1" customFormat="1" spans="1:12">
      <c r="A41" s="3" t="s">
        <v>521</v>
      </c>
      <c r="B41" s="3" t="s">
        <v>530</v>
      </c>
      <c r="C41" s="3" t="s">
        <v>1616</v>
      </c>
      <c r="D41" s="3" t="s">
        <v>2117</v>
      </c>
      <c r="E41" s="3" t="s">
        <v>1483</v>
      </c>
      <c r="F41" s="3" t="s">
        <v>1484</v>
      </c>
      <c r="G41" s="3" t="s">
        <v>2116</v>
      </c>
      <c r="H41" s="3" t="s">
        <v>2116</v>
      </c>
      <c r="I41" s="3" t="s">
        <v>1486</v>
      </c>
      <c r="J41" s="5">
        <v>45473</v>
      </c>
      <c r="K41" s="5">
        <v>45473</v>
      </c>
      <c r="L41" s="6">
        <v>-64017.78</v>
      </c>
    </row>
    <row r="42" s="1" customFormat="1" spans="1:12">
      <c r="A42" s="3" t="s">
        <v>521</v>
      </c>
      <c r="B42" s="3" t="s">
        <v>530</v>
      </c>
      <c r="C42" s="3" t="s">
        <v>1616</v>
      </c>
      <c r="D42" s="3" t="s">
        <v>2118</v>
      </c>
      <c r="E42" s="3" t="s">
        <v>1483</v>
      </c>
      <c r="F42" s="3" t="s">
        <v>1484</v>
      </c>
      <c r="G42" s="3"/>
      <c r="H42" s="3"/>
      <c r="I42" s="3" t="s">
        <v>1486</v>
      </c>
      <c r="J42" s="5">
        <v>45473</v>
      </c>
      <c r="K42" s="5">
        <v>45473</v>
      </c>
      <c r="L42" s="6">
        <v>12311.11</v>
      </c>
    </row>
    <row r="43" s="1" customFormat="1" spans="1:12">
      <c r="A43" s="3" t="s">
        <v>521</v>
      </c>
      <c r="B43" s="3" t="s">
        <v>530</v>
      </c>
      <c r="C43" s="3" t="s">
        <v>1616</v>
      </c>
      <c r="D43" s="3" t="s">
        <v>2119</v>
      </c>
      <c r="E43" s="3" t="s">
        <v>1483</v>
      </c>
      <c r="F43" s="3" t="s">
        <v>1484</v>
      </c>
      <c r="G43" s="3" t="s">
        <v>2120</v>
      </c>
      <c r="H43" s="3" t="s">
        <v>2120</v>
      </c>
      <c r="I43" s="3" t="s">
        <v>1486</v>
      </c>
      <c r="J43" s="5">
        <v>45473</v>
      </c>
      <c r="K43" s="5">
        <v>45473</v>
      </c>
      <c r="L43" s="6">
        <v>12311.11</v>
      </c>
    </row>
    <row r="44" s="1" customFormat="1" spans="1:12">
      <c r="A44" s="3" t="s">
        <v>521</v>
      </c>
      <c r="B44" s="3" t="s">
        <v>530</v>
      </c>
      <c r="C44" s="3" t="s">
        <v>2121</v>
      </c>
      <c r="D44" s="3" t="s">
        <v>2122</v>
      </c>
      <c r="E44" s="3" t="s">
        <v>1483</v>
      </c>
      <c r="F44" s="3" t="s">
        <v>1484</v>
      </c>
      <c r="G44" s="3" t="s">
        <v>525</v>
      </c>
      <c r="H44" s="3" t="s">
        <v>1495</v>
      </c>
      <c r="I44" s="3" t="s">
        <v>527</v>
      </c>
      <c r="J44" s="5">
        <v>45473</v>
      </c>
      <c r="K44" s="5">
        <v>45463</v>
      </c>
      <c r="L44" s="6">
        <v>1497536.67</v>
      </c>
    </row>
    <row r="45" s="1" customFormat="1" spans="1:12">
      <c r="A45" s="3" t="s">
        <v>521</v>
      </c>
      <c r="B45" s="3" t="s">
        <v>530</v>
      </c>
      <c r="C45" s="3" t="s">
        <v>1616</v>
      </c>
      <c r="D45" s="3" t="s">
        <v>2123</v>
      </c>
      <c r="E45" s="3" t="s">
        <v>1483</v>
      </c>
      <c r="F45" s="3" t="s">
        <v>1484</v>
      </c>
      <c r="G45" s="3" t="s">
        <v>2116</v>
      </c>
      <c r="H45" s="3" t="s">
        <v>2116</v>
      </c>
      <c r="I45" s="3" t="s">
        <v>1486</v>
      </c>
      <c r="J45" s="5">
        <v>45473</v>
      </c>
      <c r="K45" s="5">
        <v>45473</v>
      </c>
      <c r="L45" s="6">
        <v>-157533.33</v>
      </c>
    </row>
    <row r="46" s="1" customFormat="1" spans="1:12">
      <c r="A46" s="3" t="s">
        <v>521</v>
      </c>
      <c r="B46" s="3" t="s">
        <v>530</v>
      </c>
      <c r="C46" s="3" t="s">
        <v>1616</v>
      </c>
      <c r="D46" s="3" t="s">
        <v>2124</v>
      </c>
      <c r="E46" s="3" t="s">
        <v>1483</v>
      </c>
      <c r="F46" s="3" t="s">
        <v>1484</v>
      </c>
      <c r="G46" s="3"/>
      <c r="H46" s="3"/>
      <c r="I46" s="3" t="s">
        <v>1486</v>
      </c>
      <c r="J46" s="5">
        <v>45473</v>
      </c>
      <c r="K46" s="5">
        <v>45473</v>
      </c>
      <c r="L46" s="6">
        <v>7722.22</v>
      </c>
    </row>
    <row r="47" s="1" customFormat="1" spans="1:12">
      <c r="A47" s="3" t="s">
        <v>521</v>
      </c>
      <c r="B47" s="3" t="s">
        <v>530</v>
      </c>
      <c r="C47" s="3" t="s">
        <v>1616</v>
      </c>
      <c r="D47" s="3" t="s">
        <v>2125</v>
      </c>
      <c r="E47" s="3" t="s">
        <v>1483</v>
      </c>
      <c r="F47" s="3" t="s">
        <v>1484</v>
      </c>
      <c r="G47" s="3" t="s">
        <v>2116</v>
      </c>
      <c r="H47" s="3" t="s">
        <v>2116</v>
      </c>
      <c r="I47" s="3" t="s">
        <v>1486</v>
      </c>
      <c r="J47" s="5">
        <v>45473</v>
      </c>
      <c r="K47" s="5">
        <v>45473</v>
      </c>
      <c r="L47" s="6">
        <v>-941800</v>
      </c>
    </row>
    <row r="48" s="1" customFormat="1" spans="1:12">
      <c r="A48" s="3" t="s">
        <v>521</v>
      </c>
      <c r="B48" s="3" t="s">
        <v>530</v>
      </c>
      <c r="C48" s="3" t="s">
        <v>1616</v>
      </c>
      <c r="D48" s="3" t="s">
        <v>2126</v>
      </c>
      <c r="E48" s="3" t="s">
        <v>1483</v>
      </c>
      <c r="F48" s="3" t="s">
        <v>1484</v>
      </c>
      <c r="G48" s="3"/>
      <c r="H48" s="3"/>
      <c r="I48" s="3" t="s">
        <v>1486</v>
      </c>
      <c r="J48" s="5">
        <v>45473</v>
      </c>
      <c r="K48" s="5">
        <v>45473</v>
      </c>
      <c r="L48" s="6">
        <v>38611.11</v>
      </c>
    </row>
    <row r="49" s="1" customFormat="1" spans="1:12">
      <c r="A49" s="3" t="s">
        <v>521</v>
      </c>
      <c r="B49" s="3" t="s">
        <v>530</v>
      </c>
      <c r="C49" s="3" t="s">
        <v>1616</v>
      </c>
      <c r="D49" s="3" t="s">
        <v>2127</v>
      </c>
      <c r="E49" s="3" t="s">
        <v>1483</v>
      </c>
      <c r="F49" s="3" t="s">
        <v>1484</v>
      </c>
      <c r="G49" s="3" t="s">
        <v>2116</v>
      </c>
      <c r="H49" s="3" t="s">
        <v>2116</v>
      </c>
      <c r="I49" s="3" t="s">
        <v>1486</v>
      </c>
      <c r="J49" s="5">
        <v>45473</v>
      </c>
      <c r="K49" s="5">
        <v>45473</v>
      </c>
      <c r="L49" s="6">
        <v>-393833.33</v>
      </c>
    </row>
    <row r="50" s="1" customFormat="1" spans="1:12">
      <c r="A50" s="3" t="s">
        <v>521</v>
      </c>
      <c r="B50" s="3" t="s">
        <v>530</v>
      </c>
      <c r="C50" s="3" t="s">
        <v>1616</v>
      </c>
      <c r="D50" s="3" t="s">
        <v>2128</v>
      </c>
      <c r="E50" s="3" t="s">
        <v>1483</v>
      </c>
      <c r="F50" s="3" t="s">
        <v>1484</v>
      </c>
      <c r="G50" s="3" t="s">
        <v>2116</v>
      </c>
      <c r="H50" s="3" t="s">
        <v>2116</v>
      </c>
      <c r="I50" s="3" t="s">
        <v>1486</v>
      </c>
      <c r="J50" s="5">
        <v>45473</v>
      </c>
      <c r="K50" s="5">
        <v>45473</v>
      </c>
      <c r="L50" s="6">
        <v>-78766.66</v>
      </c>
    </row>
    <row r="51" s="1" customFormat="1" spans="1:12">
      <c r="A51" s="3" t="s">
        <v>521</v>
      </c>
      <c r="B51" s="3" t="s">
        <v>530</v>
      </c>
      <c r="C51" s="3" t="s">
        <v>1616</v>
      </c>
      <c r="D51" s="3" t="s">
        <v>2129</v>
      </c>
      <c r="E51" s="3" t="s">
        <v>1483</v>
      </c>
      <c r="F51" s="3" t="s">
        <v>1484</v>
      </c>
      <c r="G51" s="3" t="s">
        <v>2116</v>
      </c>
      <c r="H51" s="3" t="s">
        <v>2116</v>
      </c>
      <c r="I51" s="3" t="s">
        <v>1486</v>
      </c>
      <c r="J51" s="5">
        <v>45473</v>
      </c>
      <c r="K51" s="5">
        <v>45473</v>
      </c>
      <c r="L51" s="6">
        <v>-31085.56</v>
      </c>
    </row>
    <row r="52" s="1" customFormat="1" spans="1:12">
      <c r="A52" s="3" t="s">
        <v>521</v>
      </c>
      <c r="B52" s="3" t="s">
        <v>530</v>
      </c>
      <c r="C52" s="3" t="s">
        <v>1616</v>
      </c>
      <c r="D52" s="3" t="s">
        <v>2130</v>
      </c>
      <c r="E52" s="3" t="s">
        <v>1483</v>
      </c>
      <c r="F52" s="3" t="s">
        <v>1484</v>
      </c>
      <c r="G52" s="3"/>
      <c r="H52" s="3"/>
      <c r="I52" s="3" t="s">
        <v>1486</v>
      </c>
      <c r="J52" s="5">
        <v>45473</v>
      </c>
      <c r="K52" s="5">
        <v>45473</v>
      </c>
      <c r="L52" s="6">
        <v>15444.44</v>
      </c>
    </row>
    <row r="53" s="1" customFormat="1" spans="1:12">
      <c r="A53" s="3" t="s">
        <v>521</v>
      </c>
      <c r="B53" s="3" t="s">
        <v>530</v>
      </c>
      <c r="C53" s="3" t="s">
        <v>1616</v>
      </c>
      <c r="D53" s="3" t="s">
        <v>2131</v>
      </c>
      <c r="E53" s="3" t="s">
        <v>1483</v>
      </c>
      <c r="F53" s="3" t="s">
        <v>1484</v>
      </c>
      <c r="G53" s="3"/>
      <c r="H53" s="3"/>
      <c r="I53" s="3" t="s">
        <v>1486</v>
      </c>
      <c r="J53" s="5">
        <v>45473</v>
      </c>
      <c r="K53" s="5">
        <v>45473</v>
      </c>
      <c r="L53" s="6">
        <v>92333.33</v>
      </c>
    </row>
    <row r="54" s="1" customFormat="1" spans="1:12">
      <c r="A54" s="3" t="s">
        <v>521</v>
      </c>
      <c r="B54" s="3" t="s">
        <v>530</v>
      </c>
      <c r="C54" s="3" t="s">
        <v>1559</v>
      </c>
      <c r="D54" s="3" t="s">
        <v>2132</v>
      </c>
      <c r="E54" s="3" t="s">
        <v>1483</v>
      </c>
      <c r="F54" s="3" t="s">
        <v>1484</v>
      </c>
      <c r="G54" s="3" t="s">
        <v>2133</v>
      </c>
      <c r="H54" s="3" t="s">
        <v>2133</v>
      </c>
      <c r="I54" s="3" t="s">
        <v>1486</v>
      </c>
      <c r="J54" s="5">
        <v>45464</v>
      </c>
      <c r="K54" s="5">
        <v>45464</v>
      </c>
      <c r="L54" s="6">
        <v>-51706.67</v>
      </c>
    </row>
    <row r="55" s="1" customFormat="1" spans="1:12">
      <c r="A55" s="3" t="s">
        <v>521</v>
      </c>
      <c r="B55" s="3" t="s">
        <v>530</v>
      </c>
      <c r="C55" s="3" t="s">
        <v>2056</v>
      </c>
      <c r="D55" s="3" t="s">
        <v>2058</v>
      </c>
      <c r="E55" s="3" t="s">
        <v>1483</v>
      </c>
      <c r="F55" s="3" t="s">
        <v>1484</v>
      </c>
      <c r="G55" s="3" t="s">
        <v>2057</v>
      </c>
      <c r="H55" s="3" t="s">
        <v>2057</v>
      </c>
      <c r="I55" s="3" t="s">
        <v>1486</v>
      </c>
      <c r="J55" s="5">
        <v>45462</v>
      </c>
      <c r="K55" s="5">
        <v>45462</v>
      </c>
      <c r="L55" s="6">
        <v>-1463768.07</v>
      </c>
    </row>
    <row r="56" s="1" customFormat="1" spans="1:12">
      <c r="A56" s="3" t="s">
        <v>521</v>
      </c>
      <c r="B56" s="3" t="s">
        <v>530</v>
      </c>
      <c r="C56" s="3" t="s">
        <v>1616</v>
      </c>
      <c r="D56" s="3" t="s">
        <v>2134</v>
      </c>
      <c r="E56" s="3" t="s">
        <v>1483</v>
      </c>
      <c r="F56" s="3" t="s">
        <v>1484</v>
      </c>
      <c r="G56" s="3"/>
      <c r="H56" s="3"/>
      <c r="I56" s="3" t="s">
        <v>1486</v>
      </c>
      <c r="J56" s="5">
        <v>45473</v>
      </c>
      <c r="K56" s="5">
        <v>45473</v>
      </c>
      <c r="L56" s="6">
        <v>3077.78</v>
      </c>
    </row>
    <row r="57" s="1" customFormat="1" spans="1:12">
      <c r="A57" s="3" t="s">
        <v>521</v>
      </c>
      <c r="B57" s="3" t="s">
        <v>530</v>
      </c>
      <c r="C57" s="3" t="s">
        <v>1616</v>
      </c>
      <c r="D57" s="3" t="s">
        <v>1619</v>
      </c>
      <c r="E57" s="3" t="s">
        <v>1483</v>
      </c>
      <c r="F57" s="3" t="s">
        <v>1484</v>
      </c>
      <c r="G57" s="3" t="s">
        <v>1618</v>
      </c>
      <c r="H57" s="3" t="s">
        <v>1618</v>
      </c>
      <c r="I57" s="3" t="s">
        <v>1486</v>
      </c>
      <c r="J57" s="5">
        <v>45473</v>
      </c>
      <c r="K57" s="5">
        <v>45473</v>
      </c>
      <c r="L57" s="6">
        <v>78766.66</v>
      </c>
    </row>
    <row r="58" s="1" customFormat="1" spans="1:12">
      <c r="A58" s="3" t="s">
        <v>521</v>
      </c>
      <c r="B58" s="3" t="s">
        <v>530</v>
      </c>
      <c r="C58" s="3" t="s">
        <v>1616</v>
      </c>
      <c r="D58" s="3" t="s">
        <v>1620</v>
      </c>
      <c r="E58" s="3" t="s">
        <v>1483</v>
      </c>
      <c r="F58" s="3" t="s">
        <v>1484</v>
      </c>
      <c r="G58" s="3" t="s">
        <v>1618</v>
      </c>
      <c r="H58" s="3" t="s">
        <v>1618</v>
      </c>
      <c r="I58" s="3" t="s">
        <v>1486</v>
      </c>
      <c r="J58" s="5">
        <v>45473</v>
      </c>
      <c r="K58" s="5">
        <v>45473</v>
      </c>
      <c r="L58" s="6">
        <v>393833.33</v>
      </c>
    </row>
    <row r="59" s="1" customFormat="1" spans="1:12">
      <c r="A59" s="3" t="s">
        <v>521</v>
      </c>
      <c r="B59" s="3" t="s">
        <v>530</v>
      </c>
      <c r="C59" s="3" t="s">
        <v>1616</v>
      </c>
      <c r="D59" s="3" t="s">
        <v>1621</v>
      </c>
      <c r="E59" s="3" t="s">
        <v>1483</v>
      </c>
      <c r="F59" s="3" t="s">
        <v>1484</v>
      </c>
      <c r="G59" s="3" t="s">
        <v>1618</v>
      </c>
      <c r="H59" s="3" t="s">
        <v>1618</v>
      </c>
      <c r="I59" s="3" t="s">
        <v>1486</v>
      </c>
      <c r="J59" s="5">
        <v>45473</v>
      </c>
      <c r="K59" s="5">
        <v>45473</v>
      </c>
      <c r="L59" s="6">
        <v>31085.56</v>
      </c>
    </row>
    <row r="60" s="1" customFormat="1" spans="1:12">
      <c r="A60" s="3" t="s">
        <v>521</v>
      </c>
      <c r="B60" s="3" t="s">
        <v>530</v>
      </c>
      <c r="C60" s="3" t="s">
        <v>1616</v>
      </c>
      <c r="D60" s="3" t="s">
        <v>1622</v>
      </c>
      <c r="E60" s="3" t="s">
        <v>1483</v>
      </c>
      <c r="F60" s="3" t="s">
        <v>1484</v>
      </c>
      <c r="G60" s="3" t="s">
        <v>1618</v>
      </c>
      <c r="H60" s="3" t="s">
        <v>1618</v>
      </c>
      <c r="I60" s="3" t="s">
        <v>1486</v>
      </c>
      <c r="J60" s="5">
        <v>45473</v>
      </c>
      <c r="K60" s="5">
        <v>45473</v>
      </c>
      <c r="L60" s="6">
        <v>941800</v>
      </c>
    </row>
    <row r="61" s="1" customFormat="1" spans="1:12">
      <c r="A61" s="3" t="s">
        <v>521</v>
      </c>
      <c r="B61" s="3" t="s">
        <v>530</v>
      </c>
      <c r="C61" s="3" t="s">
        <v>1616</v>
      </c>
      <c r="D61" s="3" t="s">
        <v>1623</v>
      </c>
      <c r="E61" s="3" t="s">
        <v>1483</v>
      </c>
      <c r="F61" s="3" t="s">
        <v>1484</v>
      </c>
      <c r="G61" s="3" t="s">
        <v>1618</v>
      </c>
      <c r="H61" s="3" t="s">
        <v>1618</v>
      </c>
      <c r="I61" s="3" t="s">
        <v>1486</v>
      </c>
      <c r="J61" s="5">
        <v>45473</v>
      </c>
      <c r="K61" s="5">
        <v>45473</v>
      </c>
      <c r="L61" s="6">
        <v>64017.78</v>
      </c>
    </row>
    <row r="62" s="1" customFormat="1" spans="1:12">
      <c r="A62" s="3" t="s">
        <v>521</v>
      </c>
      <c r="B62" s="3" t="s">
        <v>530</v>
      </c>
      <c r="C62" s="3" t="s">
        <v>1616</v>
      </c>
      <c r="D62" s="3" t="s">
        <v>1617</v>
      </c>
      <c r="E62" s="3" t="s">
        <v>1483</v>
      </c>
      <c r="F62" s="3" t="s">
        <v>1484</v>
      </c>
      <c r="G62" s="3" t="s">
        <v>1618</v>
      </c>
      <c r="H62" s="3" t="s">
        <v>1618</v>
      </c>
      <c r="I62" s="3" t="s">
        <v>1486</v>
      </c>
      <c r="J62" s="5">
        <v>45473</v>
      </c>
      <c r="K62" s="5">
        <v>45473</v>
      </c>
      <c r="L62" s="6">
        <v>157533.33</v>
      </c>
    </row>
    <row r="63" s="1" customFormat="1" spans="1:12">
      <c r="A63" s="3" t="s">
        <v>521</v>
      </c>
      <c r="B63" s="3" t="s">
        <v>530</v>
      </c>
      <c r="C63" s="3"/>
      <c r="D63" s="3" t="s">
        <v>2135</v>
      </c>
      <c r="E63" s="3" t="s">
        <v>1483</v>
      </c>
      <c r="F63" s="3" t="s">
        <v>1484</v>
      </c>
      <c r="G63" s="3" t="s">
        <v>2136</v>
      </c>
      <c r="H63" s="3" t="s">
        <v>2136</v>
      </c>
      <c r="I63" s="3" t="s">
        <v>1486</v>
      </c>
      <c r="J63" s="5">
        <v>45470</v>
      </c>
      <c r="K63" s="5">
        <v>45470</v>
      </c>
      <c r="L63" s="6">
        <v>51706.69</v>
      </c>
    </row>
    <row r="64" s="1" customFormat="1" spans="1:12">
      <c r="A64" s="3" t="s">
        <v>521</v>
      </c>
      <c r="B64" s="3" t="s">
        <v>530</v>
      </c>
      <c r="C64" s="3" t="s">
        <v>493</v>
      </c>
      <c r="D64" s="3" t="s">
        <v>2137</v>
      </c>
      <c r="E64" s="3" t="s">
        <v>2138</v>
      </c>
      <c r="F64" s="3" t="s">
        <v>2139</v>
      </c>
      <c r="G64" s="3" t="s">
        <v>494</v>
      </c>
      <c r="H64" s="3" t="s">
        <v>494</v>
      </c>
      <c r="I64" s="3" t="s">
        <v>550</v>
      </c>
      <c r="J64" s="5">
        <v>45461</v>
      </c>
      <c r="K64" s="5">
        <v>45461</v>
      </c>
      <c r="L64" s="6">
        <v>29203539.84</v>
      </c>
    </row>
    <row r="65" s="1" customFormat="1" spans="1:12">
      <c r="A65" s="3" t="s">
        <v>521</v>
      </c>
      <c r="B65" s="3" t="s">
        <v>530</v>
      </c>
      <c r="C65" s="3"/>
      <c r="D65" s="3" t="s">
        <v>2140</v>
      </c>
      <c r="E65" s="3" t="s">
        <v>2138</v>
      </c>
      <c r="F65" s="3" t="s">
        <v>2139</v>
      </c>
      <c r="G65" s="3" t="s">
        <v>525</v>
      </c>
      <c r="H65" s="3" t="s">
        <v>2141</v>
      </c>
      <c r="I65" s="3" t="s">
        <v>527</v>
      </c>
      <c r="J65" s="5">
        <v>45473</v>
      </c>
      <c r="K65" s="5">
        <v>45468</v>
      </c>
      <c r="L65" s="6">
        <v>-29203539.84</v>
      </c>
    </row>
    <row r="66" s="1" customFormat="1" spans="1:12">
      <c r="A66" s="3" t="s">
        <v>521</v>
      </c>
      <c r="B66" s="3" t="s">
        <v>530</v>
      </c>
      <c r="C66" s="3" t="s">
        <v>490</v>
      </c>
      <c r="D66" s="3" t="s">
        <v>2142</v>
      </c>
      <c r="E66" s="3" t="s">
        <v>2143</v>
      </c>
      <c r="F66" s="3" t="s">
        <v>2144</v>
      </c>
      <c r="G66" s="3" t="s">
        <v>491</v>
      </c>
      <c r="H66" s="3" t="s">
        <v>2145</v>
      </c>
      <c r="I66" s="3" t="s">
        <v>515</v>
      </c>
      <c r="J66" s="5">
        <v>45463</v>
      </c>
      <c r="K66" s="5">
        <v>45463</v>
      </c>
      <c r="L66" s="6">
        <v>6893119.39</v>
      </c>
    </row>
    <row r="67" s="1" customFormat="1" spans="1:12">
      <c r="A67" s="3" t="s">
        <v>521</v>
      </c>
      <c r="B67" s="3" t="s">
        <v>530</v>
      </c>
      <c r="C67" s="3"/>
      <c r="D67" s="3" t="s">
        <v>2146</v>
      </c>
      <c r="E67" s="3" t="s">
        <v>2143</v>
      </c>
      <c r="F67" s="3" t="s">
        <v>2144</v>
      </c>
      <c r="G67" s="3" t="s">
        <v>525</v>
      </c>
      <c r="H67" s="3" t="s">
        <v>2147</v>
      </c>
      <c r="I67" s="3" t="s">
        <v>527</v>
      </c>
      <c r="J67" s="5">
        <v>45473</v>
      </c>
      <c r="K67" s="5">
        <v>45468</v>
      </c>
      <c r="L67" s="6">
        <v>-6893119.39</v>
      </c>
    </row>
    <row r="68" s="1" customFormat="1" spans="1:12">
      <c r="A68" s="3" t="s">
        <v>521</v>
      </c>
      <c r="B68" s="3" t="s">
        <v>530</v>
      </c>
      <c r="C68" s="3" t="s">
        <v>2148</v>
      </c>
      <c r="D68" s="3" t="s">
        <v>2149</v>
      </c>
      <c r="E68" s="3" t="s">
        <v>2150</v>
      </c>
      <c r="F68" s="3" t="s">
        <v>2151</v>
      </c>
      <c r="G68" s="3" t="s">
        <v>2152</v>
      </c>
      <c r="H68" s="3" t="s">
        <v>2152</v>
      </c>
      <c r="I68" s="3" t="s">
        <v>670</v>
      </c>
      <c r="J68" s="5">
        <v>45450</v>
      </c>
      <c r="K68" s="5">
        <v>45450</v>
      </c>
      <c r="L68" s="6">
        <v>780.75</v>
      </c>
    </row>
    <row r="69" s="1" customFormat="1" spans="1:12">
      <c r="A69" s="3" t="s">
        <v>521</v>
      </c>
      <c r="B69" s="3" t="s">
        <v>530</v>
      </c>
      <c r="C69" s="3" t="s">
        <v>2153</v>
      </c>
      <c r="D69" s="3" t="s">
        <v>2154</v>
      </c>
      <c r="E69" s="3" t="s">
        <v>2150</v>
      </c>
      <c r="F69" s="3" t="s">
        <v>2151</v>
      </c>
      <c r="G69" s="3" t="s">
        <v>669</v>
      </c>
      <c r="H69" s="3" t="s">
        <v>669</v>
      </c>
      <c r="I69" s="3" t="s">
        <v>670</v>
      </c>
      <c r="J69" s="5">
        <v>45450</v>
      </c>
      <c r="K69" s="5">
        <v>45450</v>
      </c>
      <c r="L69" s="6">
        <v>903.82</v>
      </c>
    </row>
    <row r="70" s="1" customFormat="1" spans="1:12">
      <c r="A70" s="3" t="s">
        <v>521</v>
      </c>
      <c r="B70" s="3" t="s">
        <v>530</v>
      </c>
      <c r="C70" s="3" t="s">
        <v>2155</v>
      </c>
      <c r="D70" s="3" t="s">
        <v>2156</v>
      </c>
      <c r="E70" s="3" t="s">
        <v>2150</v>
      </c>
      <c r="F70" s="3" t="s">
        <v>2151</v>
      </c>
      <c r="G70" s="3" t="s">
        <v>669</v>
      </c>
      <c r="H70" s="3" t="s">
        <v>669</v>
      </c>
      <c r="I70" s="3" t="s">
        <v>670</v>
      </c>
      <c r="J70" s="5">
        <v>45450</v>
      </c>
      <c r="K70" s="5">
        <v>45450</v>
      </c>
      <c r="L70" s="6">
        <v>370.66</v>
      </c>
    </row>
    <row r="71" s="1" customFormat="1" spans="1:12">
      <c r="A71" s="3" t="s">
        <v>521</v>
      </c>
      <c r="B71" s="3" t="s">
        <v>530</v>
      </c>
      <c r="C71" s="3"/>
      <c r="D71" s="3" t="s">
        <v>2157</v>
      </c>
      <c r="E71" s="3" t="s">
        <v>2150</v>
      </c>
      <c r="F71" s="3" t="s">
        <v>2151</v>
      </c>
      <c r="G71" s="3" t="s">
        <v>525</v>
      </c>
      <c r="H71" s="3" t="s">
        <v>2158</v>
      </c>
      <c r="I71" s="3" t="s">
        <v>527</v>
      </c>
      <c r="J71" s="5">
        <v>45473</v>
      </c>
      <c r="K71" s="5">
        <v>45468</v>
      </c>
      <c r="L71" s="6">
        <v>-3212.85</v>
      </c>
    </row>
    <row r="72" s="1" customFormat="1" spans="1:12">
      <c r="A72" s="3" t="s">
        <v>521</v>
      </c>
      <c r="B72" s="3" t="s">
        <v>530</v>
      </c>
      <c r="C72" s="3" t="s">
        <v>2159</v>
      </c>
      <c r="D72" s="3" t="s">
        <v>2160</v>
      </c>
      <c r="E72" s="3" t="s">
        <v>2150</v>
      </c>
      <c r="F72" s="3" t="s">
        <v>2151</v>
      </c>
      <c r="G72" s="3" t="s">
        <v>731</v>
      </c>
      <c r="H72" s="3" t="s">
        <v>731</v>
      </c>
      <c r="I72" s="3" t="s">
        <v>670</v>
      </c>
      <c r="J72" s="5">
        <v>45450</v>
      </c>
      <c r="K72" s="5">
        <v>45450</v>
      </c>
      <c r="L72" s="6">
        <v>1157.62</v>
      </c>
    </row>
    <row r="73" s="1" customFormat="1" spans="1:12">
      <c r="A73" s="3" t="s">
        <v>521</v>
      </c>
      <c r="B73" s="3" t="s">
        <v>530</v>
      </c>
      <c r="C73" s="3" t="s">
        <v>2161</v>
      </c>
      <c r="D73" s="3" t="s">
        <v>2162</v>
      </c>
      <c r="E73" s="3" t="s">
        <v>2163</v>
      </c>
      <c r="F73" s="3" t="s">
        <v>2164</v>
      </c>
      <c r="G73" s="3" t="s">
        <v>2165</v>
      </c>
      <c r="H73" s="3" t="s">
        <v>2166</v>
      </c>
      <c r="I73" s="3" t="s">
        <v>1226</v>
      </c>
      <c r="J73" s="5">
        <v>45448</v>
      </c>
      <c r="K73" s="5">
        <v>45448</v>
      </c>
      <c r="L73" s="6">
        <v>28015.38</v>
      </c>
    </row>
    <row r="74" s="1" customFormat="1" spans="1:12">
      <c r="A74" s="3" t="s">
        <v>521</v>
      </c>
      <c r="B74" s="3" t="s">
        <v>530</v>
      </c>
      <c r="C74" s="3"/>
      <c r="D74" s="3" t="s">
        <v>2167</v>
      </c>
      <c r="E74" s="3" t="s">
        <v>2163</v>
      </c>
      <c r="F74" s="3" t="s">
        <v>2164</v>
      </c>
      <c r="G74" s="3" t="s">
        <v>525</v>
      </c>
      <c r="H74" s="3" t="s">
        <v>2168</v>
      </c>
      <c r="I74" s="3" t="s">
        <v>527</v>
      </c>
      <c r="J74" s="5">
        <v>45473</v>
      </c>
      <c r="K74" s="5">
        <v>45468</v>
      </c>
      <c r="L74" s="6">
        <v>-28015.38</v>
      </c>
    </row>
    <row r="75" s="1" customFormat="1" spans="1:12">
      <c r="A75" s="3" t="s">
        <v>521</v>
      </c>
      <c r="B75" s="3" t="s">
        <v>530</v>
      </c>
      <c r="C75" s="3" t="s">
        <v>496</v>
      </c>
      <c r="D75" s="3" t="s">
        <v>2169</v>
      </c>
      <c r="E75" s="3" t="s">
        <v>2170</v>
      </c>
      <c r="F75" s="3" t="s">
        <v>2171</v>
      </c>
      <c r="G75" s="3" t="s">
        <v>2172</v>
      </c>
      <c r="H75" s="3" t="s">
        <v>2172</v>
      </c>
      <c r="I75" s="3" t="s">
        <v>976</v>
      </c>
      <c r="J75" s="5">
        <v>45450</v>
      </c>
      <c r="K75" s="5">
        <v>45450</v>
      </c>
      <c r="L75" s="6">
        <v>7722.78</v>
      </c>
    </row>
    <row r="76" s="1" customFormat="1" spans="1:12">
      <c r="A76" s="3" t="s">
        <v>521</v>
      </c>
      <c r="B76" s="3" t="s">
        <v>530</v>
      </c>
      <c r="C76" s="3"/>
      <c r="D76" s="3" t="s">
        <v>2173</v>
      </c>
      <c r="E76" s="3" t="s">
        <v>2170</v>
      </c>
      <c r="F76" s="3" t="s">
        <v>2171</v>
      </c>
      <c r="G76" s="3" t="s">
        <v>525</v>
      </c>
      <c r="H76" s="3" t="s">
        <v>2174</v>
      </c>
      <c r="I76" s="3" t="s">
        <v>527</v>
      </c>
      <c r="J76" s="5">
        <v>45473</v>
      </c>
      <c r="K76" s="5">
        <v>45468</v>
      </c>
      <c r="L76" s="6">
        <v>-7722.78</v>
      </c>
    </row>
    <row r="77" s="1" customFormat="1" spans="1:12">
      <c r="A77" s="3" t="s">
        <v>521</v>
      </c>
      <c r="B77" s="3" t="s">
        <v>530</v>
      </c>
      <c r="C77" s="3" t="s">
        <v>2175</v>
      </c>
      <c r="D77" s="3" t="s">
        <v>2176</v>
      </c>
      <c r="E77" s="3" t="s">
        <v>2177</v>
      </c>
      <c r="F77" s="3" t="s">
        <v>2178</v>
      </c>
      <c r="G77" s="3" t="s">
        <v>1000</v>
      </c>
      <c r="H77" s="3" t="s">
        <v>1000</v>
      </c>
      <c r="I77" s="3" t="s">
        <v>994</v>
      </c>
      <c r="J77" s="5">
        <v>45450</v>
      </c>
      <c r="K77" s="5">
        <v>45450</v>
      </c>
      <c r="L77" s="6">
        <v>1360</v>
      </c>
    </row>
    <row r="78" s="1" customFormat="1" spans="1:12">
      <c r="A78" s="3" t="s">
        <v>521</v>
      </c>
      <c r="B78" s="3" t="s">
        <v>530</v>
      </c>
      <c r="C78" s="3" t="s">
        <v>2179</v>
      </c>
      <c r="D78" s="3" t="s">
        <v>2180</v>
      </c>
      <c r="E78" s="3" t="s">
        <v>2177</v>
      </c>
      <c r="F78" s="3" t="s">
        <v>2178</v>
      </c>
      <c r="G78" s="3" t="s">
        <v>1030</v>
      </c>
      <c r="H78" s="3" t="s">
        <v>1030</v>
      </c>
      <c r="I78" s="3" t="s">
        <v>994</v>
      </c>
      <c r="J78" s="5">
        <v>45450</v>
      </c>
      <c r="K78" s="5">
        <v>45450</v>
      </c>
      <c r="L78" s="6">
        <v>1480</v>
      </c>
    </row>
    <row r="79" s="1" customFormat="1" spans="1:12">
      <c r="A79" s="3" t="s">
        <v>521</v>
      </c>
      <c r="B79" s="3" t="s">
        <v>530</v>
      </c>
      <c r="C79" s="3"/>
      <c r="D79" s="3" t="s">
        <v>2181</v>
      </c>
      <c r="E79" s="3" t="s">
        <v>2177</v>
      </c>
      <c r="F79" s="3" t="s">
        <v>2178</v>
      </c>
      <c r="G79" s="3" t="s">
        <v>525</v>
      </c>
      <c r="H79" s="3" t="s">
        <v>2182</v>
      </c>
      <c r="I79" s="3" t="s">
        <v>527</v>
      </c>
      <c r="J79" s="5">
        <v>45473</v>
      </c>
      <c r="K79" s="5">
        <v>45468</v>
      </c>
      <c r="L79" s="6">
        <v>-12835</v>
      </c>
    </row>
    <row r="80" s="1" customFormat="1" spans="1:12">
      <c r="A80" s="3" t="s">
        <v>521</v>
      </c>
      <c r="B80" s="3" t="s">
        <v>530</v>
      </c>
      <c r="C80" s="3"/>
      <c r="D80" s="3" t="s">
        <v>2183</v>
      </c>
      <c r="E80" s="3" t="s">
        <v>2177</v>
      </c>
      <c r="F80" s="3" t="s">
        <v>2178</v>
      </c>
      <c r="G80" s="3" t="s">
        <v>1016</v>
      </c>
      <c r="H80" s="3" t="s">
        <v>1016</v>
      </c>
      <c r="I80" s="3" t="s">
        <v>994</v>
      </c>
      <c r="J80" s="5">
        <v>45464</v>
      </c>
      <c r="K80" s="5">
        <v>45464</v>
      </c>
      <c r="L80" s="6">
        <v>1430</v>
      </c>
    </row>
    <row r="81" s="1" customFormat="1" spans="1:12">
      <c r="A81" s="3" t="s">
        <v>521</v>
      </c>
      <c r="B81" s="3" t="s">
        <v>530</v>
      </c>
      <c r="C81" s="3" t="s">
        <v>2184</v>
      </c>
      <c r="D81" s="3" t="s">
        <v>2185</v>
      </c>
      <c r="E81" s="3" t="s">
        <v>2177</v>
      </c>
      <c r="F81" s="3" t="s">
        <v>2178</v>
      </c>
      <c r="G81" s="3" t="s">
        <v>1030</v>
      </c>
      <c r="H81" s="3" t="s">
        <v>1030</v>
      </c>
      <c r="I81" s="3" t="s">
        <v>994</v>
      </c>
      <c r="J81" s="5">
        <v>45450</v>
      </c>
      <c r="K81" s="5">
        <v>45450</v>
      </c>
      <c r="L81" s="6">
        <v>1980</v>
      </c>
    </row>
    <row r="82" s="1" customFormat="1" spans="1:12">
      <c r="A82" s="3" t="s">
        <v>521</v>
      </c>
      <c r="B82" s="3" t="s">
        <v>530</v>
      </c>
      <c r="C82" s="3" t="s">
        <v>2186</v>
      </c>
      <c r="D82" s="3" t="s">
        <v>2187</v>
      </c>
      <c r="E82" s="3" t="s">
        <v>2177</v>
      </c>
      <c r="F82" s="3" t="s">
        <v>2178</v>
      </c>
      <c r="G82" s="3" t="s">
        <v>1146</v>
      </c>
      <c r="H82" s="3" t="s">
        <v>1146</v>
      </c>
      <c r="I82" s="3" t="s">
        <v>994</v>
      </c>
      <c r="J82" s="5">
        <v>45450</v>
      </c>
      <c r="K82" s="5">
        <v>45450</v>
      </c>
      <c r="L82" s="6">
        <v>1060</v>
      </c>
    </row>
    <row r="83" s="1" customFormat="1" spans="1:12">
      <c r="A83" s="3" t="s">
        <v>521</v>
      </c>
      <c r="B83" s="3" t="s">
        <v>530</v>
      </c>
      <c r="C83" s="3" t="s">
        <v>2188</v>
      </c>
      <c r="D83" s="3" t="s">
        <v>2189</v>
      </c>
      <c r="E83" s="3" t="s">
        <v>2177</v>
      </c>
      <c r="F83" s="3" t="s">
        <v>2178</v>
      </c>
      <c r="G83" s="3" t="s">
        <v>2190</v>
      </c>
      <c r="H83" s="3" t="s">
        <v>2191</v>
      </c>
      <c r="I83" s="3" t="s">
        <v>994</v>
      </c>
      <c r="J83" s="5">
        <v>45450</v>
      </c>
      <c r="K83" s="5">
        <v>45450</v>
      </c>
      <c r="L83" s="6">
        <v>800</v>
      </c>
    </row>
    <row r="84" s="1" customFormat="1" spans="1:12">
      <c r="A84" s="3" t="s">
        <v>521</v>
      </c>
      <c r="B84" s="3" t="s">
        <v>530</v>
      </c>
      <c r="C84" s="3" t="s">
        <v>2192</v>
      </c>
      <c r="D84" s="3" t="s">
        <v>2193</v>
      </c>
      <c r="E84" s="3" t="s">
        <v>2177</v>
      </c>
      <c r="F84" s="3" t="s">
        <v>2178</v>
      </c>
      <c r="G84" s="3" t="s">
        <v>1000</v>
      </c>
      <c r="H84" s="3" t="s">
        <v>1000</v>
      </c>
      <c r="I84" s="3" t="s">
        <v>994</v>
      </c>
      <c r="J84" s="5">
        <v>45450</v>
      </c>
      <c r="K84" s="5">
        <v>45450</v>
      </c>
      <c r="L84" s="6">
        <v>1480</v>
      </c>
    </row>
    <row r="85" s="1" customFormat="1" spans="1:12">
      <c r="A85" s="3" t="s">
        <v>521</v>
      </c>
      <c r="B85" s="3" t="s">
        <v>530</v>
      </c>
      <c r="C85" s="3" t="s">
        <v>2194</v>
      </c>
      <c r="D85" s="3" t="s">
        <v>2195</v>
      </c>
      <c r="E85" s="3" t="s">
        <v>2177</v>
      </c>
      <c r="F85" s="3" t="s">
        <v>2178</v>
      </c>
      <c r="G85" s="3" t="s">
        <v>2196</v>
      </c>
      <c r="H85" s="3" t="s">
        <v>2197</v>
      </c>
      <c r="I85" s="3" t="s">
        <v>994</v>
      </c>
      <c r="J85" s="5">
        <v>45450</v>
      </c>
      <c r="K85" s="5">
        <v>45450</v>
      </c>
      <c r="L85" s="6">
        <v>1945</v>
      </c>
    </row>
    <row r="86" s="1" customFormat="1" spans="1:12">
      <c r="A86" s="3" t="s">
        <v>521</v>
      </c>
      <c r="B86" s="3" t="s">
        <v>530</v>
      </c>
      <c r="C86" s="3"/>
      <c r="D86" s="3" t="s">
        <v>2198</v>
      </c>
      <c r="E86" s="3" t="s">
        <v>2177</v>
      </c>
      <c r="F86" s="3" t="s">
        <v>2178</v>
      </c>
      <c r="G86" s="3" t="s">
        <v>2199</v>
      </c>
      <c r="H86" s="3" t="s">
        <v>2200</v>
      </c>
      <c r="I86" s="3" t="s">
        <v>994</v>
      </c>
      <c r="J86" s="5">
        <v>45464</v>
      </c>
      <c r="K86" s="5">
        <v>45464</v>
      </c>
      <c r="L86" s="6">
        <v>1300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C134"/>
  <sheetViews>
    <sheetView tabSelected="1" zoomScale="90" zoomScaleNormal="90" workbookViewId="0">
      <selection activeCell="K99" sqref="K99"/>
    </sheetView>
  </sheetViews>
  <sheetFormatPr defaultColWidth="9" defaultRowHeight="13.85"/>
  <cols>
    <col min="1" max="1" width="7.08333333333333" style="24" customWidth="1"/>
    <col min="2" max="2" width="23.75" style="24" customWidth="1"/>
    <col min="3" max="3" width="11.5583333333333" style="24" customWidth="1"/>
    <col min="4" max="4" width="12.5" style="24" customWidth="1"/>
    <col min="5" max="5" width="12.3416666666667" style="24" customWidth="1"/>
    <col min="6" max="6" width="9.83333333333333" style="397" customWidth="1"/>
    <col min="7" max="7" width="23.5" style="27" customWidth="1"/>
    <col min="8" max="8" width="21.0916666666667" style="28" customWidth="1"/>
    <col min="9" max="9" width="17.125" style="29" customWidth="1"/>
    <col min="10" max="10" width="14.375" style="29" customWidth="1"/>
    <col min="11" max="11" width="15.375" style="29" customWidth="1"/>
    <col min="12" max="12" width="17.0333333333333" style="30" customWidth="1"/>
    <col min="13" max="13" width="13.5916666666667" style="30" customWidth="1"/>
    <col min="14" max="14" width="10.775" style="30" customWidth="1"/>
    <col min="15" max="15" width="16.25" style="30" customWidth="1"/>
    <col min="16" max="16" width="13.75" style="30" customWidth="1"/>
    <col min="17" max="17" width="13.625" style="30" customWidth="1"/>
    <col min="18" max="18" width="15.375" style="30" customWidth="1"/>
    <col min="19" max="19" width="17.125" style="31" customWidth="1"/>
    <col min="20" max="20" width="12.5" style="31" customWidth="1"/>
    <col min="21" max="21" width="17.125" style="30" customWidth="1"/>
    <col min="22" max="22" width="13.75" style="32" customWidth="1"/>
    <col min="23" max="23" width="17.125" style="32" customWidth="1"/>
    <col min="24" max="24" width="17.125" style="26" customWidth="1"/>
    <col min="25" max="25" width="15" style="26" customWidth="1"/>
    <col min="26" max="26" width="28.5916666666667" style="33" customWidth="1"/>
    <col min="27" max="16384" width="9" style="1"/>
  </cols>
  <sheetData>
    <row r="1" s="1" customFormat="1" ht="27" customHeight="1" spans="1:26">
      <c r="A1" s="34" t="s">
        <v>283</v>
      </c>
      <c r="B1" s="34"/>
      <c r="C1" s="34"/>
      <c r="D1" s="34"/>
      <c r="E1" s="34"/>
      <c r="F1" s="34"/>
      <c r="G1" s="34"/>
      <c r="H1" s="34"/>
      <c r="I1" s="84"/>
      <c r="J1" s="84"/>
      <c r="K1" s="84"/>
      <c r="L1" s="85"/>
      <c r="M1" s="85"/>
      <c r="N1" s="85"/>
      <c r="O1" s="85"/>
      <c r="P1" s="85"/>
      <c r="Q1" s="85"/>
      <c r="R1" s="85"/>
      <c r="S1" s="121"/>
      <c r="T1" s="121"/>
      <c r="U1" s="85"/>
      <c r="V1" s="85"/>
      <c r="W1" s="85"/>
      <c r="X1" s="35"/>
      <c r="Y1" s="35"/>
      <c r="Z1" s="34"/>
    </row>
    <row r="2" s="15" customFormat="1" ht="20.25" spans="1:26">
      <c r="A2" s="36" t="s">
        <v>1</v>
      </c>
      <c r="B2" s="36" t="s">
        <v>2</v>
      </c>
      <c r="C2" s="36" t="s">
        <v>3</v>
      </c>
      <c r="D2" s="36" t="s">
        <v>4</v>
      </c>
      <c r="E2" s="36" t="s">
        <v>5</v>
      </c>
      <c r="F2" s="36" t="s">
        <v>284</v>
      </c>
      <c r="G2" s="36" t="s">
        <v>7</v>
      </c>
      <c r="H2" s="36" t="s">
        <v>8</v>
      </c>
      <c r="I2" s="86" t="s">
        <v>285</v>
      </c>
      <c r="J2" s="87"/>
      <c r="K2" s="87"/>
      <c r="L2" s="88" t="s">
        <v>286</v>
      </c>
      <c r="M2" s="89"/>
      <c r="N2" s="89"/>
      <c r="O2" s="89"/>
      <c r="P2" s="89"/>
      <c r="Q2" s="89"/>
      <c r="R2" s="122" t="s">
        <v>11</v>
      </c>
      <c r="S2" s="123" t="s">
        <v>12</v>
      </c>
      <c r="T2" s="124"/>
      <c r="U2" s="123" t="s">
        <v>287</v>
      </c>
      <c r="V2" s="124"/>
      <c r="W2" s="122" t="s">
        <v>14</v>
      </c>
      <c r="X2" s="37" t="s">
        <v>288</v>
      </c>
      <c r="Y2" s="445"/>
      <c r="Z2" s="122" t="s">
        <v>289</v>
      </c>
    </row>
    <row r="3" s="16" customFormat="1" ht="20.25" spans="1:26">
      <c r="A3" s="36"/>
      <c r="B3" s="36"/>
      <c r="C3" s="36"/>
      <c r="D3" s="36"/>
      <c r="E3" s="36"/>
      <c r="F3" s="36"/>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444" t="s">
        <v>29</v>
      </c>
      <c r="Y3" s="446" t="s">
        <v>30</v>
      </c>
      <c r="Z3" s="126"/>
    </row>
    <row r="4" s="16" customFormat="1" ht="44" customHeight="1" spans="1:26">
      <c r="A4" s="36"/>
      <c r="B4" s="36"/>
      <c r="C4" s="36"/>
      <c r="D4" s="36"/>
      <c r="E4" s="36"/>
      <c r="F4" s="36"/>
      <c r="G4" s="36"/>
      <c r="H4" s="36"/>
      <c r="I4" s="36"/>
      <c r="J4" s="36"/>
      <c r="K4" s="36"/>
      <c r="L4" s="36"/>
      <c r="M4" s="36"/>
      <c r="N4" s="36"/>
      <c r="O4" s="92" t="s">
        <v>293</v>
      </c>
      <c r="P4" s="92" t="s">
        <v>294</v>
      </c>
      <c r="Q4" s="92" t="s">
        <v>25</v>
      </c>
      <c r="R4" s="126"/>
      <c r="S4" s="127"/>
      <c r="T4" s="125"/>
      <c r="U4" s="128"/>
      <c r="V4" s="128"/>
      <c r="W4" s="129"/>
      <c r="X4" s="444"/>
      <c r="Y4" s="444"/>
      <c r="Z4" s="129"/>
    </row>
    <row r="5" s="1" customFormat="1" ht="36" customHeight="1" spans="1:26">
      <c r="A5" s="38" t="s">
        <v>31</v>
      </c>
      <c r="B5" s="39" t="s">
        <v>32</v>
      </c>
      <c r="C5" s="40"/>
      <c r="D5" s="40"/>
      <c r="E5" s="40"/>
      <c r="F5" s="40"/>
      <c r="G5" s="40"/>
      <c r="H5" s="42"/>
      <c r="I5" s="93"/>
      <c r="J5" s="93"/>
      <c r="K5" s="93"/>
      <c r="L5" s="93"/>
      <c r="M5" s="93"/>
      <c r="N5" s="93"/>
      <c r="O5" s="93"/>
      <c r="P5" s="93"/>
      <c r="Q5" s="93"/>
      <c r="R5" s="93"/>
      <c r="S5" s="93"/>
      <c r="T5" s="130"/>
      <c r="U5" s="131"/>
      <c r="V5" s="130"/>
      <c r="W5" s="130"/>
      <c r="X5" s="182"/>
      <c r="Y5" s="182"/>
      <c r="Z5" s="132"/>
    </row>
    <row r="6" s="1" customFormat="1" ht="25" customHeight="1" spans="1:26">
      <c r="A6" s="175">
        <v>1</v>
      </c>
      <c r="B6" s="159" t="s">
        <v>33</v>
      </c>
      <c r="C6" s="175" t="s">
        <v>34</v>
      </c>
      <c r="D6" s="159" t="s">
        <v>35</v>
      </c>
      <c r="E6" s="46">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145"/>
      <c r="Y6" s="145">
        <v>0</v>
      </c>
      <c r="Z6" s="69"/>
    </row>
    <row r="7" s="1" customFormat="1" spans="1:26">
      <c r="A7" s="175"/>
      <c r="B7" s="159"/>
      <c r="C7" s="175"/>
      <c r="D7" s="159"/>
      <c r="E7" s="46"/>
      <c r="F7" s="46"/>
      <c r="G7" s="47"/>
      <c r="H7" s="47"/>
      <c r="I7" s="94">
        <v>26478900.92</v>
      </c>
      <c r="J7" s="95"/>
      <c r="K7" s="95"/>
      <c r="L7" s="96"/>
      <c r="M7" s="96"/>
      <c r="N7" s="96"/>
      <c r="O7" s="96"/>
      <c r="P7" s="98"/>
      <c r="Q7" s="98"/>
      <c r="R7" s="98"/>
      <c r="S7" s="96"/>
      <c r="T7" s="98"/>
      <c r="U7" s="98"/>
      <c r="V7" s="98"/>
      <c r="W7" s="98"/>
      <c r="X7" s="145"/>
      <c r="Y7" s="145"/>
      <c r="Z7" s="70"/>
    </row>
    <row r="8" s="1" customFormat="1" spans="1:26">
      <c r="A8" s="175"/>
      <c r="B8" s="175"/>
      <c r="C8" s="175"/>
      <c r="D8" s="175"/>
      <c r="E8" s="46"/>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145"/>
      <c r="Y8" s="145"/>
      <c r="Z8" s="69"/>
    </row>
    <row r="9" s="1" customFormat="1" spans="1:26">
      <c r="A9" s="175"/>
      <c r="B9" s="175"/>
      <c r="C9" s="175"/>
      <c r="D9" s="175"/>
      <c r="E9" s="46"/>
      <c r="F9" s="46"/>
      <c r="G9" s="47"/>
      <c r="H9" s="47"/>
      <c r="I9" s="94">
        <v>7013045.58</v>
      </c>
      <c r="J9" s="95"/>
      <c r="K9" s="95"/>
      <c r="L9" s="96"/>
      <c r="M9" s="96"/>
      <c r="N9" s="96"/>
      <c r="O9" s="96"/>
      <c r="P9" s="70"/>
      <c r="Q9" s="98"/>
      <c r="R9" s="98"/>
      <c r="S9" s="96"/>
      <c r="T9" s="98"/>
      <c r="U9" s="98"/>
      <c r="V9" s="98"/>
      <c r="W9" s="98"/>
      <c r="X9" s="145"/>
      <c r="Y9" s="145"/>
      <c r="Z9" s="70"/>
    </row>
    <row r="10" s="1" customFormat="1" spans="1:26">
      <c r="A10" s="175"/>
      <c r="B10" s="175"/>
      <c r="C10" s="175"/>
      <c r="D10" s="175"/>
      <c r="E10" s="46"/>
      <c r="F10" s="46"/>
      <c r="G10" s="47"/>
      <c r="H10" s="47"/>
      <c r="I10" s="94">
        <v>9999999</v>
      </c>
      <c r="J10" s="95"/>
      <c r="K10" s="95"/>
      <c r="L10" s="96"/>
      <c r="M10" s="96"/>
      <c r="N10" s="96"/>
      <c r="O10" s="96"/>
      <c r="P10" s="70"/>
      <c r="Q10" s="98"/>
      <c r="R10" s="98"/>
      <c r="S10" s="96"/>
      <c r="T10" s="98"/>
      <c r="U10" s="98"/>
      <c r="V10" s="98"/>
      <c r="W10" s="98"/>
      <c r="X10" s="145"/>
      <c r="Y10" s="145"/>
      <c r="Z10" s="70"/>
    </row>
    <row r="11" s="1" customFormat="1" ht="38" customHeight="1" spans="1:26">
      <c r="A11" s="175"/>
      <c r="B11" s="175"/>
      <c r="C11" s="175"/>
      <c r="D11" s="175"/>
      <c r="E11" s="46"/>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145"/>
      <c r="Y11" s="145"/>
      <c r="Z11" s="135"/>
    </row>
    <row r="12" s="1" customFormat="1" spans="1:26">
      <c r="A12" s="175"/>
      <c r="B12" s="175"/>
      <c r="C12" s="175"/>
      <c r="D12" s="175"/>
      <c r="E12" s="46"/>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6"/>
      <c r="Y12" s="45"/>
      <c r="Z12" s="46"/>
    </row>
    <row r="13" s="1" customFormat="1" spans="1:26">
      <c r="A13" s="175"/>
      <c r="B13" s="175"/>
      <c r="C13" s="175"/>
      <c r="D13" s="175"/>
      <c r="E13" s="46"/>
      <c r="F13" s="46"/>
      <c r="G13" s="51"/>
      <c r="H13" s="47"/>
      <c r="I13" s="94">
        <v>9877809.73</v>
      </c>
      <c r="J13" s="94">
        <v>1284115.27</v>
      </c>
      <c r="K13" s="46"/>
      <c r="L13" s="95"/>
      <c r="M13" s="95"/>
      <c r="N13" s="95"/>
      <c r="O13" s="95"/>
      <c r="P13" s="95"/>
      <c r="Q13" s="95"/>
      <c r="R13" s="95"/>
      <c r="S13" s="95"/>
      <c r="T13" s="95"/>
      <c r="U13" s="95"/>
      <c r="V13" s="95"/>
      <c r="W13" s="95"/>
      <c r="X13" s="46"/>
      <c r="Y13" s="49"/>
      <c r="Z13" s="46"/>
    </row>
    <row r="14" s="1" customFormat="1" spans="1:26">
      <c r="A14" s="175"/>
      <c r="B14" s="175"/>
      <c r="C14" s="175"/>
      <c r="D14" s="175"/>
      <c r="E14" s="46"/>
      <c r="F14" s="46"/>
      <c r="G14" s="51"/>
      <c r="H14" s="47"/>
      <c r="I14" s="94">
        <v>3193650.73</v>
      </c>
      <c r="J14" s="94">
        <v>287428.57</v>
      </c>
      <c r="K14" s="46"/>
      <c r="L14" s="95"/>
      <c r="M14" s="95"/>
      <c r="N14" s="95"/>
      <c r="O14" s="95"/>
      <c r="P14" s="95"/>
      <c r="Q14" s="95"/>
      <c r="R14" s="95"/>
      <c r="S14" s="95"/>
      <c r="T14" s="95"/>
      <c r="U14" s="95"/>
      <c r="V14" s="95"/>
      <c r="W14" s="95"/>
      <c r="X14" s="46"/>
      <c r="Y14" s="81"/>
      <c r="Z14" s="46"/>
    </row>
    <row r="15" s="1" customFormat="1" spans="1:26">
      <c r="A15" s="175"/>
      <c r="B15" s="175"/>
      <c r="C15" s="175"/>
      <c r="D15" s="175"/>
      <c r="E15" s="46"/>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409"/>
      <c r="Y15" s="45"/>
      <c r="Z15" s="137"/>
    </row>
    <row r="16" s="1" customFormat="1" spans="1:26">
      <c r="A16" s="175"/>
      <c r="B16" s="175"/>
      <c r="C16" s="175"/>
      <c r="D16" s="175"/>
      <c r="E16" s="46"/>
      <c r="F16" s="46"/>
      <c r="G16" s="50"/>
      <c r="H16" s="50"/>
      <c r="I16" s="94">
        <v>1684264.97</v>
      </c>
      <c r="J16" s="95">
        <v>977271.92</v>
      </c>
      <c r="K16" s="95">
        <f>I17+I16+J16</f>
        <v>11835848.82</v>
      </c>
      <c r="L16" s="100"/>
      <c r="M16" s="100"/>
      <c r="N16" s="100"/>
      <c r="O16" s="100"/>
      <c r="P16" s="100"/>
      <c r="Q16" s="100"/>
      <c r="R16" s="100"/>
      <c r="S16" s="100"/>
      <c r="T16" s="100"/>
      <c r="U16" s="100"/>
      <c r="V16" s="136"/>
      <c r="W16" s="136"/>
      <c r="X16" s="49"/>
      <c r="Y16" s="49"/>
      <c r="Z16" s="137"/>
    </row>
    <row r="17" s="1" customFormat="1" spans="1:26">
      <c r="A17" s="175"/>
      <c r="B17" s="175"/>
      <c r="C17" s="175"/>
      <c r="D17" s="175"/>
      <c r="E17" s="46"/>
      <c r="F17" s="46"/>
      <c r="G17" s="50"/>
      <c r="H17" s="50"/>
      <c r="I17" s="94">
        <v>9174311.93</v>
      </c>
      <c r="J17" s="95"/>
      <c r="K17" s="95"/>
      <c r="L17" s="100"/>
      <c r="M17" s="100"/>
      <c r="N17" s="100"/>
      <c r="O17" s="100"/>
      <c r="P17" s="100"/>
      <c r="Q17" s="100"/>
      <c r="R17" s="100"/>
      <c r="S17" s="100"/>
      <c r="T17" s="100"/>
      <c r="U17" s="100"/>
      <c r="V17" s="136"/>
      <c r="W17" s="136"/>
      <c r="X17" s="81"/>
      <c r="Y17" s="81"/>
      <c r="Z17" s="137"/>
    </row>
    <row r="18" s="1" customFormat="1" spans="1:26">
      <c r="A18" s="175"/>
      <c r="B18" s="175"/>
      <c r="C18" s="175"/>
      <c r="D18" s="175"/>
      <c r="E18" s="46"/>
      <c r="F18" s="46"/>
      <c r="G18" s="50"/>
      <c r="H18" s="50"/>
      <c r="I18" s="94">
        <v>594339.62</v>
      </c>
      <c r="J18" s="94">
        <v>35660.38</v>
      </c>
      <c r="K18" s="94">
        <f t="shared" ref="K18:K26" si="1">I18+J18</f>
        <v>630000</v>
      </c>
      <c r="L18" s="100"/>
      <c r="M18" s="100"/>
      <c r="N18" s="100"/>
      <c r="O18" s="100"/>
      <c r="P18" s="100"/>
      <c r="Q18" s="100"/>
      <c r="R18" s="100"/>
      <c r="S18" s="100"/>
      <c r="T18" s="100"/>
      <c r="U18" s="100"/>
      <c r="V18" s="138"/>
      <c r="W18" s="138"/>
      <c r="X18" s="81"/>
      <c r="Y18" s="81"/>
      <c r="Z18" s="139"/>
    </row>
    <row r="19" s="1" customFormat="1" ht="31" customHeight="1" spans="1:26">
      <c r="A19" s="175"/>
      <c r="B19" s="175"/>
      <c r="C19" s="175"/>
      <c r="D19" s="175"/>
      <c r="E19" s="46"/>
      <c r="F19" s="46" t="s">
        <v>296</v>
      </c>
      <c r="G19" s="440" t="s">
        <v>297</v>
      </c>
      <c r="H19" s="440" t="s">
        <v>298</v>
      </c>
      <c r="I19" s="443"/>
      <c r="J19" s="443"/>
      <c r="K19" s="443"/>
      <c r="L19" s="100"/>
      <c r="M19" s="100"/>
      <c r="N19" s="100"/>
      <c r="O19" s="100"/>
      <c r="P19" s="100"/>
      <c r="Q19" s="100"/>
      <c r="R19" s="100"/>
      <c r="S19" s="100"/>
      <c r="T19" s="100"/>
      <c r="U19" s="100">
        <v>15493662.56</v>
      </c>
      <c r="V19" s="138"/>
      <c r="W19" s="138">
        <f t="shared" ref="W19:W24" si="2">S19+T19-U19-V19</f>
        <v>-15493662.56</v>
      </c>
      <c r="X19" s="81">
        <v>5092142.4</v>
      </c>
      <c r="Y19" s="81">
        <v>5092142.4</v>
      </c>
      <c r="Z19" s="139"/>
    </row>
    <row r="20" s="1" customFormat="1" ht="31" customHeight="1" spans="1:26">
      <c r="A20" s="175"/>
      <c r="B20" s="175"/>
      <c r="C20" s="175"/>
      <c r="D20" s="175"/>
      <c r="E20" s="46"/>
      <c r="F20" s="46"/>
      <c r="G20" s="440"/>
      <c r="H20" s="440"/>
      <c r="I20" s="443"/>
      <c r="J20" s="443"/>
      <c r="K20" s="443"/>
      <c r="L20" s="100"/>
      <c r="M20" s="100"/>
      <c r="N20" s="100"/>
      <c r="O20" s="100"/>
      <c r="P20" s="100"/>
      <c r="Q20" s="100"/>
      <c r="R20" s="100"/>
      <c r="S20" s="100"/>
      <c r="T20" s="100"/>
      <c r="U20" s="100"/>
      <c r="V20" s="138"/>
      <c r="W20" s="138"/>
      <c r="X20" s="81"/>
      <c r="Y20" s="81"/>
      <c r="Z20" s="139"/>
    </row>
    <row r="21" s="1" customFormat="1" ht="41" customHeight="1" spans="1:26">
      <c r="A21" s="175"/>
      <c r="B21" s="175"/>
      <c r="C21" s="175"/>
      <c r="D21" s="175"/>
      <c r="E21" s="46"/>
      <c r="F21" s="211"/>
      <c r="G21" s="86" t="s">
        <v>46</v>
      </c>
      <c r="H21" s="87"/>
      <c r="I21" s="108">
        <f t="shared" ref="I21:Y21" si="3">SUM(I6:I19)</f>
        <v>94163828.8</v>
      </c>
      <c r="J21" s="108">
        <f t="shared" si="3"/>
        <v>9375096.89</v>
      </c>
      <c r="K21" s="111">
        <f t="shared" si="3"/>
        <v>103538925.69</v>
      </c>
      <c r="L21" s="111">
        <f t="shared" si="3"/>
        <v>2208694.43</v>
      </c>
      <c r="M21" s="111">
        <f t="shared" si="3"/>
        <v>0</v>
      </c>
      <c r="N21" s="111">
        <f t="shared" si="3"/>
        <v>0</v>
      </c>
      <c r="O21" s="111">
        <f t="shared" si="3"/>
        <v>0</v>
      </c>
      <c r="P21" s="111">
        <f t="shared" si="3"/>
        <v>0</v>
      </c>
      <c r="Q21" s="111">
        <f t="shared" si="3"/>
        <v>3100</v>
      </c>
      <c r="R21" s="111">
        <f t="shared" si="3"/>
        <v>0</v>
      </c>
      <c r="S21" s="111">
        <f t="shared" si="3"/>
        <v>100072131.26</v>
      </c>
      <c r="T21" s="111">
        <f t="shared" si="3"/>
        <v>1255000</v>
      </c>
      <c r="U21" s="111">
        <f t="shared" si="3"/>
        <v>100072131.26</v>
      </c>
      <c r="V21" s="111">
        <f t="shared" si="3"/>
        <v>1255000</v>
      </c>
      <c r="W21" s="111">
        <f t="shared" si="3"/>
        <v>0</v>
      </c>
      <c r="X21" s="111">
        <f t="shared" si="3"/>
        <v>5092142.4</v>
      </c>
      <c r="Y21" s="111">
        <f t="shared" si="3"/>
        <v>5092142.4</v>
      </c>
      <c r="Z21" s="146"/>
    </row>
    <row r="22" s="1" customFormat="1" ht="27" spans="1:26">
      <c r="A22" s="43">
        <v>2</v>
      </c>
      <c r="B22" s="44" t="s">
        <v>47</v>
      </c>
      <c r="C22" s="43" t="s">
        <v>48</v>
      </c>
      <c r="D22" s="65" t="s">
        <v>49</v>
      </c>
      <c r="E22" s="45">
        <v>1845935</v>
      </c>
      <c r="F22" s="45" t="s">
        <v>295</v>
      </c>
      <c r="G22" s="66" t="s">
        <v>50</v>
      </c>
      <c r="H22" s="66" t="s">
        <v>51</v>
      </c>
      <c r="I22" s="94"/>
      <c r="J22" s="94"/>
      <c r="K22" s="94">
        <f t="shared" si="1"/>
        <v>0</v>
      </c>
      <c r="L22" s="94"/>
      <c r="M22" s="94"/>
      <c r="N22" s="94"/>
      <c r="O22" s="94"/>
      <c r="P22" s="94"/>
      <c r="Q22" s="94"/>
      <c r="R22" s="94">
        <v>184593.5</v>
      </c>
      <c r="S22" s="94">
        <f t="shared" ref="S22:S24" si="4">K22-L22-M22-N22-O22+R22</f>
        <v>184593.5</v>
      </c>
      <c r="T22" s="133"/>
      <c r="U22" s="134">
        <f>R22</f>
        <v>184593.5</v>
      </c>
      <c r="V22" s="133"/>
      <c r="W22" s="133">
        <f t="shared" si="2"/>
        <v>0</v>
      </c>
      <c r="X22" s="145"/>
      <c r="Y22" s="145">
        <v>0</v>
      </c>
      <c r="Z22" s="135"/>
    </row>
    <row r="23" s="1" customFormat="1" ht="35" customHeight="1" spans="1:26">
      <c r="A23" s="48"/>
      <c r="B23" s="48"/>
      <c r="C23" s="48"/>
      <c r="D23" s="441"/>
      <c r="E23" s="49"/>
      <c r="F23" s="49"/>
      <c r="G23" s="66" t="s">
        <v>52</v>
      </c>
      <c r="H23" s="47" t="s">
        <v>53</v>
      </c>
      <c r="I23" s="94">
        <v>320754.72</v>
      </c>
      <c r="J23" s="94">
        <v>19245.28</v>
      </c>
      <c r="K23" s="94">
        <f t="shared" si="1"/>
        <v>340000</v>
      </c>
      <c r="L23" s="94"/>
      <c r="M23" s="94"/>
      <c r="N23" s="94"/>
      <c r="O23" s="94"/>
      <c r="P23" s="94"/>
      <c r="Q23" s="94"/>
      <c r="R23" s="94">
        <v>-68000</v>
      </c>
      <c r="S23" s="94">
        <f t="shared" si="4"/>
        <v>272000</v>
      </c>
      <c r="T23" s="133"/>
      <c r="U23" s="134">
        <v>272000</v>
      </c>
      <c r="V23" s="133"/>
      <c r="W23" s="133">
        <f t="shared" si="2"/>
        <v>0</v>
      </c>
      <c r="X23" s="145"/>
      <c r="Y23" s="145"/>
      <c r="Z23" s="135"/>
    </row>
    <row r="24" s="1" customFormat="1" ht="21" customHeight="1" spans="1:26">
      <c r="A24" s="48"/>
      <c r="B24" s="48"/>
      <c r="C24" s="48"/>
      <c r="D24" s="441"/>
      <c r="E24" s="49"/>
      <c r="F24" s="49"/>
      <c r="G24" s="46"/>
      <c r="H24" s="46"/>
      <c r="I24" s="94"/>
      <c r="J24" s="94"/>
      <c r="K24" s="94">
        <f t="shared" si="1"/>
        <v>0</v>
      </c>
      <c r="L24" s="94"/>
      <c r="M24" s="94"/>
      <c r="N24" s="94"/>
      <c r="O24" s="94"/>
      <c r="P24" s="94"/>
      <c r="Q24" s="94"/>
      <c r="R24" s="94"/>
      <c r="S24" s="94">
        <f t="shared" si="4"/>
        <v>0</v>
      </c>
      <c r="T24" s="133"/>
      <c r="U24" s="134"/>
      <c r="V24" s="133"/>
      <c r="W24" s="133">
        <f t="shared" si="2"/>
        <v>0</v>
      </c>
      <c r="X24" s="145">
        <v>969612.5</v>
      </c>
      <c r="Y24" s="145">
        <v>853019</v>
      </c>
      <c r="Z24" s="135" t="s">
        <v>299</v>
      </c>
    </row>
    <row r="25" s="1" customFormat="1" ht="29" customHeight="1" spans="1:26">
      <c r="A25" s="48"/>
      <c r="B25" s="48"/>
      <c r="C25" s="48"/>
      <c r="D25" s="441"/>
      <c r="E25" s="49"/>
      <c r="F25" s="49"/>
      <c r="G25" s="154" t="s">
        <v>46</v>
      </c>
      <c r="H25" s="155"/>
      <c r="I25" s="108">
        <f t="shared" ref="I25:O25" si="5">SUM(I22:I24)</f>
        <v>320754.72</v>
      </c>
      <c r="J25" s="108">
        <f t="shared" si="5"/>
        <v>19245.28</v>
      </c>
      <c r="K25" s="111">
        <f t="shared" si="1"/>
        <v>340000</v>
      </c>
      <c r="L25" s="111">
        <f t="shared" si="5"/>
        <v>0</v>
      </c>
      <c r="M25" s="111">
        <f t="shared" si="5"/>
        <v>0</v>
      </c>
      <c r="N25" s="111">
        <f t="shared" si="5"/>
        <v>0</v>
      </c>
      <c r="O25" s="111">
        <f t="shared" si="5"/>
        <v>0</v>
      </c>
      <c r="P25" s="111"/>
      <c r="Q25" s="111">
        <f t="shared" ref="Q25:Y25" si="6">SUM(Q22:Q24)</f>
        <v>0</v>
      </c>
      <c r="R25" s="111">
        <f t="shared" si="6"/>
        <v>116593.5</v>
      </c>
      <c r="S25" s="111">
        <f t="shared" si="6"/>
        <v>456593.5</v>
      </c>
      <c r="T25" s="111">
        <f t="shared" si="6"/>
        <v>0</v>
      </c>
      <c r="U25" s="111">
        <f t="shared" si="6"/>
        <v>456593.5</v>
      </c>
      <c r="V25" s="111">
        <f t="shared" si="6"/>
        <v>0</v>
      </c>
      <c r="W25" s="111">
        <f t="shared" si="6"/>
        <v>0</v>
      </c>
      <c r="X25" s="111">
        <f t="shared" si="6"/>
        <v>969612.5</v>
      </c>
      <c r="Y25" s="111">
        <f t="shared" si="6"/>
        <v>853019</v>
      </c>
      <c r="Z25" s="146"/>
    </row>
    <row r="26" s="1" customFormat="1" ht="27.4" spans="1:26">
      <c r="A26" s="43">
        <v>3</v>
      </c>
      <c r="B26" s="44" t="s">
        <v>54</v>
      </c>
      <c r="C26" s="43" t="s">
        <v>55</v>
      </c>
      <c r="D26" s="44" t="s">
        <v>56</v>
      </c>
      <c r="E26" s="45">
        <v>68192032</v>
      </c>
      <c r="F26" s="45" t="s">
        <v>295</v>
      </c>
      <c r="G26" s="66" t="s">
        <v>57</v>
      </c>
      <c r="H26" s="50" t="s">
        <v>58</v>
      </c>
      <c r="I26" s="94"/>
      <c r="J26" s="94"/>
      <c r="K26" s="94">
        <f t="shared" si="1"/>
        <v>0</v>
      </c>
      <c r="L26" s="94"/>
      <c r="M26" s="94"/>
      <c r="N26" s="94"/>
      <c r="O26" s="94"/>
      <c r="P26" s="94"/>
      <c r="Q26" s="94"/>
      <c r="R26" s="94">
        <v>3409601.6</v>
      </c>
      <c r="S26" s="94">
        <f t="shared" ref="S26:S30" si="7">K26-L26-M26-N26-O26+R26</f>
        <v>3409601.6</v>
      </c>
      <c r="T26" s="133"/>
      <c r="U26" s="134">
        <v>3409601.6</v>
      </c>
      <c r="V26" s="133"/>
      <c r="W26" s="133">
        <f t="shared" ref="W26:W31" si="8">S26+T26-U26-V26</f>
        <v>0</v>
      </c>
      <c r="X26" s="145"/>
      <c r="Y26" s="145"/>
      <c r="Z26" s="135"/>
    </row>
    <row r="27" s="1" customFormat="1" ht="25" customHeight="1" spans="1:26">
      <c r="A27" s="48"/>
      <c r="B27" s="48"/>
      <c r="C27" s="48"/>
      <c r="D27" s="48"/>
      <c r="E27" s="49"/>
      <c r="F27" s="49"/>
      <c r="G27" s="69" t="s">
        <v>59</v>
      </c>
      <c r="H27" s="69" t="s">
        <v>60</v>
      </c>
      <c r="I27" s="99">
        <v>636517.45</v>
      </c>
      <c r="J27" s="112">
        <v>621962.02</v>
      </c>
      <c r="K27" s="112">
        <f>I27+I28+I29+J27</f>
        <v>6719203.2</v>
      </c>
      <c r="L27" s="97"/>
      <c r="M27" s="97"/>
      <c r="N27" s="97"/>
      <c r="O27" s="97"/>
      <c r="P27" s="97"/>
      <c r="Q27" s="97"/>
      <c r="R27" s="97">
        <v>-3409601.6</v>
      </c>
      <c r="S27" s="97">
        <f t="shared" si="7"/>
        <v>3309601.6</v>
      </c>
      <c r="T27" s="97"/>
      <c r="U27" s="97">
        <v>3175217.54</v>
      </c>
      <c r="V27" s="97"/>
      <c r="W27" s="97">
        <f t="shared" si="8"/>
        <v>134384.059999999</v>
      </c>
      <c r="X27" s="145"/>
      <c r="Y27" s="145"/>
      <c r="Z27" s="69"/>
    </row>
    <row r="28" s="1" customFormat="1" spans="1:26">
      <c r="A28" s="48"/>
      <c r="B28" s="48"/>
      <c r="C28" s="48"/>
      <c r="D28" s="48"/>
      <c r="E28" s="49"/>
      <c r="F28" s="49"/>
      <c r="G28" s="70"/>
      <c r="H28" s="70"/>
      <c r="I28" s="99">
        <v>3153077.71</v>
      </c>
      <c r="J28" s="113"/>
      <c r="K28" s="113"/>
      <c r="L28" s="98"/>
      <c r="M28" s="98"/>
      <c r="N28" s="98"/>
      <c r="O28" s="98"/>
      <c r="P28" s="98"/>
      <c r="Q28" s="98"/>
      <c r="R28" s="98"/>
      <c r="S28" s="98"/>
      <c r="T28" s="98"/>
      <c r="U28" s="98"/>
      <c r="V28" s="98"/>
      <c r="W28" s="98"/>
      <c r="X28" s="145"/>
      <c r="Y28" s="145"/>
      <c r="Z28" s="70"/>
    </row>
    <row r="29" s="1" customFormat="1" spans="1:26">
      <c r="A29" s="48"/>
      <c r="B29" s="48"/>
      <c r="C29" s="48"/>
      <c r="D29" s="48"/>
      <c r="E29" s="49"/>
      <c r="F29" s="49"/>
      <c r="G29" s="71"/>
      <c r="H29" s="71"/>
      <c r="I29" s="99">
        <v>2307646.02</v>
      </c>
      <c r="J29" s="114"/>
      <c r="K29" s="114"/>
      <c r="L29" s="115"/>
      <c r="M29" s="115"/>
      <c r="N29" s="115"/>
      <c r="O29" s="115"/>
      <c r="P29" s="115"/>
      <c r="Q29" s="115"/>
      <c r="R29" s="115"/>
      <c r="S29" s="115"/>
      <c r="T29" s="115"/>
      <c r="U29" s="115"/>
      <c r="V29" s="115"/>
      <c r="W29" s="115"/>
      <c r="X29" s="145"/>
      <c r="Y29" s="145"/>
      <c r="Z29" s="71"/>
    </row>
    <row r="30" s="1" customFormat="1" ht="58" customHeight="1" spans="1:26">
      <c r="A30" s="48"/>
      <c r="B30" s="48"/>
      <c r="C30" s="48"/>
      <c r="D30" s="48"/>
      <c r="E30" s="49"/>
      <c r="F30" s="49"/>
      <c r="G30" s="72" t="s">
        <v>61</v>
      </c>
      <c r="H30" s="69" t="s">
        <v>62</v>
      </c>
      <c r="I30" s="116">
        <v>12303071.5</v>
      </c>
      <c r="J30" s="117">
        <v>1594936.5</v>
      </c>
      <c r="K30" s="94">
        <f t="shared" ref="K30:K33" si="9">I30+J30</f>
        <v>13898008</v>
      </c>
      <c r="L30" s="94"/>
      <c r="M30" s="94"/>
      <c r="N30" s="94"/>
      <c r="O30" s="94">
        <v>277960.16</v>
      </c>
      <c r="P30" s="94"/>
      <c r="Q30" s="94"/>
      <c r="R30" s="94"/>
      <c r="S30" s="94">
        <f t="shared" si="7"/>
        <v>13620047.84</v>
      </c>
      <c r="T30" s="133"/>
      <c r="U30" s="134">
        <v>13620047.84</v>
      </c>
      <c r="V30" s="133"/>
      <c r="W30" s="133">
        <f t="shared" si="8"/>
        <v>0</v>
      </c>
      <c r="X30" s="145"/>
      <c r="Y30" s="145"/>
      <c r="Z30" s="135"/>
    </row>
    <row r="31" s="1" customFormat="1" ht="37" customHeight="1" spans="1:26">
      <c r="A31" s="48"/>
      <c r="B31" s="48"/>
      <c r="C31" s="48"/>
      <c r="D31" s="48"/>
      <c r="E31" s="49"/>
      <c r="F31" s="49"/>
      <c r="G31" s="73" t="s">
        <v>63</v>
      </c>
      <c r="H31" s="73" t="s">
        <v>64</v>
      </c>
      <c r="I31" s="99">
        <v>2877914.34</v>
      </c>
      <c r="J31" s="95">
        <v>172674.86</v>
      </c>
      <c r="K31" s="95">
        <f t="shared" si="9"/>
        <v>3050589.2</v>
      </c>
      <c r="L31" s="112"/>
      <c r="M31" s="112"/>
      <c r="N31" s="112"/>
      <c r="O31" s="112">
        <v>335960.16</v>
      </c>
      <c r="P31" s="112"/>
      <c r="Q31" s="112"/>
      <c r="R31" s="112">
        <v>0</v>
      </c>
      <c r="S31" s="112">
        <f>K31-L31-M31-N31-O31+R31+K32-600000</f>
        <v>15862047.84</v>
      </c>
      <c r="T31" s="112">
        <v>600000</v>
      </c>
      <c r="U31" s="112">
        <v>15862047.84</v>
      </c>
      <c r="V31" s="401">
        <v>600000</v>
      </c>
      <c r="W31" s="401">
        <f t="shared" si="8"/>
        <v>0</v>
      </c>
      <c r="X31" s="145"/>
      <c r="Y31" s="145"/>
      <c r="Z31" s="410"/>
    </row>
    <row r="32" s="1" customFormat="1" ht="37" customHeight="1" spans="1:26">
      <c r="A32" s="48"/>
      <c r="B32" s="48"/>
      <c r="C32" s="48"/>
      <c r="D32" s="48"/>
      <c r="E32" s="49"/>
      <c r="F32" s="49"/>
      <c r="G32" s="73"/>
      <c r="H32" s="73"/>
      <c r="I32" s="99">
        <v>12612310.83</v>
      </c>
      <c r="J32" s="95">
        <v>1135107.97</v>
      </c>
      <c r="K32" s="95">
        <f t="shared" si="9"/>
        <v>13747418.8</v>
      </c>
      <c r="L32" s="113"/>
      <c r="M32" s="113"/>
      <c r="N32" s="113"/>
      <c r="O32" s="113"/>
      <c r="P32" s="113"/>
      <c r="Q32" s="113"/>
      <c r="R32" s="113"/>
      <c r="S32" s="113"/>
      <c r="T32" s="113"/>
      <c r="U32" s="113"/>
      <c r="V32" s="402"/>
      <c r="W32" s="402"/>
      <c r="X32" s="145"/>
      <c r="Y32" s="145"/>
      <c r="Z32" s="411"/>
    </row>
    <row r="33" s="1" customFormat="1" ht="30" customHeight="1" spans="1:26">
      <c r="A33" s="48"/>
      <c r="B33" s="48"/>
      <c r="C33" s="48"/>
      <c r="D33" s="48"/>
      <c r="E33" s="49"/>
      <c r="F33" s="49"/>
      <c r="G33" s="74" t="s">
        <v>65</v>
      </c>
      <c r="H33" s="74" t="s">
        <v>66</v>
      </c>
      <c r="I33" s="99">
        <v>9272888.15</v>
      </c>
      <c r="J33" s="99"/>
      <c r="K33" s="94">
        <f t="shared" si="9"/>
        <v>9272888.15</v>
      </c>
      <c r="L33" s="94">
        <v>0</v>
      </c>
      <c r="M33" s="94">
        <v>0</v>
      </c>
      <c r="N33" s="94">
        <v>0</v>
      </c>
      <c r="O33" s="94">
        <v>0</v>
      </c>
      <c r="P33" s="94"/>
      <c r="Q33" s="94"/>
      <c r="R33" s="94">
        <v>0</v>
      </c>
      <c r="S33" s="94">
        <f t="shared" ref="S33:S40" si="10">K33-L33-M33-N33-O33+R33</f>
        <v>9272888.15</v>
      </c>
      <c r="T33" s="94"/>
      <c r="U33" s="94"/>
      <c r="V33" s="94"/>
      <c r="W33" s="94">
        <f t="shared" ref="W33:W37" si="11">S33+T33-U33-V33</f>
        <v>9272888.15</v>
      </c>
      <c r="X33" s="145">
        <f>1756800+2900000</f>
        <v>4656800</v>
      </c>
      <c r="Y33" s="145">
        <f>X33</f>
        <v>4656800</v>
      </c>
      <c r="Z33" s="145" t="s">
        <v>300</v>
      </c>
    </row>
    <row r="34" s="1" customFormat="1" ht="29" customHeight="1" spans="1:26">
      <c r="A34" s="153"/>
      <c r="B34" s="153"/>
      <c r="C34" s="153"/>
      <c r="D34" s="153"/>
      <c r="E34" s="81"/>
      <c r="F34" s="81"/>
      <c r="G34" s="154" t="s">
        <v>46</v>
      </c>
      <c r="H34" s="155"/>
      <c r="I34" s="108">
        <f t="shared" ref="I34:Y34" si="12">SUM(I26:I33)</f>
        <v>43163426</v>
      </c>
      <c r="J34" s="108">
        <f t="shared" si="12"/>
        <v>3524681.35</v>
      </c>
      <c r="K34" s="111">
        <f t="shared" si="12"/>
        <v>46688107.35</v>
      </c>
      <c r="L34" s="111">
        <f t="shared" si="12"/>
        <v>0</v>
      </c>
      <c r="M34" s="111">
        <f t="shared" si="12"/>
        <v>0</v>
      </c>
      <c r="N34" s="111">
        <f t="shared" si="12"/>
        <v>0</v>
      </c>
      <c r="O34" s="111">
        <f t="shared" si="12"/>
        <v>613920.32</v>
      </c>
      <c r="P34" s="111">
        <f t="shared" si="12"/>
        <v>0</v>
      </c>
      <c r="Q34" s="111">
        <f t="shared" si="12"/>
        <v>0</v>
      </c>
      <c r="R34" s="111">
        <f t="shared" si="12"/>
        <v>0</v>
      </c>
      <c r="S34" s="111">
        <f t="shared" si="12"/>
        <v>45474187.03</v>
      </c>
      <c r="T34" s="111">
        <f t="shared" si="12"/>
        <v>600000</v>
      </c>
      <c r="U34" s="111">
        <f t="shared" si="12"/>
        <v>36066914.82</v>
      </c>
      <c r="V34" s="111">
        <f t="shared" si="12"/>
        <v>600000</v>
      </c>
      <c r="W34" s="111">
        <f t="shared" si="12"/>
        <v>9407272.21</v>
      </c>
      <c r="X34" s="111">
        <f t="shared" si="12"/>
        <v>4656800</v>
      </c>
      <c r="Y34" s="111">
        <f t="shared" si="12"/>
        <v>4656800</v>
      </c>
      <c r="Z34" s="146"/>
    </row>
    <row r="35" s="1" customFormat="1" ht="39" customHeight="1" spans="1:26">
      <c r="A35" s="43">
        <v>4</v>
      </c>
      <c r="B35" s="44" t="s">
        <v>67</v>
      </c>
      <c r="C35" s="43" t="s">
        <v>68</v>
      </c>
      <c r="D35" s="65" t="s">
        <v>69</v>
      </c>
      <c r="E35" s="45">
        <v>31370181</v>
      </c>
      <c r="F35" s="45" t="s">
        <v>295</v>
      </c>
      <c r="G35" s="66" t="s">
        <v>70</v>
      </c>
      <c r="H35" s="66" t="s">
        <v>71</v>
      </c>
      <c r="I35" s="94"/>
      <c r="J35" s="94"/>
      <c r="K35" s="94">
        <f t="shared" ref="K35:K39" si="13">I35+J35</f>
        <v>0</v>
      </c>
      <c r="L35" s="94"/>
      <c r="M35" s="94"/>
      <c r="N35" s="94"/>
      <c r="O35" s="94"/>
      <c r="P35" s="94"/>
      <c r="Q35" s="94"/>
      <c r="R35" s="94">
        <v>3137018.1</v>
      </c>
      <c r="S35" s="94">
        <f t="shared" si="10"/>
        <v>3137018.1</v>
      </c>
      <c r="T35" s="94"/>
      <c r="U35" s="94">
        <v>3137018.1</v>
      </c>
      <c r="V35" s="94"/>
      <c r="W35" s="133">
        <f t="shared" si="11"/>
        <v>0</v>
      </c>
      <c r="X35" s="133"/>
      <c r="Y35" s="133">
        <v>0</v>
      </c>
      <c r="Z35" s="135"/>
    </row>
    <row r="36" s="1" customFormat="1" ht="51" customHeight="1" spans="1:26">
      <c r="A36" s="48"/>
      <c r="B36" s="48"/>
      <c r="C36" s="48"/>
      <c r="D36" s="441"/>
      <c r="E36" s="49"/>
      <c r="F36" s="49"/>
      <c r="G36" s="66" t="s">
        <v>72</v>
      </c>
      <c r="H36" s="78" t="s">
        <v>73</v>
      </c>
      <c r="I36" s="95">
        <v>16656733.21</v>
      </c>
      <c r="J36" s="95">
        <v>2165375.39</v>
      </c>
      <c r="K36" s="95">
        <f t="shared" si="13"/>
        <v>18822108.6</v>
      </c>
      <c r="L36" s="95"/>
      <c r="M36" s="95"/>
      <c r="N36" s="95"/>
      <c r="O36" s="95"/>
      <c r="P36" s="95"/>
      <c r="Q36" s="95"/>
      <c r="R36" s="95">
        <v>-3137018.1</v>
      </c>
      <c r="S36" s="95">
        <f t="shared" si="10"/>
        <v>15685090.5</v>
      </c>
      <c r="T36" s="95"/>
      <c r="U36" s="95">
        <v>15685090.5</v>
      </c>
      <c r="V36" s="405"/>
      <c r="W36" s="133">
        <f t="shared" si="11"/>
        <v>0</v>
      </c>
      <c r="X36" s="133"/>
      <c r="Y36" s="133"/>
      <c r="Z36" s="135"/>
    </row>
    <row r="37" s="1" customFormat="1" ht="42" customHeight="1" spans="1:26">
      <c r="A37" s="48"/>
      <c r="B37" s="48"/>
      <c r="C37" s="48"/>
      <c r="D37" s="441"/>
      <c r="E37" s="49"/>
      <c r="F37" s="49"/>
      <c r="G37" s="50" t="s">
        <v>74</v>
      </c>
      <c r="H37" s="66" t="s">
        <v>75</v>
      </c>
      <c r="I37" s="94">
        <v>9253740.7</v>
      </c>
      <c r="J37" s="94">
        <f>K37-I37</f>
        <v>1202986.3</v>
      </c>
      <c r="K37" s="94">
        <v>10456727</v>
      </c>
      <c r="L37" s="94">
        <v>0</v>
      </c>
      <c r="M37" s="94">
        <v>0</v>
      </c>
      <c r="N37" s="94">
        <v>0</v>
      </c>
      <c r="O37" s="94">
        <v>0</v>
      </c>
      <c r="P37" s="94"/>
      <c r="Q37" s="94"/>
      <c r="R37" s="94">
        <v>0</v>
      </c>
      <c r="S37" s="94">
        <f t="shared" si="10"/>
        <v>10456727</v>
      </c>
      <c r="T37" s="94">
        <v>0</v>
      </c>
      <c r="U37" s="94">
        <v>6274036.2</v>
      </c>
      <c r="V37" s="94"/>
      <c r="W37" s="133">
        <f t="shared" si="11"/>
        <v>4182690.8</v>
      </c>
      <c r="X37" s="133"/>
      <c r="Y37" s="133"/>
      <c r="Z37" s="135"/>
    </row>
    <row r="38" s="1" customFormat="1" ht="26" customHeight="1" spans="1:26">
      <c r="A38" s="153"/>
      <c r="B38" s="153"/>
      <c r="C38" s="153"/>
      <c r="D38" s="442"/>
      <c r="E38" s="81"/>
      <c r="F38" s="81"/>
      <c r="G38" s="154" t="s">
        <v>46</v>
      </c>
      <c r="H38" s="155"/>
      <c r="I38" s="108">
        <f>SUM(I35:I37)</f>
        <v>25910473.91</v>
      </c>
      <c r="J38" s="108">
        <f>SUM(J35:J37)</f>
        <v>3368361.69</v>
      </c>
      <c r="K38" s="111">
        <f t="shared" si="13"/>
        <v>29278835.6</v>
      </c>
      <c r="L38" s="111"/>
      <c r="M38" s="111"/>
      <c r="N38" s="111"/>
      <c r="O38" s="111"/>
      <c r="P38" s="111"/>
      <c r="Q38" s="111"/>
      <c r="R38" s="111">
        <f t="shared" ref="R38:Y38" si="14">SUM(R35:R37)</f>
        <v>0</v>
      </c>
      <c r="S38" s="147">
        <f t="shared" si="10"/>
        <v>29278835.6</v>
      </c>
      <c r="T38" s="147"/>
      <c r="U38" s="111">
        <f t="shared" si="14"/>
        <v>25096144.8</v>
      </c>
      <c r="V38" s="111">
        <f t="shared" si="14"/>
        <v>0</v>
      </c>
      <c r="W38" s="111">
        <f t="shared" si="14"/>
        <v>4182690.8</v>
      </c>
      <c r="X38" s="111">
        <f t="shared" si="14"/>
        <v>0</v>
      </c>
      <c r="Y38" s="111">
        <f t="shared" si="14"/>
        <v>0</v>
      </c>
      <c r="Z38" s="146"/>
    </row>
    <row r="39" s="1" customFormat="1" ht="38" customHeight="1" spans="1:26">
      <c r="A39" s="43">
        <v>5</v>
      </c>
      <c r="B39" s="44" t="s">
        <v>76</v>
      </c>
      <c r="C39" s="43" t="s">
        <v>77</v>
      </c>
      <c r="D39" s="44" t="s">
        <v>78</v>
      </c>
      <c r="E39" s="46">
        <v>98880000</v>
      </c>
      <c r="F39" s="46" t="s">
        <v>295</v>
      </c>
      <c r="G39" s="82" t="s">
        <v>79</v>
      </c>
      <c r="H39" s="82" t="s">
        <v>80</v>
      </c>
      <c r="I39" s="94"/>
      <c r="J39" s="94"/>
      <c r="K39" s="94">
        <f t="shared" si="13"/>
        <v>0</v>
      </c>
      <c r="L39" s="94"/>
      <c r="M39" s="94"/>
      <c r="N39" s="94"/>
      <c r="O39" s="94"/>
      <c r="P39" s="94"/>
      <c r="Q39" s="94"/>
      <c r="R39" s="94">
        <v>9888000</v>
      </c>
      <c r="S39" s="94">
        <f t="shared" si="10"/>
        <v>9888000</v>
      </c>
      <c r="T39" s="94"/>
      <c r="U39" s="94">
        <v>9888000</v>
      </c>
      <c r="V39" s="94"/>
      <c r="W39" s="94">
        <f t="shared" ref="W39:W44" si="15">S39+T39-U39-V39</f>
        <v>0</v>
      </c>
      <c r="X39" s="94"/>
      <c r="Y39" s="94">
        <v>0</v>
      </c>
      <c r="Z39" s="145"/>
    </row>
    <row r="40" s="1" customFormat="1" ht="47" customHeight="1" spans="1:26">
      <c r="A40" s="48"/>
      <c r="B40" s="48"/>
      <c r="C40" s="48"/>
      <c r="D40" s="48"/>
      <c r="E40" s="46"/>
      <c r="F40" s="46"/>
      <c r="G40" s="50" t="s">
        <v>81</v>
      </c>
      <c r="H40" s="83" t="s">
        <v>82</v>
      </c>
      <c r="I40" s="112">
        <f>K40-J40</f>
        <v>70003539.82</v>
      </c>
      <c r="J40" s="112">
        <v>9100460.18</v>
      </c>
      <c r="K40" s="112">
        <v>79104000</v>
      </c>
      <c r="L40" s="112"/>
      <c r="M40" s="112"/>
      <c r="N40" s="112"/>
      <c r="O40" s="112"/>
      <c r="P40" s="112"/>
      <c r="Q40" s="112"/>
      <c r="R40" s="112">
        <v>-9888000</v>
      </c>
      <c r="S40" s="112">
        <f t="shared" si="10"/>
        <v>69216000</v>
      </c>
      <c r="T40" s="45"/>
      <c r="U40" s="148">
        <v>29664000</v>
      </c>
      <c r="V40" s="45"/>
      <c r="W40" s="45">
        <f>S40+T40-U40-U42</f>
        <v>0</v>
      </c>
      <c r="X40" s="45"/>
      <c r="Y40" s="45"/>
      <c r="Z40" s="45"/>
    </row>
    <row r="41" s="1" customFormat="1" ht="47" customHeight="1" spans="1:26">
      <c r="A41" s="48"/>
      <c r="B41" s="48"/>
      <c r="C41" s="48"/>
      <c r="D41" s="48"/>
      <c r="E41" s="46"/>
      <c r="F41" s="46"/>
      <c r="G41" s="50" t="s">
        <v>83</v>
      </c>
      <c r="H41" s="83" t="s">
        <v>84</v>
      </c>
      <c r="I41" s="113"/>
      <c r="J41" s="113"/>
      <c r="K41" s="113"/>
      <c r="L41" s="113"/>
      <c r="M41" s="113"/>
      <c r="N41" s="113"/>
      <c r="O41" s="113"/>
      <c r="P41" s="113"/>
      <c r="Q41" s="113"/>
      <c r="R41" s="113"/>
      <c r="S41" s="113"/>
      <c r="T41" s="49"/>
      <c r="U41" s="149"/>
      <c r="V41" s="49"/>
      <c r="W41" s="49"/>
      <c r="X41" s="49"/>
      <c r="Y41" s="49"/>
      <c r="Z41" s="49"/>
    </row>
    <row r="42" s="1" customFormat="1" ht="47" customHeight="1" spans="1:26">
      <c r="A42" s="48"/>
      <c r="B42" s="48"/>
      <c r="C42" s="48"/>
      <c r="D42" s="48"/>
      <c r="E42" s="46"/>
      <c r="F42" s="46"/>
      <c r="G42" s="50" t="s">
        <v>85</v>
      </c>
      <c r="H42" s="83" t="s">
        <v>86</v>
      </c>
      <c r="I42" s="114"/>
      <c r="J42" s="114"/>
      <c r="K42" s="114"/>
      <c r="L42" s="114"/>
      <c r="M42" s="114"/>
      <c r="N42" s="114"/>
      <c r="O42" s="114"/>
      <c r="P42" s="114"/>
      <c r="Q42" s="114"/>
      <c r="R42" s="114"/>
      <c r="S42" s="114"/>
      <c r="T42" s="81"/>
      <c r="U42" s="149">
        <v>39552000</v>
      </c>
      <c r="V42" s="81"/>
      <c r="W42" s="81"/>
      <c r="X42" s="81"/>
      <c r="Y42" s="81"/>
      <c r="Z42" s="81"/>
    </row>
    <row r="43" s="1" customFormat="1" ht="39" customHeight="1" spans="1:26">
      <c r="A43" s="153"/>
      <c r="B43" s="153"/>
      <c r="C43" s="153"/>
      <c r="D43" s="153"/>
      <c r="E43" s="46"/>
      <c r="F43" s="46"/>
      <c r="G43" s="86" t="s">
        <v>46</v>
      </c>
      <c r="H43" s="87"/>
      <c r="I43" s="108">
        <f t="shared" ref="I43:O43" si="16">SUM(I39:I42)</f>
        <v>70003539.82</v>
      </c>
      <c r="J43" s="108">
        <f t="shared" si="16"/>
        <v>9100460.18</v>
      </c>
      <c r="K43" s="108">
        <f t="shared" si="16"/>
        <v>79104000</v>
      </c>
      <c r="L43" s="108">
        <f t="shared" si="16"/>
        <v>0</v>
      </c>
      <c r="M43" s="108">
        <f t="shared" si="16"/>
        <v>0</v>
      </c>
      <c r="N43" s="108">
        <f t="shared" si="16"/>
        <v>0</v>
      </c>
      <c r="O43" s="108">
        <f t="shared" si="16"/>
        <v>0</v>
      </c>
      <c r="P43" s="108"/>
      <c r="Q43" s="108">
        <f t="shared" ref="Q43:U43" si="17">SUM(Q39:Q42)</f>
        <v>0</v>
      </c>
      <c r="R43" s="108">
        <f t="shared" si="17"/>
        <v>0</v>
      </c>
      <c r="S43" s="108">
        <f t="shared" si="17"/>
        <v>79104000</v>
      </c>
      <c r="T43" s="108">
        <f t="shared" si="17"/>
        <v>0</v>
      </c>
      <c r="U43" s="108">
        <f t="shared" si="17"/>
        <v>79104000</v>
      </c>
      <c r="V43" s="108"/>
      <c r="W43" s="108">
        <f t="shared" si="15"/>
        <v>0</v>
      </c>
      <c r="X43" s="108">
        <f>SUM(X39:X40)</f>
        <v>0</v>
      </c>
      <c r="Y43" s="108">
        <f>SUM(Y39:Y40)</f>
        <v>0</v>
      </c>
      <c r="Z43" s="188"/>
    </row>
    <row r="44" s="1" customFormat="1" ht="39" customHeight="1" spans="1:26">
      <c r="A44" s="43">
        <v>6</v>
      </c>
      <c r="B44" s="44" t="s">
        <v>87</v>
      </c>
      <c r="C44" s="43" t="s">
        <v>88</v>
      </c>
      <c r="D44" s="44" t="s">
        <v>35</v>
      </c>
      <c r="E44" s="45">
        <v>950000</v>
      </c>
      <c r="F44" s="46" t="s">
        <v>295</v>
      </c>
      <c r="G44" s="152" t="s">
        <v>89</v>
      </c>
      <c r="H44" s="66" t="s">
        <v>90</v>
      </c>
      <c r="I44" s="94">
        <v>627358.49</v>
      </c>
      <c r="J44" s="94">
        <v>37641.51</v>
      </c>
      <c r="K44" s="94">
        <f t="shared" ref="K44:K56" si="18">I44+J44</f>
        <v>665000</v>
      </c>
      <c r="L44" s="94"/>
      <c r="M44" s="94"/>
      <c r="N44" s="94"/>
      <c r="O44" s="94"/>
      <c r="P44" s="94"/>
      <c r="Q44" s="94"/>
      <c r="R44" s="94"/>
      <c r="S44" s="94">
        <f t="shared" ref="S44:S67" si="19">K44-L44-M44-N44-O44+R44</f>
        <v>665000</v>
      </c>
      <c r="T44" s="94"/>
      <c r="U44" s="94">
        <v>665000</v>
      </c>
      <c r="V44" s="94"/>
      <c r="W44" s="94">
        <f t="shared" si="15"/>
        <v>0</v>
      </c>
      <c r="X44" s="94"/>
      <c r="Y44" s="94"/>
      <c r="Z44" s="145"/>
    </row>
    <row r="45" s="1" customFormat="1" ht="20" customHeight="1" spans="1:26">
      <c r="A45" s="153"/>
      <c r="B45" s="153"/>
      <c r="C45" s="153"/>
      <c r="D45" s="153"/>
      <c r="E45" s="81"/>
      <c r="F45" s="46"/>
      <c r="G45" s="154" t="s">
        <v>46</v>
      </c>
      <c r="H45" s="155"/>
      <c r="I45" s="108">
        <f t="shared" ref="I45:K45" si="20">SUM(I44)</f>
        <v>627358.49</v>
      </c>
      <c r="J45" s="111">
        <f t="shared" si="20"/>
        <v>37641.51</v>
      </c>
      <c r="K45" s="111">
        <f t="shared" si="20"/>
        <v>665000</v>
      </c>
      <c r="L45" s="111"/>
      <c r="M45" s="111"/>
      <c r="N45" s="111"/>
      <c r="O45" s="111"/>
      <c r="P45" s="111"/>
      <c r="Q45" s="111"/>
      <c r="R45" s="111">
        <f t="shared" ref="R45:Y45" si="21">SUM(R44)</f>
        <v>0</v>
      </c>
      <c r="S45" s="147">
        <f t="shared" si="19"/>
        <v>665000</v>
      </c>
      <c r="T45" s="147"/>
      <c r="U45" s="111">
        <f t="shared" si="21"/>
        <v>665000</v>
      </c>
      <c r="V45" s="111">
        <f t="shared" si="21"/>
        <v>0</v>
      </c>
      <c r="W45" s="111">
        <f t="shared" si="21"/>
        <v>0</v>
      </c>
      <c r="X45" s="111">
        <f t="shared" si="21"/>
        <v>0</v>
      </c>
      <c r="Y45" s="111">
        <f t="shared" si="21"/>
        <v>0</v>
      </c>
      <c r="Z45" s="146"/>
    </row>
    <row r="46" s="1" customFormat="1" ht="84" customHeight="1" spans="1:26">
      <c r="A46" s="156">
        <v>7</v>
      </c>
      <c r="B46" s="157" t="s">
        <v>91</v>
      </c>
      <c r="C46" s="158" t="s">
        <v>92</v>
      </c>
      <c r="D46" s="157" t="s">
        <v>93</v>
      </c>
      <c r="E46" s="145">
        <v>299000</v>
      </c>
      <c r="F46" s="145" t="s">
        <v>295</v>
      </c>
      <c r="G46" s="66" t="s">
        <v>94</v>
      </c>
      <c r="H46" s="66" t="s">
        <v>95</v>
      </c>
      <c r="I46" s="94">
        <v>197452.83</v>
      </c>
      <c r="J46" s="94">
        <v>11847.17</v>
      </c>
      <c r="K46" s="94">
        <f t="shared" si="18"/>
        <v>209300</v>
      </c>
      <c r="L46" s="94"/>
      <c r="M46" s="94"/>
      <c r="N46" s="94"/>
      <c r="O46" s="94"/>
      <c r="P46" s="94"/>
      <c r="Q46" s="94"/>
      <c r="R46" s="94"/>
      <c r="S46" s="94">
        <f t="shared" si="19"/>
        <v>209300</v>
      </c>
      <c r="T46" s="94"/>
      <c r="U46" s="94">
        <v>209300</v>
      </c>
      <c r="V46" s="94"/>
      <c r="W46" s="94">
        <f t="shared" ref="W46:W67" si="22">S46+T46-U46-V46</f>
        <v>0</v>
      </c>
      <c r="X46" s="94"/>
      <c r="Y46" s="94"/>
      <c r="Z46" s="145"/>
    </row>
    <row r="47" s="1" customFormat="1" ht="36" customHeight="1" spans="1:26">
      <c r="A47" s="156">
        <v>8</v>
      </c>
      <c r="B47" s="157" t="s">
        <v>96</v>
      </c>
      <c r="C47" s="158" t="s">
        <v>97</v>
      </c>
      <c r="D47" s="157" t="s">
        <v>98</v>
      </c>
      <c r="E47" s="145">
        <v>75800</v>
      </c>
      <c r="F47" s="145" t="s">
        <v>301</v>
      </c>
      <c r="G47" s="66" t="s">
        <v>99</v>
      </c>
      <c r="H47" s="66" t="s">
        <v>100</v>
      </c>
      <c r="I47" s="94">
        <v>35754.72</v>
      </c>
      <c r="J47" s="94">
        <v>2145.28</v>
      </c>
      <c r="K47" s="94">
        <f t="shared" si="18"/>
        <v>37900</v>
      </c>
      <c r="L47" s="94"/>
      <c r="M47" s="94"/>
      <c r="N47" s="94"/>
      <c r="O47" s="94"/>
      <c r="P47" s="94"/>
      <c r="Q47" s="94"/>
      <c r="R47" s="94"/>
      <c r="S47" s="94">
        <f t="shared" si="19"/>
        <v>37900</v>
      </c>
      <c r="T47" s="94"/>
      <c r="U47" s="94">
        <f t="shared" ref="U47:U53" si="23">K47+R47</f>
        <v>37900</v>
      </c>
      <c r="V47" s="94"/>
      <c r="W47" s="94">
        <f t="shared" si="22"/>
        <v>0</v>
      </c>
      <c r="X47" s="145"/>
      <c r="Y47" s="145"/>
      <c r="Z47" s="145"/>
    </row>
    <row r="48" s="1" customFormat="1" ht="45" customHeight="1" spans="1:26">
      <c r="A48" s="156">
        <v>9</v>
      </c>
      <c r="B48" s="157" t="s">
        <v>101</v>
      </c>
      <c r="C48" s="158" t="s">
        <v>102</v>
      </c>
      <c r="D48" s="157" t="s">
        <v>103</v>
      </c>
      <c r="E48" s="145">
        <v>139000</v>
      </c>
      <c r="F48" s="145" t="s">
        <v>301</v>
      </c>
      <c r="G48" s="66" t="s">
        <v>104</v>
      </c>
      <c r="H48" s="66" t="s">
        <v>105</v>
      </c>
      <c r="I48" s="94">
        <v>131132.08</v>
      </c>
      <c r="J48" s="94">
        <v>7867.92000000001</v>
      </c>
      <c r="K48" s="94">
        <f t="shared" si="18"/>
        <v>139000</v>
      </c>
      <c r="L48" s="94"/>
      <c r="M48" s="94"/>
      <c r="N48" s="94"/>
      <c r="O48" s="94"/>
      <c r="P48" s="94"/>
      <c r="Q48" s="94"/>
      <c r="R48" s="94"/>
      <c r="S48" s="94">
        <f t="shared" si="19"/>
        <v>139000</v>
      </c>
      <c r="T48" s="94"/>
      <c r="U48" s="94">
        <f t="shared" si="23"/>
        <v>139000</v>
      </c>
      <c r="V48" s="94"/>
      <c r="W48" s="94">
        <f t="shared" si="22"/>
        <v>0</v>
      </c>
      <c r="X48" s="145"/>
      <c r="Y48" s="145"/>
      <c r="Z48" s="145"/>
    </row>
    <row r="49" s="1" customFormat="1" ht="36" customHeight="1" spans="1:26">
      <c r="A49" s="156">
        <v>10</v>
      </c>
      <c r="B49" s="157" t="s">
        <v>106</v>
      </c>
      <c r="C49" s="158" t="s">
        <v>107</v>
      </c>
      <c r="D49" s="157" t="s">
        <v>108</v>
      </c>
      <c r="E49" s="145">
        <v>147000</v>
      </c>
      <c r="F49" s="145" t="s">
        <v>301</v>
      </c>
      <c r="G49" s="66" t="s">
        <v>109</v>
      </c>
      <c r="H49" s="66" t="s">
        <v>110</v>
      </c>
      <c r="I49" s="94">
        <v>83207.55</v>
      </c>
      <c r="J49" s="94">
        <v>4992.45</v>
      </c>
      <c r="K49" s="94">
        <f t="shared" si="18"/>
        <v>88200</v>
      </c>
      <c r="L49" s="94"/>
      <c r="M49" s="94"/>
      <c r="N49" s="94"/>
      <c r="O49" s="94"/>
      <c r="P49" s="94"/>
      <c r="Q49" s="94"/>
      <c r="R49" s="94"/>
      <c r="S49" s="94">
        <f t="shared" si="19"/>
        <v>88200</v>
      </c>
      <c r="T49" s="94"/>
      <c r="U49" s="94">
        <f t="shared" si="23"/>
        <v>88200</v>
      </c>
      <c r="V49" s="94"/>
      <c r="W49" s="94">
        <f t="shared" si="22"/>
        <v>0</v>
      </c>
      <c r="X49" s="145"/>
      <c r="Y49" s="145"/>
      <c r="Z49" s="145"/>
    </row>
    <row r="50" s="1" customFormat="1" ht="36" customHeight="1" spans="1:26">
      <c r="A50" s="156">
        <v>11</v>
      </c>
      <c r="B50" s="157" t="s">
        <v>111</v>
      </c>
      <c r="C50" s="158" t="s">
        <v>112</v>
      </c>
      <c r="D50" s="157" t="s">
        <v>113</v>
      </c>
      <c r="E50" s="145">
        <v>350000</v>
      </c>
      <c r="F50" s="145" t="s">
        <v>301</v>
      </c>
      <c r="G50" s="66" t="s">
        <v>114</v>
      </c>
      <c r="H50" s="66" t="s">
        <v>115</v>
      </c>
      <c r="I50" s="94">
        <v>165094.34</v>
      </c>
      <c r="J50" s="94">
        <v>9905.66</v>
      </c>
      <c r="K50" s="94">
        <f t="shared" si="18"/>
        <v>175000</v>
      </c>
      <c r="L50" s="94"/>
      <c r="M50" s="94"/>
      <c r="N50" s="94"/>
      <c r="O50" s="94"/>
      <c r="P50" s="94"/>
      <c r="Q50" s="94"/>
      <c r="R50" s="94"/>
      <c r="S50" s="94">
        <f t="shared" si="19"/>
        <v>175000</v>
      </c>
      <c r="T50" s="94"/>
      <c r="U50" s="94">
        <f t="shared" si="23"/>
        <v>175000</v>
      </c>
      <c r="V50" s="94"/>
      <c r="W50" s="94">
        <f t="shared" si="22"/>
        <v>0</v>
      </c>
      <c r="X50" s="145"/>
      <c r="Y50" s="145"/>
      <c r="Z50" s="145"/>
    </row>
    <row r="51" s="1" customFormat="1" ht="71" customHeight="1" spans="1:26">
      <c r="A51" s="156">
        <v>12</v>
      </c>
      <c r="B51" s="157" t="s">
        <v>116</v>
      </c>
      <c r="C51" s="158" t="s">
        <v>117</v>
      </c>
      <c r="D51" s="157" t="s">
        <v>113</v>
      </c>
      <c r="E51" s="145">
        <v>372000</v>
      </c>
      <c r="F51" s="145" t="s">
        <v>301</v>
      </c>
      <c r="G51" s="66" t="s">
        <v>118</v>
      </c>
      <c r="H51" s="66" t="s">
        <v>119</v>
      </c>
      <c r="I51" s="94">
        <v>350943.4</v>
      </c>
      <c r="J51" s="94">
        <v>21056.6</v>
      </c>
      <c r="K51" s="94">
        <f t="shared" si="18"/>
        <v>372000</v>
      </c>
      <c r="L51" s="94"/>
      <c r="M51" s="94"/>
      <c r="N51" s="94"/>
      <c r="O51" s="94"/>
      <c r="P51" s="94"/>
      <c r="Q51" s="94"/>
      <c r="R51" s="94"/>
      <c r="S51" s="94">
        <f t="shared" si="19"/>
        <v>372000</v>
      </c>
      <c r="T51" s="94"/>
      <c r="U51" s="94">
        <f t="shared" si="23"/>
        <v>372000</v>
      </c>
      <c r="V51" s="94"/>
      <c r="W51" s="94">
        <f t="shared" si="22"/>
        <v>0</v>
      </c>
      <c r="X51" s="145"/>
      <c r="Y51" s="145">
        <v>0</v>
      </c>
      <c r="Z51" s="145"/>
    </row>
    <row r="52" s="1" customFormat="1" ht="59" customHeight="1" spans="1:26">
      <c r="A52" s="156">
        <v>13</v>
      </c>
      <c r="B52" s="157" t="s">
        <v>120</v>
      </c>
      <c r="C52" s="157" t="s">
        <v>121</v>
      </c>
      <c r="D52" s="157" t="s">
        <v>122</v>
      </c>
      <c r="E52" s="145">
        <v>472680</v>
      </c>
      <c r="F52" s="145" t="s">
        <v>301</v>
      </c>
      <c r="G52" s="66" t="s">
        <v>123</v>
      </c>
      <c r="H52" s="66" t="s">
        <v>124</v>
      </c>
      <c r="I52" s="94">
        <v>472680</v>
      </c>
      <c r="J52" s="94">
        <v>0</v>
      </c>
      <c r="K52" s="94">
        <f t="shared" si="18"/>
        <v>472680</v>
      </c>
      <c r="L52" s="94"/>
      <c r="M52" s="94"/>
      <c r="N52" s="94"/>
      <c r="O52" s="94"/>
      <c r="P52" s="94"/>
      <c r="Q52" s="94"/>
      <c r="R52" s="94"/>
      <c r="S52" s="94">
        <f t="shared" si="19"/>
        <v>472680</v>
      </c>
      <c r="T52" s="94"/>
      <c r="U52" s="94">
        <f t="shared" si="23"/>
        <v>472680</v>
      </c>
      <c r="V52" s="94"/>
      <c r="W52" s="94">
        <f t="shared" si="22"/>
        <v>0</v>
      </c>
      <c r="X52" s="145"/>
      <c r="Y52" s="145">
        <v>0</v>
      </c>
      <c r="Z52" s="145"/>
    </row>
    <row r="53" s="1" customFormat="1" ht="36" customHeight="1" spans="1:26">
      <c r="A53" s="43">
        <v>14</v>
      </c>
      <c r="B53" s="44" t="s">
        <v>125</v>
      </c>
      <c r="C53" s="43" t="s">
        <v>126</v>
      </c>
      <c r="D53" s="44" t="s">
        <v>127</v>
      </c>
      <c r="E53" s="43">
        <v>20718782.9686351</v>
      </c>
      <c r="F53" s="45" t="s">
        <v>301</v>
      </c>
      <c r="G53" s="159" t="s">
        <v>128</v>
      </c>
      <c r="H53" s="160" t="s">
        <v>129</v>
      </c>
      <c r="I53" s="94">
        <v>10000000</v>
      </c>
      <c r="J53" s="94">
        <v>0</v>
      </c>
      <c r="K53" s="94">
        <f t="shared" si="18"/>
        <v>10000000</v>
      </c>
      <c r="L53" s="94">
        <v>0</v>
      </c>
      <c r="M53" s="94">
        <v>0</v>
      </c>
      <c r="N53" s="94">
        <v>0</v>
      </c>
      <c r="O53" s="94">
        <v>0</v>
      </c>
      <c r="P53" s="94"/>
      <c r="Q53" s="94"/>
      <c r="R53" s="94">
        <v>0</v>
      </c>
      <c r="S53" s="94">
        <f t="shared" si="19"/>
        <v>10000000</v>
      </c>
      <c r="T53" s="94"/>
      <c r="U53" s="94">
        <f t="shared" si="23"/>
        <v>10000000</v>
      </c>
      <c r="V53" s="94"/>
      <c r="W53" s="94">
        <f t="shared" si="22"/>
        <v>0</v>
      </c>
      <c r="X53" s="145"/>
      <c r="Y53" s="145"/>
      <c r="Z53" s="145"/>
    </row>
    <row r="54" s="17" customFormat="1" ht="36" customHeight="1" spans="1:26">
      <c r="A54" s="153"/>
      <c r="B54" s="153"/>
      <c r="C54" s="153"/>
      <c r="D54" s="153"/>
      <c r="E54" s="153"/>
      <c r="F54" s="81"/>
      <c r="G54" s="159" t="s">
        <v>130</v>
      </c>
      <c r="H54" s="161" t="s">
        <v>131</v>
      </c>
      <c r="I54" s="94">
        <v>8350000</v>
      </c>
      <c r="J54" s="94">
        <v>0</v>
      </c>
      <c r="K54" s="94">
        <f t="shared" si="18"/>
        <v>8350000</v>
      </c>
      <c r="L54" s="94">
        <v>0</v>
      </c>
      <c r="M54" s="94">
        <v>0</v>
      </c>
      <c r="N54" s="94">
        <v>0</v>
      </c>
      <c r="O54" s="94">
        <v>0</v>
      </c>
      <c r="P54" s="94"/>
      <c r="Q54" s="94"/>
      <c r="R54" s="94">
        <v>0</v>
      </c>
      <c r="S54" s="94">
        <f t="shared" si="19"/>
        <v>8350000</v>
      </c>
      <c r="T54" s="94"/>
      <c r="U54" s="94">
        <v>8350000</v>
      </c>
      <c r="V54" s="94"/>
      <c r="W54" s="94">
        <f t="shared" si="22"/>
        <v>0</v>
      </c>
      <c r="X54" s="145"/>
      <c r="Y54" s="145"/>
      <c r="Z54" s="145"/>
    </row>
    <row r="55" s="1" customFormat="1" ht="97" customHeight="1" spans="1:26">
      <c r="A55" s="156">
        <v>15</v>
      </c>
      <c r="B55" s="157" t="s">
        <v>132</v>
      </c>
      <c r="C55" s="157" t="s">
        <v>133</v>
      </c>
      <c r="D55" s="157" t="s">
        <v>134</v>
      </c>
      <c r="E55" s="145">
        <v>125290</v>
      </c>
      <c r="F55" s="145" t="s">
        <v>301</v>
      </c>
      <c r="G55" s="66" t="s">
        <v>135</v>
      </c>
      <c r="H55" s="66" t="s">
        <v>136</v>
      </c>
      <c r="I55" s="94">
        <v>125290</v>
      </c>
      <c r="J55" s="94"/>
      <c r="K55" s="94">
        <f t="shared" si="18"/>
        <v>125290</v>
      </c>
      <c r="L55" s="94"/>
      <c r="M55" s="94"/>
      <c r="N55" s="94"/>
      <c r="O55" s="94"/>
      <c r="P55" s="94"/>
      <c r="Q55" s="94"/>
      <c r="R55" s="94"/>
      <c r="S55" s="94">
        <f t="shared" si="19"/>
        <v>125290</v>
      </c>
      <c r="T55" s="94"/>
      <c r="U55" s="94">
        <f t="shared" ref="U55:U64" si="24">K55+R55</f>
        <v>125290</v>
      </c>
      <c r="V55" s="94"/>
      <c r="W55" s="94">
        <f t="shared" si="22"/>
        <v>0</v>
      </c>
      <c r="X55" s="145"/>
      <c r="Y55" s="145">
        <v>0</v>
      </c>
      <c r="Z55" s="145"/>
    </row>
    <row r="56" s="1" customFormat="1" ht="36" customHeight="1" spans="1:26">
      <c r="A56" s="156">
        <v>16</v>
      </c>
      <c r="B56" s="157" t="s">
        <v>137</v>
      </c>
      <c r="C56" s="158" t="s">
        <v>138</v>
      </c>
      <c r="D56" s="157" t="s">
        <v>139</v>
      </c>
      <c r="E56" s="145">
        <v>750000</v>
      </c>
      <c r="F56" s="145" t="s">
        <v>301</v>
      </c>
      <c r="G56" s="66" t="s">
        <v>140</v>
      </c>
      <c r="H56" s="66" t="s">
        <v>141</v>
      </c>
      <c r="I56" s="94">
        <v>424528.3</v>
      </c>
      <c r="J56" s="94">
        <v>25471.7</v>
      </c>
      <c r="K56" s="94">
        <f t="shared" si="18"/>
        <v>450000</v>
      </c>
      <c r="L56" s="94"/>
      <c r="M56" s="94"/>
      <c r="N56" s="94"/>
      <c r="O56" s="94"/>
      <c r="P56" s="94"/>
      <c r="Q56" s="94"/>
      <c r="R56" s="94"/>
      <c r="S56" s="94">
        <f t="shared" si="19"/>
        <v>450000</v>
      </c>
      <c r="T56" s="94"/>
      <c r="U56" s="94">
        <f t="shared" si="24"/>
        <v>450000</v>
      </c>
      <c r="V56" s="94"/>
      <c r="W56" s="94">
        <f t="shared" si="22"/>
        <v>0</v>
      </c>
      <c r="X56" s="145"/>
      <c r="Y56" s="145"/>
      <c r="Z56" s="145"/>
    </row>
    <row r="57" s="17" customFormat="1" ht="36" customHeight="1" spans="1:26">
      <c r="A57" s="156">
        <v>17</v>
      </c>
      <c r="B57" s="157" t="s">
        <v>142</v>
      </c>
      <c r="C57" s="158" t="s">
        <v>143</v>
      </c>
      <c r="D57" s="157" t="s">
        <v>144</v>
      </c>
      <c r="E57" s="145">
        <v>95000</v>
      </c>
      <c r="F57" s="145" t="s">
        <v>301</v>
      </c>
      <c r="G57" s="74" t="s">
        <v>145</v>
      </c>
      <c r="H57" s="74" t="s">
        <v>146</v>
      </c>
      <c r="I57" s="94">
        <f>K57-J57</f>
        <v>89622.64</v>
      </c>
      <c r="J57" s="94">
        <v>5377.36</v>
      </c>
      <c r="K57" s="94">
        <v>95000</v>
      </c>
      <c r="L57" s="94">
        <v>0</v>
      </c>
      <c r="M57" s="94">
        <v>0</v>
      </c>
      <c r="N57" s="94">
        <v>0</v>
      </c>
      <c r="O57" s="94">
        <v>0</v>
      </c>
      <c r="P57" s="94"/>
      <c r="Q57" s="94"/>
      <c r="R57" s="94">
        <v>0</v>
      </c>
      <c r="S57" s="94">
        <f t="shared" si="19"/>
        <v>95000</v>
      </c>
      <c r="T57" s="94"/>
      <c r="U57" s="94">
        <f t="shared" si="24"/>
        <v>95000</v>
      </c>
      <c r="V57" s="94"/>
      <c r="W57" s="94">
        <f t="shared" si="22"/>
        <v>0</v>
      </c>
      <c r="X57" s="145"/>
      <c r="Y57" s="145"/>
      <c r="Z57" s="145"/>
    </row>
    <row r="58" s="17" customFormat="1" ht="36" customHeight="1" spans="1:26">
      <c r="A58" s="156">
        <v>18</v>
      </c>
      <c r="B58" s="157" t="s">
        <v>147</v>
      </c>
      <c r="C58" s="157" t="s">
        <v>148</v>
      </c>
      <c r="D58" s="157" t="s">
        <v>149</v>
      </c>
      <c r="E58" s="145">
        <v>680000</v>
      </c>
      <c r="F58" s="145" t="s">
        <v>301</v>
      </c>
      <c r="G58" s="50" t="s">
        <v>150</v>
      </c>
      <c r="H58" s="66" t="s">
        <v>151</v>
      </c>
      <c r="I58" s="94">
        <f>K58-J58</f>
        <v>641509.43</v>
      </c>
      <c r="J58" s="94">
        <v>38490.57</v>
      </c>
      <c r="K58" s="94">
        <v>680000</v>
      </c>
      <c r="L58" s="94">
        <v>0</v>
      </c>
      <c r="M58" s="94">
        <v>0</v>
      </c>
      <c r="N58" s="94">
        <v>0</v>
      </c>
      <c r="O58" s="94">
        <v>0</v>
      </c>
      <c r="P58" s="94"/>
      <c r="Q58" s="94"/>
      <c r="R58" s="94">
        <v>0</v>
      </c>
      <c r="S58" s="94">
        <f t="shared" si="19"/>
        <v>680000</v>
      </c>
      <c r="T58" s="94"/>
      <c r="U58" s="94">
        <f t="shared" si="24"/>
        <v>680000</v>
      </c>
      <c r="V58" s="94"/>
      <c r="W58" s="94">
        <f t="shared" si="22"/>
        <v>0</v>
      </c>
      <c r="X58" s="145"/>
      <c r="Y58" s="145"/>
      <c r="Z58" s="145"/>
    </row>
    <row r="59" s="1" customFormat="1" ht="46" customHeight="1" spans="1:26">
      <c r="A59" s="156">
        <v>19</v>
      </c>
      <c r="B59" s="157" t="s">
        <v>152</v>
      </c>
      <c r="C59" s="158" t="s">
        <v>153</v>
      </c>
      <c r="D59" s="165" t="s">
        <v>154</v>
      </c>
      <c r="E59" s="145">
        <v>150000</v>
      </c>
      <c r="F59" s="145" t="s">
        <v>301</v>
      </c>
      <c r="G59" s="66" t="s">
        <v>155</v>
      </c>
      <c r="H59" s="66" t="s">
        <v>156</v>
      </c>
      <c r="I59" s="94">
        <v>141509.43</v>
      </c>
      <c r="J59" s="94">
        <v>8490.57000000001</v>
      </c>
      <c r="K59" s="94">
        <f t="shared" ref="K59:K62" si="25">I59+J59</f>
        <v>150000</v>
      </c>
      <c r="L59" s="94"/>
      <c r="M59" s="94"/>
      <c r="N59" s="94"/>
      <c r="O59" s="94"/>
      <c r="P59" s="94"/>
      <c r="Q59" s="94"/>
      <c r="R59" s="94"/>
      <c r="S59" s="94">
        <f t="shared" si="19"/>
        <v>150000</v>
      </c>
      <c r="T59" s="94"/>
      <c r="U59" s="94">
        <f t="shared" si="24"/>
        <v>150000</v>
      </c>
      <c r="V59" s="94"/>
      <c r="W59" s="94">
        <f t="shared" si="22"/>
        <v>0</v>
      </c>
      <c r="X59" s="145"/>
      <c r="Y59" s="145">
        <v>0</v>
      </c>
      <c r="Z59" s="145"/>
    </row>
    <row r="60" s="1" customFormat="1" ht="69" customHeight="1" spans="1:26">
      <c r="A60" s="156">
        <v>20</v>
      </c>
      <c r="B60" s="157" t="s">
        <v>157</v>
      </c>
      <c r="C60" s="158" t="s">
        <v>158</v>
      </c>
      <c r="D60" s="157" t="s">
        <v>159</v>
      </c>
      <c r="E60" s="145">
        <v>238000</v>
      </c>
      <c r="F60" s="145" t="s">
        <v>301</v>
      </c>
      <c r="G60" s="66" t="s">
        <v>160</v>
      </c>
      <c r="H60" s="66" t="s">
        <v>161</v>
      </c>
      <c r="I60" s="94">
        <v>231067.96</v>
      </c>
      <c r="J60" s="94">
        <v>6932.04000000001</v>
      </c>
      <c r="K60" s="94">
        <f t="shared" si="25"/>
        <v>238000</v>
      </c>
      <c r="L60" s="94"/>
      <c r="M60" s="94"/>
      <c r="N60" s="94"/>
      <c r="O60" s="94"/>
      <c r="P60" s="94"/>
      <c r="Q60" s="94"/>
      <c r="R60" s="94"/>
      <c r="S60" s="94">
        <f t="shared" si="19"/>
        <v>238000</v>
      </c>
      <c r="T60" s="94"/>
      <c r="U60" s="94">
        <f t="shared" si="24"/>
        <v>238000</v>
      </c>
      <c r="V60" s="94"/>
      <c r="W60" s="94">
        <f t="shared" si="22"/>
        <v>0</v>
      </c>
      <c r="X60" s="145"/>
      <c r="Y60" s="145">
        <v>0</v>
      </c>
      <c r="Z60" s="145"/>
    </row>
    <row r="61" s="1" customFormat="1" ht="60" customHeight="1" spans="1:26">
      <c r="A61" s="156">
        <v>21</v>
      </c>
      <c r="B61" s="157" t="s">
        <v>162</v>
      </c>
      <c r="C61" s="158" t="s">
        <v>163</v>
      </c>
      <c r="D61" s="157" t="s">
        <v>159</v>
      </c>
      <c r="E61" s="145">
        <v>180000</v>
      </c>
      <c r="F61" s="145" t="s">
        <v>301</v>
      </c>
      <c r="G61" s="66" t="s">
        <v>164</v>
      </c>
      <c r="H61" s="66" t="s">
        <v>165</v>
      </c>
      <c r="I61" s="94">
        <v>174757.28</v>
      </c>
      <c r="J61" s="94">
        <v>5242.72</v>
      </c>
      <c r="K61" s="94">
        <f t="shared" si="25"/>
        <v>180000</v>
      </c>
      <c r="L61" s="94"/>
      <c r="M61" s="94"/>
      <c r="N61" s="94"/>
      <c r="O61" s="94"/>
      <c r="P61" s="94"/>
      <c r="Q61" s="94"/>
      <c r="R61" s="94"/>
      <c r="S61" s="94">
        <f t="shared" si="19"/>
        <v>180000</v>
      </c>
      <c r="T61" s="94"/>
      <c r="U61" s="94">
        <f t="shared" si="24"/>
        <v>180000</v>
      </c>
      <c r="V61" s="94"/>
      <c r="W61" s="94">
        <f t="shared" si="22"/>
        <v>0</v>
      </c>
      <c r="X61" s="145"/>
      <c r="Y61" s="145">
        <v>0</v>
      </c>
      <c r="Z61" s="145"/>
    </row>
    <row r="62" s="1" customFormat="1" ht="53" customHeight="1" spans="1:26">
      <c r="A62" s="156">
        <v>22</v>
      </c>
      <c r="B62" s="157" t="s">
        <v>166</v>
      </c>
      <c r="C62" s="496" t="s">
        <v>167</v>
      </c>
      <c r="D62" s="157" t="s">
        <v>168</v>
      </c>
      <c r="E62" s="145">
        <v>168838.18</v>
      </c>
      <c r="F62" s="145" t="s">
        <v>301</v>
      </c>
      <c r="G62" s="66" t="s">
        <v>169</v>
      </c>
      <c r="H62" s="66" t="s">
        <v>170</v>
      </c>
      <c r="I62" s="94">
        <v>159281.3</v>
      </c>
      <c r="J62" s="94">
        <v>9556.88</v>
      </c>
      <c r="K62" s="94">
        <f t="shared" si="25"/>
        <v>168838.18</v>
      </c>
      <c r="L62" s="94"/>
      <c r="M62" s="94"/>
      <c r="N62" s="94"/>
      <c r="O62" s="94"/>
      <c r="P62" s="94"/>
      <c r="Q62" s="94"/>
      <c r="R62" s="94"/>
      <c r="S62" s="94">
        <f t="shared" si="19"/>
        <v>168838.18</v>
      </c>
      <c r="T62" s="94"/>
      <c r="U62" s="94">
        <f t="shared" si="24"/>
        <v>168838.18</v>
      </c>
      <c r="V62" s="94"/>
      <c r="W62" s="94">
        <f t="shared" si="22"/>
        <v>0</v>
      </c>
      <c r="X62" s="145"/>
      <c r="Y62" s="145">
        <v>0</v>
      </c>
      <c r="Z62" s="145"/>
    </row>
    <row r="63" s="17" customFormat="1" ht="47" customHeight="1" spans="1:26">
      <c r="A63" s="156">
        <v>23</v>
      </c>
      <c r="B63" s="157" t="s">
        <v>171</v>
      </c>
      <c r="C63" s="158" t="s">
        <v>172</v>
      </c>
      <c r="D63" s="157" t="s">
        <v>173</v>
      </c>
      <c r="E63" s="145">
        <v>533200</v>
      </c>
      <c r="F63" s="145" t="s">
        <v>301</v>
      </c>
      <c r="G63" s="50" t="s">
        <v>174</v>
      </c>
      <c r="H63" s="66" t="s">
        <v>175</v>
      </c>
      <c r="I63" s="94">
        <v>471858.4</v>
      </c>
      <c r="J63" s="94">
        <f>K63-I63</f>
        <v>61341.6</v>
      </c>
      <c r="K63" s="94">
        <v>533200</v>
      </c>
      <c r="L63" s="94">
        <v>0</v>
      </c>
      <c r="M63" s="94">
        <v>0</v>
      </c>
      <c r="N63" s="94">
        <v>0</v>
      </c>
      <c r="O63" s="94">
        <v>0</v>
      </c>
      <c r="P63" s="94"/>
      <c r="Q63" s="94"/>
      <c r="R63" s="94">
        <v>0</v>
      </c>
      <c r="S63" s="94">
        <f t="shared" si="19"/>
        <v>533200</v>
      </c>
      <c r="T63" s="94"/>
      <c r="U63" s="94">
        <f t="shared" si="24"/>
        <v>533200</v>
      </c>
      <c r="V63" s="94"/>
      <c r="W63" s="94">
        <f t="shared" si="22"/>
        <v>0</v>
      </c>
      <c r="X63" s="145"/>
      <c r="Y63" s="145"/>
      <c r="Z63" s="145"/>
    </row>
    <row r="64" s="1" customFormat="1" ht="59" customHeight="1" spans="1:26">
      <c r="A64" s="156">
        <v>24</v>
      </c>
      <c r="B64" s="166" t="s">
        <v>176</v>
      </c>
      <c r="C64" s="167" t="s">
        <v>177</v>
      </c>
      <c r="D64" s="166" t="s">
        <v>178</v>
      </c>
      <c r="E64" s="145">
        <v>87000</v>
      </c>
      <c r="F64" s="145" t="s">
        <v>301</v>
      </c>
      <c r="G64" s="145"/>
      <c r="H64" s="145"/>
      <c r="I64" s="94"/>
      <c r="J64" s="94"/>
      <c r="K64" s="94"/>
      <c r="L64" s="94"/>
      <c r="M64" s="94"/>
      <c r="N64" s="94"/>
      <c r="O64" s="94"/>
      <c r="P64" s="94"/>
      <c r="Q64" s="94"/>
      <c r="R64" s="94"/>
      <c r="S64" s="94">
        <f t="shared" si="19"/>
        <v>0</v>
      </c>
      <c r="T64" s="94"/>
      <c r="U64" s="94">
        <f t="shared" si="24"/>
        <v>0</v>
      </c>
      <c r="V64" s="94"/>
      <c r="W64" s="94">
        <f t="shared" si="22"/>
        <v>0</v>
      </c>
      <c r="X64" s="145">
        <v>0</v>
      </c>
      <c r="Y64" s="145">
        <v>0</v>
      </c>
      <c r="Z64" s="145"/>
    </row>
    <row r="65" s="1" customFormat="1" ht="59" customHeight="1" spans="1:26">
      <c r="A65" s="156">
        <v>25</v>
      </c>
      <c r="B65" s="166" t="s">
        <v>179</v>
      </c>
      <c r="C65" s="167"/>
      <c r="D65" s="168" t="s">
        <v>180</v>
      </c>
      <c r="E65" s="145">
        <v>79600</v>
      </c>
      <c r="F65" s="145" t="s">
        <v>301</v>
      </c>
      <c r="G65" s="74" t="s">
        <v>181</v>
      </c>
      <c r="H65" s="161" t="s">
        <v>182</v>
      </c>
      <c r="I65" s="94">
        <v>22528.3</v>
      </c>
      <c r="J65" s="94">
        <v>1351.7</v>
      </c>
      <c r="K65" s="94">
        <f t="shared" ref="K65:K70" si="26">J65+I65</f>
        <v>23880</v>
      </c>
      <c r="L65" s="94">
        <v>0</v>
      </c>
      <c r="M65" s="94">
        <v>0</v>
      </c>
      <c r="N65" s="94">
        <v>0</v>
      </c>
      <c r="O65" s="94">
        <v>0</v>
      </c>
      <c r="P65" s="94"/>
      <c r="Q65" s="94"/>
      <c r="R65" s="94">
        <v>0</v>
      </c>
      <c r="S65" s="94">
        <f t="shared" si="19"/>
        <v>23880</v>
      </c>
      <c r="T65" s="94"/>
      <c r="U65" s="94">
        <f>S65</f>
        <v>23880</v>
      </c>
      <c r="V65" s="94"/>
      <c r="W65" s="94">
        <f t="shared" si="22"/>
        <v>0</v>
      </c>
      <c r="X65" s="145"/>
      <c r="Y65" s="145"/>
      <c r="Z65" s="145"/>
    </row>
    <row r="66" s="1" customFormat="1" ht="59" customHeight="1" spans="1:26">
      <c r="A66" s="169">
        <v>26</v>
      </c>
      <c r="B66" s="166" t="s">
        <v>183</v>
      </c>
      <c r="C66" s="167"/>
      <c r="D66" s="166" t="s">
        <v>122</v>
      </c>
      <c r="E66" s="145"/>
      <c r="F66" s="145" t="s">
        <v>301</v>
      </c>
      <c r="G66" s="47" t="s">
        <v>184</v>
      </c>
      <c r="H66" s="47" t="s">
        <v>185</v>
      </c>
      <c r="I66" s="94">
        <v>48750</v>
      </c>
      <c r="J66" s="94">
        <v>0</v>
      </c>
      <c r="K66" s="94">
        <f>I66+J66</f>
        <v>48750</v>
      </c>
      <c r="L66" s="94">
        <v>0</v>
      </c>
      <c r="M66" s="94">
        <v>0</v>
      </c>
      <c r="N66" s="94">
        <v>0</v>
      </c>
      <c r="O66" s="94">
        <v>0</v>
      </c>
      <c r="P66" s="94"/>
      <c r="Q66" s="94"/>
      <c r="R66" s="94">
        <v>0</v>
      </c>
      <c r="S66" s="94">
        <f t="shared" si="19"/>
        <v>48750</v>
      </c>
      <c r="T66" s="94">
        <v>0</v>
      </c>
      <c r="U66" s="94">
        <v>48750</v>
      </c>
      <c r="V66" s="405">
        <v>0</v>
      </c>
      <c r="W66" s="94">
        <f t="shared" si="22"/>
        <v>0</v>
      </c>
      <c r="X66" s="145"/>
      <c r="Y66" s="145"/>
      <c r="Z66" s="145"/>
    </row>
    <row r="67" s="1" customFormat="1" ht="59" customHeight="1" spans="1:26">
      <c r="A67" s="170">
        <v>27</v>
      </c>
      <c r="B67" s="44" t="s">
        <v>186</v>
      </c>
      <c r="C67" s="43"/>
      <c r="D67" s="44" t="s">
        <v>187</v>
      </c>
      <c r="E67" s="145"/>
      <c r="F67" s="45" t="s">
        <v>301</v>
      </c>
      <c r="G67" s="47" t="s">
        <v>188</v>
      </c>
      <c r="H67" s="47" t="s">
        <v>189</v>
      </c>
      <c r="I67" s="99"/>
      <c r="J67" s="94"/>
      <c r="K67" s="94"/>
      <c r="L67" s="94">
        <v>0</v>
      </c>
      <c r="M67" s="94">
        <v>0</v>
      </c>
      <c r="N67" s="94">
        <v>0</v>
      </c>
      <c r="O67" s="94">
        <v>0</v>
      </c>
      <c r="P67" s="94"/>
      <c r="Q67" s="94"/>
      <c r="R67" s="207">
        <v>755500</v>
      </c>
      <c r="S67" s="112">
        <f t="shared" si="19"/>
        <v>755500</v>
      </c>
      <c r="T67" s="112">
        <v>0</v>
      </c>
      <c r="U67" s="112">
        <f>S67</f>
        <v>755500</v>
      </c>
      <c r="V67" s="401">
        <v>0</v>
      </c>
      <c r="W67" s="45">
        <f t="shared" si="22"/>
        <v>0</v>
      </c>
      <c r="X67" s="314"/>
      <c r="Y67" s="145"/>
      <c r="Z67" s="45"/>
    </row>
    <row r="68" s="1" customFormat="1" ht="59" customHeight="1" spans="1:26">
      <c r="A68" s="171"/>
      <c r="B68" s="153"/>
      <c r="C68" s="153"/>
      <c r="D68" s="153"/>
      <c r="E68" s="145"/>
      <c r="F68" s="81"/>
      <c r="G68" s="74" t="s">
        <v>190</v>
      </c>
      <c r="H68" s="47" t="s">
        <v>191</v>
      </c>
      <c r="I68" s="99">
        <v>755500</v>
      </c>
      <c r="J68" s="94"/>
      <c r="K68" s="94">
        <f>I68+J68</f>
        <v>755500</v>
      </c>
      <c r="L68" s="94"/>
      <c r="M68" s="94"/>
      <c r="N68" s="94"/>
      <c r="O68" s="94"/>
      <c r="P68" s="94"/>
      <c r="Q68" s="94"/>
      <c r="R68" s="208">
        <f>-R67</f>
        <v>-755500</v>
      </c>
      <c r="S68" s="114"/>
      <c r="T68" s="114"/>
      <c r="U68" s="114"/>
      <c r="V68" s="416"/>
      <c r="W68" s="81"/>
      <c r="X68" s="314"/>
      <c r="Y68" s="145"/>
      <c r="Z68" s="81"/>
    </row>
    <row r="69" s="1" customFormat="1" ht="59" customHeight="1" spans="1:26">
      <c r="A69" s="171">
        <v>28</v>
      </c>
      <c r="B69" s="447" t="s">
        <v>192</v>
      </c>
      <c r="C69" s="255"/>
      <c r="D69" s="448" t="s">
        <v>193</v>
      </c>
      <c r="E69" s="145">
        <v>488544.07</v>
      </c>
      <c r="F69" s="145" t="s">
        <v>301</v>
      </c>
      <c r="G69" s="73"/>
      <c r="H69" s="47" t="s">
        <v>194</v>
      </c>
      <c r="I69" s="203">
        <v>460890.63</v>
      </c>
      <c r="J69" s="94">
        <v>27653.44</v>
      </c>
      <c r="K69" s="94">
        <f t="shared" si="26"/>
        <v>488544.07</v>
      </c>
      <c r="L69" s="94"/>
      <c r="M69" s="94"/>
      <c r="N69" s="94"/>
      <c r="O69" s="94"/>
      <c r="P69" s="94"/>
      <c r="Q69" s="94"/>
      <c r="R69" s="208"/>
      <c r="S69" s="94">
        <f>K69-L69-M69-N69-O69+R69-Q69</f>
        <v>488544.07</v>
      </c>
      <c r="T69" s="114"/>
      <c r="U69" s="114"/>
      <c r="V69" s="416"/>
      <c r="W69" s="94">
        <f>S69+T69-U69-V69</f>
        <v>488544.07</v>
      </c>
      <c r="X69" s="314"/>
      <c r="Y69" s="145">
        <v>488544.07</v>
      </c>
      <c r="Z69" s="145"/>
    </row>
    <row r="70" s="1" customFormat="1" ht="59" customHeight="1" spans="1:26">
      <c r="A70" s="171">
        <v>29</v>
      </c>
      <c r="B70" s="447" t="s">
        <v>192</v>
      </c>
      <c r="C70" s="175"/>
      <c r="D70" s="448" t="s">
        <v>195</v>
      </c>
      <c r="E70" s="145">
        <v>1990753.91</v>
      </c>
      <c r="F70" s="145" t="s">
        <v>295</v>
      </c>
      <c r="G70" s="73"/>
      <c r="H70" s="47" t="s">
        <v>194</v>
      </c>
      <c r="I70" s="203">
        <v>1878069.73</v>
      </c>
      <c r="J70" s="94">
        <v>112684.18</v>
      </c>
      <c r="K70" s="94">
        <f t="shared" si="26"/>
        <v>1990753.91</v>
      </c>
      <c r="L70" s="94"/>
      <c r="M70" s="94"/>
      <c r="N70" s="94"/>
      <c r="O70" s="94"/>
      <c r="P70" s="94"/>
      <c r="Q70" s="94"/>
      <c r="R70" s="208"/>
      <c r="S70" s="94">
        <f>K70-L70-M70-N70-O70+R70-Q70</f>
        <v>1990753.91</v>
      </c>
      <c r="T70" s="114"/>
      <c r="U70" s="114"/>
      <c r="V70" s="416"/>
      <c r="W70" s="94">
        <f>S70+T70-U70-V70</f>
        <v>1990753.91</v>
      </c>
      <c r="X70" s="314"/>
      <c r="Y70" s="145">
        <v>1990753.91</v>
      </c>
      <c r="Z70" s="145"/>
    </row>
    <row r="71" s="1" customFormat="1" ht="59" customHeight="1" spans="1:26">
      <c r="A71" s="171">
        <v>30</v>
      </c>
      <c r="B71" s="159" t="s">
        <v>302</v>
      </c>
      <c r="C71" s="175"/>
      <c r="D71" s="159" t="s">
        <v>303</v>
      </c>
      <c r="E71" s="145">
        <v>100000</v>
      </c>
      <c r="F71" s="145"/>
      <c r="G71" s="73"/>
      <c r="H71" s="47"/>
      <c r="I71" s="203"/>
      <c r="J71" s="94"/>
      <c r="K71" s="94"/>
      <c r="L71" s="94"/>
      <c r="M71" s="94"/>
      <c r="N71" s="94"/>
      <c r="O71" s="94"/>
      <c r="P71" s="94"/>
      <c r="Q71" s="94"/>
      <c r="R71" s="208"/>
      <c r="S71" s="94"/>
      <c r="T71" s="114"/>
      <c r="U71" s="114"/>
      <c r="V71" s="416"/>
      <c r="W71" s="94"/>
      <c r="X71" s="145">
        <v>100000</v>
      </c>
      <c r="Y71" s="145">
        <v>100000</v>
      </c>
      <c r="Z71" s="145"/>
    </row>
    <row r="72" s="1" customFormat="1" ht="59" customHeight="1" spans="1:26">
      <c r="A72" s="171">
        <v>31</v>
      </c>
      <c r="B72" s="159" t="s">
        <v>304</v>
      </c>
      <c r="C72" s="175"/>
      <c r="D72" s="159" t="s">
        <v>305</v>
      </c>
      <c r="E72" s="145">
        <v>232250</v>
      </c>
      <c r="F72" s="145"/>
      <c r="G72" s="73"/>
      <c r="H72" s="47"/>
      <c r="I72" s="203"/>
      <c r="J72" s="94"/>
      <c r="K72" s="94"/>
      <c r="L72" s="94"/>
      <c r="M72" s="94"/>
      <c r="N72" s="94"/>
      <c r="O72" s="94"/>
      <c r="P72" s="94"/>
      <c r="Q72" s="94"/>
      <c r="R72" s="208"/>
      <c r="S72" s="94"/>
      <c r="T72" s="114"/>
      <c r="U72" s="114"/>
      <c r="V72" s="416"/>
      <c r="W72" s="94"/>
      <c r="X72" s="145">
        <v>232250</v>
      </c>
      <c r="Y72" s="145">
        <v>0</v>
      </c>
      <c r="Z72" s="145"/>
    </row>
    <row r="73" s="1" customFormat="1" ht="59" customHeight="1" spans="1:26">
      <c r="A73" s="171">
        <v>32</v>
      </c>
      <c r="B73" s="159" t="s">
        <v>306</v>
      </c>
      <c r="C73" s="176"/>
      <c r="D73" s="177" t="s">
        <v>307</v>
      </c>
      <c r="E73" s="145">
        <v>34915.3</v>
      </c>
      <c r="F73" s="145"/>
      <c r="G73" s="73"/>
      <c r="H73" s="47"/>
      <c r="I73" s="203"/>
      <c r="J73" s="94"/>
      <c r="K73" s="94"/>
      <c r="L73" s="94"/>
      <c r="M73" s="94"/>
      <c r="N73" s="94"/>
      <c r="O73" s="94"/>
      <c r="P73" s="94"/>
      <c r="Q73" s="94"/>
      <c r="R73" s="208"/>
      <c r="S73" s="94"/>
      <c r="T73" s="114"/>
      <c r="U73" s="114"/>
      <c r="V73" s="416"/>
      <c r="W73" s="94"/>
      <c r="X73" s="145">
        <v>34915.3</v>
      </c>
      <c r="Y73" s="145">
        <v>34915.3</v>
      </c>
      <c r="Z73" s="145"/>
    </row>
    <row r="74" s="1" customFormat="1" ht="59" customHeight="1" spans="1:26">
      <c r="A74" s="171">
        <v>33</v>
      </c>
      <c r="B74" s="159" t="s">
        <v>308</v>
      </c>
      <c r="C74" s="176"/>
      <c r="D74" s="177" t="s">
        <v>307</v>
      </c>
      <c r="E74" s="145">
        <v>47000</v>
      </c>
      <c r="F74" s="145"/>
      <c r="G74" s="73"/>
      <c r="H74" s="47"/>
      <c r="I74" s="203"/>
      <c r="J74" s="94"/>
      <c r="K74" s="94"/>
      <c r="L74" s="94"/>
      <c r="M74" s="94"/>
      <c r="N74" s="94"/>
      <c r="O74" s="94"/>
      <c r="P74" s="94"/>
      <c r="Q74" s="94"/>
      <c r="R74" s="208"/>
      <c r="S74" s="94"/>
      <c r="T74" s="114"/>
      <c r="U74" s="114"/>
      <c r="V74" s="416"/>
      <c r="W74" s="94"/>
      <c r="X74" s="145">
        <v>47000</v>
      </c>
      <c r="Y74" s="145">
        <v>47000</v>
      </c>
      <c r="Z74" s="145"/>
    </row>
    <row r="75" s="1" customFormat="1" ht="36" customHeight="1" spans="1:26">
      <c r="A75" s="171">
        <v>34</v>
      </c>
      <c r="B75" s="216" t="s">
        <v>196</v>
      </c>
      <c r="C75" s="217"/>
      <c r="D75" s="218"/>
      <c r="E75" s="283">
        <v>98000</v>
      </c>
      <c r="F75" s="188" t="s">
        <v>309</v>
      </c>
      <c r="G75" s="50" t="s">
        <v>197</v>
      </c>
      <c r="H75" s="51" t="s">
        <v>198</v>
      </c>
      <c r="I75" s="108">
        <v>61468.44</v>
      </c>
      <c r="J75" s="108">
        <v>0</v>
      </c>
      <c r="K75" s="108">
        <f t="shared" ref="K75:K78" si="27">I75+J75</f>
        <v>61468.44</v>
      </c>
      <c r="L75" s="108"/>
      <c r="M75" s="108"/>
      <c r="N75" s="108"/>
      <c r="O75" s="108"/>
      <c r="P75" s="108"/>
      <c r="Q75" s="108">
        <f>M75-O75</f>
        <v>0</v>
      </c>
      <c r="R75" s="108"/>
      <c r="S75" s="94">
        <f>K75-L75-M75-N75-O75+R75-Q75</f>
        <v>61468.44</v>
      </c>
      <c r="T75" s="94">
        <v>0</v>
      </c>
      <c r="U75" s="94">
        <f>S75</f>
        <v>61468.44</v>
      </c>
      <c r="V75" s="405">
        <v>0</v>
      </c>
      <c r="W75" s="94">
        <f t="shared" ref="W75:W93" si="28">S75+T75-U75-V75</f>
        <v>0</v>
      </c>
      <c r="X75" s="145"/>
      <c r="Y75" s="145"/>
      <c r="Z75" s="145"/>
    </row>
    <row r="76" s="1" customFormat="1" ht="36" customHeight="1" spans="1:26">
      <c r="A76" s="43">
        <v>35</v>
      </c>
      <c r="B76" s="185" t="s">
        <v>199</v>
      </c>
      <c r="C76" s="186"/>
      <c r="D76" s="187"/>
      <c r="E76" s="399"/>
      <c r="F76" s="192" t="s">
        <v>309</v>
      </c>
      <c r="G76" s="196" t="s">
        <v>248</v>
      </c>
      <c r="H76" s="197" t="s">
        <v>200</v>
      </c>
      <c r="I76" s="188">
        <f>630506.8-220</f>
        <v>630286.8</v>
      </c>
      <c r="J76" s="108"/>
      <c r="K76" s="108">
        <f t="shared" ref="K76:K80" si="29">J76+I76</f>
        <v>630286.8</v>
      </c>
      <c r="L76" s="108"/>
      <c r="M76" s="108"/>
      <c r="N76" s="108"/>
      <c r="O76" s="108"/>
      <c r="P76" s="108"/>
      <c r="Q76" s="108"/>
      <c r="R76" s="108"/>
      <c r="S76" s="94">
        <v>630286.8</v>
      </c>
      <c r="T76" s="94"/>
      <c r="U76" s="211">
        <v>486986.81</v>
      </c>
      <c r="V76" s="211"/>
      <c r="W76" s="101">
        <f>S76+T76-U76-V76+S77-U77</f>
        <v>143299.99</v>
      </c>
      <c r="X76" s="145"/>
      <c r="Y76" s="145"/>
      <c r="Z76" s="174"/>
    </row>
    <row r="77" s="1" customFormat="1" ht="36" customHeight="1" spans="1:26">
      <c r="A77" s="48"/>
      <c r="B77" s="189"/>
      <c r="C77" s="190"/>
      <c r="D77" s="191"/>
      <c r="E77" s="412"/>
      <c r="F77" s="198"/>
      <c r="G77" s="196"/>
      <c r="H77" s="197" t="s">
        <v>201</v>
      </c>
      <c r="I77" s="188">
        <v>-6746.65</v>
      </c>
      <c r="J77" s="108"/>
      <c r="K77" s="108">
        <f t="shared" si="27"/>
        <v>-6746.65</v>
      </c>
      <c r="L77" s="108"/>
      <c r="M77" s="108"/>
      <c r="N77" s="108"/>
      <c r="O77" s="108"/>
      <c r="P77" s="108"/>
      <c r="Q77" s="108"/>
      <c r="R77" s="108"/>
      <c r="S77" s="94">
        <v>-6746.65</v>
      </c>
      <c r="T77" s="94"/>
      <c r="U77" s="211">
        <v>-6746.65</v>
      </c>
      <c r="V77" s="211"/>
      <c r="W77" s="94">
        <f t="shared" si="28"/>
        <v>0</v>
      </c>
      <c r="X77" s="145"/>
      <c r="Y77" s="145"/>
      <c r="Z77" s="145"/>
    </row>
    <row r="78" s="1" customFormat="1" ht="36" customHeight="1" spans="1:26">
      <c r="A78" s="48"/>
      <c r="B78" s="189"/>
      <c r="C78" s="190"/>
      <c r="D78" s="191"/>
      <c r="E78" s="413"/>
      <c r="F78" s="199"/>
      <c r="G78" s="196"/>
      <c r="H78" s="197" t="s">
        <v>202</v>
      </c>
      <c r="I78" s="204">
        <f>1133+220</f>
        <v>1353</v>
      </c>
      <c r="J78" s="108"/>
      <c r="K78" s="108">
        <f t="shared" si="27"/>
        <v>1353</v>
      </c>
      <c r="L78" s="108"/>
      <c r="M78" s="108"/>
      <c r="N78" s="108"/>
      <c r="O78" s="108"/>
      <c r="P78" s="108"/>
      <c r="Q78" s="108"/>
      <c r="R78" s="108"/>
      <c r="S78" s="94">
        <v>1353</v>
      </c>
      <c r="T78" s="94"/>
      <c r="U78" s="211">
        <f t="shared" ref="U78:U90" si="30">S78</f>
        <v>1353</v>
      </c>
      <c r="V78" s="211"/>
      <c r="W78" s="94">
        <f t="shared" si="28"/>
        <v>0</v>
      </c>
      <c r="X78" s="145"/>
      <c r="Y78" s="145"/>
      <c r="Z78" s="145"/>
    </row>
    <row r="79" s="1" customFormat="1" ht="36" customHeight="1" spans="1:26">
      <c r="A79" s="48"/>
      <c r="B79" s="189"/>
      <c r="C79" s="190"/>
      <c r="D79" s="191"/>
      <c r="E79" s="412"/>
      <c r="F79" s="196" t="s">
        <v>310</v>
      </c>
      <c r="G79" s="449" t="s">
        <v>311</v>
      </c>
      <c r="H79" s="450" t="s">
        <v>200</v>
      </c>
      <c r="I79" s="463">
        <v>476200.01</v>
      </c>
      <c r="J79" s="464"/>
      <c r="K79" s="464">
        <f t="shared" si="29"/>
        <v>476200.01</v>
      </c>
      <c r="L79" s="108"/>
      <c r="M79" s="108"/>
      <c r="N79" s="108"/>
      <c r="O79" s="108"/>
      <c r="P79" s="108"/>
      <c r="Q79" s="108"/>
      <c r="R79" s="108"/>
      <c r="S79" s="94">
        <v>476200.01</v>
      </c>
      <c r="T79" s="94"/>
      <c r="U79" s="211"/>
      <c r="V79" s="211"/>
      <c r="W79" s="101">
        <f t="shared" si="28"/>
        <v>476200.01</v>
      </c>
      <c r="X79" s="145"/>
      <c r="Y79" s="145"/>
      <c r="Z79" s="174"/>
    </row>
    <row r="80" s="1" customFormat="1" ht="36" customHeight="1" spans="1:26">
      <c r="A80" s="153"/>
      <c r="B80" s="213"/>
      <c r="C80" s="214"/>
      <c r="D80" s="215"/>
      <c r="E80" s="413"/>
      <c r="F80" s="196"/>
      <c r="G80" s="451"/>
      <c r="H80" s="450" t="s">
        <v>202</v>
      </c>
      <c r="I80" s="463">
        <v>832.96</v>
      </c>
      <c r="J80" s="464"/>
      <c r="K80" s="464">
        <f t="shared" si="29"/>
        <v>832.96</v>
      </c>
      <c r="L80" s="108"/>
      <c r="M80" s="108"/>
      <c r="N80" s="108"/>
      <c r="O80" s="108"/>
      <c r="P80" s="108"/>
      <c r="Q80" s="108"/>
      <c r="R80" s="108"/>
      <c r="S80" s="94">
        <v>832.96</v>
      </c>
      <c r="T80" s="94"/>
      <c r="U80" s="211">
        <v>832.96</v>
      </c>
      <c r="V80" s="211"/>
      <c r="W80" s="94">
        <f t="shared" si="28"/>
        <v>0</v>
      </c>
      <c r="X80" s="145"/>
      <c r="Y80" s="145"/>
      <c r="Z80" s="145"/>
    </row>
    <row r="81" s="1" customFormat="1" ht="36" customHeight="1" spans="1:26">
      <c r="A81" s="156">
        <v>36</v>
      </c>
      <c r="B81" s="216" t="s">
        <v>312</v>
      </c>
      <c r="C81" s="217"/>
      <c r="D81" s="218"/>
      <c r="E81" s="283"/>
      <c r="F81" s="188"/>
      <c r="G81" s="219"/>
      <c r="H81" s="188"/>
      <c r="I81" s="108">
        <f t="shared" ref="I81:K81" si="31">SUM(I82:I93)</f>
        <v>486840.89</v>
      </c>
      <c r="J81" s="108">
        <f t="shared" si="31"/>
        <v>17368.9400000005</v>
      </c>
      <c r="K81" s="108">
        <f t="shared" si="31"/>
        <v>504209.83</v>
      </c>
      <c r="L81" s="108">
        <f t="shared" ref="L81:O81" si="32">L82+L85+L86+L87+L90</f>
        <v>0</v>
      </c>
      <c r="M81" s="108">
        <f t="shared" si="32"/>
        <v>0</v>
      </c>
      <c r="N81" s="108">
        <f t="shared" si="32"/>
        <v>0</v>
      </c>
      <c r="O81" s="108">
        <f t="shared" si="32"/>
        <v>0</v>
      </c>
      <c r="P81" s="108"/>
      <c r="Q81" s="108"/>
      <c r="R81" s="108">
        <f>R82+R85+R86+R87+R90</f>
        <v>0</v>
      </c>
      <c r="S81" s="108">
        <f t="shared" ref="S81:S83" si="33">K81-L81-M81-N81-O81+R81-Q81</f>
        <v>504209.83</v>
      </c>
      <c r="T81" s="108"/>
      <c r="U81" s="108">
        <f t="shared" si="30"/>
        <v>504209.83</v>
      </c>
      <c r="V81" s="108"/>
      <c r="W81" s="94">
        <f t="shared" si="28"/>
        <v>0</v>
      </c>
      <c r="X81" s="145"/>
      <c r="Y81" s="145"/>
      <c r="Z81" s="145"/>
    </row>
    <row r="82" s="19" customFormat="1" ht="36" customHeight="1" spans="1:26">
      <c r="A82" s="175"/>
      <c r="B82" s="220" t="s">
        <v>205</v>
      </c>
      <c r="C82" s="221"/>
      <c r="D82" s="222"/>
      <c r="E82" s="414"/>
      <c r="F82" s="398" t="s">
        <v>309</v>
      </c>
      <c r="G82" s="145" t="s">
        <v>206</v>
      </c>
      <c r="H82" s="94"/>
      <c r="I82" s="94">
        <v>46517</v>
      </c>
      <c r="J82" s="94">
        <v>0</v>
      </c>
      <c r="K82" s="94">
        <f t="shared" ref="K82:K86" si="34">J82+I82</f>
        <v>46517</v>
      </c>
      <c r="L82" s="235"/>
      <c r="M82" s="235"/>
      <c r="N82" s="235"/>
      <c r="O82" s="237"/>
      <c r="P82" s="237"/>
      <c r="Q82" s="237"/>
      <c r="R82" s="94"/>
      <c r="S82" s="94">
        <f t="shared" si="33"/>
        <v>46517</v>
      </c>
      <c r="T82" s="94"/>
      <c r="U82" s="94">
        <f t="shared" si="30"/>
        <v>46517</v>
      </c>
      <c r="V82" s="94"/>
      <c r="W82" s="94">
        <f t="shared" si="28"/>
        <v>0</v>
      </c>
      <c r="X82" s="145"/>
      <c r="Y82" s="145"/>
      <c r="Z82" s="145"/>
    </row>
    <row r="83" s="19" customFormat="1" ht="36" customHeight="1" spans="1:26">
      <c r="A83" s="175"/>
      <c r="B83" s="223"/>
      <c r="C83" s="224"/>
      <c r="D83" s="225"/>
      <c r="E83" s="415"/>
      <c r="F83" s="398"/>
      <c r="G83" s="145" t="s">
        <v>207</v>
      </c>
      <c r="H83" s="94"/>
      <c r="I83" s="94">
        <v>30516</v>
      </c>
      <c r="J83" s="94">
        <v>0</v>
      </c>
      <c r="K83" s="94">
        <f t="shared" si="34"/>
        <v>30516</v>
      </c>
      <c r="L83" s="235"/>
      <c r="M83" s="235"/>
      <c r="N83" s="235"/>
      <c r="O83" s="237"/>
      <c r="P83" s="237"/>
      <c r="Q83" s="237"/>
      <c r="R83" s="94"/>
      <c r="S83" s="94">
        <f t="shared" si="33"/>
        <v>30516</v>
      </c>
      <c r="T83" s="94"/>
      <c r="U83" s="94">
        <f t="shared" si="30"/>
        <v>30516</v>
      </c>
      <c r="V83" s="94"/>
      <c r="W83" s="94">
        <f t="shared" si="28"/>
        <v>0</v>
      </c>
      <c r="X83" s="145"/>
      <c r="Y83" s="145"/>
      <c r="Z83" s="145"/>
    </row>
    <row r="84" s="19" customFormat="1" ht="36" customHeight="1" spans="1:26">
      <c r="A84" s="175"/>
      <c r="B84" s="452"/>
      <c r="C84" s="453"/>
      <c r="D84" s="454"/>
      <c r="E84" s="419"/>
      <c r="F84" s="398" t="s">
        <v>310</v>
      </c>
      <c r="G84" s="455" t="s">
        <v>313</v>
      </c>
      <c r="H84" s="443"/>
      <c r="I84" s="443">
        <v>13017</v>
      </c>
      <c r="J84" s="443"/>
      <c r="K84" s="443">
        <f t="shared" si="34"/>
        <v>13017</v>
      </c>
      <c r="L84" s="235"/>
      <c r="M84" s="235"/>
      <c r="N84" s="235"/>
      <c r="O84" s="237"/>
      <c r="P84" s="237"/>
      <c r="Q84" s="237"/>
      <c r="R84" s="94"/>
      <c r="S84" s="94">
        <f>K84</f>
        <v>13017</v>
      </c>
      <c r="T84" s="94"/>
      <c r="U84" s="94">
        <f t="shared" si="30"/>
        <v>13017</v>
      </c>
      <c r="V84" s="94"/>
      <c r="W84" s="94">
        <f t="shared" si="28"/>
        <v>0</v>
      </c>
      <c r="X84" s="145"/>
      <c r="Y84" s="145"/>
      <c r="Z84" s="145"/>
    </row>
    <row r="85" s="19" customFormat="1" ht="36" customHeight="1" spans="1:26">
      <c r="A85" s="175"/>
      <c r="B85" s="235" t="s">
        <v>208</v>
      </c>
      <c r="C85" s="235"/>
      <c r="D85" s="235"/>
      <c r="E85" s="237"/>
      <c r="F85" s="188" t="s">
        <v>309</v>
      </c>
      <c r="G85" s="145" t="s">
        <v>206</v>
      </c>
      <c r="H85" s="94"/>
      <c r="I85" s="94">
        <f>287.12</f>
        <v>287.12</v>
      </c>
      <c r="J85" s="94">
        <v>2.88</v>
      </c>
      <c r="K85" s="94">
        <f t="shared" si="34"/>
        <v>290</v>
      </c>
      <c r="L85" s="94"/>
      <c r="M85" s="94"/>
      <c r="N85" s="94"/>
      <c r="O85" s="94"/>
      <c r="P85" s="94"/>
      <c r="Q85" s="94"/>
      <c r="R85" s="94"/>
      <c r="S85" s="94">
        <f t="shared" ref="S85:S88" si="35">K85-L85-M85-N85-O85+R85-Q85</f>
        <v>290</v>
      </c>
      <c r="T85" s="94"/>
      <c r="U85" s="94">
        <f t="shared" si="30"/>
        <v>290</v>
      </c>
      <c r="V85" s="94"/>
      <c r="W85" s="94">
        <f t="shared" si="28"/>
        <v>0</v>
      </c>
      <c r="X85" s="188"/>
      <c r="Y85" s="188"/>
      <c r="Z85" s="145"/>
    </row>
    <row r="86" s="19" customFormat="1" ht="36" customHeight="1" spans="1:26">
      <c r="A86" s="175"/>
      <c r="B86" s="220" t="s">
        <v>209</v>
      </c>
      <c r="C86" s="221"/>
      <c r="D86" s="222"/>
      <c r="E86" s="414"/>
      <c r="F86" s="196" t="s">
        <v>309</v>
      </c>
      <c r="G86" s="145" t="s">
        <v>206</v>
      </c>
      <c r="H86" s="94"/>
      <c r="I86" s="94">
        <v>116605.74</v>
      </c>
      <c r="J86" s="94">
        <v>3317.86000000048</v>
      </c>
      <c r="K86" s="94">
        <f t="shared" si="34"/>
        <v>119923.6</v>
      </c>
      <c r="L86" s="94"/>
      <c r="M86" s="94"/>
      <c r="N86" s="94"/>
      <c r="O86" s="94"/>
      <c r="P86" s="94"/>
      <c r="Q86" s="94"/>
      <c r="R86" s="94"/>
      <c r="S86" s="94">
        <f t="shared" si="35"/>
        <v>119923.6</v>
      </c>
      <c r="T86" s="94"/>
      <c r="U86" s="94">
        <f t="shared" si="30"/>
        <v>119923.6</v>
      </c>
      <c r="V86" s="94"/>
      <c r="W86" s="94">
        <f t="shared" si="28"/>
        <v>0</v>
      </c>
      <c r="X86" s="188"/>
      <c r="Y86" s="188"/>
      <c r="Z86" s="145"/>
    </row>
    <row r="87" s="19" customFormat="1" ht="36" customHeight="1" spans="1:26">
      <c r="A87" s="175"/>
      <c r="B87" s="223"/>
      <c r="C87" s="224"/>
      <c r="D87" s="225"/>
      <c r="E87" s="415"/>
      <c r="F87" s="196"/>
      <c r="G87" s="45" t="s">
        <v>207</v>
      </c>
      <c r="H87" s="94"/>
      <c r="I87" s="108">
        <v>89025.62</v>
      </c>
      <c r="J87" s="108">
        <f>2148.43-100.78-401.06</f>
        <v>1646.59</v>
      </c>
      <c r="K87" s="94">
        <f t="shared" ref="K87:K91" si="36">I87+J87</f>
        <v>90672.21</v>
      </c>
      <c r="L87" s="94"/>
      <c r="M87" s="94"/>
      <c r="N87" s="94"/>
      <c r="O87" s="94"/>
      <c r="P87" s="94"/>
      <c r="Q87" s="94"/>
      <c r="R87" s="94"/>
      <c r="S87" s="94">
        <f t="shared" si="35"/>
        <v>90672.21</v>
      </c>
      <c r="T87" s="94"/>
      <c r="U87" s="94">
        <f t="shared" si="30"/>
        <v>90672.21</v>
      </c>
      <c r="V87" s="94"/>
      <c r="W87" s="94">
        <f t="shared" si="28"/>
        <v>0</v>
      </c>
      <c r="X87" s="188"/>
      <c r="Y87" s="188"/>
      <c r="Z87" s="145"/>
    </row>
    <row r="88" s="19" customFormat="1" ht="36" customHeight="1" spans="1:26">
      <c r="A88" s="175"/>
      <c r="B88" s="223"/>
      <c r="C88" s="224"/>
      <c r="D88" s="225"/>
      <c r="E88" s="415"/>
      <c r="F88" s="196"/>
      <c r="G88" s="81"/>
      <c r="H88" s="233" t="s">
        <v>210</v>
      </c>
      <c r="I88" s="108">
        <v>6579.94</v>
      </c>
      <c r="J88" s="108">
        <f>3620-3408.78+3361-3171.16</f>
        <v>401.06</v>
      </c>
      <c r="K88" s="94">
        <f t="shared" ref="K88:K92" si="37">J88+I88</f>
        <v>6981</v>
      </c>
      <c r="L88" s="94"/>
      <c r="M88" s="94"/>
      <c r="N88" s="94"/>
      <c r="O88" s="94"/>
      <c r="P88" s="94"/>
      <c r="Q88" s="94"/>
      <c r="R88" s="94"/>
      <c r="S88" s="94">
        <f t="shared" si="35"/>
        <v>6981</v>
      </c>
      <c r="T88" s="94"/>
      <c r="U88" s="94">
        <f t="shared" si="30"/>
        <v>6981</v>
      </c>
      <c r="V88" s="94"/>
      <c r="W88" s="94">
        <f t="shared" si="28"/>
        <v>0</v>
      </c>
      <c r="X88" s="188"/>
      <c r="Y88" s="188"/>
      <c r="Z88" s="145"/>
    </row>
    <row r="89" s="19" customFormat="1" ht="36" customHeight="1" spans="1:26">
      <c r="A89" s="175"/>
      <c r="B89" s="452"/>
      <c r="C89" s="453"/>
      <c r="D89" s="454"/>
      <c r="E89" s="419"/>
      <c r="F89" s="196" t="s">
        <v>310</v>
      </c>
      <c r="G89" s="455" t="s">
        <v>313</v>
      </c>
      <c r="H89" s="456"/>
      <c r="I89" s="464">
        <v>65309.79</v>
      </c>
      <c r="J89" s="464">
        <v>909.39</v>
      </c>
      <c r="K89" s="443">
        <f t="shared" si="37"/>
        <v>66219.18</v>
      </c>
      <c r="L89" s="94"/>
      <c r="M89" s="94"/>
      <c r="N89" s="94"/>
      <c r="O89" s="94"/>
      <c r="P89" s="94"/>
      <c r="Q89" s="94"/>
      <c r="R89" s="94"/>
      <c r="S89" s="94">
        <f>K89</f>
        <v>66219.18</v>
      </c>
      <c r="T89" s="94"/>
      <c r="U89" s="94">
        <f t="shared" si="30"/>
        <v>66219.18</v>
      </c>
      <c r="V89" s="94"/>
      <c r="W89" s="94">
        <f t="shared" si="28"/>
        <v>0</v>
      </c>
      <c r="X89" s="188"/>
      <c r="Y89" s="188"/>
      <c r="Z89" s="145"/>
    </row>
    <row r="90" s="19" customFormat="1" ht="36" customHeight="1" spans="1:26">
      <c r="A90" s="175"/>
      <c r="B90" s="220" t="s">
        <v>211</v>
      </c>
      <c r="C90" s="221"/>
      <c r="D90" s="222"/>
      <c r="E90" s="414"/>
      <c r="F90" s="188" t="s">
        <v>309</v>
      </c>
      <c r="G90" s="145" t="s">
        <v>207</v>
      </c>
      <c r="H90" s="94"/>
      <c r="I90" s="108">
        <f>22857.94+11.28</f>
        <v>22869.22</v>
      </c>
      <c r="J90" s="108">
        <f>11.28+29.7+24.26*2</f>
        <v>89.5</v>
      </c>
      <c r="K90" s="94">
        <f t="shared" si="36"/>
        <v>22958.72</v>
      </c>
      <c r="L90" s="94"/>
      <c r="M90" s="94"/>
      <c r="N90" s="94"/>
      <c r="O90" s="94"/>
      <c r="P90" s="94"/>
      <c r="Q90" s="94"/>
      <c r="R90" s="94"/>
      <c r="S90" s="94">
        <f>K90-L90-M90-N90-O90+R90-Q90</f>
        <v>22958.72</v>
      </c>
      <c r="T90" s="108"/>
      <c r="U90" s="94">
        <f t="shared" si="30"/>
        <v>22958.72</v>
      </c>
      <c r="V90" s="94"/>
      <c r="W90" s="94">
        <f t="shared" si="28"/>
        <v>0</v>
      </c>
      <c r="X90" s="188"/>
      <c r="Y90" s="188"/>
      <c r="Z90" s="145"/>
    </row>
    <row r="91" s="19" customFormat="1" ht="36" customHeight="1" spans="1:26">
      <c r="A91" s="175"/>
      <c r="B91" s="452"/>
      <c r="C91" s="453"/>
      <c r="D91" s="454"/>
      <c r="E91" s="419"/>
      <c r="F91" s="398" t="s">
        <v>310</v>
      </c>
      <c r="G91" s="455" t="s">
        <v>313</v>
      </c>
      <c r="H91" s="457" t="s">
        <v>314</v>
      </c>
      <c r="I91" s="464">
        <v>11785.05</v>
      </c>
      <c r="J91" s="464">
        <v>38.9500000000007</v>
      </c>
      <c r="K91" s="443">
        <f t="shared" si="36"/>
        <v>11824</v>
      </c>
      <c r="L91" s="94"/>
      <c r="M91" s="94"/>
      <c r="N91" s="94"/>
      <c r="O91" s="94"/>
      <c r="P91" s="94"/>
      <c r="Q91" s="94"/>
      <c r="R91" s="94"/>
      <c r="S91" s="94">
        <v>11824</v>
      </c>
      <c r="T91" s="108"/>
      <c r="U91" s="94">
        <v>11824</v>
      </c>
      <c r="V91" s="94"/>
      <c r="W91" s="94">
        <f t="shared" si="28"/>
        <v>0</v>
      </c>
      <c r="X91" s="188"/>
      <c r="Y91" s="188"/>
      <c r="Z91" s="145"/>
    </row>
    <row r="92" s="19" customFormat="1" ht="36" customHeight="1" spans="1:26">
      <c r="A92" s="175"/>
      <c r="B92" s="216" t="s">
        <v>210</v>
      </c>
      <c r="C92" s="217"/>
      <c r="D92" s="218"/>
      <c r="E92" s="237"/>
      <c r="F92" s="398" t="s">
        <v>310</v>
      </c>
      <c r="G92" s="455" t="s">
        <v>313</v>
      </c>
      <c r="H92" s="457" t="s">
        <v>315</v>
      </c>
      <c r="I92" s="464">
        <v>84328.41</v>
      </c>
      <c r="J92" s="464">
        <v>10962.71</v>
      </c>
      <c r="K92" s="443">
        <f t="shared" si="37"/>
        <v>95291.12</v>
      </c>
      <c r="L92" s="94"/>
      <c r="M92" s="94"/>
      <c r="N92" s="94"/>
      <c r="O92" s="94"/>
      <c r="P92" s="94"/>
      <c r="Q92" s="94"/>
      <c r="R92" s="94"/>
      <c r="S92" s="94">
        <v>95291.12</v>
      </c>
      <c r="T92" s="108"/>
      <c r="U92" s="94"/>
      <c r="V92" s="94"/>
      <c r="W92" s="94">
        <f t="shared" si="28"/>
        <v>95291.12</v>
      </c>
      <c r="X92" s="188"/>
      <c r="Y92" s="188">
        <v>95291.12</v>
      </c>
      <c r="Z92" s="145"/>
    </row>
    <row r="93" s="19" customFormat="1" ht="36" customHeight="1" spans="1:26">
      <c r="A93" s="175"/>
      <c r="B93" s="235"/>
      <c r="C93" s="235"/>
      <c r="D93" s="235"/>
      <c r="E93" s="237"/>
      <c r="F93" s="94"/>
      <c r="G93" s="145"/>
      <c r="H93" s="236"/>
      <c r="I93" s="108"/>
      <c r="J93" s="108"/>
      <c r="K93" s="94"/>
      <c r="L93" s="94"/>
      <c r="M93" s="94"/>
      <c r="N93" s="94"/>
      <c r="O93" s="94"/>
      <c r="P93" s="94"/>
      <c r="Q93" s="94"/>
      <c r="R93" s="94"/>
      <c r="S93" s="94"/>
      <c r="T93" s="108"/>
      <c r="U93" s="94"/>
      <c r="V93" s="94"/>
      <c r="W93" s="94">
        <f t="shared" si="28"/>
        <v>0</v>
      </c>
      <c r="X93" s="188"/>
      <c r="Y93" s="188"/>
      <c r="Z93" s="145"/>
    </row>
    <row r="94" s="20" customFormat="1" ht="36" customHeight="1" spans="1:26">
      <c r="A94" s="240" t="s">
        <v>212</v>
      </c>
      <c r="B94" s="241"/>
      <c r="C94" s="241"/>
      <c r="D94" s="241"/>
      <c r="E94" s="241"/>
      <c r="F94" s="241"/>
      <c r="G94" s="243"/>
      <c r="H94" s="244" t="s">
        <v>316</v>
      </c>
      <c r="I94" s="300">
        <f t="shared" ref="I94:O94" si="38">SUM(I6:I18,I22:I23,I26:I33,I35:I37,I39:I42,I44,I46:I52,I53:I60,I61:I68,I69:I78,I82:I83,I85:I88,I90)</f>
        <v>260599572.29</v>
      </c>
      <c r="J94" s="300">
        <f t="shared" si="38"/>
        <v>25791352.63</v>
      </c>
      <c r="K94" s="300">
        <f t="shared" si="38"/>
        <v>286390924.92</v>
      </c>
      <c r="L94" s="300">
        <f t="shared" si="38"/>
        <v>2208694.43</v>
      </c>
      <c r="M94" s="300">
        <f t="shared" si="38"/>
        <v>0</v>
      </c>
      <c r="N94" s="300">
        <f t="shared" si="38"/>
        <v>0</v>
      </c>
      <c r="O94" s="300">
        <f t="shared" si="38"/>
        <v>613920.32</v>
      </c>
      <c r="P94" s="300"/>
      <c r="Q94" s="300">
        <f t="shared" ref="Q94:W94" si="39">SUM(Q6:Q18,Q22:Q23,Q26:Q33,Q35:Q37,Q39:Q42,Q44,Q46:Q52,Q53:Q60,Q61:Q68,Q69:Q78,Q82:Q83,Q85:Q88,Q90)</f>
        <v>3100</v>
      </c>
      <c r="R94" s="300">
        <f t="shared" si="39"/>
        <v>116593.5</v>
      </c>
      <c r="S94" s="300">
        <f t="shared" si="39"/>
        <v>281826803.67</v>
      </c>
      <c r="T94" s="300">
        <f t="shared" si="39"/>
        <v>1855000</v>
      </c>
      <c r="U94" s="300">
        <f t="shared" si="39"/>
        <v>250120580.13</v>
      </c>
      <c r="V94" s="300">
        <f t="shared" si="39"/>
        <v>1855000</v>
      </c>
      <c r="W94" s="300">
        <f t="shared" si="39"/>
        <v>31706223.54</v>
      </c>
      <c r="X94" s="307">
        <f>SUM(X21,X25,X34,X38,X43,X45,X46:X81)</f>
        <v>11132720.2</v>
      </c>
      <c r="Y94" s="307">
        <f>SUM(Y21,Y25,Y34,Y38,Y43,Y45,Y46:Y81)</f>
        <v>13263174.68</v>
      </c>
      <c r="Z94" s="307"/>
    </row>
    <row r="95" s="21" customFormat="1" ht="36" customHeight="1" spans="1:26">
      <c r="A95" s="245"/>
      <c r="B95" s="246"/>
      <c r="C95" s="246"/>
      <c r="D95" s="246"/>
      <c r="E95" s="246"/>
      <c r="F95" s="246"/>
      <c r="G95" s="212"/>
      <c r="H95" s="205" t="s">
        <v>317</v>
      </c>
      <c r="I95" s="301">
        <f t="shared" ref="I95:O95" si="40">I92+I91+I89+I84+I80+I79+I19</f>
        <v>651473.22</v>
      </c>
      <c r="J95" s="301">
        <f t="shared" si="40"/>
        <v>11911.05</v>
      </c>
      <c r="K95" s="301">
        <f t="shared" si="40"/>
        <v>663384.27</v>
      </c>
      <c r="L95" s="301">
        <f t="shared" si="40"/>
        <v>0</v>
      </c>
      <c r="M95" s="301">
        <f t="shared" si="40"/>
        <v>0</v>
      </c>
      <c r="N95" s="301">
        <f t="shared" si="40"/>
        <v>0</v>
      </c>
      <c r="O95" s="301">
        <f t="shared" si="40"/>
        <v>0</v>
      </c>
      <c r="P95" s="301"/>
      <c r="Q95" s="301">
        <f t="shared" ref="Q95:W95" si="41">Q92+Q91+Q89+Q84+Q80+Q79+Q19</f>
        <v>0</v>
      </c>
      <c r="R95" s="301">
        <f t="shared" si="41"/>
        <v>0</v>
      </c>
      <c r="S95" s="301">
        <f t="shared" si="41"/>
        <v>663384.27</v>
      </c>
      <c r="T95" s="301">
        <f t="shared" si="41"/>
        <v>0</v>
      </c>
      <c r="U95" s="301">
        <f t="shared" si="41"/>
        <v>15585555.7</v>
      </c>
      <c r="V95" s="301">
        <f t="shared" si="41"/>
        <v>0</v>
      </c>
      <c r="W95" s="301">
        <f t="shared" si="41"/>
        <v>-14922171.43</v>
      </c>
      <c r="X95" s="308"/>
      <c r="Y95" s="308"/>
      <c r="Z95" s="308"/>
    </row>
    <row r="96" s="1" customFormat="1" ht="36" customHeight="1" spans="1:26">
      <c r="A96" s="250" t="s">
        <v>213</v>
      </c>
      <c r="B96" s="251" t="s">
        <v>214</v>
      </c>
      <c r="C96" s="252"/>
      <c r="D96" s="252"/>
      <c r="E96" s="217"/>
      <c r="F96" s="217"/>
      <c r="G96" s="217"/>
      <c r="H96" s="218"/>
      <c r="I96" s="94"/>
      <c r="J96" s="94"/>
      <c r="K96" s="94"/>
      <c r="L96" s="94"/>
      <c r="M96" s="94"/>
      <c r="N96" s="94"/>
      <c r="O96" s="94"/>
      <c r="P96" s="94"/>
      <c r="Q96" s="94"/>
      <c r="R96" s="94"/>
      <c r="S96" s="94">
        <f>K96-L96-M96-N96-O96+R96</f>
        <v>0</v>
      </c>
      <c r="T96" s="94"/>
      <c r="U96" s="94"/>
      <c r="V96" s="94"/>
      <c r="W96" s="94"/>
      <c r="X96" s="145"/>
      <c r="Y96" s="145"/>
      <c r="Z96" s="145"/>
    </row>
    <row r="97" s="22" customFormat="1" ht="42" customHeight="1" spans="1:237">
      <c r="A97" s="43">
        <v>22</v>
      </c>
      <c r="B97" s="44" t="s">
        <v>215</v>
      </c>
      <c r="C97" s="43" t="s">
        <v>216</v>
      </c>
      <c r="D97" s="43" t="s">
        <v>217</v>
      </c>
      <c r="E97" s="43">
        <v>9968383.94</v>
      </c>
      <c r="F97" s="192" t="s">
        <v>309</v>
      </c>
      <c r="G97" s="66" t="s">
        <v>218</v>
      </c>
      <c r="H97" s="66" t="s">
        <v>219</v>
      </c>
      <c r="I97" s="94"/>
      <c r="J97" s="94"/>
      <c r="K97" s="94">
        <f>I97+J97</f>
        <v>0</v>
      </c>
      <c r="L97" s="94"/>
      <c r="M97" s="94"/>
      <c r="N97" s="94"/>
      <c r="O97" s="94"/>
      <c r="P97" s="94"/>
      <c r="Q97" s="94"/>
      <c r="R97" s="94">
        <v>2990515.18</v>
      </c>
      <c r="S97" s="94">
        <f>K97-L97-M97-N97-O97+R97</f>
        <v>2990515.18</v>
      </c>
      <c r="T97" s="94"/>
      <c r="U97" s="94">
        <v>2990515.18</v>
      </c>
      <c r="V97" s="94"/>
      <c r="W97" s="94">
        <f t="shared" ref="W97:W107" si="42">S97+T97-U97-V97</f>
        <v>0</v>
      </c>
      <c r="X97" s="426"/>
      <c r="Y97" s="145"/>
      <c r="Z97" s="145"/>
      <c r="AA97" s="311"/>
      <c r="AB97" s="311"/>
      <c r="AC97" s="311"/>
      <c r="AD97" s="311"/>
      <c r="AE97" s="311"/>
      <c r="AF97" s="311"/>
      <c r="AG97" s="311"/>
      <c r="AH97" s="311"/>
      <c r="AI97" s="311"/>
      <c r="AJ97" s="311"/>
      <c r="AK97" s="311"/>
      <c r="AL97" s="311"/>
      <c r="AM97" s="311"/>
      <c r="AN97" s="311"/>
      <c r="AO97" s="311"/>
      <c r="AP97" s="311"/>
      <c r="AQ97" s="311"/>
      <c r="AR97" s="311"/>
      <c r="AS97" s="311"/>
      <c r="AT97" s="311"/>
      <c r="AU97" s="311"/>
      <c r="AV97" s="311"/>
      <c r="AW97" s="311"/>
      <c r="AX97" s="311"/>
      <c r="AY97" s="311"/>
      <c r="AZ97" s="311"/>
      <c r="BA97" s="311"/>
      <c r="BB97" s="311"/>
      <c r="BC97" s="311"/>
      <c r="BD97" s="311"/>
      <c r="BE97" s="311"/>
      <c r="BF97" s="311"/>
      <c r="BG97" s="311"/>
      <c r="BH97" s="311"/>
      <c r="BI97" s="311"/>
      <c r="BJ97" s="311"/>
      <c r="BK97" s="311"/>
      <c r="BL97" s="311"/>
      <c r="BM97" s="311"/>
      <c r="BN97" s="311"/>
      <c r="BO97" s="311"/>
      <c r="BP97" s="311"/>
      <c r="BQ97" s="311"/>
      <c r="BR97" s="311"/>
      <c r="BS97" s="311"/>
      <c r="BT97" s="311"/>
      <c r="BU97" s="311"/>
      <c r="BV97" s="311"/>
      <c r="BW97" s="311"/>
      <c r="BX97" s="311"/>
      <c r="BY97" s="311"/>
      <c r="BZ97" s="311"/>
      <c r="CA97" s="311"/>
      <c r="CB97" s="311"/>
      <c r="CC97" s="311"/>
      <c r="CD97" s="311"/>
      <c r="CE97" s="311"/>
      <c r="CF97" s="311"/>
      <c r="CG97" s="311"/>
      <c r="CH97" s="311"/>
      <c r="CI97" s="311"/>
      <c r="CJ97" s="311"/>
      <c r="CK97" s="311"/>
      <c r="CL97" s="311"/>
      <c r="CM97" s="311"/>
      <c r="CN97" s="311"/>
      <c r="CO97" s="311"/>
      <c r="CP97" s="311"/>
      <c r="CQ97" s="311"/>
      <c r="CR97" s="311"/>
      <c r="CS97" s="311"/>
      <c r="CT97" s="311"/>
      <c r="CU97" s="311"/>
      <c r="CV97" s="311"/>
      <c r="CW97" s="311"/>
      <c r="CX97" s="311"/>
      <c r="CY97" s="311"/>
      <c r="CZ97" s="311"/>
      <c r="DA97" s="311"/>
      <c r="DB97" s="311"/>
      <c r="DC97" s="311"/>
      <c r="DD97" s="311"/>
      <c r="DE97" s="311"/>
      <c r="DF97" s="311"/>
      <c r="DG97" s="311"/>
      <c r="DH97" s="311"/>
      <c r="DI97" s="311"/>
      <c r="DJ97" s="311"/>
      <c r="DK97" s="311"/>
      <c r="DL97" s="311"/>
      <c r="DM97" s="311"/>
      <c r="DN97" s="311"/>
      <c r="DO97" s="311"/>
      <c r="DP97" s="311"/>
      <c r="DQ97" s="311"/>
      <c r="DR97" s="311"/>
      <c r="DS97" s="311"/>
      <c r="DT97" s="311"/>
      <c r="DU97" s="311"/>
      <c r="DV97" s="311"/>
      <c r="DW97" s="311"/>
      <c r="DX97" s="311"/>
      <c r="DY97" s="311"/>
      <c r="DZ97" s="311"/>
      <c r="EA97" s="311"/>
      <c r="EB97" s="311"/>
      <c r="EC97" s="311"/>
      <c r="ED97" s="311"/>
      <c r="EE97" s="311"/>
      <c r="EF97" s="311"/>
      <c r="EG97" s="311"/>
      <c r="EH97" s="311"/>
      <c r="EI97" s="311"/>
      <c r="EJ97" s="311"/>
      <c r="EK97" s="311"/>
      <c r="EL97" s="311"/>
      <c r="EM97" s="311"/>
      <c r="EN97" s="311"/>
      <c r="EO97" s="311"/>
      <c r="EP97" s="311"/>
      <c r="EQ97" s="311"/>
      <c r="ER97" s="311"/>
      <c r="ES97" s="311"/>
      <c r="ET97" s="311"/>
      <c r="EU97" s="311"/>
      <c r="EV97" s="311"/>
      <c r="EW97" s="311"/>
      <c r="EX97" s="311"/>
      <c r="EY97" s="311"/>
      <c r="EZ97" s="311"/>
      <c r="FA97" s="311"/>
      <c r="FB97" s="311"/>
      <c r="FC97" s="311"/>
      <c r="FD97" s="311"/>
      <c r="FE97" s="311"/>
      <c r="FF97" s="311"/>
      <c r="FG97" s="311"/>
      <c r="FH97" s="311"/>
      <c r="FI97" s="311"/>
      <c r="FJ97" s="311"/>
      <c r="FK97" s="311"/>
      <c r="FL97" s="311"/>
      <c r="FM97" s="311"/>
      <c r="FN97" s="311"/>
      <c r="FO97" s="311"/>
      <c r="FP97" s="311"/>
      <c r="FQ97" s="311"/>
      <c r="FR97" s="311"/>
      <c r="FS97" s="311"/>
      <c r="FT97" s="311"/>
      <c r="FU97" s="311"/>
      <c r="FV97" s="311"/>
      <c r="FW97" s="311"/>
      <c r="FX97" s="311"/>
      <c r="FY97" s="311"/>
      <c r="FZ97" s="311"/>
      <c r="GA97" s="311"/>
      <c r="GB97" s="311"/>
      <c r="GC97" s="311"/>
      <c r="GD97" s="311"/>
      <c r="GE97" s="311"/>
      <c r="GF97" s="311"/>
      <c r="GG97" s="311"/>
      <c r="GH97" s="311"/>
      <c r="GI97" s="311"/>
      <c r="GJ97" s="311"/>
      <c r="GK97" s="311"/>
      <c r="GL97" s="311"/>
      <c r="GM97" s="311"/>
      <c r="GN97" s="311"/>
      <c r="GO97" s="311"/>
      <c r="GP97" s="311"/>
      <c r="GQ97" s="311"/>
      <c r="GR97" s="311"/>
      <c r="GS97" s="311"/>
      <c r="GT97" s="311"/>
      <c r="GU97" s="311"/>
      <c r="GV97" s="311"/>
      <c r="GW97" s="311"/>
      <c r="GX97" s="311"/>
      <c r="GY97" s="311"/>
      <c r="GZ97" s="311"/>
      <c r="HA97" s="311"/>
      <c r="HB97" s="311"/>
      <c r="HC97" s="311"/>
      <c r="HD97" s="311"/>
      <c r="HE97" s="311"/>
      <c r="HF97" s="311"/>
      <c r="HG97" s="311"/>
      <c r="HH97" s="311"/>
      <c r="HI97" s="311"/>
      <c r="HJ97" s="311"/>
      <c r="HK97" s="311"/>
      <c r="HL97" s="311"/>
      <c r="HM97" s="311"/>
      <c r="HN97" s="311"/>
      <c r="HO97" s="311"/>
      <c r="HP97" s="311"/>
      <c r="HQ97" s="311"/>
      <c r="HR97" s="311"/>
      <c r="HS97" s="311"/>
      <c r="HT97" s="311"/>
      <c r="HU97" s="311"/>
      <c r="HV97" s="311"/>
      <c r="HW97" s="311"/>
      <c r="HX97" s="311"/>
      <c r="HY97" s="311"/>
      <c r="HZ97" s="311"/>
      <c r="IA97" s="311"/>
      <c r="IB97" s="311"/>
      <c r="IC97" s="311"/>
    </row>
    <row r="98" s="22" customFormat="1" ht="42" customHeight="1" spans="1:237">
      <c r="A98" s="48"/>
      <c r="B98" s="48"/>
      <c r="C98" s="48"/>
      <c r="D98" s="48"/>
      <c r="E98" s="48"/>
      <c r="F98" s="198"/>
      <c r="G98" s="159" t="s">
        <v>220</v>
      </c>
      <c r="H98" s="73" t="s">
        <v>221</v>
      </c>
      <c r="I98" s="99">
        <v>3814289</v>
      </c>
      <c r="J98" s="421">
        <v>495857.57</v>
      </c>
      <c r="K98" s="94">
        <f t="shared" ref="K98:K101" si="43">J98+I98</f>
        <v>4310146.57</v>
      </c>
      <c r="L98" s="112"/>
      <c r="M98" s="112"/>
      <c r="N98" s="112"/>
      <c r="O98" s="112"/>
      <c r="P98" s="45"/>
      <c r="Q98" s="112"/>
      <c r="R98" s="112">
        <v>-2990515.18</v>
      </c>
      <c r="S98" s="112">
        <f>K98-L98-M98-N98-O98+R98+K99+K100+K101</f>
        <v>4984191.97</v>
      </c>
      <c r="T98" s="112">
        <v>0</v>
      </c>
      <c r="U98" s="112">
        <v>4984191.97</v>
      </c>
      <c r="V98" s="401">
        <v>0</v>
      </c>
      <c r="W98" s="401">
        <f t="shared" si="42"/>
        <v>0</v>
      </c>
      <c r="X98" s="314"/>
      <c r="Y98" s="145"/>
      <c r="Z98" s="410"/>
      <c r="AA98" s="311"/>
      <c r="AB98" s="311"/>
      <c r="AC98" s="311"/>
      <c r="AD98" s="311"/>
      <c r="AE98" s="311"/>
      <c r="AF98" s="311"/>
      <c r="AG98" s="311"/>
      <c r="AH98" s="311"/>
      <c r="AI98" s="311"/>
      <c r="AJ98" s="311"/>
      <c r="AK98" s="311"/>
      <c r="AL98" s="311"/>
      <c r="AM98" s="311"/>
      <c r="AN98" s="311"/>
      <c r="AO98" s="311"/>
      <c r="AP98" s="311"/>
      <c r="AQ98" s="311"/>
      <c r="AR98" s="311"/>
      <c r="AS98" s="311"/>
      <c r="AT98" s="311"/>
      <c r="AU98" s="311"/>
      <c r="AV98" s="311"/>
      <c r="AW98" s="311"/>
      <c r="AX98" s="311"/>
      <c r="AY98" s="311"/>
      <c r="AZ98" s="311"/>
      <c r="BA98" s="311"/>
      <c r="BB98" s="311"/>
      <c r="BC98" s="311"/>
      <c r="BD98" s="311"/>
      <c r="BE98" s="311"/>
      <c r="BF98" s="311"/>
      <c r="BG98" s="311"/>
      <c r="BH98" s="311"/>
      <c r="BI98" s="311"/>
      <c r="BJ98" s="311"/>
      <c r="BK98" s="311"/>
      <c r="BL98" s="311"/>
      <c r="BM98" s="311"/>
      <c r="BN98" s="311"/>
      <c r="BO98" s="311"/>
      <c r="BP98" s="311"/>
      <c r="BQ98" s="311"/>
      <c r="BR98" s="311"/>
      <c r="BS98" s="311"/>
      <c r="BT98" s="311"/>
      <c r="BU98" s="311"/>
      <c r="BV98" s="311"/>
      <c r="BW98" s="311"/>
      <c r="BX98" s="311"/>
      <c r="BY98" s="311"/>
      <c r="BZ98" s="311"/>
      <c r="CA98" s="311"/>
      <c r="CB98" s="311"/>
      <c r="CC98" s="311"/>
      <c r="CD98" s="311"/>
      <c r="CE98" s="311"/>
      <c r="CF98" s="311"/>
      <c r="CG98" s="311"/>
      <c r="CH98" s="311"/>
      <c r="CI98" s="311"/>
      <c r="CJ98" s="311"/>
      <c r="CK98" s="311"/>
      <c r="CL98" s="311"/>
      <c r="CM98" s="311"/>
      <c r="CN98" s="311"/>
      <c r="CO98" s="311"/>
      <c r="CP98" s="311"/>
      <c r="CQ98" s="311"/>
      <c r="CR98" s="311"/>
      <c r="CS98" s="311"/>
      <c r="CT98" s="311"/>
      <c r="CU98" s="311"/>
      <c r="CV98" s="311"/>
      <c r="CW98" s="311"/>
      <c r="CX98" s="311"/>
      <c r="CY98" s="311"/>
      <c r="CZ98" s="311"/>
      <c r="DA98" s="311"/>
      <c r="DB98" s="311"/>
      <c r="DC98" s="311"/>
      <c r="DD98" s="311"/>
      <c r="DE98" s="311"/>
      <c r="DF98" s="311"/>
      <c r="DG98" s="311"/>
      <c r="DH98" s="311"/>
      <c r="DI98" s="311"/>
      <c r="DJ98" s="311"/>
      <c r="DK98" s="311"/>
      <c r="DL98" s="311"/>
      <c r="DM98" s="311"/>
      <c r="DN98" s="311"/>
      <c r="DO98" s="311"/>
      <c r="DP98" s="311"/>
      <c r="DQ98" s="311"/>
      <c r="DR98" s="311"/>
      <c r="DS98" s="311"/>
      <c r="DT98" s="311"/>
      <c r="DU98" s="311"/>
      <c r="DV98" s="311"/>
      <c r="DW98" s="311"/>
      <c r="DX98" s="311"/>
      <c r="DY98" s="311"/>
      <c r="DZ98" s="311"/>
      <c r="EA98" s="311"/>
      <c r="EB98" s="311"/>
      <c r="EC98" s="311"/>
      <c r="ED98" s="311"/>
      <c r="EE98" s="311"/>
      <c r="EF98" s="311"/>
      <c r="EG98" s="311"/>
      <c r="EH98" s="311"/>
      <c r="EI98" s="311"/>
      <c r="EJ98" s="311"/>
      <c r="EK98" s="311"/>
      <c r="EL98" s="311"/>
      <c r="EM98" s="311"/>
      <c r="EN98" s="311"/>
      <c r="EO98" s="311"/>
      <c r="EP98" s="311"/>
      <c r="EQ98" s="311"/>
      <c r="ER98" s="311"/>
      <c r="ES98" s="311"/>
      <c r="ET98" s="311"/>
      <c r="EU98" s="311"/>
      <c r="EV98" s="311"/>
      <c r="EW98" s="311"/>
      <c r="EX98" s="311"/>
      <c r="EY98" s="311"/>
      <c r="EZ98" s="311"/>
      <c r="FA98" s="311"/>
      <c r="FB98" s="311"/>
      <c r="FC98" s="311"/>
      <c r="FD98" s="311"/>
      <c r="FE98" s="311"/>
      <c r="FF98" s="311"/>
      <c r="FG98" s="311"/>
      <c r="FH98" s="311"/>
      <c r="FI98" s="311"/>
      <c r="FJ98" s="311"/>
      <c r="FK98" s="311"/>
      <c r="FL98" s="311"/>
      <c r="FM98" s="311"/>
      <c r="FN98" s="311"/>
      <c r="FO98" s="311"/>
      <c r="FP98" s="311"/>
      <c r="FQ98" s="311"/>
      <c r="FR98" s="311"/>
      <c r="FS98" s="311"/>
      <c r="FT98" s="311"/>
      <c r="FU98" s="311"/>
      <c r="FV98" s="311"/>
      <c r="FW98" s="311"/>
      <c r="FX98" s="311"/>
      <c r="FY98" s="311"/>
      <c r="FZ98" s="311"/>
      <c r="GA98" s="311"/>
      <c r="GB98" s="311"/>
      <c r="GC98" s="311"/>
      <c r="GD98" s="311"/>
      <c r="GE98" s="311"/>
      <c r="GF98" s="311"/>
      <c r="GG98" s="311"/>
      <c r="GH98" s="311"/>
      <c r="GI98" s="311"/>
      <c r="GJ98" s="311"/>
      <c r="GK98" s="311"/>
      <c r="GL98" s="311"/>
      <c r="GM98" s="311"/>
      <c r="GN98" s="311"/>
      <c r="GO98" s="311"/>
      <c r="GP98" s="311"/>
      <c r="GQ98" s="311"/>
      <c r="GR98" s="311"/>
      <c r="GS98" s="311"/>
      <c r="GT98" s="311"/>
      <c r="GU98" s="311"/>
      <c r="GV98" s="311"/>
      <c r="GW98" s="311"/>
      <c r="GX98" s="311"/>
      <c r="GY98" s="311"/>
      <c r="GZ98" s="311"/>
      <c r="HA98" s="311"/>
      <c r="HB98" s="311"/>
      <c r="HC98" s="311"/>
      <c r="HD98" s="311"/>
      <c r="HE98" s="311"/>
      <c r="HF98" s="311"/>
      <c r="HG98" s="311"/>
      <c r="HH98" s="311"/>
      <c r="HI98" s="311"/>
      <c r="HJ98" s="311"/>
      <c r="HK98" s="311"/>
      <c r="HL98" s="311"/>
      <c r="HM98" s="311"/>
      <c r="HN98" s="311"/>
      <c r="HO98" s="311"/>
      <c r="HP98" s="311"/>
      <c r="HQ98" s="311"/>
      <c r="HR98" s="311"/>
      <c r="HS98" s="311"/>
      <c r="HT98" s="311"/>
      <c r="HU98" s="311"/>
      <c r="HV98" s="311"/>
      <c r="HW98" s="311"/>
      <c r="HX98" s="311"/>
      <c r="HY98" s="311"/>
      <c r="HZ98" s="311"/>
      <c r="IA98" s="311"/>
      <c r="IB98" s="311"/>
      <c r="IC98" s="311"/>
    </row>
    <row r="99" s="23" customFormat="1" ht="42" customHeight="1" spans="1:237">
      <c r="A99" s="48"/>
      <c r="B99" s="48"/>
      <c r="C99" s="48"/>
      <c r="D99" s="48"/>
      <c r="E99" s="48"/>
      <c r="F99" s="198"/>
      <c r="G99" s="175"/>
      <c r="H99" s="73"/>
      <c r="I99" s="99">
        <v>2581578.51</v>
      </c>
      <c r="J99" s="422">
        <v>269332.9</v>
      </c>
      <c r="K99" s="94">
        <f t="shared" si="43"/>
        <v>2850911.41</v>
      </c>
      <c r="L99" s="113"/>
      <c r="M99" s="113"/>
      <c r="N99" s="113"/>
      <c r="O99" s="113"/>
      <c r="P99" s="49"/>
      <c r="Q99" s="113"/>
      <c r="R99" s="113"/>
      <c r="S99" s="113"/>
      <c r="T99" s="113"/>
      <c r="U99" s="113"/>
      <c r="V99" s="402"/>
      <c r="W99" s="402"/>
      <c r="X99" s="314"/>
      <c r="Y99" s="145"/>
      <c r="Z99" s="411"/>
      <c r="AA99" s="312"/>
      <c r="AB99" s="312"/>
      <c r="AC99" s="312"/>
      <c r="AD99" s="312"/>
      <c r="AE99" s="312"/>
      <c r="AF99" s="312"/>
      <c r="AG99" s="312"/>
      <c r="AH99" s="312"/>
      <c r="AI99" s="312"/>
      <c r="AJ99" s="312"/>
      <c r="AK99" s="312"/>
      <c r="AL99" s="312"/>
      <c r="AM99" s="312"/>
      <c r="AN99" s="312"/>
      <c r="AO99" s="312"/>
      <c r="AP99" s="312"/>
      <c r="AQ99" s="312"/>
      <c r="AR99" s="312"/>
      <c r="AS99" s="312"/>
      <c r="AT99" s="312"/>
      <c r="AU99" s="312"/>
      <c r="AV99" s="312"/>
      <c r="AW99" s="312"/>
      <c r="AX99" s="312"/>
      <c r="AY99" s="312"/>
      <c r="AZ99" s="312"/>
      <c r="BA99" s="312"/>
      <c r="BB99" s="312"/>
      <c r="BC99" s="312"/>
      <c r="BD99" s="312"/>
      <c r="BE99" s="312"/>
      <c r="BF99" s="312"/>
      <c r="BG99" s="312"/>
      <c r="BH99" s="312"/>
      <c r="BI99" s="312"/>
      <c r="BJ99" s="312"/>
      <c r="BK99" s="312"/>
      <c r="BL99" s="312"/>
      <c r="BM99" s="312"/>
      <c r="BN99" s="312"/>
      <c r="BO99" s="312"/>
      <c r="BP99" s="312"/>
      <c r="BQ99" s="312"/>
      <c r="BR99" s="312"/>
      <c r="BS99" s="312"/>
      <c r="BT99" s="312"/>
      <c r="BU99" s="312"/>
      <c r="BV99" s="312"/>
      <c r="BW99" s="312"/>
      <c r="BX99" s="312"/>
      <c r="BY99" s="312"/>
      <c r="BZ99" s="312"/>
      <c r="CA99" s="312"/>
      <c r="CB99" s="312"/>
      <c r="CC99" s="312"/>
      <c r="CD99" s="312"/>
      <c r="CE99" s="312"/>
      <c r="CF99" s="312"/>
      <c r="CG99" s="312"/>
      <c r="CH99" s="312"/>
      <c r="CI99" s="312"/>
      <c r="CJ99" s="312"/>
      <c r="CK99" s="312"/>
      <c r="CL99" s="312"/>
      <c r="CM99" s="312"/>
      <c r="CN99" s="312"/>
      <c r="CO99" s="312"/>
      <c r="CP99" s="312"/>
      <c r="CQ99" s="312"/>
      <c r="CR99" s="312"/>
      <c r="CS99" s="312"/>
      <c r="CT99" s="312"/>
      <c r="CU99" s="312"/>
      <c r="CV99" s="312"/>
      <c r="CW99" s="312"/>
      <c r="CX99" s="312"/>
      <c r="CY99" s="312"/>
      <c r="CZ99" s="312"/>
      <c r="DA99" s="312"/>
      <c r="DB99" s="312"/>
      <c r="DC99" s="312"/>
      <c r="DD99" s="312"/>
      <c r="DE99" s="312"/>
      <c r="DF99" s="312"/>
      <c r="DG99" s="312"/>
      <c r="DH99" s="312"/>
      <c r="DI99" s="312"/>
      <c r="DJ99" s="312"/>
      <c r="DK99" s="312"/>
      <c r="DL99" s="312"/>
      <c r="DM99" s="312"/>
      <c r="DN99" s="312"/>
      <c r="DO99" s="312"/>
      <c r="DP99" s="312"/>
      <c r="DQ99" s="312"/>
      <c r="DR99" s="312"/>
      <c r="DS99" s="312"/>
      <c r="DT99" s="312"/>
      <c r="DU99" s="312"/>
      <c r="DV99" s="312"/>
      <c r="DW99" s="312"/>
      <c r="DX99" s="312"/>
      <c r="DY99" s="312"/>
      <c r="DZ99" s="312"/>
      <c r="EA99" s="312"/>
      <c r="EB99" s="312"/>
      <c r="EC99" s="312"/>
      <c r="ED99" s="312"/>
      <c r="EE99" s="312"/>
      <c r="EF99" s="312"/>
      <c r="EG99" s="312"/>
      <c r="EH99" s="312"/>
      <c r="EI99" s="312"/>
      <c r="EJ99" s="312"/>
      <c r="EK99" s="312"/>
      <c r="EL99" s="312"/>
      <c r="EM99" s="312"/>
      <c r="EN99" s="312"/>
      <c r="EO99" s="312"/>
      <c r="EP99" s="312"/>
      <c r="EQ99" s="312"/>
      <c r="ER99" s="312"/>
      <c r="ES99" s="312"/>
      <c r="ET99" s="312"/>
      <c r="EU99" s="312"/>
      <c r="EV99" s="312"/>
      <c r="EW99" s="312"/>
      <c r="EX99" s="312"/>
      <c r="EY99" s="312"/>
      <c r="EZ99" s="312"/>
      <c r="FA99" s="312"/>
      <c r="FB99" s="312"/>
      <c r="FC99" s="312"/>
      <c r="FD99" s="312"/>
      <c r="FE99" s="312"/>
      <c r="FF99" s="312"/>
      <c r="FG99" s="312"/>
      <c r="FH99" s="312"/>
      <c r="FI99" s="312"/>
      <c r="FJ99" s="312"/>
      <c r="FK99" s="312"/>
      <c r="FL99" s="312"/>
      <c r="FM99" s="312"/>
      <c r="FN99" s="312"/>
      <c r="FO99" s="312"/>
      <c r="FP99" s="312"/>
      <c r="FQ99" s="312"/>
      <c r="FR99" s="312"/>
      <c r="FS99" s="312"/>
      <c r="FT99" s="312"/>
      <c r="FU99" s="312"/>
      <c r="FV99" s="312"/>
      <c r="FW99" s="312"/>
      <c r="FX99" s="312"/>
      <c r="FY99" s="312"/>
      <c r="FZ99" s="312"/>
      <c r="GA99" s="312"/>
      <c r="GB99" s="312"/>
      <c r="GC99" s="312"/>
      <c r="GD99" s="312"/>
      <c r="GE99" s="312"/>
      <c r="GF99" s="312"/>
      <c r="GG99" s="312"/>
      <c r="GH99" s="312"/>
      <c r="GI99" s="312"/>
      <c r="GJ99" s="312"/>
      <c r="GK99" s="312"/>
      <c r="GL99" s="312"/>
      <c r="GM99" s="312"/>
      <c r="GN99" s="312"/>
      <c r="GO99" s="312"/>
      <c r="GP99" s="312"/>
      <c r="GQ99" s="312"/>
      <c r="GR99" s="312"/>
      <c r="GS99" s="312"/>
      <c r="GT99" s="312"/>
      <c r="GU99" s="312"/>
      <c r="GV99" s="312"/>
      <c r="GW99" s="312"/>
      <c r="GX99" s="312"/>
      <c r="GY99" s="312"/>
      <c r="GZ99" s="312"/>
      <c r="HA99" s="312"/>
      <c r="HB99" s="312"/>
      <c r="HC99" s="312"/>
      <c r="HD99" s="312"/>
      <c r="HE99" s="312"/>
      <c r="HF99" s="312"/>
      <c r="HG99" s="312"/>
      <c r="HH99" s="312"/>
      <c r="HI99" s="312"/>
      <c r="HJ99" s="312"/>
      <c r="HK99" s="312"/>
      <c r="HL99" s="312"/>
      <c r="HM99" s="312"/>
      <c r="HN99" s="312"/>
      <c r="HO99" s="312"/>
      <c r="HP99" s="312"/>
      <c r="HQ99" s="312"/>
      <c r="HR99" s="312"/>
      <c r="HS99" s="312"/>
      <c r="HT99" s="312"/>
      <c r="HU99" s="312"/>
      <c r="HV99" s="312"/>
      <c r="HW99" s="312"/>
      <c r="HX99" s="312"/>
      <c r="HY99" s="312"/>
      <c r="HZ99" s="312"/>
      <c r="IA99" s="312"/>
      <c r="IB99" s="312"/>
      <c r="IC99" s="312"/>
    </row>
    <row r="100" s="23" customFormat="1" ht="42" customHeight="1" spans="1:237">
      <c r="A100" s="48"/>
      <c r="B100" s="48"/>
      <c r="C100" s="48"/>
      <c r="D100" s="48"/>
      <c r="E100" s="48"/>
      <c r="F100" s="198"/>
      <c r="G100" s="175"/>
      <c r="H100" s="73"/>
      <c r="I100" s="99">
        <v>411009.17</v>
      </c>
      <c r="J100" s="423"/>
      <c r="K100" s="94">
        <f t="shared" si="43"/>
        <v>411009.17</v>
      </c>
      <c r="L100" s="113"/>
      <c r="M100" s="113"/>
      <c r="N100" s="113"/>
      <c r="O100" s="113"/>
      <c r="P100" s="49"/>
      <c r="Q100" s="113"/>
      <c r="R100" s="113"/>
      <c r="S100" s="113"/>
      <c r="T100" s="113"/>
      <c r="U100" s="113"/>
      <c r="V100" s="402"/>
      <c r="W100" s="402"/>
      <c r="X100" s="314"/>
      <c r="Y100" s="145"/>
      <c r="Z100" s="411"/>
      <c r="AA100" s="312"/>
      <c r="AB100" s="312"/>
      <c r="AC100" s="312"/>
      <c r="AD100" s="312"/>
      <c r="AE100" s="312"/>
      <c r="AF100" s="312"/>
      <c r="AG100" s="312"/>
      <c r="AH100" s="312"/>
      <c r="AI100" s="312"/>
      <c r="AJ100" s="312"/>
      <c r="AK100" s="312"/>
      <c r="AL100" s="312"/>
      <c r="AM100" s="312"/>
      <c r="AN100" s="312"/>
      <c r="AO100" s="312"/>
      <c r="AP100" s="312"/>
      <c r="AQ100" s="312"/>
      <c r="AR100" s="312"/>
      <c r="AS100" s="312"/>
      <c r="AT100" s="312"/>
      <c r="AU100" s="312"/>
      <c r="AV100" s="312"/>
      <c r="AW100" s="312"/>
      <c r="AX100" s="312"/>
      <c r="AY100" s="312"/>
      <c r="AZ100" s="312"/>
      <c r="BA100" s="312"/>
      <c r="BB100" s="312"/>
      <c r="BC100" s="312"/>
      <c r="BD100" s="312"/>
      <c r="BE100" s="312"/>
      <c r="BF100" s="312"/>
      <c r="BG100" s="312"/>
      <c r="BH100" s="312"/>
      <c r="BI100" s="312"/>
      <c r="BJ100" s="312"/>
      <c r="BK100" s="312"/>
      <c r="BL100" s="312"/>
      <c r="BM100" s="312"/>
      <c r="BN100" s="312"/>
      <c r="BO100" s="312"/>
      <c r="BP100" s="312"/>
      <c r="BQ100" s="312"/>
      <c r="BR100" s="312"/>
      <c r="BS100" s="312"/>
      <c r="BT100" s="312"/>
      <c r="BU100" s="312"/>
      <c r="BV100" s="312"/>
      <c r="BW100" s="312"/>
      <c r="BX100" s="312"/>
      <c r="BY100" s="312"/>
      <c r="BZ100" s="312"/>
      <c r="CA100" s="312"/>
      <c r="CB100" s="312"/>
      <c r="CC100" s="312"/>
      <c r="CD100" s="312"/>
      <c r="CE100" s="312"/>
      <c r="CF100" s="312"/>
      <c r="CG100" s="312"/>
      <c r="CH100" s="312"/>
      <c r="CI100" s="312"/>
      <c r="CJ100" s="312"/>
      <c r="CK100" s="312"/>
      <c r="CL100" s="312"/>
      <c r="CM100" s="312"/>
      <c r="CN100" s="312"/>
      <c r="CO100" s="312"/>
      <c r="CP100" s="312"/>
      <c r="CQ100" s="312"/>
      <c r="CR100" s="312"/>
      <c r="CS100" s="312"/>
      <c r="CT100" s="312"/>
      <c r="CU100" s="312"/>
      <c r="CV100" s="312"/>
      <c r="CW100" s="312"/>
      <c r="CX100" s="312"/>
      <c r="CY100" s="312"/>
      <c r="CZ100" s="312"/>
      <c r="DA100" s="312"/>
      <c r="DB100" s="312"/>
      <c r="DC100" s="312"/>
      <c r="DD100" s="312"/>
      <c r="DE100" s="312"/>
      <c r="DF100" s="312"/>
      <c r="DG100" s="312"/>
      <c r="DH100" s="312"/>
      <c r="DI100" s="312"/>
      <c r="DJ100" s="312"/>
      <c r="DK100" s="312"/>
      <c r="DL100" s="312"/>
      <c r="DM100" s="312"/>
      <c r="DN100" s="312"/>
      <c r="DO100" s="312"/>
      <c r="DP100" s="312"/>
      <c r="DQ100" s="312"/>
      <c r="DR100" s="312"/>
      <c r="DS100" s="312"/>
      <c r="DT100" s="312"/>
      <c r="DU100" s="312"/>
      <c r="DV100" s="312"/>
      <c r="DW100" s="312"/>
      <c r="DX100" s="312"/>
      <c r="DY100" s="312"/>
      <c r="DZ100" s="312"/>
      <c r="EA100" s="312"/>
      <c r="EB100" s="312"/>
      <c r="EC100" s="312"/>
      <c r="ED100" s="312"/>
      <c r="EE100" s="312"/>
      <c r="EF100" s="312"/>
      <c r="EG100" s="312"/>
      <c r="EH100" s="312"/>
      <c r="EI100" s="312"/>
      <c r="EJ100" s="312"/>
      <c r="EK100" s="312"/>
      <c r="EL100" s="312"/>
      <c r="EM100" s="312"/>
      <c r="EN100" s="312"/>
      <c r="EO100" s="312"/>
      <c r="EP100" s="312"/>
      <c r="EQ100" s="312"/>
      <c r="ER100" s="312"/>
      <c r="ES100" s="312"/>
      <c r="ET100" s="312"/>
      <c r="EU100" s="312"/>
      <c r="EV100" s="312"/>
      <c r="EW100" s="312"/>
      <c r="EX100" s="312"/>
      <c r="EY100" s="312"/>
      <c r="EZ100" s="312"/>
      <c r="FA100" s="312"/>
      <c r="FB100" s="312"/>
      <c r="FC100" s="312"/>
      <c r="FD100" s="312"/>
      <c r="FE100" s="312"/>
      <c r="FF100" s="312"/>
      <c r="FG100" s="312"/>
      <c r="FH100" s="312"/>
      <c r="FI100" s="312"/>
      <c r="FJ100" s="312"/>
      <c r="FK100" s="312"/>
      <c r="FL100" s="312"/>
      <c r="FM100" s="312"/>
      <c r="FN100" s="312"/>
      <c r="FO100" s="312"/>
      <c r="FP100" s="312"/>
      <c r="FQ100" s="312"/>
      <c r="FR100" s="312"/>
      <c r="FS100" s="312"/>
      <c r="FT100" s="312"/>
      <c r="FU100" s="312"/>
      <c r="FV100" s="312"/>
      <c r="FW100" s="312"/>
      <c r="FX100" s="312"/>
      <c r="FY100" s="312"/>
      <c r="FZ100" s="312"/>
      <c r="GA100" s="312"/>
      <c r="GB100" s="312"/>
      <c r="GC100" s="312"/>
      <c r="GD100" s="312"/>
      <c r="GE100" s="312"/>
      <c r="GF100" s="312"/>
      <c r="GG100" s="312"/>
      <c r="GH100" s="312"/>
      <c r="GI100" s="312"/>
      <c r="GJ100" s="312"/>
      <c r="GK100" s="312"/>
      <c r="GL100" s="312"/>
      <c r="GM100" s="312"/>
      <c r="GN100" s="312"/>
      <c r="GO100" s="312"/>
      <c r="GP100" s="312"/>
      <c r="GQ100" s="312"/>
      <c r="GR100" s="312"/>
      <c r="GS100" s="312"/>
      <c r="GT100" s="312"/>
      <c r="GU100" s="312"/>
      <c r="GV100" s="312"/>
      <c r="GW100" s="312"/>
      <c r="GX100" s="312"/>
      <c r="GY100" s="312"/>
      <c r="GZ100" s="312"/>
      <c r="HA100" s="312"/>
      <c r="HB100" s="312"/>
      <c r="HC100" s="312"/>
      <c r="HD100" s="312"/>
      <c r="HE100" s="312"/>
      <c r="HF100" s="312"/>
      <c r="HG100" s="312"/>
      <c r="HH100" s="312"/>
      <c r="HI100" s="312"/>
      <c r="HJ100" s="312"/>
      <c r="HK100" s="312"/>
      <c r="HL100" s="312"/>
      <c r="HM100" s="312"/>
      <c r="HN100" s="312"/>
      <c r="HO100" s="312"/>
      <c r="HP100" s="312"/>
      <c r="HQ100" s="312"/>
      <c r="HR100" s="312"/>
      <c r="HS100" s="312"/>
      <c r="HT100" s="312"/>
      <c r="HU100" s="312"/>
      <c r="HV100" s="312"/>
      <c r="HW100" s="312"/>
      <c r="HX100" s="312"/>
      <c r="HY100" s="312"/>
      <c r="HZ100" s="312"/>
      <c r="IA100" s="312"/>
      <c r="IB100" s="312"/>
      <c r="IC100" s="312"/>
    </row>
    <row r="101" s="23" customFormat="1" ht="42" customHeight="1" spans="1:237">
      <c r="A101" s="153"/>
      <c r="B101" s="153"/>
      <c r="C101" s="153"/>
      <c r="D101" s="153"/>
      <c r="E101" s="153"/>
      <c r="F101" s="199"/>
      <c r="G101" s="175"/>
      <c r="H101" s="73"/>
      <c r="I101" s="99">
        <v>379849.06</v>
      </c>
      <c r="J101" s="421">
        <v>22790.94</v>
      </c>
      <c r="K101" s="94">
        <f t="shared" si="43"/>
        <v>402640</v>
      </c>
      <c r="L101" s="114"/>
      <c r="M101" s="114"/>
      <c r="N101" s="114"/>
      <c r="O101" s="114"/>
      <c r="P101" s="81"/>
      <c r="Q101" s="114"/>
      <c r="R101" s="114"/>
      <c r="S101" s="114"/>
      <c r="T101" s="114"/>
      <c r="U101" s="114"/>
      <c r="V101" s="416"/>
      <c r="W101" s="416"/>
      <c r="X101" s="314"/>
      <c r="Y101" s="145"/>
      <c r="Z101" s="427"/>
      <c r="AA101" s="312"/>
      <c r="AB101" s="312"/>
      <c r="AC101" s="312"/>
      <c r="AD101" s="312"/>
      <c r="AE101" s="312"/>
      <c r="AF101" s="312"/>
      <c r="AG101" s="312"/>
      <c r="AH101" s="312"/>
      <c r="AI101" s="312"/>
      <c r="AJ101" s="312"/>
      <c r="AK101" s="312"/>
      <c r="AL101" s="312"/>
      <c r="AM101" s="312"/>
      <c r="AN101" s="312"/>
      <c r="AO101" s="312"/>
      <c r="AP101" s="312"/>
      <c r="AQ101" s="312"/>
      <c r="AR101" s="312"/>
      <c r="AS101" s="312"/>
      <c r="AT101" s="312"/>
      <c r="AU101" s="312"/>
      <c r="AV101" s="312"/>
      <c r="AW101" s="312"/>
      <c r="AX101" s="312"/>
      <c r="AY101" s="312"/>
      <c r="AZ101" s="312"/>
      <c r="BA101" s="312"/>
      <c r="BB101" s="312"/>
      <c r="BC101" s="312"/>
      <c r="BD101" s="312"/>
      <c r="BE101" s="312"/>
      <c r="BF101" s="312"/>
      <c r="BG101" s="312"/>
      <c r="BH101" s="312"/>
      <c r="BI101" s="312"/>
      <c r="BJ101" s="312"/>
      <c r="BK101" s="312"/>
      <c r="BL101" s="312"/>
      <c r="BM101" s="312"/>
      <c r="BN101" s="312"/>
      <c r="BO101" s="312"/>
      <c r="BP101" s="312"/>
      <c r="BQ101" s="312"/>
      <c r="BR101" s="312"/>
      <c r="BS101" s="312"/>
      <c r="BT101" s="312"/>
      <c r="BU101" s="312"/>
      <c r="BV101" s="312"/>
      <c r="BW101" s="312"/>
      <c r="BX101" s="312"/>
      <c r="BY101" s="312"/>
      <c r="BZ101" s="312"/>
      <c r="CA101" s="312"/>
      <c r="CB101" s="312"/>
      <c r="CC101" s="312"/>
      <c r="CD101" s="312"/>
      <c r="CE101" s="312"/>
      <c r="CF101" s="312"/>
      <c r="CG101" s="312"/>
      <c r="CH101" s="312"/>
      <c r="CI101" s="312"/>
      <c r="CJ101" s="312"/>
      <c r="CK101" s="312"/>
      <c r="CL101" s="312"/>
      <c r="CM101" s="312"/>
      <c r="CN101" s="312"/>
      <c r="CO101" s="312"/>
      <c r="CP101" s="312"/>
      <c r="CQ101" s="312"/>
      <c r="CR101" s="312"/>
      <c r="CS101" s="312"/>
      <c r="CT101" s="312"/>
      <c r="CU101" s="312"/>
      <c r="CV101" s="312"/>
      <c r="CW101" s="312"/>
      <c r="CX101" s="312"/>
      <c r="CY101" s="312"/>
      <c r="CZ101" s="312"/>
      <c r="DA101" s="312"/>
      <c r="DB101" s="312"/>
      <c r="DC101" s="312"/>
      <c r="DD101" s="312"/>
      <c r="DE101" s="312"/>
      <c r="DF101" s="312"/>
      <c r="DG101" s="312"/>
      <c r="DH101" s="312"/>
      <c r="DI101" s="312"/>
      <c r="DJ101" s="312"/>
      <c r="DK101" s="312"/>
      <c r="DL101" s="312"/>
      <c r="DM101" s="312"/>
      <c r="DN101" s="312"/>
      <c r="DO101" s="312"/>
      <c r="DP101" s="312"/>
      <c r="DQ101" s="312"/>
      <c r="DR101" s="312"/>
      <c r="DS101" s="312"/>
      <c r="DT101" s="312"/>
      <c r="DU101" s="312"/>
      <c r="DV101" s="312"/>
      <c r="DW101" s="312"/>
      <c r="DX101" s="312"/>
      <c r="DY101" s="312"/>
      <c r="DZ101" s="312"/>
      <c r="EA101" s="312"/>
      <c r="EB101" s="312"/>
      <c r="EC101" s="312"/>
      <c r="ED101" s="312"/>
      <c r="EE101" s="312"/>
      <c r="EF101" s="312"/>
      <c r="EG101" s="312"/>
      <c r="EH101" s="312"/>
      <c r="EI101" s="312"/>
      <c r="EJ101" s="312"/>
      <c r="EK101" s="312"/>
      <c r="EL101" s="312"/>
      <c r="EM101" s="312"/>
      <c r="EN101" s="312"/>
      <c r="EO101" s="312"/>
      <c r="EP101" s="312"/>
      <c r="EQ101" s="312"/>
      <c r="ER101" s="312"/>
      <c r="ES101" s="312"/>
      <c r="ET101" s="312"/>
      <c r="EU101" s="312"/>
      <c r="EV101" s="312"/>
      <c r="EW101" s="312"/>
      <c r="EX101" s="312"/>
      <c r="EY101" s="312"/>
      <c r="EZ101" s="312"/>
      <c r="FA101" s="312"/>
      <c r="FB101" s="312"/>
      <c r="FC101" s="312"/>
      <c r="FD101" s="312"/>
      <c r="FE101" s="312"/>
      <c r="FF101" s="312"/>
      <c r="FG101" s="312"/>
      <c r="FH101" s="312"/>
      <c r="FI101" s="312"/>
      <c r="FJ101" s="312"/>
      <c r="FK101" s="312"/>
      <c r="FL101" s="312"/>
      <c r="FM101" s="312"/>
      <c r="FN101" s="312"/>
      <c r="FO101" s="312"/>
      <c r="FP101" s="312"/>
      <c r="FQ101" s="312"/>
      <c r="FR101" s="312"/>
      <c r="FS101" s="312"/>
      <c r="FT101" s="312"/>
      <c r="FU101" s="312"/>
      <c r="FV101" s="312"/>
      <c r="FW101" s="312"/>
      <c r="FX101" s="312"/>
      <c r="FY101" s="312"/>
      <c r="FZ101" s="312"/>
      <c r="GA101" s="312"/>
      <c r="GB101" s="312"/>
      <c r="GC101" s="312"/>
      <c r="GD101" s="312"/>
      <c r="GE101" s="312"/>
      <c r="GF101" s="312"/>
      <c r="GG101" s="312"/>
      <c r="GH101" s="312"/>
      <c r="GI101" s="312"/>
      <c r="GJ101" s="312"/>
      <c r="GK101" s="312"/>
      <c r="GL101" s="312"/>
      <c r="GM101" s="312"/>
      <c r="GN101" s="312"/>
      <c r="GO101" s="312"/>
      <c r="GP101" s="312"/>
      <c r="GQ101" s="312"/>
      <c r="GR101" s="312"/>
      <c r="GS101" s="312"/>
      <c r="GT101" s="312"/>
      <c r="GU101" s="312"/>
      <c r="GV101" s="312"/>
      <c r="GW101" s="312"/>
      <c r="GX101" s="312"/>
      <c r="GY101" s="312"/>
      <c r="GZ101" s="312"/>
      <c r="HA101" s="312"/>
      <c r="HB101" s="312"/>
      <c r="HC101" s="312"/>
      <c r="HD101" s="312"/>
      <c r="HE101" s="312"/>
      <c r="HF101" s="312"/>
      <c r="HG101" s="312"/>
      <c r="HH101" s="312"/>
      <c r="HI101" s="312"/>
      <c r="HJ101" s="312"/>
      <c r="HK101" s="312"/>
      <c r="HL101" s="312"/>
      <c r="HM101" s="312"/>
      <c r="HN101" s="312"/>
      <c r="HO101" s="312"/>
      <c r="HP101" s="312"/>
      <c r="HQ101" s="312"/>
      <c r="HR101" s="312"/>
      <c r="HS101" s="312"/>
      <c r="HT101" s="312"/>
      <c r="HU101" s="312"/>
      <c r="HV101" s="312"/>
      <c r="HW101" s="312"/>
      <c r="HX101" s="312"/>
      <c r="HY101" s="312"/>
      <c r="HZ101" s="312"/>
      <c r="IA101" s="312"/>
      <c r="IB101" s="312"/>
      <c r="IC101" s="312"/>
    </row>
    <row r="102" s="23" customFormat="1" ht="45" customHeight="1" spans="1:26">
      <c r="A102" s="156">
        <v>26</v>
      </c>
      <c r="B102" s="157" t="s">
        <v>222</v>
      </c>
      <c r="C102" s="158"/>
      <c r="D102" s="157" t="s">
        <v>223</v>
      </c>
      <c r="E102" s="158">
        <v>104523.9</v>
      </c>
      <c r="F102" s="398" t="s">
        <v>310</v>
      </c>
      <c r="G102" s="66" t="s">
        <v>224</v>
      </c>
      <c r="H102" s="66" t="s">
        <v>225</v>
      </c>
      <c r="I102" s="94">
        <v>104523.9</v>
      </c>
      <c r="J102" s="94">
        <v>0</v>
      </c>
      <c r="K102" s="94">
        <f t="shared" ref="K102:K106" si="44">I102+J102</f>
        <v>104523.9</v>
      </c>
      <c r="L102" s="94"/>
      <c r="M102" s="94"/>
      <c r="N102" s="94"/>
      <c r="O102" s="94"/>
      <c r="P102" s="94"/>
      <c r="Q102" s="94"/>
      <c r="R102" s="94"/>
      <c r="S102" s="94">
        <f t="shared" ref="S102:S107" si="45">K102-L102-M102-N102-O102+R102</f>
        <v>104523.9</v>
      </c>
      <c r="T102" s="108">
        <v>0</v>
      </c>
      <c r="U102" s="94">
        <f>K102</f>
        <v>104523.9</v>
      </c>
      <c r="V102" s="94"/>
      <c r="W102" s="94">
        <f t="shared" si="42"/>
        <v>0</v>
      </c>
      <c r="X102" s="145"/>
      <c r="Y102" s="145"/>
      <c r="Z102" s="145"/>
    </row>
    <row r="103" s="22" customFormat="1" ht="41.65" spans="1:237">
      <c r="A103" s="156">
        <v>23</v>
      </c>
      <c r="B103" s="157" t="s">
        <v>226</v>
      </c>
      <c r="C103" s="158" t="s">
        <v>227</v>
      </c>
      <c r="D103" s="157" t="s">
        <v>228</v>
      </c>
      <c r="E103" s="420">
        <v>7588343.88</v>
      </c>
      <c r="F103" s="398" t="s">
        <v>310</v>
      </c>
      <c r="G103" s="74" t="s">
        <v>229</v>
      </c>
      <c r="H103" s="74" t="s">
        <v>230</v>
      </c>
      <c r="I103" s="99">
        <v>6715348.57</v>
      </c>
      <c r="J103" s="99">
        <v>872995.31</v>
      </c>
      <c r="K103" s="94">
        <f>J103+I103</f>
        <v>7588343.88</v>
      </c>
      <c r="L103" s="94"/>
      <c r="M103" s="94">
        <v>379417.19</v>
      </c>
      <c r="N103" s="94"/>
      <c r="O103" s="94"/>
      <c r="P103" s="94"/>
      <c r="Q103" s="94"/>
      <c r="R103" s="94"/>
      <c r="S103" s="94">
        <f t="shared" si="45"/>
        <v>7208926.69</v>
      </c>
      <c r="T103" s="108">
        <v>0</v>
      </c>
      <c r="U103" s="302">
        <v>7208926.69</v>
      </c>
      <c r="V103" s="302"/>
      <c r="W103" s="94">
        <f t="shared" si="42"/>
        <v>0</v>
      </c>
      <c r="X103" s="145"/>
      <c r="Y103" s="145"/>
      <c r="Z103" s="145"/>
      <c r="AA103" s="313"/>
      <c r="AB103" s="313"/>
      <c r="AC103" s="313"/>
      <c r="AD103" s="313"/>
      <c r="AE103" s="313"/>
      <c r="AF103" s="313"/>
      <c r="AG103" s="313"/>
      <c r="AH103" s="313"/>
      <c r="AI103" s="313"/>
      <c r="AJ103" s="313"/>
      <c r="AK103" s="313"/>
      <c r="AL103" s="313"/>
      <c r="AM103" s="313"/>
      <c r="AN103" s="313"/>
      <c r="AO103" s="313"/>
      <c r="AP103" s="313"/>
      <c r="AQ103" s="313"/>
      <c r="AR103" s="313"/>
      <c r="AS103" s="313"/>
      <c r="AT103" s="313"/>
      <c r="AU103" s="313"/>
      <c r="AV103" s="313"/>
      <c r="AW103" s="313"/>
      <c r="AX103" s="313"/>
      <c r="AY103" s="313"/>
      <c r="AZ103" s="313"/>
      <c r="BA103" s="313"/>
      <c r="BB103" s="313"/>
      <c r="BC103" s="313"/>
      <c r="BD103" s="313"/>
      <c r="BE103" s="313"/>
      <c r="BF103" s="313"/>
      <c r="BG103" s="313"/>
      <c r="BH103" s="313"/>
      <c r="BI103" s="313"/>
      <c r="BJ103" s="313"/>
      <c r="BK103" s="313"/>
      <c r="BL103" s="313"/>
      <c r="BM103" s="313"/>
      <c r="BN103" s="313"/>
      <c r="BO103" s="313"/>
      <c r="BP103" s="313"/>
      <c r="BQ103" s="313"/>
      <c r="BR103" s="313"/>
      <c r="BS103" s="313"/>
      <c r="BT103" s="313"/>
      <c r="BU103" s="313"/>
      <c r="BV103" s="313"/>
      <c r="BW103" s="313"/>
      <c r="BX103" s="313"/>
      <c r="BY103" s="313"/>
      <c r="BZ103" s="313"/>
      <c r="CA103" s="313"/>
      <c r="CB103" s="313"/>
      <c r="CC103" s="313"/>
      <c r="CD103" s="313"/>
      <c r="CE103" s="313"/>
      <c r="CF103" s="313"/>
      <c r="CG103" s="313"/>
      <c r="CH103" s="313"/>
      <c r="CI103" s="313"/>
      <c r="CJ103" s="313"/>
      <c r="CK103" s="313"/>
      <c r="CL103" s="313"/>
      <c r="CM103" s="313"/>
      <c r="CN103" s="313"/>
      <c r="CO103" s="313"/>
      <c r="CP103" s="313"/>
      <c r="CQ103" s="313"/>
      <c r="CR103" s="313"/>
      <c r="CS103" s="313"/>
      <c r="CT103" s="313"/>
      <c r="CU103" s="313"/>
      <c r="CV103" s="313"/>
      <c r="CW103" s="313"/>
      <c r="CX103" s="313"/>
      <c r="CY103" s="313"/>
      <c r="CZ103" s="313"/>
      <c r="DA103" s="313"/>
      <c r="DB103" s="313"/>
      <c r="DC103" s="313"/>
      <c r="DD103" s="313"/>
      <c r="DE103" s="313"/>
      <c r="DF103" s="313"/>
      <c r="DG103" s="313"/>
      <c r="DH103" s="313"/>
      <c r="DI103" s="313"/>
      <c r="DJ103" s="313"/>
      <c r="DK103" s="313"/>
      <c r="DL103" s="313"/>
      <c r="DM103" s="313"/>
      <c r="DN103" s="313"/>
      <c r="DO103" s="313"/>
      <c r="DP103" s="313"/>
      <c r="DQ103" s="313"/>
      <c r="DR103" s="313"/>
      <c r="DS103" s="313"/>
      <c r="DT103" s="313"/>
      <c r="DU103" s="313"/>
      <c r="DV103" s="313"/>
      <c r="DW103" s="313"/>
      <c r="DX103" s="313"/>
      <c r="DY103" s="313"/>
      <c r="DZ103" s="313"/>
      <c r="EA103" s="313"/>
      <c r="EB103" s="313"/>
      <c r="EC103" s="313"/>
      <c r="ED103" s="313"/>
      <c r="EE103" s="313"/>
      <c r="EF103" s="313"/>
      <c r="EG103" s="313"/>
      <c r="EH103" s="313"/>
      <c r="EI103" s="313"/>
      <c r="EJ103" s="313"/>
      <c r="EK103" s="313"/>
      <c r="EL103" s="313"/>
      <c r="EM103" s="313"/>
      <c r="EN103" s="313"/>
      <c r="EO103" s="313"/>
      <c r="EP103" s="313"/>
      <c r="EQ103" s="313"/>
      <c r="ER103" s="313"/>
      <c r="ES103" s="313"/>
      <c r="ET103" s="313"/>
      <c r="EU103" s="313"/>
      <c r="EV103" s="313"/>
      <c r="EW103" s="313"/>
      <c r="EX103" s="313"/>
      <c r="EY103" s="313"/>
      <c r="EZ103" s="313"/>
      <c r="FA103" s="313"/>
      <c r="FB103" s="313"/>
      <c r="FC103" s="313"/>
      <c r="FD103" s="313"/>
      <c r="FE103" s="313"/>
      <c r="FF103" s="313"/>
      <c r="FG103" s="313"/>
      <c r="FH103" s="313"/>
      <c r="FI103" s="313"/>
      <c r="FJ103" s="313"/>
      <c r="FK103" s="313"/>
      <c r="FL103" s="313"/>
      <c r="FM103" s="313"/>
      <c r="FN103" s="313"/>
      <c r="FO103" s="313"/>
      <c r="FP103" s="313"/>
      <c r="FQ103" s="313"/>
      <c r="FR103" s="313"/>
      <c r="FS103" s="313"/>
      <c r="FT103" s="313"/>
      <c r="FU103" s="313"/>
      <c r="FV103" s="313"/>
      <c r="FW103" s="313"/>
      <c r="FX103" s="313"/>
      <c r="FY103" s="313"/>
      <c r="FZ103" s="313"/>
      <c r="GA103" s="313"/>
      <c r="GB103" s="313"/>
      <c r="GC103" s="313"/>
      <c r="GD103" s="313"/>
      <c r="GE103" s="313"/>
      <c r="GF103" s="313"/>
      <c r="GG103" s="313"/>
      <c r="GH103" s="313"/>
      <c r="GI103" s="313"/>
      <c r="GJ103" s="313"/>
      <c r="GK103" s="313"/>
      <c r="GL103" s="313"/>
      <c r="GM103" s="313"/>
      <c r="GN103" s="313"/>
      <c r="GO103" s="313"/>
      <c r="GP103" s="313"/>
      <c r="GQ103" s="313"/>
      <c r="GR103" s="313"/>
      <c r="GS103" s="313"/>
      <c r="GT103" s="313"/>
      <c r="GU103" s="313"/>
      <c r="GV103" s="313"/>
      <c r="GW103" s="313"/>
      <c r="GX103" s="313"/>
      <c r="GY103" s="313"/>
      <c r="GZ103" s="313"/>
      <c r="HA103" s="313"/>
      <c r="HB103" s="313"/>
      <c r="HC103" s="313"/>
      <c r="HD103" s="313"/>
      <c r="HE103" s="313"/>
      <c r="HF103" s="313"/>
      <c r="HG103" s="313"/>
      <c r="HH103" s="313"/>
      <c r="HI103" s="313"/>
      <c r="HJ103" s="313"/>
      <c r="HK103" s="313"/>
      <c r="HL103" s="313"/>
      <c r="HM103" s="313"/>
      <c r="HN103" s="313"/>
      <c r="HO103" s="313"/>
      <c r="HP103" s="313"/>
      <c r="HQ103" s="313"/>
      <c r="HR103" s="313"/>
      <c r="HS103" s="313"/>
      <c r="HT103" s="313"/>
      <c r="HU103" s="313"/>
      <c r="HV103" s="313"/>
      <c r="HW103" s="313"/>
      <c r="HX103" s="313"/>
      <c r="HY103" s="313"/>
      <c r="HZ103" s="313"/>
      <c r="IA103" s="313"/>
      <c r="IB103" s="313"/>
      <c r="IC103" s="313"/>
    </row>
    <row r="104" s="22" customFormat="1" ht="41.65" spans="1:26">
      <c r="A104" s="156">
        <v>24</v>
      </c>
      <c r="B104" s="157" t="s">
        <v>231</v>
      </c>
      <c r="C104" s="158" t="s">
        <v>232</v>
      </c>
      <c r="D104" s="157" t="s">
        <v>233</v>
      </c>
      <c r="E104" s="158">
        <v>371000</v>
      </c>
      <c r="F104" s="398" t="s">
        <v>310</v>
      </c>
      <c r="G104" s="72" t="s">
        <v>234</v>
      </c>
      <c r="H104" s="66" t="s">
        <v>235</v>
      </c>
      <c r="I104" s="94">
        <f>K104-J104</f>
        <v>349999.99</v>
      </c>
      <c r="J104" s="94">
        <v>21000.01</v>
      </c>
      <c r="K104" s="94">
        <v>371000</v>
      </c>
      <c r="L104" s="94">
        <v>0</v>
      </c>
      <c r="M104" s="94">
        <v>0</v>
      </c>
      <c r="N104" s="94">
        <v>0</v>
      </c>
      <c r="O104" s="94">
        <v>0</v>
      </c>
      <c r="P104" s="94"/>
      <c r="Q104" s="94"/>
      <c r="R104" s="94">
        <v>0</v>
      </c>
      <c r="S104" s="94">
        <f t="shared" si="45"/>
        <v>371000</v>
      </c>
      <c r="T104" s="108">
        <v>0</v>
      </c>
      <c r="U104" s="94">
        <v>371000</v>
      </c>
      <c r="V104" s="405"/>
      <c r="W104" s="94">
        <f t="shared" si="42"/>
        <v>0</v>
      </c>
      <c r="X104" s="145"/>
      <c r="Y104" s="145"/>
      <c r="Z104" s="145"/>
    </row>
    <row r="105" s="22" customFormat="1" ht="61" customHeight="1" spans="1:26">
      <c r="A105" s="156">
        <v>25</v>
      </c>
      <c r="B105" s="157" t="s">
        <v>236</v>
      </c>
      <c r="C105" s="158" t="s">
        <v>237</v>
      </c>
      <c r="D105" s="165" t="s">
        <v>154</v>
      </c>
      <c r="E105" s="158">
        <v>98000</v>
      </c>
      <c r="F105" s="398" t="s">
        <v>310</v>
      </c>
      <c r="G105" s="72" t="s">
        <v>238</v>
      </c>
      <c r="H105" s="66" t="s">
        <v>239</v>
      </c>
      <c r="I105" s="94">
        <f>98000-J105</f>
        <v>92452.83</v>
      </c>
      <c r="J105" s="94">
        <v>5547.17</v>
      </c>
      <c r="K105" s="94">
        <f t="shared" si="44"/>
        <v>98000</v>
      </c>
      <c r="L105" s="94"/>
      <c r="M105" s="94"/>
      <c r="N105" s="94"/>
      <c r="O105" s="94"/>
      <c r="P105" s="94"/>
      <c r="Q105" s="94"/>
      <c r="R105" s="94"/>
      <c r="S105" s="94">
        <f t="shared" si="45"/>
        <v>98000</v>
      </c>
      <c r="T105" s="108">
        <v>0</v>
      </c>
      <c r="U105" s="94">
        <f>K105+R105</f>
        <v>98000</v>
      </c>
      <c r="V105" s="405"/>
      <c r="W105" s="94">
        <f t="shared" si="42"/>
        <v>0</v>
      </c>
      <c r="X105" s="145"/>
      <c r="Y105" s="145"/>
      <c r="Z105" s="145"/>
    </row>
    <row r="106" s="23" customFormat="1" ht="45" customHeight="1" spans="1:26">
      <c r="A106" s="156">
        <v>26</v>
      </c>
      <c r="B106" s="157" t="s">
        <v>166</v>
      </c>
      <c r="C106" s="257" t="s">
        <v>240</v>
      </c>
      <c r="D106" s="157" t="s">
        <v>168</v>
      </c>
      <c r="E106" s="258">
        <v>9654.85</v>
      </c>
      <c r="F106" s="398" t="s">
        <v>310</v>
      </c>
      <c r="G106" s="50" t="s">
        <v>241</v>
      </c>
      <c r="H106" s="50" t="s">
        <v>242</v>
      </c>
      <c r="I106" s="108">
        <v>9108.34905660377</v>
      </c>
      <c r="J106" s="108">
        <v>546.500943396226</v>
      </c>
      <c r="K106" s="94">
        <f t="shared" si="44"/>
        <v>9654.85</v>
      </c>
      <c r="L106" s="94">
        <v>0</v>
      </c>
      <c r="M106" s="94">
        <v>0</v>
      </c>
      <c r="N106" s="94">
        <v>0</v>
      </c>
      <c r="O106" s="94">
        <v>0</v>
      </c>
      <c r="P106" s="94"/>
      <c r="Q106" s="94"/>
      <c r="R106" s="94">
        <v>0</v>
      </c>
      <c r="S106" s="94">
        <f t="shared" si="45"/>
        <v>9654.85</v>
      </c>
      <c r="T106" s="108">
        <v>0</v>
      </c>
      <c r="U106" s="108">
        <v>9654.85</v>
      </c>
      <c r="V106" s="108"/>
      <c r="W106" s="94">
        <f t="shared" si="42"/>
        <v>0</v>
      </c>
      <c r="X106" s="145"/>
      <c r="Y106" s="145"/>
      <c r="Z106" s="145"/>
    </row>
    <row r="107" s="23" customFormat="1" ht="45" customHeight="1" spans="1:26">
      <c r="A107" s="156">
        <v>27</v>
      </c>
      <c r="B107" s="259" t="s">
        <v>318</v>
      </c>
      <c r="C107" s="259"/>
      <c r="D107" s="259" t="s">
        <v>244</v>
      </c>
      <c r="E107" s="259">
        <v>722880</v>
      </c>
      <c r="F107" s="458" t="s">
        <v>319</v>
      </c>
      <c r="G107" s="74" t="s">
        <v>245</v>
      </c>
      <c r="H107" s="74" t="s">
        <v>246</v>
      </c>
      <c r="I107" s="94">
        <v>575745.13</v>
      </c>
      <c r="J107" s="94">
        <f>K107-I107</f>
        <v>74846.87</v>
      </c>
      <c r="K107" s="94">
        <v>650592</v>
      </c>
      <c r="L107" s="94">
        <v>0</v>
      </c>
      <c r="M107" s="94">
        <v>0</v>
      </c>
      <c r="N107" s="94">
        <v>0</v>
      </c>
      <c r="O107" s="94">
        <v>72288</v>
      </c>
      <c r="P107" s="94"/>
      <c r="Q107" s="94"/>
      <c r="R107" s="108">
        <v>0</v>
      </c>
      <c r="S107" s="94">
        <f t="shared" si="45"/>
        <v>578304</v>
      </c>
      <c r="T107" s="108">
        <v>0</v>
      </c>
      <c r="U107" s="108">
        <v>379417.19</v>
      </c>
      <c r="V107" s="425"/>
      <c r="W107" s="94">
        <f t="shared" si="42"/>
        <v>198886.81</v>
      </c>
      <c r="X107" s="145"/>
      <c r="Y107" s="145"/>
      <c r="Z107" s="145"/>
    </row>
    <row r="108" s="23" customFormat="1" ht="45" customHeight="1" spans="1:26">
      <c r="A108" s="156"/>
      <c r="B108" s="260"/>
      <c r="C108" s="261"/>
      <c r="D108" s="261"/>
      <c r="E108" s="261"/>
      <c r="F108" s="407"/>
      <c r="G108" s="73"/>
      <c r="H108" s="73"/>
      <c r="I108" s="94"/>
      <c r="J108" s="94"/>
      <c r="K108" s="94"/>
      <c r="L108" s="94"/>
      <c r="M108" s="94"/>
      <c r="N108" s="94"/>
      <c r="O108" s="94"/>
      <c r="P108" s="94"/>
      <c r="Q108" s="94"/>
      <c r="R108" s="108"/>
      <c r="S108" s="94"/>
      <c r="T108" s="108"/>
      <c r="U108" s="108"/>
      <c r="V108" s="425"/>
      <c r="W108" s="94"/>
      <c r="X108" s="145">
        <v>271174.81</v>
      </c>
      <c r="Y108" s="145">
        <v>271174.81</v>
      </c>
      <c r="Z108" s="145"/>
    </row>
    <row r="109" s="23" customFormat="1" ht="45" customHeight="1" spans="1:26">
      <c r="A109" s="156">
        <v>28</v>
      </c>
      <c r="B109" s="216" t="s">
        <v>196</v>
      </c>
      <c r="C109" s="217"/>
      <c r="D109" s="218"/>
      <c r="E109" s="258">
        <v>10000</v>
      </c>
      <c r="F109" s="398" t="s">
        <v>310</v>
      </c>
      <c r="G109" s="50" t="s">
        <v>197</v>
      </c>
      <c r="H109" s="51" t="s">
        <v>198</v>
      </c>
      <c r="I109" s="108">
        <v>3952.44</v>
      </c>
      <c r="J109" s="108"/>
      <c r="K109" s="94">
        <f t="shared" ref="K109:K117" si="46">I109+J109</f>
        <v>3952.44</v>
      </c>
      <c r="L109" s="94">
        <v>0</v>
      </c>
      <c r="M109" s="94">
        <v>0</v>
      </c>
      <c r="N109" s="94">
        <v>0</v>
      </c>
      <c r="O109" s="94">
        <v>0</v>
      </c>
      <c r="P109" s="94"/>
      <c r="Q109" s="94"/>
      <c r="R109" s="94">
        <v>0</v>
      </c>
      <c r="S109" s="94">
        <f t="shared" ref="S109:S111" si="47">K109-L109-M109-N109-O109+R109</f>
        <v>3952.44</v>
      </c>
      <c r="T109" s="108">
        <v>0</v>
      </c>
      <c r="U109" s="108">
        <v>3952.44</v>
      </c>
      <c r="V109" s="108"/>
      <c r="W109" s="94">
        <f t="shared" ref="W109:W112" si="48">S109+T109-U109-V109</f>
        <v>0</v>
      </c>
      <c r="X109" s="145"/>
      <c r="Y109" s="145"/>
      <c r="Z109" s="145"/>
    </row>
    <row r="110" s="23" customFormat="1" ht="45" customHeight="1" spans="1:26">
      <c r="A110" s="156">
        <v>29</v>
      </c>
      <c r="B110" s="216" t="s">
        <v>312</v>
      </c>
      <c r="C110" s="217"/>
      <c r="D110" s="218"/>
      <c r="E110" s="258"/>
      <c r="F110" s="398"/>
      <c r="G110" s="188"/>
      <c r="H110" s="258"/>
      <c r="I110" s="108"/>
      <c r="J110" s="108">
        <f>J111+J114+J115</f>
        <v>0</v>
      </c>
      <c r="K110" s="108">
        <f t="shared" si="46"/>
        <v>0</v>
      </c>
      <c r="L110" s="94"/>
      <c r="M110" s="94"/>
      <c r="N110" s="94"/>
      <c r="O110" s="94"/>
      <c r="P110" s="94"/>
      <c r="Q110" s="94"/>
      <c r="R110" s="108"/>
      <c r="S110" s="108">
        <f t="shared" si="47"/>
        <v>0</v>
      </c>
      <c r="T110" s="108">
        <v>0</v>
      </c>
      <c r="U110" s="108">
        <f t="shared" ref="U110:U115" si="49">K110+R110</f>
        <v>0</v>
      </c>
      <c r="V110" s="94"/>
      <c r="W110" s="94">
        <f t="shared" si="48"/>
        <v>0</v>
      </c>
      <c r="X110" s="258"/>
      <c r="Y110" s="145"/>
      <c r="Z110" s="145"/>
    </row>
    <row r="111" s="23" customFormat="1" ht="45" customHeight="1" spans="1:26">
      <c r="A111" s="175"/>
      <c r="B111" s="263" t="s">
        <v>249</v>
      </c>
      <c r="C111" s="264"/>
      <c r="D111" s="265"/>
      <c r="E111" s="192"/>
      <c r="F111" s="399" t="s">
        <v>309</v>
      </c>
      <c r="G111" s="188" t="s">
        <v>250</v>
      </c>
      <c r="H111" s="258"/>
      <c r="I111" s="108">
        <v>3770</v>
      </c>
      <c r="J111" s="108"/>
      <c r="K111" s="94">
        <f t="shared" si="46"/>
        <v>3770</v>
      </c>
      <c r="L111" s="94"/>
      <c r="M111" s="94"/>
      <c r="N111" s="94"/>
      <c r="O111" s="94"/>
      <c r="P111" s="94"/>
      <c r="Q111" s="94"/>
      <c r="R111" s="108"/>
      <c r="S111" s="94">
        <f t="shared" si="47"/>
        <v>3770</v>
      </c>
      <c r="T111" s="108">
        <v>0</v>
      </c>
      <c r="U111" s="94">
        <f t="shared" si="49"/>
        <v>3770</v>
      </c>
      <c r="V111" s="94"/>
      <c r="W111" s="94">
        <f t="shared" si="48"/>
        <v>0</v>
      </c>
      <c r="X111" s="258"/>
      <c r="Y111" s="145"/>
      <c r="Z111" s="145"/>
    </row>
    <row r="112" s="23" customFormat="1" ht="45" customHeight="1" spans="1:26">
      <c r="A112" s="175"/>
      <c r="B112" s="266"/>
      <c r="C112" s="267"/>
      <c r="D112" s="268"/>
      <c r="E112" s="198"/>
      <c r="F112" s="413"/>
      <c r="G112" s="188" t="s">
        <v>251</v>
      </c>
      <c r="H112" s="258"/>
      <c r="I112" s="108">
        <v>8043</v>
      </c>
      <c r="J112" s="108"/>
      <c r="K112" s="94">
        <f t="shared" si="46"/>
        <v>8043</v>
      </c>
      <c r="L112" s="94"/>
      <c r="M112" s="94"/>
      <c r="N112" s="94"/>
      <c r="O112" s="94"/>
      <c r="P112" s="94"/>
      <c r="Q112" s="94"/>
      <c r="R112" s="108"/>
      <c r="S112" s="94">
        <v>8043</v>
      </c>
      <c r="T112" s="108"/>
      <c r="U112" s="94">
        <v>8043</v>
      </c>
      <c r="V112" s="94"/>
      <c r="W112" s="94">
        <f t="shared" si="48"/>
        <v>0</v>
      </c>
      <c r="X112" s="258"/>
      <c r="Y112" s="145"/>
      <c r="Z112" s="145"/>
    </row>
    <row r="113" s="23" customFormat="1" ht="45" customHeight="1" spans="1:26">
      <c r="A113" s="175"/>
      <c r="B113" s="271"/>
      <c r="C113" s="272"/>
      <c r="D113" s="273"/>
      <c r="E113" s="199"/>
      <c r="F113" s="398" t="s">
        <v>310</v>
      </c>
      <c r="G113" s="459" t="s">
        <v>320</v>
      </c>
      <c r="H113" s="460"/>
      <c r="I113" s="464">
        <v>9579</v>
      </c>
      <c r="J113" s="464">
        <v>0</v>
      </c>
      <c r="K113" s="443">
        <f t="shared" si="46"/>
        <v>9579</v>
      </c>
      <c r="L113" s="94"/>
      <c r="M113" s="94"/>
      <c r="N113" s="94"/>
      <c r="O113" s="94"/>
      <c r="P113" s="94"/>
      <c r="Q113" s="94"/>
      <c r="R113" s="108"/>
      <c r="S113" s="94">
        <f t="shared" ref="S113:S117" si="50">K113</f>
        <v>9579</v>
      </c>
      <c r="T113" s="108"/>
      <c r="U113" s="94">
        <f t="shared" ref="U113:U117" si="51">S113</f>
        <v>9579</v>
      </c>
      <c r="V113" s="94"/>
      <c r="W113" s="94"/>
      <c r="X113" s="258"/>
      <c r="Y113" s="145"/>
      <c r="Z113" s="145"/>
    </row>
    <row r="114" s="23" customFormat="1" ht="45" customHeight="1" spans="1:26">
      <c r="A114" s="175"/>
      <c r="B114" s="274" t="s">
        <v>252</v>
      </c>
      <c r="C114" s="275"/>
      <c r="D114" s="276"/>
      <c r="E114" s="258"/>
      <c r="F114" s="398" t="s">
        <v>309</v>
      </c>
      <c r="G114" s="188" t="s">
        <v>250</v>
      </c>
      <c r="H114" s="258"/>
      <c r="I114" s="108"/>
      <c r="J114" s="108"/>
      <c r="K114" s="94">
        <f t="shared" si="46"/>
        <v>0</v>
      </c>
      <c r="L114" s="94"/>
      <c r="M114" s="94"/>
      <c r="N114" s="94"/>
      <c r="O114" s="94"/>
      <c r="P114" s="94"/>
      <c r="Q114" s="94"/>
      <c r="R114" s="108"/>
      <c r="S114" s="94">
        <f t="shared" si="50"/>
        <v>0</v>
      </c>
      <c r="T114" s="94"/>
      <c r="U114" s="94">
        <f t="shared" si="49"/>
        <v>0</v>
      </c>
      <c r="V114" s="94"/>
      <c r="W114" s="94">
        <f t="shared" ref="W114:W117" si="52">S114+T114-U114-V114</f>
        <v>0</v>
      </c>
      <c r="X114" s="258"/>
      <c r="Y114" s="145"/>
      <c r="Z114" s="145"/>
    </row>
    <row r="115" s="23" customFormat="1" ht="45" customHeight="1" spans="1:26">
      <c r="A115" s="175"/>
      <c r="B115" s="263" t="s">
        <v>253</v>
      </c>
      <c r="C115" s="264"/>
      <c r="D115" s="265"/>
      <c r="E115" s="192"/>
      <c r="F115" s="398" t="s">
        <v>309</v>
      </c>
      <c r="G115" s="188" t="s">
        <v>251</v>
      </c>
      <c r="H115" s="258"/>
      <c r="I115" s="108">
        <v>200</v>
      </c>
      <c r="J115" s="108">
        <v>0</v>
      </c>
      <c r="K115" s="94">
        <f t="shared" si="46"/>
        <v>200</v>
      </c>
      <c r="L115" s="94"/>
      <c r="M115" s="94"/>
      <c r="N115" s="94"/>
      <c r="O115" s="94"/>
      <c r="P115" s="94"/>
      <c r="Q115" s="94"/>
      <c r="R115" s="108"/>
      <c r="S115" s="94">
        <f t="shared" si="50"/>
        <v>200</v>
      </c>
      <c r="T115" s="94"/>
      <c r="U115" s="94">
        <f t="shared" si="49"/>
        <v>200</v>
      </c>
      <c r="V115" s="94"/>
      <c r="W115" s="94">
        <f t="shared" si="52"/>
        <v>0</v>
      </c>
      <c r="X115" s="258"/>
      <c r="Y115" s="145"/>
      <c r="Z115" s="145"/>
    </row>
    <row r="116" s="23" customFormat="1" ht="45" customHeight="1" spans="1:26">
      <c r="A116" s="175"/>
      <c r="B116" s="271"/>
      <c r="C116" s="272"/>
      <c r="D116" s="273"/>
      <c r="E116" s="199"/>
      <c r="F116" s="398" t="s">
        <v>310</v>
      </c>
      <c r="G116" s="459" t="s">
        <v>320</v>
      </c>
      <c r="H116" s="460"/>
      <c r="I116" s="464">
        <v>800</v>
      </c>
      <c r="J116" s="464">
        <v>0</v>
      </c>
      <c r="K116" s="443">
        <f t="shared" si="46"/>
        <v>800</v>
      </c>
      <c r="L116" s="94"/>
      <c r="M116" s="94"/>
      <c r="N116" s="94"/>
      <c r="O116" s="94"/>
      <c r="P116" s="94"/>
      <c r="Q116" s="94"/>
      <c r="R116" s="108"/>
      <c r="S116" s="94">
        <f t="shared" si="50"/>
        <v>800</v>
      </c>
      <c r="T116" s="94"/>
      <c r="U116" s="94">
        <f t="shared" si="51"/>
        <v>800</v>
      </c>
      <c r="V116" s="94"/>
      <c r="W116" s="94"/>
      <c r="X116" s="258"/>
      <c r="Y116" s="145"/>
      <c r="Z116" s="145"/>
    </row>
    <row r="117" s="23" customFormat="1" ht="45" customHeight="1" spans="1:26">
      <c r="A117" s="175"/>
      <c r="B117" s="274" t="s">
        <v>254</v>
      </c>
      <c r="C117" s="275"/>
      <c r="D117" s="276"/>
      <c r="E117" s="258"/>
      <c r="F117" s="398" t="s">
        <v>309</v>
      </c>
      <c r="G117" s="188" t="s">
        <v>250</v>
      </c>
      <c r="H117" s="258"/>
      <c r="I117" s="108"/>
      <c r="J117" s="108"/>
      <c r="K117" s="94">
        <f t="shared" si="46"/>
        <v>0</v>
      </c>
      <c r="L117" s="94"/>
      <c r="M117" s="94"/>
      <c r="N117" s="94"/>
      <c r="O117" s="94"/>
      <c r="P117" s="94"/>
      <c r="Q117" s="94"/>
      <c r="R117" s="108"/>
      <c r="S117" s="94">
        <f t="shared" si="50"/>
        <v>0</v>
      </c>
      <c r="T117" s="94"/>
      <c r="U117" s="94">
        <f t="shared" si="51"/>
        <v>0</v>
      </c>
      <c r="V117" s="94"/>
      <c r="W117" s="94">
        <f t="shared" si="52"/>
        <v>0</v>
      </c>
      <c r="X117" s="258"/>
      <c r="Y117" s="145"/>
      <c r="Z117" s="145"/>
    </row>
    <row r="118" s="20" customFormat="1" ht="36" customHeight="1" spans="1:26">
      <c r="A118" s="277" t="s">
        <v>255</v>
      </c>
      <c r="B118" s="277"/>
      <c r="C118" s="277"/>
      <c r="D118" s="277"/>
      <c r="E118" s="277"/>
      <c r="F118" s="277"/>
      <c r="G118" s="243"/>
      <c r="H118" s="243" t="s">
        <v>316</v>
      </c>
      <c r="I118" s="300">
        <f t="shared" ref="I118:O118" si="53">SUM(I97:I101,I102:I112,I114:I115,I117)-I110</f>
        <v>15049869.9490566</v>
      </c>
      <c r="J118" s="300">
        <f t="shared" si="53"/>
        <v>1762917.2709434</v>
      </c>
      <c r="K118" s="300">
        <f t="shared" si="53"/>
        <v>16812787.22</v>
      </c>
      <c r="L118" s="300">
        <f t="shared" si="53"/>
        <v>0</v>
      </c>
      <c r="M118" s="300">
        <f t="shared" si="53"/>
        <v>379417.19</v>
      </c>
      <c r="N118" s="300">
        <f t="shared" si="53"/>
        <v>0</v>
      </c>
      <c r="O118" s="300">
        <f t="shared" si="53"/>
        <v>72288</v>
      </c>
      <c r="P118" s="300"/>
      <c r="Q118" s="300">
        <f t="shared" ref="Q118:W118" si="54">SUM(Q97:Q101,Q102:Q112,Q114:Q115,Q117)-Q110</f>
        <v>0</v>
      </c>
      <c r="R118" s="300">
        <f t="shared" si="54"/>
        <v>0</v>
      </c>
      <c r="S118" s="300">
        <f t="shared" si="54"/>
        <v>16361082.03</v>
      </c>
      <c r="T118" s="300">
        <f t="shared" si="54"/>
        <v>0</v>
      </c>
      <c r="U118" s="300">
        <f t="shared" si="54"/>
        <v>16162195.22</v>
      </c>
      <c r="V118" s="300">
        <f t="shared" si="54"/>
        <v>0</v>
      </c>
      <c r="W118" s="300">
        <f t="shared" si="54"/>
        <v>198886.81</v>
      </c>
      <c r="X118" s="307">
        <f>SUM(X97:X110)</f>
        <v>271174.81</v>
      </c>
      <c r="Y118" s="307">
        <f>SUM(Y97:Y110)</f>
        <v>271174.81</v>
      </c>
      <c r="Z118" s="307"/>
    </row>
    <row r="119" s="21" customFormat="1" ht="36" customHeight="1" spans="1:26">
      <c r="A119" s="277"/>
      <c r="B119" s="277"/>
      <c r="C119" s="277"/>
      <c r="D119" s="277"/>
      <c r="E119" s="277"/>
      <c r="F119" s="277"/>
      <c r="G119" s="212"/>
      <c r="H119" s="212" t="s">
        <v>317</v>
      </c>
      <c r="I119" s="301">
        <f t="shared" ref="I119:O119" si="55">I116+I113</f>
        <v>10379</v>
      </c>
      <c r="J119" s="301">
        <f t="shared" si="55"/>
        <v>0</v>
      </c>
      <c r="K119" s="301">
        <f t="shared" si="55"/>
        <v>10379</v>
      </c>
      <c r="L119" s="301">
        <f t="shared" si="55"/>
        <v>0</v>
      </c>
      <c r="M119" s="301">
        <f t="shared" si="55"/>
        <v>0</v>
      </c>
      <c r="N119" s="301">
        <f t="shared" si="55"/>
        <v>0</v>
      </c>
      <c r="O119" s="301">
        <f t="shared" si="55"/>
        <v>0</v>
      </c>
      <c r="P119" s="301"/>
      <c r="Q119" s="301">
        <f t="shared" ref="Q119:W119" si="56">Q116+Q113</f>
        <v>0</v>
      </c>
      <c r="R119" s="301">
        <f t="shared" si="56"/>
        <v>0</v>
      </c>
      <c r="S119" s="301">
        <f t="shared" si="56"/>
        <v>10379</v>
      </c>
      <c r="T119" s="301">
        <f t="shared" si="56"/>
        <v>0</v>
      </c>
      <c r="U119" s="301">
        <f t="shared" si="56"/>
        <v>10379</v>
      </c>
      <c r="V119" s="301">
        <f t="shared" si="56"/>
        <v>0</v>
      </c>
      <c r="W119" s="301">
        <f t="shared" si="56"/>
        <v>0</v>
      </c>
      <c r="X119" s="308"/>
      <c r="Y119" s="308"/>
      <c r="Z119" s="308"/>
    </row>
    <row r="120" s="1" customFormat="1" ht="36" customHeight="1" spans="1:26">
      <c r="A120" s="283"/>
      <c r="B120" s="216" t="s">
        <v>256</v>
      </c>
      <c r="C120" s="217"/>
      <c r="D120" s="217"/>
      <c r="E120" s="217"/>
      <c r="F120" s="217"/>
      <c r="G120" s="217"/>
      <c r="H120" s="218"/>
      <c r="I120" s="94"/>
      <c r="J120" s="94"/>
      <c r="K120" s="94"/>
      <c r="L120" s="94"/>
      <c r="M120" s="94"/>
      <c r="N120" s="94"/>
      <c r="O120" s="94"/>
      <c r="P120" s="94"/>
      <c r="Q120" s="94"/>
      <c r="R120" s="94"/>
      <c r="S120" s="94">
        <f t="shared" ref="S120:S127" si="57">K120-L120-M120-N120-O120+R120</f>
        <v>0</v>
      </c>
      <c r="T120" s="94"/>
      <c r="U120" s="94"/>
      <c r="V120" s="94"/>
      <c r="W120" s="94"/>
      <c r="X120" s="145"/>
      <c r="Y120" s="145"/>
      <c r="Z120" s="145"/>
    </row>
    <row r="121" s="22" customFormat="1" ht="42" customHeight="1" spans="1:237">
      <c r="A121" s="156">
        <v>29</v>
      </c>
      <c r="B121" s="157" t="s">
        <v>257</v>
      </c>
      <c r="C121" s="158"/>
      <c r="D121" s="157" t="s">
        <v>98</v>
      </c>
      <c r="E121" s="158">
        <v>58000</v>
      </c>
      <c r="F121" s="398" t="s">
        <v>309</v>
      </c>
      <c r="G121" s="157" t="s">
        <v>258</v>
      </c>
      <c r="H121" s="157" t="s">
        <v>259</v>
      </c>
      <c r="I121" s="94">
        <v>54716.98</v>
      </c>
      <c r="J121" s="94">
        <v>3283.02</v>
      </c>
      <c r="K121" s="94">
        <f t="shared" ref="K121:K124" si="58">J121+I121</f>
        <v>58000</v>
      </c>
      <c r="L121" s="237"/>
      <c r="M121" s="237"/>
      <c r="N121" s="237"/>
      <c r="O121" s="237"/>
      <c r="P121" s="237"/>
      <c r="Q121" s="237"/>
      <c r="R121" s="237"/>
      <c r="S121" s="94">
        <f t="shared" si="57"/>
        <v>58000</v>
      </c>
      <c r="T121" s="94"/>
      <c r="U121" s="237">
        <v>58000</v>
      </c>
      <c r="V121" s="237"/>
      <c r="W121" s="237">
        <f t="shared" ref="W121:W129" si="59">S121+T121-U121-V121</f>
        <v>0</v>
      </c>
      <c r="X121" s="145"/>
      <c r="Y121" s="145"/>
      <c r="Z121" s="158"/>
      <c r="AA121" s="311"/>
      <c r="AB121" s="311"/>
      <c r="AC121" s="311"/>
      <c r="AD121" s="311"/>
      <c r="AE121" s="311"/>
      <c r="AF121" s="311"/>
      <c r="AG121" s="311"/>
      <c r="AH121" s="311"/>
      <c r="AI121" s="311"/>
      <c r="AJ121" s="311"/>
      <c r="AK121" s="311"/>
      <c r="AL121" s="311"/>
      <c r="AM121" s="311"/>
      <c r="AN121" s="311"/>
      <c r="AO121" s="311"/>
      <c r="AP121" s="311"/>
      <c r="AQ121" s="311"/>
      <c r="AR121" s="311"/>
      <c r="AS121" s="311"/>
      <c r="AT121" s="311"/>
      <c r="AU121" s="311"/>
      <c r="AV121" s="311"/>
      <c r="AW121" s="311"/>
      <c r="AX121" s="311"/>
      <c r="AY121" s="311"/>
      <c r="AZ121" s="311"/>
      <c r="BA121" s="311"/>
      <c r="BB121" s="311"/>
      <c r="BC121" s="311"/>
      <c r="BD121" s="311"/>
      <c r="BE121" s="311"/>
      <c r="BF121" s="311"/>
      <c r="BG121" s="311"/>
      <c r="BH121" s="311"/>
      <c r="BI121" s="311"/>
      <c r="BJ121" s="311"/>
      <c r="BK121" s="311"/>
      <c r="BL121" s="311"/>
      <c r="BM121" s="311"/>
      <c r="BN121" s="311"/>
      <c r="BO121" s="311"/>
      <c r="BP121" s="311"/>
      <c r="BQ121" s="311"/>
      <c r="BR121" s="311"/>
      <c r="BS121" s="311"/>
      <c r="BT121" s="311"/>
      <c r="BU121" s="311"/>
      <c r="BV121" s="311"/>
      <c r="BW121" s="311"/>
      <c r="BX121" s="311"/>
      <c r="BY121" s="311"/>
      <c r="BZ121" s="311"/>
      <c r="CA121" s="311"/>
      <c r="CB121" s="311"/>
      <c r="CC121" s="311"/>
      <c r="CD121" s="311"/>
      <c r="CE121" s="311"/>
      <c r="CF121" s="311"/>
      <c r="CG121" s="311"/>
      <c r="CH121" s="311"/>
      <c r="CI121" s="311"/>
      <c r="CJ121" s="311"/>
      <c r="CK121" s="311"/>
      <c r="CL121" s="311"/>
      <c r="CM121" s="311"/>
      <c r="CN121" s="311"/>
      <c r="CO121" s="311"/>
      <c r="CP121" s="311"/>
      <c r="CQ121" s="311"/>
      <c r="CR121" s="311"/>
      <c r="CS121" s="311"/>
      <c r="CT121" s="311"/>
      <c r="CU121" s="311"/>
      <c r="CV121" s="311"/>
      <c r="CW121" s="311"/>
      <c r="CX121" s="311"/>
      <c r="CY121" s="311"/>
      <c r="CZ121" s="311"/>
      <c r="DA121" s="311"/>
      <c r="DB121" s="311"/>
      <c r="DC121" s="311"/>
      <c r="DD121" s="311"/>
      <c r="DE121" s="311"/>
      <c r="DF121" s="311"/>
      <c r="DG121" s="311"/>
      <c r="DH121" s="311"/>
      <c r="DI121" s="311"/>
      <c r="DJ121" s="311"/>
      <c r="DK121" s="311"/>
      <c r="DL121" s="311"/>
      <c r="DM121" s="311"/>
      <c r="DN121" s="311"/>
      <c r="DO121" s="311"/>
      <c r="DP121" s="311"/>
      <c r="DQ121" s="311"/>
      <c r="DR121" s="311"/>
      <c r="DS121" s="311"/>
      <c r="DT121" s="311"/>
      <c r="DU121" s="311"/>
      <c r="DV121" s="311"/>
      <c r="DW121" s="311"/>
      <c r="DX121" s="311"/>
      <c r="DY121" s="311"/>
      <c r="DZ121" s="311"/>
      <c r="EA121" s="311"/>
      <c r="EB121" s="311"/>
      <c r="EC121" s="311"/>
      <c r="ED121" s="311"/>
      <c r="EE121" s="311"/>
      <c r="EF121" s="311"/>
      <c r="EG121" s="311"/>
      <c r="EH121" s="311"/>
      <c r="EI121" s="311"/>
      <c r="EJ121" s="311"/>
      <c r="EK121" s="311"/>
      <c r="EL121" s="311"/>
      <c r="EM121" s="311"/>
      <c r="EN121" s="311"/>
      <c r="EO121" s="311"/>
      <c r="EP121" s="311"/>
      <c r="EQ121" s="311"/>
      <c r="ER121" s="311"/>
      <c r="ES121" s="311"/>
      <c r="ET121" s="311"/>
      <c r="EU121" s="311"/>
      <c r="EV121" s="311"/>
      <c r="EW121" s="311"/>
      <c r="EX121" s="311"/>
      <c r="EY121" s="311"/>
      <c r="EZ121" s="311"/>
      <c r="FA121" s="311"/>
      <c r="FB121" s="311"/>
      <c r="FC121" s="311"/>
      <c r="FD121" s="311"/>
      <c r="FE121" s="311"/>
      <c r="FF121" s="311"/>
      <c r="FG121" s="311"/>
      <c r="FH121" s="311"/>
      <c r="FI121" s="311"/>
      <c r="FJ121" s="311"/>
      <c r="FK121" s="311"/>
      <c r="FL121" s="311"/>
      <c r="FM121" s="311"/>
      <c r="FN121" s="311"/>
      <c r="FO121" s="311"/>
      <c r="FP121" s="311"/>
      <c r="FQ121" s="311"/>
      <c r="FR121" s="311"/>
      <c r="FS121" s="311"/>
      <c r="FT121" s="311"/>
      <c r="FU121" s="311"/>
      <c r="FV121" s="311"/>
      <c r="FW121" s="311"/>
      <c r="FX121" s="311"/>
      <c r="FY121" s="311"/>
      <c r="FZ121" s="311"/>
      <c r="GA121" s="311"/>
      <c r="GB121" s="311"/>
      <c r="GC121" s="311"/>
      <c r="GD121" s="311"/>
      <c r="GE121" s="311"/>
      <c r="GF121" s="311"/>
      <c r="GG121" s="311"/>
      <c r="GH121" s="311"/>
      <c r="GI121" s="311"/>
      <c r="GJ121" s="311"/>
      <c r="GK121" s="311"/>
      <c r="GL121" s="311"/>
      <c r="GM121" s="311"/>
      <c r="GN121" s="311"/>
      <c r="GO121" s="311"/>
      <c r="GP121" s="311"/>
      <c r="GQ121" s="311"/>
      <c r="GR121" s="311"/>
      <c r="GS121" s="311"/>
      <c r="GT121" s="311"/>
      <c r="GU121" s="311"/>
      <c r="GV121" s="311"/>
      <c r="GW121" s="311"/>
      <c r="GX121" s="311"/>
      <c r="GY121" s="311"/>
      <c r="GZ121" s="311"/>
      <c r="HA121" s="311"/>
      <c r="HB121" s="311"/>
      <c r="HC121" s="311"/>
      <c r="HD121" s="311"/>
      <c r="HE121" s="311"/>
      <c r="HF121" s="311"/>
      <c r="HG121" s="311"/>
      <c r="HH121" s="311"/>
      <c r="HI121" s="311"/>
      <c r="HJ121" s="311"/>
      <c r="HK121" s="311"/>
      <c r="HL121" s="311"/>
      <c r="HM121" s="311"/>
      <c r="HN121" s="311"/>
      <c r="HO121" s="311"/>
      <c r="HP121" s="311"/>
      <c r="HQ121" s="311"/>
      <c r="HR121" s="311"/>
      <c r="HS121" s="311"/>
      <c r="HT121" s="311"/>
      <c r="HU121" s="311"/>
      <c r="HV121" s="311"/>
      <c r="HW121" s="311"/>
      <c r="HX121" s="311"/>
      <c r="HY121" s="311"/>
      <c r="HZ121" s="311"/>
      <c r="IA121" s="311"/>
      <c r="IB121" s="311"/>
      <c r="IC121" s="311"/>
    </row>
    <row r="122" s="22" customFormat="1" ht="38" customHeight="1" spans="1:237">
      <c r="A122" s="156">
        <v>30</v>
      </c>
      <c r="B122" s="157" t="s">
        <v>260</v>
      </c>
      <c r="C122" s="158"/>
      <c r="D122" s="157" t="s">
        <v>261</v>
      </c>
      <c r="E122" s="420">
        <v>300000</v>
      </c>
      <c r="F122" s="398" t="s">
        <v>309</v>
      </c>
      <c r="G122" s="284" t="s">
        <v>262</v>
      </c>
      <c r="H122" s="461" t="s">
        <v>263</v>
      </c>
      <c r="I122" s="302">
        <v>283018.87</v>
      </c>
      <c r="J122" s="302">
        <v>16981.13</v>
      </c>
      <c r="K122" s="94">
        <f t="shared" si="58"/>
        <v>300000</v>
      </c>
      <c r="L122" s="237"/>
      <c r="M122" s="237"/>
      <c r="N122" s="237"/>
      <c r="O122" s="237"/>
      <c r="P122" s="237"/>
      <c r="Q122" s="237"/>
      <c r="R122" s="310"/>
      <c r="S122" s="94">
        <f t="shared" si="57"/>
        <v>300000</v>
      </c>
      <c r="T122" s="94"/>
      <c r="U122" s="310">
        <v>300000</v>
      </c>
      <c r="V122" s="310"/>
      <c r="W122" s="237">
        <f t="shared" si="59"/>
        <v>0</v>
      </c>
      <c r="X122" s="256"/>
      <c r="Y122" s="145"/>
      <c r="Z122" s="158"/>
      <c r="AA122" s="313"/>
      <c r="AB122" s="313"/>
      <c r="AC122" s="313"/>
      <c r="AD122" s="313"/>
      <c r="AE122" s="313"/>
      <c r="AF122" s="313"/>
      <c r="AG122" s="313"/>
      <c r="AH122" s="313"/>
      <c r="AI122" s="313"/>
      <c r="AJ122" s="313"/>
      <c r="AK122" s="313"/>
      <c r="AL122" s="313"/>
      <c r="AM122" s="313"/>
      <c r="AN122" s="313"/>
      <c r="AO122" s="313"/>
      <c r="AP122" s="313"/>
      <c r="AQ122" s="313"/>
      <c r="AR122" s="313"/>
      <c r="AS122" s="313"/>
      <c r="AT122" s="313"/>
      <c r="AU122" s="313"/>
      <c r="AV122" s="313"/>
      <c r="AW122" s="313"/>
      <c r="AX122" s="313"/>
      <c r="AY122" s="313"/>
      <c r="AZ122" s="313"/>
      <c r="BA122" s="313"/>
      <c r="BB122" s="313"/>
      <c r="BC122" s="313"/>
      <c r="BD122" s="313"/>
      <c r="BE122" s="313"/>
      <c r="BF122" s="313"/>
      <c r="BG122" s="313"/>
      <c r="BH122" s="313"/>
      <c r="BI122" s="313"/>
      <c r="BJ122" s="313"/>
      <c r="BK122" s="313"/>
      <c r="BL122" s="313"/>
      <c r="BM122" s="313"/>
      <c r="BN122" s="313"/>
      <c r="BO122" s="313"/>
      <c r="BP122" s="313"/>
      <c r="BQ122" s="313"/>
      <c r="BR122" s="313"/>
      <c r="BS122" s="313"/>
      <c r="BT122" s="313"/>
      <c r="BU122" s="313"/>
      <c r="BV122" s="313"/>
      <c r="BW122" s="313"/>
      <c r="BX122" s="313"/>
      <c r="BY122" s="313"/>
      <c r="BZ122" s="313"/>
      <c r="CA122" s="313"/>
      <c r="CB122" s="313"/>
      <c r="CC122" s="313"/>
      <c r="CD122" s="313"/>
      <c r="CE122" s="313"/>
      <c r="CF122" s="313"/>
      <c r="CG122" s="313"/>
      <c r="CH122" s="313"/>
      <c r="CI122" s="313"/>
      <c r="CJ122" s="313"/>
      <c r="CK122" s="313"/>
      <c r="CL122" s="313"/>
      <c r="CM122" s="313"/>
      <c r="CN122" s="313"/>
      <c r="CO122" s="313"/>
      <c r="CP122" s="313"/>
      <c r="CQ122" s="313"/>
      <c r="CR122" s="313"/>
      <c r="CS122" s="313"/>
      <c r="CT122" s="313"/>
      <c r="CU122" s="313"/>
      <c r="CV122" s="313"/>
      <c r="CW122" s="313"/>
      <c r="CX122" s="313"/>
      <c r="CY122" s="313"/>
      <c r="CZ122" s="313"/>
      <c r="DA122" s="313"/>
      <c r="DB122" s="313"/>
      <c r="DC122" s="313"/>
      <c r="DD122" s="313"/>
      <c r="DE122" s="313"/>
      <c r="DF122" s="313"/>
      <c r="DG122" s="313"/>
      <c r="DH122" s="313"/>
      <c r="DI122" s="313"/>
      <c r="DJ122" s="313"/>
      <c r="DK122" s="313"/>
      <c r="DL122" s="313"/>
      <c r="DM122" s="313"/>
      <c r="DN122" s="313"/>
      <c r="DO122" s="313"/>
      <c r="DP122" s="313"/>
      <c r="DQ122" s="313"/>
      <c r="DR122" s="313"/>
      <c r="DS122" s="313"/>
      <c r="DT122" s="313"/>
      <c r="DU122" s="313"/>
      <c r="DV122" s="313"/>
      <c r="DW122" s="313"/>
      <c r="DX122" s="313"/>
      <c r="DY122" s="313"/>
      <c r="DZ122" s="313"/>
      <c r="EA122" s="313"/>
      <c r="EB122" s="313"/>
      <c r="EC122" s="313"/>
      <c r="ED122" s="313"/>
      <c r="EE122" s="313"/>
      <c r="EF122" s="313"/>
      <c r="EG122" s="313"/>
      <c r="EH122" s="313"/>
      <c r="EI122" s="313"/>
      <c r="EJ122" s="313"/>
      <c r="EK122" s="313"/>
      <c r="EL122" s="313"/>
      <c r="EM122" s="313"/>
      <c r="EN122" s="313"/>
      <c r="EO122" s="313"/>
      <c r="EP122" s="313"/>
      <c r="EQ122" s="313"/>
      <c r="ER122" s="313"/>
      <c r="ES122" s="313"/>
      <c r="ET122" s="313"/>
      <c r="EU122" s="313"/>
      <c r="EV122" s="313"/>
      <c r="EW122" s="313"/>
      <c r="EX122" s="313"/>
      <c r="EY122" s="313"/>
      <c r="EZ122" s="313"/>
      <c r="FA122" s="313"/>
      <c r="FB122" s="313"/>
      <c r="FC122" s="313"/>
      <c r="FD122" s="313"/>
      <c r="FE122" s="313"/>
      <c r="FF122" s="313"/>
      <c r="FG122" s="313"/>
      <c r="FH122" s="313"/>
      <c r="FI122" s="313"/>
      <c r="FJ122" s="313"/>
      <c r="FK122" s="313"/>
      <c r="FL122" s="313"/>
      <c r="FM122" s="313"/>
      <c r="FN122" s="313"/>
      <c r="FO122" s="313"/>
      <c r="FP122" s="313"/>
      <c r="FQ122" s="313"/>
      <c r="FR122" s="313"/>
      <c r="FS122" s="313"/>
      <c r="FT122" s="313"/>
      <c r="FU122" s="313"/>
      <c r="FV122" s="313"/>
      <c r="FW122" s="313"/>
      <c r="FX122" s="313"/>
      <c r="FY122" s="313"/>
      <c r="FZ122" s="313"/>
      <c r="GA122" s="313"/>
      <c r="GB122" s="313"/>
      <c r="GC122" s="313"/>
      <c r="GD122" s="313"/>
      <c r="GE122" s="313"/>
      <c r="GF122" s="313"/>
      <c r="GG122" s="313"/>
      <c r="GH122" s="313"/>
      <c r="GI122" s="313"/>
      <c r="GJ122" s="313"/>
      <c r="GK122" s="313"/>
      <c r="GL122" s="313"/>
      <c r="GM122" s="313"/>
      <c r="GN122" s="313"/>
      <c r="GO122" s="313"/>
      <c r="GP122" s="313"/>
      <c r="GQ122" s="313"/>
      <c r="GR122" s="313"/>
      <c r="GS122" s="313"/>
      <c r="GT122" s="313"/>
      <c r="GU122" s="313"/>
      <c r="GV122" s="313"/>
      <c r="GW122" s="313"/>
      <c r="GX122" s="313"/>
      <c r="GY122" s="313"/>
      <c r="GZ122" s="313"/>
      <c r="HA122" s="313"/>
      <c r="HB122" s="313"/>
      <c r="HC122" s="313"/>
      <c r="HD122" s="313"/>
      <c r="HE122" s="313"/>
      <c r="HF122" s="313"/>
      <c r="HG122" s="313"/>
      <c r="HH122" s="313"/>
      <c r="HI122" s="313"/>
      <c r="HJ122" s="313"/>
      <c r="HK122" s="313"/>
      <c r="HL122" s="313"/>
      <c r="HM122" s="313"/>
      <c r="HN122" s="313"/>
      <c r="HO122" s="313"/>
      <c r="HP122" s="313"/>
      <c r="HQ122" s="313"/>
      <c r="HR122" s="313"/>
      <c r="HS122" s="313"/>
      <c r="HT122" s="313"/>
      <c r="HU122" s="313"/>
      <c r="HV122" s="313"/>
      <c r="HW122" s="313"/>
      <c r="HX122" s="313"/>
      <c r="HY122" s="313"/>
      <c r="HZ122" s="313"/>
      <c r="IA122" s="313"/>
      <c r="IB122" s="313"/>
      <c r="IC122" s="313"/>
    </row>
    <row r="123" s="22" customFormat="1" ht="53" customHeight="1" spans="1:26">
      <c r="A123" s="156">
        <v>31</v>
      </c>
      <c r="B123" s="157" t="s">
        <v>264</v>
      </c>
      <c r="C123" s="158"/>
      <c r="D123" s="157" t="s">
        <v>265</v>
      </c>
      <c r="E123" s="158">
        <v>140000</v>
      </c>
      <c r="F123" s="398" t="s">
        <v>309</v>
      </c>
      <c r="G123" s="157" t="s">
        <v>266</v>
      </c>
      <c r="H123" s="157" t="s">
        <v>267</v>
      </c>
      <c r="I123" s="94">
        <v>132075.47</v>
      </c>
      <c r="J123" s="94">
        <v>7924.53</v>
      </c>
      <c r="K123" s="94">
        <f t="shared" si="58"/>
        <v>140000</v>
      </c>
      <c r="L123" s="237"/>
      <c r="M123" s="237"/>
      <c r="N123" s="237"/>
      <c r="O123" s="237"/>
      <c r="P123" s="237"/>
      <c r="Q123" s="237"/>
      <c r="R123" s="237"/>
      <c r="S123" s="94">
        <f t="shared" si="57"/>
        <v>140000</v>
      </c>
      <c r="T123" s="94"/>
      <c r="U123" s="237">
        <v>140000</v>
      </c>
      <c r="V123" s="237"/>
      <c r="W123" s="237">
        <f t="shared" si="59"/>
        <v>0</v>
      </c>
      <c r="X123" s="145"/>
      <c r="Y123" s="145"/>
      <c r="Z123" s="158"/>
    </row>
    <row r="124" s="22" customFormat="1" ht="45" customHeight="1" spans="1:26">
      <c r="A124" s="156">
        <v>32</v>
      </c>
      <c r="B124" s="157" t="s">
        <v>268</v>
      </c>
      <c r="C124" s="158"/>
      <c r="D124" s="157" t="s">
        <v>178</v>
      </c>
      <c r="E124" s="158">
        <v>48000</v>
      </c>
      <c r="F124" s="398" t="s">
        <v>309</v>
      </c>
      <c r="G124" s="157" t="s">
        <v>269</v>
      </c>
      <c r="H124" s="157" t="s">
        <v>270</v>
      </c>
      <c r="I124" s="94">
        <v>45283.02</v>
      </c>
      <c r="J124" s="94">
        <v>2716.98</v>
      </c>
      <c r="K124" s="94">
        <f t="shared" si="58"/>
        <v>48000</v>
      </c>
      <c r="L124" s="237"/>
      <c r="M124" s="237"/>
      <c r="N124" s="237"/>
      <c r="O124" s="237"/>
      <c r="P124" s="237"/>
      <c r="Q124" s="237"/>
      <c r="R124" s="237"/>
      <c r="S124" s="94">
        <f t="shared" si="57"/>
        <v>48000</v>
      </c>
      <c r="T124" s="94"/>
      <c r="U124" s="237">
        <v>48000</v>
      </c>
      <c r="V124" s="237"/>
      <c r="W124" s="237">
        <f t="shared" si="59"/>
        <v>0</v>
      </c>
      <c r="X124" s="145"/>
      <c r="Y124" s="145"/>
      <c r="Z124" s="158"/>
    </row>
    <row r="125" s="22" customFormat="1" ht="45" customHeight="1" spans="1:26">
      <c r="A125" s="156">
        <v>33</v>
      </c>
      <c r="B125" s="157" t="s">
        <v>271</v>
      </c>
      <c r="C125" s="158"/>
      <c r="D125" s="157" t="s">
        <v>272</v>
      </c>
      <c r="E125" s="158">
        <v>23800</v>
      </c>
      <c r="F125" s="398" t="s">
        <v>310</v>
      </c>
      <c r="G125" s="145"/>
      <c r="H125" s="145"/>
      <c r="I125" s="94"/>
      <c r="J125" s="94"/>
      <c r="K125" s="94">
        <f>I125+J125</f>
        <v>0</v>
      </c>
      <c r="L125" s="94"/>
      <c r="M125" s="94"/>
      <c r="N125" s="94"/>
      <c r="O125" s="94"/>
      <c r="P125" s="94"/>
      <c r="Q125" s="94"/>
      <c r="R125" s="94"/>
      <c r="S125" s="94">
        <f t="shared" si="57"/>
        <v>0</v>
      </c>
      <c r="T125" s="94"/>
      <c r="U125" s="94"/>
      <c r="V125" s="94"/>
      <c r="W125" s="237">
        <f t="shared" si="59"/>
        <v>0</v>
      </c>
      <c r="X125" s="145">
        <v>23800</v>
      </c>
      <c r="Y125" s="145">
        <v>23800</v>
      </c>
      <c r="Z125" s="158"/>
    </row>
    <row r="126" s="22" customFormat="1" ht="45" customHeight="1" spans="1:26">
      <c r="A126" s="156">
        <v>34</v>
      </c>
      <c r="B126" s="157" t="s">
        <v>273</v>
      </c>
      <c r="C126" s="158" t="s">
        <v>274</v>
      </c>
      <c r="D126" s="157" t="s">
        <v>275</v>
      </c>
      <c r="E126" s="158">
        <v>29800</v>
      </c>
      <c r="F126" s="398" t="s">
        <v>309</v>
      </c>
      <c r="G126" s="66" t="s">
        <v>276</v>
      </c>
      <c r="H126" s="66" t="s">
        <v>277</v>
      </c>
      <c r="I126" s="94">
        <v>28113.21</v>
      </c>
      <c r="J126" s="94">
        <v>1686.79</v>
      </c>
      <c r="K126" s="94">
        <v>29800</v>
      </c>
      <c r="L126" s="94">
        <v>0</v>
      </c>
      <c r="M126" s="94">
        <v>0</v>
      </c>
      <c r="N126" s="94">
        <v>0</v>
      </c>
      <c r="O126" s="94">
        <v>0</v>
      </c>
      <c r="P126" s="94"/>
      <c r="Q126" s="94"/>
      <c r="R126" s="94">
        <v>0</v>
      </c>
      <c r="S126" s="94">
        <f t="shared" si="57"/>
        <v>29800</v>
      </c>
      <c r="T126" s="94"/>
      <c r="U126" s="94">
        <v>29800</v>
      </c>
      <c r="V126" s="94"/>
      <c r="W126" s="237">
        <f t="shared" si="59"/>
        <v>0</v>
      </c>
      <c r="X126" s="145"/>
      <c r="Y126" s="145"/>
      <c r="Z126" s="158"/>
    </row>
    <row r="127" s="23" customFormat="1" ht="45" customHeight="1" spans="1:26">
      <c r="A127" s="289">
        <v>35</v>
      </c>
      <c r="B127" s="263" t="s">
        <v>249</v>
      </c>
      <c r="C127" s="264"/>
      <c r="D127" s="265"/>
      <c r="E127" s="428"/>
      <c r="F127" s="398" t="s">
        <v>309</v>
      </c>
      <c r="G127" s="145" t="s">
        <v>207</v>
      </c>
      <c r="H127" s="66"/>
      <c r="I127" s="94">
        <v>5480</v>
      </c>
      <c r="J127" s="94">
        <v>0</v>
      </c>
      <c r="K127" s="94">
        <f>J127+I127</f>
        <v>5480</v>
      </c>
      <c r="L127" s="94"/>
      <c r="M127" s="94"/>
      <c r="N127" s="94"/>
      <c r="O127" s="94"/>
      <c r="P127" s="94"/>
      <c r="Q127" s="94"/>
      <c r="R127" s="94"/>
      <c r="S127" s="94">
        <f t="shared" si="57"/>
        <v>5480</v>
      </c>
      <c r="T127" s="94"/>
      <c r="U127" s="94">
        <v>5480</v>
      </c>
      <c r="V127" s="94"/>
      <c r="W127" s="237">
        <f t="shared" si="59"/>
        <v>0</v>
      </c>
      <c r="X127" s="145"/>
      <c r="Y127" s="145"/>
      <c r="Z127" s="158"/>
    </row>
    <row r="128" s="23" customFormat="1" ht="45" customHeight="1" spans="1:26">
      <c r="A128" s="315"/>
      <c r="B128" s="271"/>
      <c r="C128" s="272"/>
      <c r="D128" s="273"/>
      <c r="E128" s="428"/>
      <c r="F128" s="398" t="s">
        <v>310</v>
      </c>
      <c r="G128" s="455" t="s">
        <v>321</v>
      </c>
      <c r="H128" s="462" t="s">
        <v>322</v>
      </c>
      <c r="I128" s="443">
        <v>980</v>
      </c>
      <c r="J128" s="443"/>
      <c r="K128" s="443">
        <f>I128+J128</f>
        <v>980</v>
      </c>
      <c r="L128" s="94"/>
      <c r="M128" s="94"/>
      <c r="N128" s="94"/>
      <c r="O128" s="94"/>
      <c r="P128" s="94"/>
      <c r="Q128" s="94"/>
      <c r="R128" s="94"/>
      <c r="S128" s="94">
        <v>980</v>
      </c>
      <c r="T128" s="94"/>
      <c r="U128" s="94">
        <v>980</v>
      </c>
      <c r="V128" s="94"/>
      <c r="W128" s="237">
        <f t="shared" si="59"/>
        <v>0</v>
      </c>
      <c r="X128" s="145"/>
      <c r="Y128" s="145"/>
      <c r="Z128" s="158"/>
    </row>
    <row r="129" s="23" customFormat="1" ht="45" customHeight="1" spans="1:26">
      <c r="A129" s="317"/>
      <c r="B129" s="274" t="s">
        <v>254</v>
      </c>
      <c r="C129" s="275"/>
      <c r="D129" s="276"/>
      <c r="E129" s="158"/>
      <c r="F129" s="398" t="s">
        <v>309</v>
      </c>
      <c r="G129" s="66" t="s">
        <v>278</v>
      </c>
      <c r="H129" s="145"/>
      <c r="I129" s="94">
        <v>13509.5</v>
      </c>
      <c r="J129" s="94">
        <f>55.45+15.05</f>
        <v>70.5</v>
      </c>
      <c r="K129" s="94">
        <f>J129+I129</f>
        <v>13580</v>
      </c>
      <c r="L129" s="94"/>
      <c r="M129" s="94"/>
      <c r="N129" s="94"/>
      <c r="O129" s="94"/>
      <c r="P129" s="94"/>
      <c r="Q129" s="94"/>
      <c r="R129" s="94"/>
      <c r="S129" s="94">
        <f>K129-L129-M129-N129-O129+R129</f>
        <v>13580</v>
      </c>
      <c r="T129" s="94"/>
      <c r="U129" s="94">
        <v>13580</v>
      </c>
      <c r="V129" s="94"/>
      <c r="W129" s="237">
        <f t="shared" si="59"/>
        <v>0</v>
      </c>
      <c r="X129" s="145"/>
      <c r="Y129" s="145"/>
      <c r="Z129" s="158"/>
    </row>
    <row r="130" s="20" customFormat="1" ht="36" customHeight="1" spans="1:26">
      <c r="A130" s="277" t="s">
        <v>323</v>
      </c>
      <c r="B130" s="277"/>
      <c r="C130" s="277"/>
      <c r="D130" s="277"/>
      <c r="E130" s="277"/>
      <c r="F130" s="277"/>
      <c r="G130" s="243"/>
      <c r="H130" s="243" t="s">
        <v>316</v>
      </c>
      <c r="I130" s="300">
        <f t="shared" ref="I130:O130" si="60">SUM(I121:I127,I129)</f>
        <v>562197.05</v>
      </c>
      <c r="J130" s="300">
        <f t="shared" si="60"/>
        <v>32662.95</v>
      </c>
      <c r="K130" s="300">
        <f t="shared" si="60"/>
        <v>594860</v>
      </c>
      <c r="L130" s="300">
        <f t="shared" si="60"/>
        <v>0</v>
      </c>
      <c r="M130" s="300">
        <f t="shared" si="60"/>
        <v>0</v>
      </c>
      <c r="N130" s="300">
        <f t="shared" si="60"/>
        <v>0</v>
      </c>
      <c r="O130" s="300">
        <f t="shared" si="60"/>
        <v>0</v>
      </c>
      <c r="P130" s="300"/>
      <c r="Q130" s="300">
        <f t="shared" ref="Q130:W130" si="61">SUM(Q121:Q127,Q129)</f>
        <v>0</v>
      </c>
      <c r="R130" s="300">
        <f t="shared" si="61"/>
        <v>0</v>
      </c>
      <c r="S130" s="300">
        <f t="shared" si="61"/>
        <v>594860</v>
      </c>
      <c r="T130" s="300">
        <f t="shared" si="61"/>
        <v>0</v>
      </c>
      <c r="U130" s="300">
        <f t="shared" si="61"/>
        <v>594860</v>
      </c>
      <c r="V130" s="300">
        <f t="shared" si="61"/>
        <v>0</v>
      </c>
      <c r="W130" s="300">
        <f t="shared" si="61"/>
        <v>0</v>
      </c>
      <c r="X130" s="307">
        <f>SUM(X120:X129)</f>
        <v>23800</v>
      </c>
      <c r="Y130" s="307">
        <f>SUM(Y120:Y129)</f>
        <v>23800</v>
      </c>
      <c r="Z130" s="307"/>
    </row>
    <row r="131" s="20" customFormat="1" ht="36" customHeight="1" spans="1:26">
      <c r="A131" s="277"/>
      <c r="B131" s="277"/>
      <c r="C131" s="277"/>
      <c r="D131" s="277"/>
      <c r="E131" s="277"/>
      <c r="F131" s="277"/>
      <c r="G131" s="212"/>
      <c r="H131" s="212" t="s">
        <v>317</v>
      </c>
      <c r="I131" s="301">
        <f t="shared" ref="I131:O131" si="62">I128</f>
        <v>980</v>
      </c>
      <c r="J131" s="301">
        <f t="shared" si="62"/>
        <v>0</v>
      </c>
      <c r="K131" s="301">
        <f t="shared" si="62"/>
        <v>980</v>
      </c>
      <c r="L131" s="301">
        <f t="shared" si="62"/>
        <v>0</v>
      </c>
      <c r="M131" s="301">
        <f t="shared" si="62"/>
        <v>0</v>
      </c>
      <c r="N131" s="301">
        <f t="shared" si="62"/>
        <v>0</v>
      </c>
      <c r="O131" s="301">
        <f t="shared" si="62"/>
        <v>0</v>
      </c>
      <c r="P131" s="301"/>
      <c r="Q131" s="301">
        <f t="shared" ref="Q131:W131" si="63">Q128</f>
        <v>0</v>
      </c>
      <c r="R131" s="301">
        <f t="shared" si="63"/>
        <v>0</v>
      </c>
      <c r="S131" s="301">
        <f t="shared" si="63"/>
        <v>980</v>
      </c>
      <c r="T131" s="301">
        <f t="shared" si="63"/>
        <v>0</v>
      </c>
      <c r="U131" s="301">
        <f t="shared" si="63"/>
        <v>980</v>
      </c>
      <c r="V131" s="301">
        <f t="shared" si="63"/>
        <v>0</v>
      </c>
      <c r="W131" s="301">
        <f t="shared" si="63"/>
        <v>0</v>
      </c>
      <c r="X131" s="308"/>
      <c r="Y131" s="308"/>
      <c r="Z131" s="308"/>
    </row>
    <row r="132" s="20" customFormat="1" ht="36" customHeight="1" spans="1:26">
      <c r="A132" s="240" t="s">
        <v>280</v>
      </c>
      <c r="B132" s="241"/>
      <c r="C132" s="241"/>
      <c r="D132" s="241"/>
      <c r="E132" s="241"/>
      <c r="F132" s="465"/>
      <c r="G132" s="329">
        <f>287000000+17000000+599600</f>
        <v>304599600</v>
      </c>
      <c r="H132" s="329" t="s">
        <v>316</v>
      </c>
      <c r="I132" s="346">
        <f t="shared" ref="I132:N132" si="64">I130+I118+I94</f>
        <v>276211639.289057</v>
      </c>
      <c r="J132" s="346">
        <f t="shared" si="64"/>
        <v>27586932.8509434</v>
      </c>
      <c r="K132" s="346">
        <f t="shared" si="64"/>
        <v>303798572.14</v>
      </c>
      <c r="L132" s="346">
        <f t="shared" si="64"/>
        <v>2208694.43</v>
      </c>
      <c r="M132" s="346">
        <f t="shared" si="64"/>
        <v>379417.19</v>
      </c>
      <c r="N132" s="346">
        <f t="shared" si="64"/>
        <v>0</v>
      </c>
      <c r="O132" s="347">
        <f>O130+O118+O94+P130+Q130+P118+Q118+P94+Q94</f>
        <v>689308.32</v>
      </c>
      <c r="P132" s="347"/>
      <c r="Q132" s="329"/>
      <c r="R132" s="346">
        <f t="shared" ref="R132:X132" si="65">R130+R118+R94</f>
        <v>116593.5</v>
      </c>
      <c r="S132" s="346">
        <f t="shared" si="65"/>
        <v>298782745.7</v>
      </c>
      <c r="T132" s="346">
        <f t="shared" si="65"/>
        <v>1855000</v>
      </c>
      <c r="U132" s="346">
        <f t="shared" si="65"/>
        <v>266877635.35</v>
      </c>
      <c r="V132" s="346">
        <f t="shared" si="65"/>
        <v>1855000</v>
      </c>
      <c r="W132" s="346">
        <f t="shared" si="65"/>
        <v>31905110.35</v>
      </c>
      <c r="X132" s="329">
        <f t="shared" si="65"/>
        <v>11427695.01</v>
      </c>
      <c r="Y132" s="433">
        <f>Y118+Y94+Y130</f>
        <v>13558149.49</v>
      </c>
      <c r="Z132" s="329"/>
    </row>
    <row r="133" s="1" customFormat="1" ht="26" customHeight="1" spans="1:26">
      <c r="A133" s="466"/>
      <c r="B133" s="467"/>
      <c r="C133" s="467"/>
      <c r="D133" s="467"/>
      <c r="E133" s="467"/>
      <c r="F133" s="468"/>
      <c r="G133" s="212">
        <f>50000000+350000000</f>
        <v>400000000</v>
      </c>
      <c r="H133" s="212" t="s">
        <v>317</v>
      </c>
      <c r="I133" s="301">
        <f t="shared" ref="I133:N133" si="66">I131+I119+I95</f>
        <v>662832.22</v>
      </c>
      <c r="J133" s="301">
        <f t="shared" si="66"/>
        <v>11911.05</v>
      </c>
      <c r="K133" s="301">
        <f t="shared" si="66"/>
        <v>674743.27</v>
      </c>
      <c r="L133" s="301">
        <f t="shared" si="66"/>
        <v>0</v>
      </c>
      <c r="M133" s="301">
        <f t="shared" si="66"/>
        <v>0</v>
      </c>
      <c r="N133" s="301">
        <f t="shared" si="66"/>
        <v>0</v>
      </c>
      <c r="O133" s="248">
        <f>O131+O119+O95+P131+Q131+P119+Q119+P95+Q95</f>
        <v>0</v>
      </c>
      <c r="P133" s="248"/>
      <c r="Q133" s="282"/>
      <c r="R133" s="301">
        <f t="shared" ref="R133:W133" si="67">R131+R119+R95</f>
        <v>0</v>
      </c>
      <c r="S133" s="301">
        <f t="shared" si="67"/>
        <v>674743.27</v>
      </c>
      <c r="T133" s="301">
        <f t="shared" si="67"/>
        <v>0</v>
      </c>
      <c r="U133" s="301">
        <f t="shared" si="67"/>
        <v>15596914.7</v>
      </c>
      <c r="V133" s="301">
        <f t="shared" si="67"/>
        <v>0</v>
      </c>
      <c r="W133" s="301">
        <f t="shared" si="67"/>
        <v>-14922171.43</v>
      </c>
      <c r="X133" s="359"/>
      <c r="Y133" s="359"/>
      <c r="Z133" s="359"/>
    </row>
    <row r="134" s="1" customFormat="1" ht="38" customHeight="1" spans="1:26">
      <c r="A134" s="245"/>
      <c r="B134" s="246"/>
      <c r="C134" s="246"/>
      <c r="D134" s="246"/>
      <c r="E134" s="246"/>
      <c r="F134" s="469"/>
      <c r="G134" s="196"/>
      <c r="H134" s="37" t="s">
        <v>324</v>
      </c>
      <c r="I134" s="349">
        <f t="shared" ref="I134:O134" si="68">I133+I132</f>
        <v>276874471.509057</v>
      </c>
      <c r="J134" s="349">
        <f t="shared" si="68"/>
        <v>27598843.9009434</v>
      </c>
      <c r="K134" s="349">
        <f t="shared" si="68"/>
        <v>304473315.41</v>
      </c>
      <c r="L134" s="349">
        <f t="shared" si="68"/>
        <v>2208694.43</v>
      </c>
      <c r="M134" s="349">
        <f t="shared" si="68"/>
        <v>379417.19</v>
      </c>
      <c r="N134" s="349">
        <f t="shared" si="68"/>
        <v>0</v>
      </c>
      <c r="O134" s="470">
        <f t="shared" si="68"/>
        <v>689308.32</v>
      </c>
      <c r="P134" s="471"/>
      <c r="Q134" s="472"/>
      <c r="R134" s="349">
        <f t="shared" ref="R134:Y134" si="69">R133+R132</f>
        <v>116593.5</v>
      </c>
      <c r="S134" s="349">
        <f t="shared" si="69"/>
        <v>299457488.97</v>
      </c>
      <c r="T134" s="349">
        <f t="shared" si="69"/>
        <v>1855000</v>
      </c>
      <c r="U134" s="349">
        <f t="shared" si="69"/>
        <v>282474550.05</v>
      </c>
      <c r="V134" s="363">
        <f t="shared" si="69"/>
        <v>1855000</v>
      </c>
      <c r="W134" s="364">
        <f t="shared" si="69"/>
        <v>16982938.92</v>
      </c>
      <c r="X134" s="364">
        <f t="shared" si="69"/>
        <v>11427695.01</v>
      </c>
      <c r="Y134" s="364">
        <f t="shared" si="69"/>
        <v>13558149.49</v>
      </c>
      <c r="Z134" s="365"/>
    </row>
  </sheetData>
  <mergeCells count="285">
    <mergeCell ref="A1:Y1"/>
    <mergeCell ref="I2:K2"/>
    <mergeCell ref="L2:Q2"/>
    <mergeCell ref="S2:T2"/>
    <mergeCell ref="U2:V2"/>
    <mergeCell ref="X2:Y2"/>
    <mergeCell ref="O3:Q3"/>
    <mergeCell ref="B5:H5"/>
    <mergeCell ref="G21:H21"/>
    <mergeCell ref="G25:H25"/>
    <mergeCell ref="G34:H34"/>
    <mergeCell ref="G38:H38"/>
    <mergeCell ref="G43:H43"/>
    <mergeCell ref="G45:H45"/>
    <mergeCell ref="B75:D75"/>
    <mergeCell ref="B81:D81"/>
    <mergeCell ref="B85:D85"/>
    <mergeCell ref="B92:D92"/>
    <mergeCell ref="B93:D93"/>
    <mergeCell ref="B96:H96"/>
    <mergeCell ref="B109:D109"/>
    <mergeCell ref="B110:D110"/>
    <mergeCell ref="B114:D114"/>
    <mergeCell ref="B117:D117"/>
    <mergeCell ref="B120:H120"/>
    <mergeCell ref="B129:D129"/>
    <mergeCell ref="O132:Q132"/>
    <mergeCell ref="O133:Q133"/>
    <mergeCell ref="O134:Q134"/>
    <mergeCell ref="A2:A4"/>
    <mergeCell ref="A6:A21"/>
    <mergeCell ref="A22:A25"/>
    <mergeCell ref="A26:A34"/>
    <mergeCell ref="A35:A38"/>
    <mergeCell ref="A39:A43"/>
    <mergeCell ref="A44:A45"/>
    <mergeCell ref="A53:A54"/>
    <mergeCell ref="A67:A68"/>
    <mergeCell ref="A76:A80"/>
    <mergeCell ref="A82:A93"/>
    <mergeCell ref="A97:A101"/>
    <mergeCell ref="A127:A129"/>
    <mergeCell ref="B2:B4"/>
    <mergeCell ref="B6:B21"/>
    <mergeCell ref="B22:B25"/>
    <mergeCell ref="B26:B34"/>
    <mergeCell ref="B35:B38"/>
    <mergeCell ref="B39:B43"/>
    <mergeCell ref="B44:B45"/>
    <mergeCell ref="B53:B54"/>
    <mergeCell ref="B67:B68"/>
    <mergeCell ref="B97:B101"/>
    <mergeCell ref="B107:B108"/>
    <mergeCell ref="C2:C4"/>
    <mergeCell ref="C6:C21"/>
    <mergeCell ref="C22:C25"/>
    <mergeCell ref="C26:C34"/>
    <mergeCell ref="C35:C38"/>
    <mergeCell ref="C39:C43"/>
    <mergeCell ref="C44:C45"/>
    <mergeCell ref="C53:C54"/>
    <mergeCell ref="C67:C68"/>
    <mergeCell ref="C97:C101"/>
    <mergeCell ref="C107:C108"/>
    <mergeCell ref="D2:D4"/>
    <mergeCell ref="D6:D21"/>
    <mergeCell ref="D22:D25"/>
    <mergeCell ref="D26:D34"/>
    <mergeCell ref="D35:D38"/>
    <mergeCell ref="D39:D43"/>
    <mergeCell ref="D44:D45"/>
    <mergeCell ref="D53:D54"/>
    <mergeCell ref="D67:D68"/>
    <mergeCell ref="D97:D101"/>
    <mergeCell ref="D107:D108"/>
    <mergeCell ref="E2:E4"/>
    <mergeCell ref="E6:E21"/>
    <mergeCell ref="E22:E25"/>
    <mergeCell ref="E26:E34"/>
    <mergeCell ref="E35:E38"/>
    <mergeCell ref="E39:E43"/>
    <mergeCell ref="E44:E45"/>
    <mergeCell ref="E53:E54"/>
    <mergeCell ref="E76:E78"/>
    <mergeCell ref="E79:E80"/>
    <mergeCell ref="E82:E84"/>
    <mergeCell ref="E86:E89"/>
    <mergeCell ref="E90:E91"/>
    <mergeCell ref="E97:E101"/>
    <mergeCell ref="E107:E108"/>
    <mergeCell ref="E111:E113"/>
    <mergeCell ref="E115:E116"/>
    <mergeCell ref="F2:F4"/>
    <mergeCell ref="F6:F18"/>
    <mergeCell ref="F19:F20"/>
    <mergeCell ref="F22:F25"/>
    <mergeCell ref="F26:F34"/>
    <mergeCell ref="F35:F38"/>
    <mergeCell ref="F39:F43"/>
    <mergeCell ref="F44:F45"/>
    <mergeCell ref="F53:F54"/>
    <mergeCell ref="F67:F68"/>
    <mergeCell ref="F76:F78"/>
    <mergeCell ref="F79:F80"/>
    <mergeCell ref="F82:F83"/>
    <mergeCell ref="F86:F88"/>
    <mergeCell ref="F97:F101"/>
    <mergeCell ref="F107:F108"/>
    <mergeCell ref="F111:F112"/>
    <mergeCell ref="G2:G4"/>
    <mergeCell ref="G6:G7"/>
    <mergeCell ref="G8:G10"/>
    <mergeCell ref="G12:G14"/>
    <mergeCell ref="G15:G18"/>
    <mergeCell ref="G27:G29"/>
    <mergeCell ref="G31:G32"/>
    <mergeCell ref="G76:G78"/>
    <mergeCell ref="G79:G80"/>
    <mergeCell ref="G87:G88"/>
    <mergeCell ref="G98:G101"/>
    <mergeCell ref="H2:H4"/>
    <mergeCell ref="H6:H7"/>
    <mergeCell ref="H8:H10"/>
    <mergeCell ref="H12:H14"/>
    <mergeCell ref="H15:H18"/>
    <mergeCell ref="H27:H29"/>
    <mergeCell ref="H31:H32"/>
    <mergeCell ref="H98:H101"/>
    <mergeCell ref="I3:I4"/>
    <mergeCell ref="I40:I42"/>
    <mergeCell ref="J3:J4"/>
    <mergeCell ref="J6:J7"/>
    <mergeCell ref="J8:J10"/>
    <mergeCell ref="J16:J17"/>
    <mergeCell ref="J27:J29"/>
    <mergeCell ref="J40:J42"/>
    <mergeCell ref="J99:J100"/>
    <mergeCell ref="K3:K4"/>
    <mergeCell ref="K6:K7"/>
    <mergeCell ref="K8:K10"/>
    <mergeCell ref="K12:K14"/>
    <mergeCell ref="K16:K17"/>
    <mergeCell ref="K27:K29"/>
    <mergeCell ref="K40:K42"/>
    <mergeCell ref="L3:L4"/>
    <mergeCell ref="L6:L7"/>
    <mergeCell ref="L8:L10"/>
    <mergeCell ref="L12:L14"/>
    <mergeCell ref="L15:L18"/>
    <mergeCell ref="L27:L29"/>
    <mergeCell ref="L31:L32"/>
    <mergeCell ref="L40:L42"/>
    <mergeCell ref="L98:L101"/>
    <mergeCell ref="M3:M4"/>
    <mergeCell ref="M6:M7"/>
    <mergeCell ref="M8:M10"/>
    <mergeCell ref="M12:M14"/>
    <mergeCell ref="M15:M18"/>
    <mergeCell ref="M27:M29"/>
    <mergeCell ref="M31:M32"/>
    <mergeCell ref="M40:M42"/>
    <mergeCell ref="M98:M101"/>
    <mergeCell ref="N3:N4"/>
    <mergeCell ref="N6:N7"/>
    <mergeCell ref="N8:N10"/>
    <mergeCell ref="N12:N14"/>
    <mergeCell ref="N15:N18"/>
    <mergeCell ref="N27:N29"/>
    <mergeCell ref="N31:N32"/>
    <mergeCell ref="N40:N42"/>
    <mergeCell ref="N98:N101"/>
    <mergeCell ref="O6:O7"/>
    <mergeCell ref="O8:O10"/>
    <mergeCell ref="O12:O14"/>
    <mergeCell ref="O15:O18"/>
    <mergeCell ref="O27:O29"/>
    <mergeCell ref="O31:O32"/>
    <mergeCell ref="O40:O42"/>
    <mergeCell ref="O98:O101"/>
    <mergeCell ref="P6:P7"/>
    <mergeCell ref="P8:P10"/>
    <mergeCell ref="P12:P14"/>
    <mergeCell ref="P15:P18"/>
    <mergeCell ref="P27:P29"/>
    <mergeCell ref="P31:P32"/>
    <mergeCell ref="P98:P101"/>
    <mergeCell ref="Q6:Q7"/>
    <mergeCell ref="Q8:Q10"/>
    <mergeCell ref="Q12:Q14"/>
    <mergeCell ref="Q15:Q18"/>
    <mergeCell ref="Q27:Q29"/>
    <mergeCell ref="Q31:Q32"/>
    <mergeCell ref="Q40:Q42"/>
    <mergeCell ref="Q98:Q101"/>
    <mergeCell ref="R2:R3"/>
    <mergeCell ref="R6:R7"/>
    <mergeCell ref="R8:R10"/>
    <mergeCell ref="R12:R14"/>
    <mergeCell ref="R15:R18"/>
    <mergeCell ref="R27:R29"/>
    <mergeCell ref="R31:R32"/>
    <mergeCell ref="R40:R42"/>
    <mergeCell ref="R98:R101"/>
    <mergeCell ref="S6:S7"/>
    <mergeCell ref="S8:S10"/>
    <mergeCell ref="S12:S14"/>
    <mergeCell ref="S15:S18"/>
    <mergeCell ref="S27:S29"/>
    <mergeCell ref="S31:S32"/>
    <mergeCell ref="S40:S42"/>
    <mergeCell ref="S67:S68"/>
    <mergeCell ref="S98:S101"/>
    <mergeCell ref="T6:T7"/>
    <mergeCell ref="T8:T10"/>
    <mergeCell ref="T12:T14"/>
    <mergeCell ref="T15:T18"/>
    <mergeCell ref="T27:T29"/>
    <mergeCell ref="T31:T32"/>
    <mergeCell ref="T40:T42"/>
    <mergeCell ref="T67:T68"/>
    <mergeCell ref="T98:T101"/>
    <mergeCell ref="U6:U7"/>
    <mergeCell ref="U8:U10"/>
    <mergeCell ref="U12:U14"/>
    <mergeCell ref="U15:U18"/>
    <mergeCell ref="U27:U29"/>
    <mergeCell ref="U31:U32"/>
    <mergeCell ref="U40:U41"/>
    <mergeCell ref="U67:U68"/>
    <mergeCell ref="U98:U101"/>
    <mergeCell ref="V6:V7"/>
    <mergeCell ref="V8:V10"/>
    <mergeCell ref="V12:V14"/>
    <mergeCell ref="V15:V18"/>
    <mergeCell ref="V27:V29"/>
    <mergeCell ref="V31:V32"/>
    <mergeCell ref="V40:V42"/>
    <mergeCell ref="V67:V68"/>
    <mergeCell ref="V98:V101"/>
    <mergeCell ref="W2:W3"/>
    <mergeCell ref="W6:W7"/>
    <mergeCell ref="W8:W10"/>
    <mergeCell ref="W12:W14"/>
    <mergeCell ref="W15:W18"/>
    <mergeCell ref="W27:W29"/>
    <mergeCell ref="W31:W32"/>
    <mergeCell ref="W40:W42"/>
    <mergeCell ref="W67:W68"/>
    <mergeCell ref="W98:W101"/>
    <mergeCell ref="X12:X14"/>
    <mergeCell ref="X15:X17"/>
    <mergeCell ref="X40:X42"/>
    <mergeCell ref="X94:X95"/>
    <mergeCell ref="X118:X119"/>
    <mergeCell ref="X130:X131"/>
    <mergeCell ref="Y12:Y14"/>
    <mergeCell ref="Y15:Y17"/>
    <mergeCell ref="Y40:Y42"/>
    <mergeCell ref="Y94:Y95"/>
    <mergeCell ref="Y118:Y119"/>
    <mergeCell ref="Y130:Y131"/>
    <mergeCell ref="Z2:Z3"/>
    <mergeCell ref="Z6:Z7"/>
    <mergeCell ref="Z8:Z10"/>
    <mergeCell ref="Z12:Z14"/>
    <mergeCell ref="Z15:Z18"/>
    <mergeCell ref="Z27:Z29"/>
    <mergeCell ref="Z31:Z32"/>
    <mergeCell ref="Z40:Z42"/>
    <mergeCell ref="Z67:Z68"/>
    <mergeCell ref="Z94:Z95"/>
    <mergeCell ref="Z98:Z101"/>
    <mergeCell ref="Z118:Z119"/>
    <mergeCell ref="Z130:Z131"/>
    <mergeCell ref="B76:D80"/>
    <mergeCell ref="B82:D84"/>
    <mergeCell ref="B86:D89"/>
    <mergeCell ref="B90:D91"/>
    <mergeCell ref="A94:F95"/>
    <mergeCell ref="B111:D113"/>
    <mergeCell ref="B115:D116"/>
    <mergeCell ref="A118:F119"/>
    <mergeCell ref="B127:D128"/>
    <mergeCell ref="A130:F131"/>
    <mergeCell ref="A132:F134"/>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23"/>
  <sheetViews>
    <sheetView zoomScale="80" zoomScaleNormal="80" workbookViewId="0">
      <pane ySplit="4" topLeftCell="A194" activePane="bottomLeft" state="frozen"/>
      <selection/>
      <selection pane="bottomLeft" activeCell="K99" sqref="K99"/>
    </sheetView>
  </sheetViews>
  <sheetFormatPr defaultColWidth="9" defaultRowHeight="13.85"/>
  <cols>
    <col min="1" max="1" width="7.08333333333333" style="24" customWidth="1"/>
    <col min="2" max="2" width="23.75" style="24" customWidth="1"/>
    <col min="3" max="3" width="11.5583333333333" style="24" customWidth="1"/>
    <col min="4" max="4" width="12.5" style="24" customWidth="1"/>
    <col min="5" max="5" width="12.3416666666667" style="24" customWidth="1"/>
    <col min="6" max="6" width="9.83333333333333" style="397" customWidth="1"/>
    <col min="7" max="7" width="23.5" style="27" customWidth="1"/>
    <col min="8" max="8" width="21.0916666666667" style="28" customWidth="1"/>
    <col min="9" max="9" width="18.75" style="29" customWidth="1"/>
    <col min="10" max="10" width="15.375" style="29" customWidth="1"/>
    <col min="11" max="11" width="16.625" style="29" customWidth="1"/>
    <col min="12" max="12" width="17.0333333333333" style="30" hidden="1" customWidth="1"/>
    <col min="13" max="13" width="13.5916666666667" style="30" hidden="1" customWidth="1"/>
    <col min="14" max="14" width="10.775" style="30" hidden="1" customWidth="1"/>
    <col min="15" max="15" width="16.25" style="30" hidden="1" customWidth="1"/>
    <col min="16" max="16" width="13.75" style="30" hidden="1" customWidth="1"/>
    <col min="17" max="17" width="13.625" style="30" hidden="1" customWidth="1"/>
    <col min="18" max="18" width="15.375" style="30" hidden="1" customWidth="1"/>
    <col min="19" max="19" width="17.125" style="31" customWidth="1"/>
    <col min="20" max="20" width="17.1833333333333" style="31" customWidth="1"/>
    <col min="21" max="21" width="17.125" style="30" customWidth="1"/>
    <col min="22" max="22" width="13.75" style="32" customWidth="1"/>
    <col min="23" max="23" width="17.125" style="32" customWidth="1"/>
    <col min="24" max="24" width="16.625" style="24" hidden="1" customWidth="1"/>
    <col min="25" max="25" width="15.375" style="24" hidden="1" customWidth="1"/>
    <col min="26" max="26" width="17.125" style="397" customWidth="1"/>
    <col min="27" max="27" width="15" style="397" customWidth="1"/>
    <col min="28" max="28" width="28.5916666666667" style="33" customWidth="1"/>
    <col min="29" max="16384" width="9" style="1"/>
  </cols>
  <sheetData>
    <row r="1" s="1" customFormat="1" ht="27" customHeight="1" spans="1:28">
      <c r="A1" s="34" t="s">
        <v>325</v>
      </c>
      <c r="B1" s="34"/>
      <c r="C1" s="34"/>
      <c r="D1" s="34"/>
      <c r="E1" s="34"/>
      <c r="F1" s="34"/>
      <c r="G1" s="34"/>
      <c r="H1" s="34"/>
      <c r="I1" s="84"/>
      <c r="J1" s="84"/>
      <c r="K1" s="84"/>
      <c r="L1" s="85"/>
      <c r="M1" s="85"/>
      <c r="N1" s="85"/>
      <c r="O1" s="85"/>
      <c r="P1" s="85"/>
      <c r="Q1" s="85"/>
      <c r="R1" s="85"/>
      <c r="S1" s="121"/>
      <c r="T1" s="121"/>
      <c r="U1" s="85"/>
      <c r="V1" s="85"/>
      <c r="W1" s="85"/>
      <c r="X1" s="34"/>
      <c r="Y1" s="34"/>
      <c r="Z1" s="34"/>
      <c r="AA1" s="34"/>
      <c r="AB1" s="34"/>
    </row>
    <row r="2" s="15" customFormat="1" ht="20.25" spans="1:28">
      <c r="A2" s="36" t="s">
        <v>1</v>
      </c>
      <c r="B2" s="36" t="s">
        <v>2</v>
      </c>
      <c r="C2" s="36" t="s">
        <v>3</v>
      </c>
      <c r="D2" s="36" t="s">
        <v>4</v>
      </c>
      <c r="E2" s="36" t="s">
        <v>5</v>
      </c>
      <c r="F2" s="36" t="s">
        <v>6</v>
      </c>
      <c r="G2" s="36" t="s">
        <v>7</v>
      </c>
      <c r="H2" s="36" t="s">
        <v>8</v>
      </c>
      <c r="I2" s="86" t="s">
        <v>285</v>
      </c>
      <c r="J2" s="87"/>
      <c r="K2" s="87"/>
      <c r="L2" s="88" t="s">
        <v>286</v>
      </c>
      <c r="M2" s="89"/>
      <c r="N2" s="89"/>
      <c r="O2" s="89"/>
      <c r="P2" s="89"/>
      <c r="Q2" s="89"/>
      <c r="R2" s="122" t="s">
        <v>11</v>
      </c>
      <c r="S2" s="123" t="s">
        <v>12</v>
      </c>
      <c r="T2" s="124"/>
      <c r="U2" s="123" t="s">
        <v>287</v>
      </c>
      <c r="V2" s="124"/>
      <c r="W2" s="122" t="s">
        <v>14</v>
      </c>
      <c r="X2" s="36" t="s">
        <v>15</v>
      </c>
      <c r="Y2" s="36" t="s">
        <v>16</v>
      </c>
      <c r="Z2" s="36" t="s">
        <v>288</v>
      </c>
      <c r="AA2" s="406"/>
      <c r="AB2" s="122" t="s">
        <v>289</v>
      </c>
    </row>
    <row r="3" s="16" customFormat="1" ht="20.25" spans="1:28">
      <c r="A3" s="36"/>
      <c r="B3" s="36"/>
      <c r="C3" s="36"/>
      <c r="D3" s="36"/>
      <c r="E3" s="36"/>
      <c r="F3" s="36"/>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398"/>
      <c r="Y3" s="398"/>
      <c r="Z3" s="407" t="s">
        <v>29</v>
      </c>
      <c r="AA3" s="408" t="s">
        <v>30</v>
      </c>
      <c r="AB3" s="126"/>
    </row>
    <row r="4" s="16" customFormat="1" ht="44" customHeight="1" spans="1:28">
      <c r="A4" s="36"/>
      <c r="B4" s="36"/>
      <c r="C4" s="36"/>
      <c r="D4" s="36"/>
      <c r="E4" s="36"/>
      <c r="F4" s="36"/>
      <c r="G4" s="36"/>
      <c r="H4" s="36"/>
      <c r="I4" s="36"/>
      <c r="J4" s="36"/>
      <c r="K4" s="36"/>
      <c r="L4" s="36"/>
      <c r="M4" s="36"/>
      <c r="N4" s="36"/>
      <c r="O4" s="92" t="s">
        <v>293</v>
      </c>
      <c r="P4" s="92" t="s">
        <v>294</v>
      </c>
      <c r="Q4" s="92" t="s">
        <v>25</v>
      </c>
      <c r="R4" s="126"/>
      <c r="S4" s="127"/>
      <c r="T4" s="125"/>
      <c r="U4" s="128"/>
      <c r="V4" s="128"/>
      <c r="W4" s="129"/>
      <c r="X4" s="399"/>
      <c r="Y4" s="399"/>
      <c r="Z4" s="407"/>
      <c r="AA4" s="407"/>
      <c r="AB4" s="129"/>
    </row>
    <row r="5" s="1" customFormat="1" ht="36" customHeight="1" spans="1:28">
      <c r="A5" s="38" t="s">
        <v>31</v>
      </c>
      <c r="B5" s="39" t="s">
        <v>32</v>
      </c>
      <c r="C5" s="40"/>
      <c r="D5" s="40"/>
      <c r="E5" s="40"/>
      <c r="F5" s="40"/>
      <c r="G5" s="40"/>
      <c r="H5" s="42"/>
      <c r="I5" s="93"/>
      <c r="J5" s="93"/>
      <c r="K5" s="93"/>
      <c r="L5" s="93"/>
      <c r="M5" s="93"/>
      <c r="N5" s="93"/>
      <c r="O5" s="93"/>
      <c r="P5" s="93"/>
      <c r="Q5" s="93"/>
      <c r="R5" s="93"/>
      <c r="S5" s="93"/>
      <c r="T5" s="130"/>
      <c r="U5" s="131"/>
      <c r="V5" s="130"/>
      <c r="W5" s="130"/>
      <c r="X5" s="45" t="e">
        <f>K25+F6</f>
        <v>#VALUE!</v>
      </c>
      <c r="Y5" s="45">
        <f>U25+V25</f>
        <v>85833468.7</v>
      </c>
      <c r="Z5" s="182"/>
      <c r="AA5" s="182"/>
      <c r="AB5" s="132"/>
    </row>
    <row r="6" s="1" customFormat="1" ht="25" customHeight="1" spans="1:28">
      <c r="A6" s="43">
        <v>1</v>
      </c>
      <c r="B6" s="43" t="s">
        <v>33</v>
      </c>
      <c r="C6" s="43" t="s">
        <v>34</v>
      </c>
      <c r="D6" s="43"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49"/>
      <c r="Y6" s="49"/>
      <c r="Z6" s="145"/>
      <c r="AA6" s="145">
        <v>0</v>
      </c>
      <c r="AB6" s="69"/>
    </row>
    <row r="7" s="1" customFormat="1" spans="1:28">
      <c r="A7" s="48"/>
      <c r="B7" s="48"/>
      <c r="C7" s="48"/>
      <c r="D7" s="48"/>
      <c r="E7" s="49"/>
      <c r="F7" s="46"/>
      <c r="G7" s="47"/>
      <c r="H7" s="47"/>
      <c r="I7" s="94">
        <v>26478900.92</v>
      </c>
      <c r="J7" s="95"/>
      <c r="K7" s="95"/>
      <c r="L7" s="96"/>
      <c r="M7" s="96"/>
      <c r="N7" s="96"/>
      <c r="O7" s="96"/>
      <c r="P7" s="98"/>
      <c r="Q7" s="98"/>
      <c r="R7" s="98"/>
      <c r="S7" s="96"/>
      <c r="T7" s="98"/>
      <c r="U7" s="98"/>
      <c r="V7" s="98"/>
      <c r="W7" s="98"/>
      <c r="X7" s="49"/>
      <c r="Y7" s="49"/>
      <c r="Z7" s="145"/>
      <c r="AA7" s="145"/>
      <c r="AB7" s="70"/>
    </row>
    <row r="8" s="1" customFormat="1" spans="1:28">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49"/>
      <c r="Y8" s="49"/>
      <c r="Z8" s="145"/>
      <c r="AA8" s="145"/>
      <c r="AB8" s="69"/>
    </row>
    <row r="9" s="1" customFormat="1" spans="1:28">
      <c r="A9" s="48"/>
      <c r="B9" s="48"/>
      <c r="C9" s="48"/>
      <c r="D9" s="48"/>
      <c r="E9" s="49"/>
      <c r="F9" s="46"/>
      <c r="G9" s="47"/>
      <c r="H9" s="47"/>
      <c r="I9" s="94">
        <v>7013045.58</v>
      </c>
      <c r="J9" s="95"/>
      <c r="K9" s="95"/>
      <c r="L9" s="96"/>
      <c r="M9" s="96"/>
      <c r="N9" s="96"/>
      <c r="O9" s="96"/>
      <c r="P9" s="70"/>
      <c r="Q9" s="98"/>
      <c r="R9" s="98"/>
      <c r="S9" s="96"/>
      <c r="T9" s="98"/>
      <c r="U9" s="98"/>
      <c r="V9" s="98"/>
      <c r="W9" s="98"/>
      <c r="X9" s="49"/>
      <c r="Y9" s="49"/>
      <c r="Z9" s="145"/>
      <c r="AA9" s="145"/>
      <c r="AB9" s="70"/>
    </row>
    <row r="10" s="1" customFormat="1" spans="1:28">
      <c r="A10" s="48"/>
      <c r="B10" s="48"/>
      <c r="C10" s="48"/>
      <c r="D10" s="48"/>
      <c r="E10" s="49"/>
      <c r="F10" s="46"/>
      <c r="G10" s="47"/>
      <c r="H10" s="47"/>
      <c r="I10" s="94">
        <v>9999999</v>
      </c>
      <c r="J10" s="95"/>
      <c r="K10" s="95"/>
      <c r="L10" s="96"/>
      <c r="M10" s="96"/>
      <c r="N10" s="96"/>
      <c r="O10" s="96"/>
      <c r="P10" s="70"/>
      <c r="Q10" s="98"/>
      <c r="R10" s="98"/>
      <c r="S10" s="96"/>
      <c r="T10" s="98"/>
      <c r="U10" s="98"/>
      <c r="V10" s="98"/>
      <c r="W10" s="98"/>
      <c r="X10" s="49"/>
      <c r="Y10" s="49"/>
      <c r="Z10" s="145"/>
      <c r="AA10" s="145"/>
      <c r="AB10" s="70"/>
    </row>
    <row r="11" s="1" customFormat="1" ht="38" customHeight="1" spans="1:28">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49"/>
      <c r="Y11" s="49"/>
      <c r="Z11" s="145"/>
      <c r="AA11" s="145"/>
      <c r="AB11" s="135"/>
    </row>
    <row r="12" s="1" customFormat="1" spans="1:28">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9"/>
      <c r="Y12" s="49"/>
      <c r="Z12" s="46"/>
      <c r="AA12" s="45"/>
      <c r="AB12" s="46"/>
    </row>
    <row r="13" s="1" customFormat="1" spans="1:28">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9"/>
      <c r="Y13" s="49"/>
      <c r="Z13" s="46"/>
      <c r="AA13" s="49"/>
      <c r="AB13" s="46"/>
    </row>
    <row r="14" s="1" customFormat="1" spans="1:28">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9"/>
      <c r="Y14" s="49"/>
      <c r="Z14" s="46"/>
      <c r="AA14" s="81"/>
      <c r="AB14" s="46"/>
    </row>
    <row r="15" s="1" customFormat="1" spans="1:28">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49"/>
      <c r="Y15" s="49"/>
      <c r="Z15" s="409"/>
      <c r="AA15" s="45"/>
      <c r="AB15" s="137"/>
    </row>
    <row r="16" s="1" customFormat="1" spans="1:28">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49"/>
      <c r="Y16" s="49"/>
      <c r="Z16" s="49"/>
      <c r="AA16" s="49"/>
      <c r="AB16" s="137"/>
    </row>
    <row r="17" s="1" customFormat="1" spans="1:28">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49"/>
      <c r="Y17" s="49"/>
      <c r="Z17" s="81"/>
      <c r="AA17" s="81"/>
      <c r="AB17" s="137"/>
    </row>
    <row r="18" s="1" customFormat="1" spans="1:28">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49"/>
      <c r="Y18" s="49"/>
      <c r="Z18" s="81"/>
      <c r="AA18" s="81"/>
      <c r="AB18" s="139"/>
    </row>
    <row r="19" s="1" customFormat="1" ht="31" customHeight="1" spans="1:28">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105"/>
      <c r="Y19" s="105"/>
      <c r="Z19" s="106">
        <v>5092142.4</v>
      </c>
      <c r="AA19" s="106">
        <v>5092142.4</v>
      </c>
      <c r="AB19" s="56"/>
    </row>
    <row r="20" s="1" customFormat="1" ht="31" customHeight="1" spans="1:28">
      <c r="A20" s="48"/>
      <c r="B20" s="48"/>
      <c r="C20" s="48"/>
      <c r="D20" s="48"/>
      <c r="E20" s="49"/>
      <c r="F20" s="52"/>
      <c r="G20" s="53"/>
      <c r="H20" s="53"/>
      <c r="I20" s="101"/>
      <c r="J20" s="101"/>
      <c r="K20" s="101"/>
      <c r="L20" s="104"/>
      <c r="M20" s="104"/>
      <c r="N20" s="104"/>
      <c r="O20" s="104"/>
      <c r="P20" s="104"/>
      <c r="Q20" s="104"/>
      <c r="R20" s="104"/>
      <c r="S20" s="104"/>
      <c r="T20" s="104"/>
      <c r="U20" s="104"/>
      <c r="V20" s="140"/>
      <c r="W20" s="140"/>
      <c r="X20" s="105"/>
      <c r="Y20" s="105"/>
      <c r="Z20" s="106"/>
      <c r="AA20" s="106"/>
      <c r="AB20" s="56"/>
    </row>
    <row r="21" s="1" customFormat="1" ht="31" customHeight="1" spans="1:28">
      <c r="A21" s="48"/>
      <c r="B21" s="48"/>
      <c r="C21" s="48"/>
      <c r="D21" s="48"/>
      <c r="E21" s="49"/>
      <c r="F21" s="52"/>
      <c r="G21" s="53"/>
      <c r="H21" s="53"/>
      <c r="I21" s="101"/>
      <c r="J21" s="101"/>
      <c r="K21" s="101"/>
      <c r="L21" s="104"/>
      <c r="M21" s="104"/>
      <c r="N21" s="104"/>
      <c r="O21" s="104"/>
      <c r="P21" s="104"/>
      <c r="Q21" s="104"/>
      <c r="R21" s="104"/>
      <c r="S21" s="104"/>
      <c r="T21" s="104"/>
      <c r="U21" s="104"/>
      <c r="V21" s="140"/>
      <c r="W21" s="140"/>
      <c r="X21" s="105"/>
      <c r="Y21" s="105"/>
      <c r="Z21" s="106"/>
      <c r="AA21" s="106"/>
      <c r="AB21" s="56"/>
    </row>
    <row r="22" s="1" customFormat="1" ht="31" customHeight="1" spans="1:28">
      <c r="A22" s="48"/>
      <c r="B22" s="48"/>
      <c r="C22" s="48"/>
      <c r="D22" s="48"/>
      <c r="E22" s="49"/>
      <c r="F22" s="52"/>
      <c r="G22" s="53"/>
      <c r="H22" s="53"/>
      <c r="I22" s="101"/>
      <c r="J22" s="101"/>
      <c r="K22" s="101"/>
      <c r="L22" s="104"/>
      <c r="M22" s="104"/>
      <c r="N22" s="104"/>
      <c r="O22" s="104"/>
      <c r="P22" s="104"/>
      <c r="Q22" s="104"/>
      <c r="R22" s="104"/>
      <c r="S22" s="104"/>
      <c r="T22" s="104"/>
      <c r="U22" s="104"/>
      <c r="V22" s="140"/>
      <c r="W22" s="140"/>
      <c r="X22" s="105"/>
      <c r="Y22" s="105"/>
      <c r="Z22" s="106"/>
      <c r="AA22" s="106"/>
      <c r="AB22" s="56"/>
    </row>
    <row r="23" s="1" customFormat="1" ht="31" customHeight="1" spans="1:28">
      <c r="A23" s="48"/>
      <c r="B23" s="48"/>
      <c r="C23" s="48"/>
      <c r="D23" s="48"/>
      <c r="E23" s="49"/>
      <c r="F23" s="52"/>
      <c r="G23" s="53"/>
      <c r="H23" s="53"/>
      <c r="I23" s="101"/>
      <c r="J23" s="101"/>
      <c r="K23" s="101"/>
      <c r="L23" s="104"/>
      <c r="M23" s="104"/>
      <c r="N23" s="104"/>
      <c r="O23" s="104"/>
      <c r="P23" s="104"/>
      <c r="Q23" s="104"/>
      <c r="R23" s="104"/>
      <c r="S23" s="104"/>
      <c r="T23" s="104"/>
      <c r="U23" s="104"/>
      <c r="V23" s="140"/>
      <c r="W23" s="140"/>
      <c r="X23" s="105"/>
      <c r="Y23" s="105"/>
      <c r="Z23" s="106"/>
      <c r="AA23" s="106"/>
      <c r="AB23" s="56"/>
    </row>
    <row r="24" s="1" customFormat="1" ht="31" customHeight="1" spans="1:28">
      <c r="A24" s="48"/>
      <c r="B24" s="48"/>
      <c r="C24" s="48"/>
      <c r="D24" s="48"/>
      <c r="E24" s="49"/>
      <c r="F24" s="52"/>
      <c r="G24" s="53"/>
      <c r="H24" s="53"/>
      <c r="I24" s="101"/>
      <c r="J24" s="101"/>
      <c r="K24" s="101"/>
      <c r="L24" s="104"/>
      <c r="M24" s="104"/>
      <c r="N24" s="104"/>
      <c r="O24" s="104"/>
      <c r="P24" s="104"/>
      <c r="Q24" s="104"/>
      <c r="R24" s="104"/>
      <c r="S24" s="104"/>
      <c r="T24" s="104"/>
      <c r="U24" s="104"/>
      <c r="V24" s="140"/>
      <c r="W24" s="140"/>
      <c r="X24" s="105"/>
      <c r="Y24" s="105"/>
      <c r="Z24" s="106"/>
      <c r="AA24" s="106"/>
      <c r="AB24" s="56"/>
    </row>
    <row r="25" s="1" customFormat="1" ht="41" customHeight="1" spans="1:28">
      <c r="A25" s="48"/>
      <c r="B25" s="48"/>
      <c r="C25" s="48"/>
      <c r="D25" s="48"/>
      <c r="E25" s="49"/>
      <c r="F25" s="58" t="s">
        <v>326</v>
      </c>
      <c r="G25" s="59"/>
      <c r="H25" s="60"/>
      <c r="I25" s="108">
        <f>SUM(I6:I18)</f>
        <v>94163828.8</v>
      </c>
      <c r="J25" s="108">
        <f>SUM(J6:J18)</f>
        <v>9375096.89</v>
      </c>
      <c r="K25" s="108">
        <f t="shared" ref="K25:AA25" si="1">SUM(K6:K18)</f>
        <v>103538925.69</v>
      </c>
      <c r="L25" s="108">
        <f t="shared" si="1"/>
        <v>2208694.43</v>
      </c>
      <c r="M25" s="108">
        <f t="shared" si="1"/>
        <v>0</v>
      </c>
      <c r="N25" s="108">
        <f t="shared" si="1"/>
        <v>0</v>
      </c>
      <c r="O25" s="108">
        <f t="shared" si="1"/>
        <v>0</v>
      </c>
      <c r="P25" s="108">
        <f t="shared" si="1"/>
        <v>0</v>
      </c>
      <c r="Q25" s="108">
        <f t="shared" si="1"/>
        <v>3100</v>
      </c>
      <c r="R25" s="108">
        <f t="shared" si="1"/>
        <v>0</v>
      </c>
      <c r="S25" s="108">
        <f t="shared" si="1"/>
        <v>100072131.26</v>
      </c>
      <c r="T25" s="108">
        <f t="shared" si="1"/>
        <v>1255000</v>
      </c>
      <c r="U25" s="108">
        <f t="shared" si="1"/>
        <v>84578468.7</v>
      </c>
      <c r="V25" s="108">
        <f t="shared" si="1"/>
        <v>1255000</v>
      </c>
      <c r="W25" s="108">
        <f t="shared" si="1"/>
        <v>15493662.56</v>
      </c>
      <c r="X25" s="108">
        <f t="shared" si="1"/>
        <v>0</v>
      </c>
      <c r="Y25" s="108">
        <f t="shared" si="1"/>
        <v>0</v>
      </c>
      <c r="Z25" s="108">
        <f t="shared" si="1"/>
        <v>0</v>
      </c>
      <c r="AA25" s="108">
        <f t="shared" si="1"/>
        <v>0</v>
      </c>
      <c r="AB25" s="146"/>
    </row>
    <row r="26" s="1" customFormat="1" ht="41" customHeight="1" spans="1:28">
      <c r="A26" s="48"/>
      <c r="B26" s="48"/>
      <c r="C26" s="48"/>
      <c r="D26" s="48"/>
      <c r="E26" s="49"/>
      <c r="F26" s="61" t="s">
        <v>327</v>
      </c>
      <c r="G26" s="61"/>
      <c r="H26" s="61"/>
      <c r="I26" s="109">
        <f>SUM(I19:I24)</f>
        <v>0</v>
      </c>
      <c r="J26" s="109">
        <f>SUM(J19:J24)</f>
        <v>0</v>
      </c>
      <c r="K26" s="109">
        <f>SUM(K19:K24)</f>
        <v>0</v>
      </c>
      <c r="L26" s="109">
        <f>SUM(L19:L24)</f>
        <v>0</v>
      </c>
      <c r="M26" s="109">
        <f t="shared" ref="J26:AB26" si="2">SUM(M19:M24)</f>
        <v>0</v>
      </c>
      <c r="N26" s="109">
        <f t="shared" si="2"/>
        <v>0</v>
      </c>
      <c r="O26" s="109">
        <f t="shared" si="2"/>
        <v>0</v>
      </c>
      <c r="P26" s="109">
        <f t="shared" si="2"/>
        <v>0</v>
      </c>
      <c r="Q26" s="109">
        <f t="shared" si="2"/>
        <v>0</v>
      </c>
      <c r="R26" s="109">
        <f t="shared" si="2"/>
        <v>0</v>
      </c>
      <c r="S26" s="109">
        <f t="shared" si="2"/>
        <v>0</v>
      </c>
      <c r="T26" s="109">
        <f t="shared" si="2"/>
        <v>0</v>
      </c>
      <c r="U26" s="109">
        <f t="shared" si="2"/>
        <v>15493662.56</v>
      </c>
      <c r="V26" s="109">
        <f t="shared" si="2"/>
        <v>0</v>
      </c>
      <c r="W26" s="109">
        <f t="shared" si="2"/>
        <v>-15493662.56</v>
      </c>
      <c r="X26" s="109">
        <f t="shared" si="2"/>
        <v>0</v>
      </c>
      <c r="Y26" s="109">
        <f t="shared" si="2"/>
        <v>0</v>
      </c>
      <c r="Z26" s="109">
        <f t="shared" si="2"/>
        <v>5092142.4</v>
      </c>
      <c r="AA26" s="109">
        <f t="shared" si="2"/>
        <v>5092142.4</v>
      </c>
      <c r="AB26" s="109">
        <f t="shared" si="2"/>
        <v>0</v>
      </c>
    </row>
    <row r="27" s="1" customFormat="1" ht="41" customHeight="1" spans="1:28">
      <c r="A27" s="43"/>
      <c r="B27" s="43"/>
      <c r="C27" s="43"/>
      <c r="D27" s="43"/>
      <c r="E27" s="45"/>
      <c r="F27" s="62"/>
      <c r="G27" s="63"/>
      <c r="H27" s="64"/>
      <c r="I27" s="110"/>
      <c r="J27" s="110"/>
      <c r="K27" s="385"/>
      <c r="L27" s="111"/>
      <c r="M27" s="111"/>
      <c r="N27" s="111"/>
      <c r="O27" s="111"/>
      <c r="P27" s="111"/>
      <c r="Q27" s="111"/>
      <c r="R27" s="111"/>
      <c r="S27" s="111"/>
      <c r="T27" s="141"/>
      <c r="U27" s="141"/>
      <c r="V27" s="141"/>
      <c r="W27" s="141"/>
      <c r="X27" s="400"/>
      <c r="Y27" s="400"/>
      <c r="Z27" s="111"/>
      <c r="AA27" s="111"/>
      <c r="AB27" s="142"/>
    </row>
    <row r="28" s="1" customFormat="1" ht="27" spans="1:28">
      <c r="A28" s="43">
        <v>2</v>
      </c>
      <c r="B28" s="43" t="s">
        <v>47</v>
      </c>
      <c r="C28" s="43" t="s">
        <v>48</v>
      </c>
      <c r="D28" s="65" t="s">
        <v>49</v>
      </c>
      <c r="E28" s="45">
        <v>1845935</v>
      </c>
      <c r="F28" s="45" t="s">
        <v>295</v>
      </c>
      <c r="G28" s="66" t="s">
        <v>50</v>
      </c>
      <c r="H28" s="66" t="s">
        <v>51</v>
      </c>
      <c r="I28" s="94"/>
      <c r="J28" s="94"/>
      <c r="K28" s="94">
        <f>I28+J28</f>
        <v>0</v>
      </c>
      <c r="L28" s="94"/>
      <c r="M28" s="94"/>
      <c r="N28" s="94"/>
      <c r="O28" s="94"/>
      <c r="P28" s="94"/>
      <c r="Q28" s="94"/>
      <c r="R28" s="94">
        <v>184593.5</v>
      </c>
      <c r="S28" s="94">
        <f>K28-L28-M28-N28-O28+R28</f>
        <v>184593.5</v>
      </c>
      <c r="T28" s="133"/>
      <c r="U28" s="134">
        <f>R28</f>
        <v>184593.5</v>
      </c>
      <c r="V28" s="133"/>
      <c r="W28" s="133">
        <f>S28+T28-U28-V28</f>
        <v>0</v>
      </c>
      <c r="X28" s="45" t="e">
        <f>K35+F28</f>
        <v>#VALUE!</v>
      </c>
      <c r="Y28" s="45">
        <f>U35</f>
        <v>456593.5</v>
      </c>
      <c r="Z28" s="145"/>
      <c r="AA28" s="145">
        <v>0</v>
      </c>
      <c r="AB28" s="135"/>
    </row>
    <row r="29" s="1" customFormat="1" ht="35" customHeight="1" spans="1:28">
      <c r="A29" s="48"/>
      <c r="B29" s="48"/>
      <c r="C29" s="48"/>
      <c r="D29" s="67"/>
      <c r="E29" s="49"/>
      <c r="F29" s="49"/>
      <c r="G29" s="66" t="s">
        <v>52</v>
      </c>
      <c r="H29" s="47" t="s">
        <v>53</v>
      </c>
      <c r="I29" s="94">
        <v>320754.72</v>
      </c>
      <c r="J29" s="94">
        <v>19245.28</v>
      </c>
      <c r="K29" s="94">
        <f>I29+J29</f>
        <v>340000</v>
      </c>
      <c r="L29" s="94"/>
      <c r="M29" s="94"/>
      <c r="N29" s="94"/>
      <c r="O29" s="94"/>
      <c r="P29" s="94"/>
      <c r="Q29" s="94"/>
      <c r="R29" s="94">
        <v>-68000</v>
      </c>
      <c r="S29" s="94">
        <f>K29-L29-M29-N29-O29+R29</f>
        <v>272000</v>
      </c>
      <c r="T29" s="133"/>
      <c r="U29" s="134">
        <v>272000</v>
      </c>
      <c r="V29" s="133"/>
      <c r="W29" s="133">
        <f>S29+T29-U29-V29</f>
        <v>0</v>
      </c>
      <c r="X29" s="49"/>
      <c r="Y29" s="49"/>
      <c r="Z29" s="145"/>
      <c r="AA29" s="145"/>
      <c r="AB29" s="135"/>
    </row>
    <row r="30" s="1" customFormat="1" ht="35" customHeight="1" spans="1:28">
      <c r="A30" s="48"/>
      <c r="B30" s="48"/>
      <c r="C30" s="48"/>
      <c r="D30" s="67"/>
      <c r="E30" s="49"/>
      <c r="F30" s="52" t="s">
        <v>296</v>
      </c>
      <c r="G30" s="68"/>
      <c r="H30" s="68"/>
      <c r="I30" s="101"/>
      <c r="J30" s="101"/>
      <c r="K30" s="101"/>
      <c r="L30" s="101"/>
      <c r="M30" s="101"/>
      <c r="N30" s="101"/>
      <c r="O30" s="101"/>
      <c r="P30" s="101"/>
      <c r="Q30" s="101"/>
      <c r="R30" s="101"/>
      <c r="S30" s="101"/>
      <c r="T30" s="143"/>
      <c r="U30" s="144"/>
      <c r="V30" s="143"/>
      <c r="W30" s="143"/>
      <c r="X30" s="105"/>
      <c r="Y30" s="105"/>
      <c r="Z30" s="174"/>
      <c r="AA30" s="174"/>
      <c r="AB30" s="135"/>
    </row>
    <row r="31" s="1" customFormat="1" ht="35" customHeight="1" spans="1:28">
      <c r="A31" s="48"/>
      <c r="B31" s="48"/>
      <c r="C31" s="48"/>
      <c r="D31" s="67"/>
      <c r="E31" s="49"/>
      <c r="F31" s="52"/>
      <c r="G31" s="68"/>
      <c r="H31" s="68"/>
      <c r="I31" s="101"/>
      <c r="J31" s="101"/>
      <c r="K31" s="101"/>
      <c r="L31" s="101"/>
      <c r="M31" s="101"/>
      <c r="N31" s="101"/>
      <c r="O31" s="101"/>
      <c r="P31" s="101"/>
      <c r="Q31" s="101"/>
      <c r="R31" s="101"/>
      <c r="S31" s="101"/>
      <c r="T31" s="143"/>
      <c r="U31" s="144"/>
      <c r="V31" s="143"/>
      <c r="W31" s="143"/>
      <c r="X31" s="105"/>
      <c r="Y31" s="105"/>
      <c r="Z31" s="174"/>
      <c r="AA31" s="174"/>
      <c r="AB31" s="135"/>
    </row>
    <row r="32" s="1" customFormat="1" ht="35" customHeight="1" spans="1:28">
      <c r="A32" s="48"/>
      <c r="B32" s="48"/>
      <c r="C32" s="48"/>
      <c r="D32" s="67"/>
      <c r="E32" s="49"/>
      <c r="F32" s="52"/>
      <c r="G32" s="68"/>
      <c r="H32" s="68"/>
      <c r="I32" s="101"/>
      <c r="J32" s="101"/>
      <c r="K32" s="101"/>
      <c r="L32" s="101"/>
      <c r="M32" s="101"/>
      <c r="N32" s="101"/>
      <c r="O32" s="101"/>
      <c r="P32" s="101"/>
      <c r="Q32" s="101"/>
      <c r="R32" s="101"/>
      <c r="S32" s="101"/>
      <c r="T32" s="143"/>
      <c r="U32" s="144"/>
      <c r="V32" s="143"/>
      <c r="W32" s="143"/>
      <c r="X32" s="105"/>
      <c r="Y32" s="105"/>
      <c r="Z32" s="174"/>
      <c r="AA32" s="174"/>
      <c r="AB32" s="135"/>
    </row>
    <row r="33" s="1" customFormat="1" ht="35" customHeight="1" spans="1:28">
      <c r="A33" s="48"/>
      <c r="B33" s="48"/>
      <c r="C33" s="48"/>
      <c r="D33" s="67"/>
      <c r="E33" s="49"/>
      <c r="F33" s="52"/>
      <c r="G33" s="68"/>
      <c r="H33" s="68"/>
      <c r="I33" s="101"/>
      <c r="J33" s="101"/>
      <c r="K33" s="101"/>
      <c r="L33" s="101"/>
      <c r="M33" s="101"/>
      <c r="N33" s="101"/>
      <c r="O33" s="101"/>
      <c r="P33" s="101"/>
      <c r="Q33" s="101"/>
      <c r="R33" s="101"/>
      <c r="S33" s="101"/>
      <c r="T33" s="143"/>
      <c r="U33" s="144"/>
      <c r="V33" s="143"/>
      <c r="W33" s="143"/>
      <c r="X33" s="105"/>
      <c r="Y33" s="105"/>
      <c r="Z33" s="174"/>
      <c r="AA33" s="174"/>
      <c r="AB33" s="135"/>
    </row>
    <row r="34" s="1" customFormat="1" ht="21" customHeight="1" spans="1:28">
      <c r="A34" s="48"/>
      <c r="B34" s="48"/>
      <c r="C34" s="48"/>
      <c r="D34" s="67"/>
      <c r="E34" s="49"/>
      <c r="F34" s="52"/>
      <c r="G34" s="52"/>
      <c r="H34" s="52"/>
      <c r="I34" s="101"/>
      <c r="J34" s="101"/>
      <c r="K34" s="101">
        <f>I34+J34</f>
        <v>0</v>
      </c>
      <c r="L34" s="101"/>
      <c r="M34" s="101"/>
      <c r="N34" s="101"/>
      <c r="O34" s="101"/>
      <c r="P34" s="101"/>
      <c r="Q34" s="101"/>
      <c r="R34" s="101"/>
      <c r="S34" s="101">
        <f>K34-L34-M34-N34-O34+R34</f>
        <v>0</v>
      </c>
      <c r="T34" s="143"/>
      <c r="U34" s="144"/>
      <c r="V34" s="143"/>
      <c r="W34" s="143">
        <f>S34+T34-U34-V34</f>
        <v>0</v>
      </c>
      <c r="X34" s="105"/>
      <c r="Y34" s="105"/>
      <c r="Z34" s="174">
        <v>969612.5</v>
      </c>
      <c r="AA34" s="174">
        <v>853019</v>
      </c>
      <c r="AB34" s="135" t="s">
        <v>299</v>
      </c>
    </row>
    <row r="35" s="1" customFormat="1" ht="29" customHeight="1" spans="1:28">
      <c r="A35" s="48"/>
      <c r="B35" s="48"/>
      <c r="C35" s="48"/>
      <c r="D35" s="67"/>
      <c r="E35" s="49"/>
      <c r="F35" s="58" t="s">
        <v>326</v>
      </c>
      <c r="G35" s="59"/>
      <c r="H35" s="60"/>
      <c r="I35" s="108">
        <f t="shared" ref="I35:V35" si="3">SUM(I28:I34)</f>
        <v>320754.72</v>
      </c>
      <c r="J35" s="108">
        <f t="shared" si="3"/>
        <v>19245.28</v>
      </c>
      <c r="K35" s="111">
        <f>I35+J35</f>
        <v>340000</v>
      </c>
      <c r="L35" s="111">
        <f t="shared" si="3"/>
        <v>0</v>
      </c>
      <c r="M35" s="111">
        <f t="shared" si="3"/>
        <v>0</v>
      </c>
      <c r="N35" s="111">
        <f t="shared" si="3"/>
        <v>0</v>
      </c>
      <c r="O35" s="111">
        <f t="shared" si="3"/>
        <v>0</v>
      </c>
      <c r="P35" s="111"/>
      <c r="Q35" s="111">
        <f t="shared" ref="Q35:W35" si="4">SUM(Q28:Q34)</f>
        <v>0</v>
      </c>
      <c r="R35" s="111">
        <f t="shared" si="4"/>
        <v>116593.5</v>
      </c>
      <c r="S35" s="111">
        <f t="shared" si="4"/>
        <v>456593.5</v>
      </c>
      <c r="T35" s="111">
        <f t="shared" si="4"/>
        <v>0</v>
      </c>
      <c r="U35" s="111">
        <f t="shared" si="4"/>
        <v>456593.5</v>
      </c>
      <c r="V35" s="111">
        <f t="shared" si="4"/>
        <v>0</v>
      </c>
      <c r="W35" s="111">
        <f t="shared" si="4"/>
        <v>0</v>
      </c>
      <c r="X35" s="111"/>
      <c r="Y35" s="111"/>
      <c r="Z35" s="111">
        <f>SUM(Z28:Z34)</f>
        <v>969612.5</v>
      </c>
      <c r="AA35" s="111">
        <f>SUM(AA28:AA34)</f>
        <v>853019</v>
      </c>
      <c r="AB35" s="146"/>
    </row>
    <row r="36" s="1" customFormat="1" ht="29" customHeight="1" spans="1:28">
      <c r="A36" s="48"/>
      <c r="B36" s="48"/>
      <c r="C36" s="48"/>
      <c r="D36" s="67"/>
      <c r="E36" s="49"/>
      <c r="F36" s="61" t="s">
        <v>327</v>
      </c>
      <c r="G36" s="61"/>
      <c r="H36" s="61"/>
      <c r="I36" s="109">
        <f>SUM(I30:I34)</f>
        <v>0</v>
      </c>
      <c r="J36" s="109">
        <f t="shared" ref="J36:AA36" si="5">SUM(J30:J34)</f>
        <v>0</v>
      </c>
      <c r="K36" s="109">
        <f t="shared" si="5"/>
        <v>0</v>
      </c>
      <c r="L36" s="109">
        <f t="shared" si="5"/>
        <v>0</v>
      </c>
      <c r="M36" s="109">
        <f t="shared" si="5"/>
        <v>0</v>
      </c>
      <c r="N36" s="109">
        <f t="shared" si="5"/>
        <v>0</v>
      </c>
      <c r="O36" s="109">
        <f t="shared" si="5"/>
        <v>0</v>
      </c>
      <c r="P36" s="109">
        <f t="shared" si="5"/>
        <v>0</v>
      </c>
      <c r="Q36" s="109">
        <f t="shared" si="5"/>
        <v>0</v>
      </c>
      <c r="R36" s="109">
        <f t="shared" si="5"/>
        <v>0</v>
      </c>
      <c r="S36" s="109">
        <f t="shared" si="5"/>
        <v>0</v>
      </c>
      <c r="T36" s="109">
        <f t="shared" si="5"/>
        <v>0</v>
      </c>
      <c r="U36" s="109">
        <f t="shared" si="5"/>
        <v>0</v>
      </c>
      <c r="V36" s="109">
        <f t="shared" si="5"/>
        <v>0</v>
      </c>
      <c r="W36" s="109">
        <f t="shared" si="5"/>
        <v>0</v>
      </c>
      <c r="X36" s="109">
        <f t="shared" si="5"/>
        <v>0</v>
      </c>
      <c r="Y36" s="109">
        <f t="shared" si="5"/>
        <v>0</v>
      </c>
      <c r="Z36" s="109">
        <f t="shared" si="5"/>
        <v>969612.5</v>
      </c>
      <c r="AA36" s="109">
        <f t="shared" si="5"/>
        <v>853019</v>
      </c>
      <c r="AB36" s="142"/>
    </row>
    <row r="37" s="1" customFormat="1" ht="27.4" spans="1:28">
      <c r="A37" s="43">
        <v>3</v>
      </c>
      <c r="B37" s="43" t="s">
        <v>54</v>
      </c>
      <c r="C37" s="43" t="s">
        <v>55</v>
      </c>
      <c r="D37" s="43" t="s">
        <v>56</v>
      </c>
      <c r="E37" s="45">
        <v>68192032</v>
      </c>
      <c r="F37" s="45" t="s">
        <v>295</v>
      </c>
      <c r="G37" s="66" t="s">
        <v>57</v>
      </c>
      <c r="H37" s="50" t="s">
        <v>58</v>
      </c>
      <c r="I37" s="94"/>
      <c r="J37" s="94"/>
      <c r="K37" s="94">
        <f>I37+J37</f>
        <v>0</v>
      </c>
      <c r="L37" s="94"/>
      <c r="M37" s="94"/>
      <c r="N37" s="94"/>
      <c r="O37" s="94"/>
      <c r="P37" s="94"/>
      <c r="Q37" s="94"/>
      <c r="R37" s="94">
        <v>3409601.6</v>
      </c>
      <c r="S37" s="94">
        <f t="shared" ref="S37:S41" si="6">K37-L37-M37-N37-O37+R37</f>
        <v>3409601.6</v>
      </c>
      <c r="T37" s="133"/>
      <c r="U37" s="134">
        <v>3409601.6</v>
      </c>
      <c r="V37" s="133"/>
      <c r="W37" s="133">
        <f t="shared" ref="W37:W44" si="7">S37+T37-U37-V37</f>
        <v>0</v>
      </c>
      <c r="X37" s="45" t="e">
        <f>K49+F37</f>
        <v>#VALUE!</v>
      </c>
      <c r="Y37" s="45">
        <f>U49+V49</f>
        <v>36666914.82</v>
      </c>
      <c r="Z37" s="145"/>
      <c r="AA37" s="145"/>
      <c r="AB37" s="135"/>
    </row>
    <row r="38" s="1" customFormat="1" ht="25" customHeight="1" spans="1:28">
      <c r="A38" s="48"/>
      <c r="B38" s="48"/>
      <c r="C38" s="48"/>
      <c r="D38" s="48"/>
      <c r="E38" s="49"/>
      <c r="F38" s="49"/>
      <c r="G38" s="69" t="s">
        <v>59</v>
      </c>
      <c r="H38" s="69" t="s">
        <v>60</v>
      </c>
      <c r="I38" s="99">
        <v>636517.45</v>
      </c>
      <c r="J38" s="112">
        <v>621962.02</v>
      </c>
      <c r="K38" s="112">
        <f>I38+I39+I40+J38</f>
        <v>6719203.2</v>
      </c>
      <c r="L38" s="97"/>
      <c r="M38" s="97"/>
      <c r="N38" s="97"/>
      <c r="O38" s="97"/>
      <c r="P38" s="97"/>
      <c r="Q38" s="97"/>
      <c r="R38" s="97">
        <v>-3409601.6</v>
      </c>
      <c r="S38" s="97">
        <f t="shared" si="6"/>
        <v>3309601.6</v>
      </c>
      <c r="T38" s="97"/>
      <c r="U38" s="97">
        <v>3175217.54</v>
      </c>
      <c r="V38" s="97"/>
      <c r="W38" s="97">
        <f t="shared" si="7"/>
        <v>134384.059999999</v>
      </c>
      <c r="X38" s="49"/>
      <c r="Y38" s="49"/>
      <c r="Z38" s="145"/>
      <c r="AA38" s="145"/>
      <c r="AB38" s="69"/>
    </row>
    <row r="39" s="1" customFormat="1" spans="1:28">
      <c r="A39" s="48"/>
      <c r="B39" s="48"/>
      <c r="C39" s="48"/>
      <c r="D39" s="48"/>
      <c r="E39" s="49"/>
      <c r="F39" s="49"/>
      <c r="G39" s="70"/>
      <c r="H39" s="70"/>
      <c r="I39" s="99">
        <v>3153077.71</v>
      </c>
      <c r="J39" s="113"/>
      <c r="K39" s="113"/>
      <c r="L39" s="98"/>
      <c r="M39" s="98"/>
      <c r="N39" s="98"/>
      <c r="O39" s="98"/>
      <c r="P39" s="98"/>
      <c r="Q39" s="98"/>
      <c r="R39" s="98"/>
      <c r="S39" s="98"/>
      <c r="T39" s="98"/>
      <c r="U39" s="98"/>
      <c r="V39" s="98"/>
      <c r="W39" s="98">
        <f t="shared" si="7"/>
        <v>0</v>
      </c>
      <c r="X39" s="49"/>
      <c r="Y39" s="49"/>
      <c r="Z39" s="145"/>
      <c r="AA39" s="145"/>
      <c r="AB39" s="70"/>
    </row>
    <row r="40" s="1" customFormat="1" spans="1:28">
      <c r="A40" s="48"/>
      <c r="B40" s="48"/>
      <c r="C40" s="48"/>
      <c r="D40" s="48"/>
      <c r="E40" s="49"/>
      <c r="F40" s="49"/>
      <c r="G40" s="71"/>
      <c r="H40" s="71"/>
      <c r="I40" s="99">
        <v>2307646.02</v>
      </c>
      <c r="J40" s="114"/>
      <c r="K40" s="114"/>
      <c r="L40" s="115"/>
      <c r="M40" s="115"/>
      <c r="N40" s="115"/>
      <c r="O40" s="115"/>
      <c r="P40" s="115"/>
      <c r="Q40" s="115"/>
      <c r="R40" s="115"/>
      <c r="S40" s="115"/>
      <c r="T40" s="115"/>
      <c r="U40" s="115"/>
      <c r="V40" s="115"/>
      <c r="W40" s="115">
        <f t="shared" si="7"/>
        <v>0</v>
      </c>
      <c r="X40" s="49"/>
      <c r="Y40" s="49"/>
      <c r="Z40" s="145"/>
      <c r="AA40" s="145"/>
      <c r="AB40" s="71"/>
    </row>
    <row r="41" s="1" customFormat="1" ht="58" customHeight="1" spans="1:28">
      <c r="A41" s="48"/>
      <c r="B41" s="48"/>
      <c r="C41" s="48"/>
      <c r="D41" s="48"/>
      <c r="E41" s="49"/>
      <c r="F41" s="49"/>
      <c r="G41" s="72" t="s">
        <v>61</v>
      </c>
      <c r="H41" s="69" t="s">
        <v>62</v>
      </c>
      <c r="I41" s="116">
        <v>12303071.5</v>
      </c>
      <c r="J41" s="117">
        <v>1594936.5</v>
      </c>
      <c r="K41" s="94">
        <f t="shared" ref="K41:K47" si="8">I41+J41</f>
        <v>13898008</v>
      </c>
      <c r="L41" s="94"/>
      <c r="M41" s="94"/>
      <c r="N41" s="94"/>
      <c r="O41" s="94">
        <v>277960.16</v>
      </c>
      <c r="P41" s="94"/>
      <c r="Q41" s="94"/>
      <c r="R41" s="94"/>
      <c r="S41" s="94">
        <f t="shared" si="6"/>
        <v>13620047.84</v>
      </c>
      <c r="T41" s="133"/>
      <c r="U41" s="134">
        <v>13620047.84</v>
      </c>
      <c r="V41" s="133"/>
      <c r="W41" s="133">
        <f t="shared" si="7"/>
        <v>0</v>
      </c>
      <c r="X41" s="49"/>
      <c r="Y41" s="49"/>
      <c r="Z41" s="145"/>
      <c r="AA41" s="145"/>
      <c r="AB41" s="135"/>
    </row>
    <row r="42" s="1" customFormat="1" ht="37" customHeight="1" spans="1:28">
      <c r="A42" s="48"/>
      <c r="B42" s="48"/>
      <c r="C42" s="48"/>
      <c r="D42" s="48"/>
      <c r="E42" s="49"/>
      <c r="F42" s="49"/>
      <c r="G42" s="73" t="s">
        <v>63</v>
      </c>
      <c r="H42" s="73" t="s">
        <v>64</v>
      </c>
      <c r="I42" s="99">
        <v>2877914.34</v>
      </c>
      <c r="J42" s="95">
        <v>172674.86</v>
      </c>
      <c r="K42" s="95">
        <f t="shared" si="8"/>
        <v>3050589.2</v>
      </c>
      <c r="L42" s="112"/>
      <c r="M42" s="112"/>
      <c r="N42" s="112"/>
      <c r="O42" s="112">
        <v>335960.16</v>
      </c>
      <c r="P42" s="112"/>
      <c r="Q42" s="112"/>
      <c r="R42" s="112">
        <v>0</v>
      </c>
      <c r="S42" s="112">
        <f>K42-L42-M42-N42-O42+R42+K43-600000</f>
        <v>15862047.84</v>
      </c>
      <c r="T42" s="112">
        <v>600000</v>
      </c>
      <c r="U42" s="112">
        <v>15862047.84</v>
      </c>
      <c r="V42" s="401">
        <v>600000</v>
      </c>
      <c r="W42" s="401">
        <f t="shared" si="7"/>
        <v>0</v>
      </c>
      <c r="X42" s="49"/>
      <c r="Y42" s="49"/>
      <c r="Z42" s="145"/>
      <c r="AA42" s="145"/>
      <c r="AB42" s="410"/>
    </row>
    <row r="43" s="1" customFormat="1" ht="37" customHeight="1" spans="1:28">
      <c r="A43" s="48"/>
      <c r="B43" s="48"/>
      <c r="C43" s="48"/>
      <c r="D43" s="48"/>
      <c r="E43" s="49"/>
      <c r="F43" s="49"/>
      <c r="G43" s="73"/>
      <c r="H43" s="73"/>
      <c r="I43" s="99">
        <v>12612310.83</v>
      </c>
      <c r="J43" s="95">
        <v>1135107.97</v>
      </c>
      <c r="K43" s="95">
        <f t="shared" si="8"/>
        <v>13747418.8</v>
      </c>
      <c r="L43" s="113"/>
      <c r="M43" s="113"/>
      <c r="N43" s="113"/>
      <c r="O43" s="113"/>
      <c r="P43" s="113"/>
      <c r="Q43" s="113"/>
      <c r="R43" s="113"/>
      <c r="S43" s="113"/>
      <c r="T43" s="113"/>
      <c r="U43" s="113"/>
      <c r="V43" s="402"/>
      <c r="W43" s="402">
        <f t="shared" si="7"/>
        <v>0</v>
      </c>
      <c r="X43" s="49"/>
      <c r="Y43" s="49"/>
      <c r="Z43" s="145"/>
      <c r="AA43" s="145"/>
      <c r="AB43" s="411"/>
    </row>
    <row r="44" s="1" customFormat="1" ht="30" customHeight="1" spans="1:28">
      <c r="A44" s="48"/>
      <c r="B44" s="48"/>
      <c r="C44" s="48"/>
      <c r="D44" s="48"/>
      <c r="E44" s="49"/>
      <c r="F44" s="49"/>
      <c r="G44" s="74" t="s">
        <v>65</v>
      </c>
      <c r="H44" s="74" t="s">
        <v>66</v>
      </c>
      <c r="I44" s="99">
        <v>9272888.15</v>
      </c>
      <c r="J44" s="99"/>
      <c r="K44" s="94">
        <f t="shared" si="8"/>
        <v>9272888.15</v>
      </c>
      <c r="L44" s="94">
        <v>0</v>
      </c>
      <c r="M44" s="94">
        <v>0</v>
      </c>
      <c r="N44" s="94">
        <v>0</v>
      </c>
      <c r="O44" s="94">
        <v>0</v>
      </c>
      <c r="P44" s="94"/>
      <c r="Q44" s="94"/>
      <c r="R44" s="94">
        <v>0</v>
      </c>
      <c r="S44" s="94">
        <f>K44-L44-M44-N44-O44+R44</f>
        <v>9272888.15</v>
      </c>
      <c r="T44" s="94"/>
      <c r="U44" s="94"/>
      <c r="V44" s="94"/>
      <c r="W44" s="94">
        <f t="shared" si="7"/>
        <v>9272888.15</v>
      </c>
      <c r="X44" s="49"/>
      <c r="Y44" s="49"/>
      <c r="Z44" s="145">
        <f>1756800+2900000</f>
        <v>4656800</v>
      </c>
      <c r="AA44" s="145">
        <f>Z44</f>
        <v>4656800</v>
      </c>
      <c r="AB44" s="145" t="s">
        <v>300</v>
      </c>
    </row>
    <row r="45" s="1" customFormat="1" ht="30" customHeight="1" spans="1:28">
      <c r="A45" s="48"/>
      <c r="B45" s="48"/>
      <c r="C45" s="48"/>
      <c r="D45" s="48"/>
      <c r="E45" s="49"/>
      <c r="F45" s="52" t="s">
        <v>296</v>
      </c>
      <c r="G45" s="53" t="s">
        <v>328</v>
      </c>
      <c r="H45" s="75" t="s">
        <v>329</v>
      </c>
      <c r="I45" s="118">
        <f>-I44</f>
        <v>-9272888.15</v>
      </c>
      <c r="J45" s="101"/>
      <c r="K45" s="101">
        <f t="shared" si="8"/>
        <v>-9272888.15</v>
      </c>
      <c r="L45" s="101"/>
      <c r="M45" s="101"/>
      <c r="N45" s="101"/>
      <c r="O45" s="101"/>
      <c r="P45" s="101"/>
      <c r="Q45" s="101"/>
      <c r="R45" s="101"/>
      <c r="S45" s="101">
        <f>K45</f>
        <v>-9272888.15</v>
      </c>
      <c r="T45" s="101"/>
      <c r="U45" s="101"/>
      <c r="V45" s="101"/>
      <c r="W45" s="101">
        <f>S45</f>
        <v>-9272888.15</v>
      </c>
      <c r="X45" s="105"/>
      <c r="Y45" s="105"/>
      <c r="Z45" s="174"/>
      <c r="AA45" s="174"/>
      <c r="AB45" s="145"/>
    </row>
    <row r="46" s="1" customFormat="1" ht="30" customHeight="1" spans="1:28">
      <c r="A46" s="48"/>
      <c r="B46" s="48"/>
      <c r="C46" s="48"/>
      <c r="D46" s="48"/>
      <c r="E46" s="49"/>
      <c r="F46" s="52"/>
      <c r="G46" s="76" t="s">
        <v>330</v>
      </c>
      <c r="H46" s="76" t="s">
        <v>331</v>
      </c>
      <c r="I46" s="118">
        <v>8318111.97</v>
      </c>
      <c r="J46" s="118">
        <v>748630.08</v>
      </c>
      <c r="K46" s="101">
        <f t="shared" si="8"/>
        <v>9066742.05</v>
      </c>
      <c r="L46" s="101"/>
      <c r="M46" s="101"/>
      <c r="N46" s="101"/>
      <c r="O46" s="101">
        <v>201576.1</v>
      </c>
      <c r="P46" s="101"/>
      <c r="Q46" s="101"/>
      <c r="R46" s="101"/>
      <c r="S46" s="101">
        <f>K46</f>
        <v>9066742.05</v>
      </c>
      <c r="T46" s="403"/>
      <c r="U46" s="103"/>
      <c r="V46" s="103">
        <v>1756800</v>
      </c>
      <c r="W46" s="403">
        <f>S46+S47-O46-V46</f>
        <v>8120428.7</v>
      </c>
      <c r="X46" s="105"/>
      <c r="Y46" s="105"/>
      <c r="Z46" s="174"/>
      <c r="AA46" s="174"/>
      <c r="AB46" s="145"/>
    </row>
    <row r="47" s="1" customFormat="1" ht="30" customHeight="1" spans="1:28">
      <c r="A47" s="48"/>
      <c r="B47" s="48"/>
      <c r="C47" s="48"/>
      <c r="D47" s="48"/>
      <c r="E47" s="49"/>
      <c r="F47" s="52"/>
      <c r="G47" s="76"/>
      <c r="H47" s="76"/>
      <c r="I47" s="118">
        <v>954776.18</v>
      </c>
      <c r="J47" s="118">
        <v>57286.57</v>
      </c>
      <c r="K47" s="101">
        <f t="shared" si="8"/>
        <v>1012062.75</v>
      </c>
      <c r="L47" s="101"/>
      <c r="M47" s="101"/>
      <c r="N47" s="101"/>
      <c r="O47" s="101"/>
      <c r="P47" s="101"/>
      <c r="Q47" s="101"/>
      <c r="R47" s="101"/>
      <c r="S47" s="101">
        <f>K47</f>
        <v>1012062.75</v>
      </c>
      <c r="T47" s="404"/>
      <c r="U47" s="106"/>
      <c r="V47" s="106"/>
      <c r="W47" s="404"/>
      <c r="X47" s="105"/>
      <c r="Y47" s="105"/>
      <c r="Z47" s="174"/>
      <c r="AA47" s="174"/>
      <c r="AB47" s="145"/>
    </row>
    <row r="48" s="1" customFormat="1" ht="30" customHeight="1" spans="1:28">
      <c r="A48" s="48"/>
      <c r="B48" s="48"/>
      <c r="C48" s="48"/>
      <c r="D48" s="48"/>
      <c r="E48" s="49"/>
      <c r="F48" s="52"/>
      <c r="G48" s="388"/>
      <c r="H48" s="389"/>
      <c r="I48" s="118"/>
      <c r="J48" s="118"/>
      <c r="K48" s="101"/>
      <c r="L48" s="101"/>
      <c r="M48" s="101"/>
      <c r="N48" s="101"/>
      <c r="O48" s="101"/>
      <c r="P48" s="101"/>
      <c r="Q48" s="101"/>
      <c r="R48" s="101"/>
      <c r="S48" s="101">
        <f>K48</f>
        <v>0</v>
      </c>
      <c r="T48" s="101"/>
      <c r="U48" s="101"/>
      <c r="V48" s="101"/>
      <c r="W48" s="101"/>
      <c r="X48" s="105"/>
      <c r="Y48" s="105"/>
      <c r="Z48" s="174"/>
      <c r="AA48" s="174"/>
      <c r="AB48" s="145"/>
    </row>
    <row r="49" s="1" customFormat="1" ht="29" customHeight="1" spans="1:28">
      <c r="A49" s="48"/>
      <c r="B49" s="48"/>
      <c r="C49" s="48"/>
      <c r="D49" s="48"/>
      <c r="E49" s="49"/>
      <c r="F49" s="58" t="s">
        <v>326</v>
      </c>
      <c r="G49" s="59"/>
      <c r="H49" s="60"/>
      <c r="I49" s="108">
        <f>SUM(I37:I44)</f>
        <v>43163426</v>
      </c>
      <c r="J49" s="108">
        <f>SUM(J37:J44)</f>
        <v>3524681.35</v>
      </c>
      <c r="K49" s="108">
        <f>SUM(K37:K44)</f>
        <v>46688107.35</v>
      </c>
      <c r="L49" s="108">
        <f t="shared" ref="I49:W49" si="9">SUM(L37:L44)</f>
        <v>0</v>
      </c>
      <c r="M49" s="108">
        <f t="shared" si="9"/>
        <v>0</v>
      </c>
      <c r="N49" s="108">
        <f t="shared" si="9"/>
        <v>0</v>
      </c>
      <c r="O49" s="108">
        <f t="shared" si="9"/>
        <v>613920.32</v>
      </c>
      <c r="P49" s="108">
        <f t="shared" si="9"/>
        <v>0</v>
      </c>
      <c r="Q49" s="108">
        <f t="shared" si="9"/>
        <v>0</v>
      </c>
      <c r="R49" s="108">
        <f t="shared" si="9"/>
        <v>0</v>
      </c>
      <c r="S49" s="108">
        <f t="shared" si="9"/>
        <v>45474187.03</v>
      </c>
      <c r="T49" s="111">
        <f t="shared" si="9"/>
        <v>600000</v>
      </c>
      <c r="U49" s="111">
        <f t="shared" si="9"/>
        <v>36066914.82</v>
      </c>
      <c r="V49" s="111">
        <f t="shared" si="9"/>
        <v>600000</v>
      </c>
      <c r="W49" s="111">
        <f t="shared" si="9"/>
        <v>9407272.21</v>
      </c>
      <c r="X49" s="111"/>
      <c r="Y49" s="111"/>
      <c r="Z49" s="111">
        <f>SUM(Z37:Z44)</f>
        <v>4656800</v>
      </c>
      <c r="AA49" s="111">
        <f>SUM(AA37:AA44)</f>
        <v>4656800</v>
      </c>
      <c r="AB49" s="146"/>
    </row>
    <row r="50" s="1" customFormat="1" ht="29" customHeight="1" spans="1:28">
      <c r="A50" s="48"/>
      <c r="B50" s="48"/>
      <c r="C50" s="48"/>
      <c r="D50" s="48"/>
      <c r="E50" s="49"/>
      <c r="F50" s="61" t="s">
        <v>327</v>
      </c>
      <c r="G50" s="61"/>
      <c r="H50" s="61"/>
      <c r="I50" s="109">
        <f>SUM(I45:I48)</f>
        <v>-5.82076609134674e-10</v>
      </c>
      <c r="J50" s="109">
        <f t="shared" ref="J50:AA50" si="10">SUM(J45:J48)</f>
        <v>805916.65</v>
      </c>
      <c r="K50" s="109">
        <f t="shared" si="10"/>
        <v>805916.649999999</v>
      </c>
      <c r="L50" s="109">
        <f t="shared" si="10"/>
        <v>0</v>
      </c>
      <c r="M50" s="109">
        <f t="shared" si="10"/>
        <v>0</v>
      </c>
      <c r="N50" s="109">
        <f t="shared" si="10"/>
        <v>0</v>
      </c>
      <c r="O50" s="109">
        <f t="shared" si="10"/>
        <v>201576.1</v>
      </c>
      <c r="P50" s="109">
        <f t="shared" si="10"/>
        <v>0</v>
      </c>
      <c r="Q50" s="109">
        <f t="shared" si="10"/>
        <v>0</v>
      </c>
      <c r="R50" s="109">
        <f t="shared" si="10"/>
        <v>0</v>
      </c>
      <c r="S50" s="109">
        <f t="shared" si="10"/>
        <v>805916.649999999</v>
      </c>
      <c r="T50" s="109">
        <f t="shared" si="10"/>
        <v>0</v>
      </c>
      <c r="U50" s="109">
        <f t="shared" si="10"/>
        <v>0</v>
      </c>
      <c r="V50" s="109">
        <f t="shared" si="10"/>
        <v>1756800</v>
      </c>
      <c r="W50" s="109">
        <f t="shared" si="10"/>
        <v>-1152459.45</v>
      </c>
      <c r="X50" s="109">
        <f t="shared" si="10"/>
        <v>0</v>
      </c>
      <c r="Y50" s="109">
        <f t="shared" si="10"/>
        <v>0</v>
      </c>
      <c r="Z50" s="109">
        <f t="shared" si="10"/>
        <v>0</v>
      </c>
      <c r="AA50" s="109">
        <f t="shared" si="10"/>
        <v>0</v>
      </c>
      <c r="AB50" s="142"/>
    </row>
    <row r="51" s="1" customFormat="1" ht="39" customHeight="1" spans="1:28">
      <c r="A51" s="43">
        <v>4</v>
      </c>
      <c r="B51" s="43" t="s">
        <v>67</v>
      </c>
      <c r="C51" s="43" t="s">
        <v>68</v>
      </c>
      <c r="D51" s="65" t="s">
        <v>69</v>
      </c>
      <c r="E51" s="45">
        <v>31370181</v>
      </c>
      <c r="F51" s="43" t="s">
        <v>295</v>
      </c>
      <c r="G51" s="66" t="s">
        <v>70</v>
      </c>
      <c r="H51" s="66" t="s">
        <v>71</v>
      </c>
      <c r="I51" s="94"/>
      <c r="J51" s="94"/>
      <c r="K51" s="94">
        <f>I51+J51</f>
        <v>0</v>
      </c>
      <c r="L51" s="94"/>
      <c r="M51" s="94"/>
      <c r="N51" s="94"/>
      <c r="O51" s="94"/>
      <c r="P51" s="94"/>
      <c r="Q51" s="94"/>
      <c r="R51" s="94">
        <v>3137018.1</v>
      </c>
      <c r="S51" s="94">
        <f>K51-L51-M51-N51-O51+R51</f>
        <v>3137018.1</v>
      </c>
      <c r="T51" s="94"/>
      <c r="U51" s="94">
        <v>3137018.1</v>
      </c>
      <c r="V51" s="94"/>
      <c r="W51" s="133">
        <f t="shared" ref="W51:W53" si="11">S51+T51-U51-V51</f>
        <v>0</v>
      </c>
      <c r="X51" s="45" t="e">
        <f>K58+F51</f>
        <v>#VALUE!</v>
      </c>
      <c r="Y51" s="45">
        <f>U58</f>
        <v>25096144.8</v>
      </c>
      <c r="Z51" s="145"/>
      <c r="AA51" s="145">
        <v>0</v>
      </c>
      <c r="AB51" s="135"/>
    </row>
    <row r="52" s="1" customFormat="1" ht="51" customHeight="1" spans="1:28">
      <c r="A52" s="48"/>
      <c r="B52" s="48"/>
      <c r="C52" s="48"/>
      <c r="D52" s="67"/>
      <c r="E52" s="49"/>
      <c r="F52" s="48"/>
      <c r="G52" s="66" t="s">
        <v>72</v>
      </c>
      <c r="H52" s="78" t="s">
        <v>73</v>
      </c>
      <c r="I52" s="95">
        <v>16656733.21</v>
      </c>
      <c r="J52" s="95">
        <v>2165375.39</v>
      </c>
      <c r="K52" s="95">
        <f>I52+J52</f>
        <v>18822108.6</v>
      </c>
      <c r="L52" s="95"/>
      <c r="M52" s="95"/>
      <c r="N52" s="95"/>
      <c r="O52" s="95"/>
      <c r="P52" s="95"/>
      <c r="Q52" s="95"/>
      <c r="R52" s="95">
        <v>-3137018.1</v>
      </c>
      <c r="S52" s="95">
        <f>K52-L52-M52-N52-O52+R52</f>
        <v>15685090.5</v>
      </c>
      <c r="T52" s="95"/>
      <c r="U52" s="95">
        <v>15685090.5</v>
      </c>
      <c r="V52" s="405"/>
      <c r="W52" s="133">
        <f t="shared" si="11"/>
        <v>0</v>
      </c>
      <c r="X52" s="49"/>
      <c r="Y52" s="49"/>
      <c r="Z52" s="145"/>
      <c r="AA52" s="145"/>
      <c r="AB52" s="135"/>
    </row>
    <row r="53" s="1" customFormat="1" ht="42" customHeight="1" spans="1:28">
      <c r="A53" s="48"/>
      <c r="B53" s="48"/>
      <c r="C53" s="48"/>
      <c r="D53" s="67"/>
      <c r="E53" s="49"/>
      <c r="F53" s="48"/>
      <c r="G53" s="79" t="s">
        <v>74</v>
      </c>
      <c r="H53" s="80" t="s">
        <v>75</v>
      </c>
      <c r="I53" s="120">
        <v>9253740.7</v>
      </c>
      <c r="J53" s="120">
        <f>K53-I53</f>
        <v>1202986.3</v>
      </c>
      <c r="K53" s="120">
        <v>10456727</v>
      </c>
      <c r="L53" s="120">
        <v>0</v>
      </c>
      <c r="M53" s="94">
        <v>0</v>
      </c>
      <c r="N53" s="94">
        <v>0</v>
      </c>
      <c r="O53" s="94">
        <v>0</v>
      </c>
      <c r="P53" s="94"/>
      <c r="Q53" s="94"/>
      <c r="R53" s="94">
        <v>0</v>
      </c>
      <c r="S53" s="94">
        <f>K53-L53-M53-N53-O53+R53</f>
        <v>10456727</v>
      </c>
      <c r="T53" s="94">
        <v>0</v>
      </c>
      <c r="U53" s="94">
        <v>6274036.2</v>
      </c>
      <c r="V53" s="94"/>
      <c r="W53" s="133">
        <f t="shared" si="11"/>
        <v>4182690.8</v>
      </c>
      <c r="X53" s="49"/>
      <c r="Y53" s="49"/>
      <c r="Z53" s="174"/>
      <c r="AA53" s="174"/>
      <c r="AB53" s="135"/>
    </row>
    <row r="54" s="1" customFormat="1" ht="42" customHeight="1" spans="1:28">
      <c r="A54" s="48"/>
      <c r="B54" s="48"/>
      <c r="C54" s="48"/>
      <c r="D54" s="67"/>
      <c r="E54" s="49"/>
      <c r="F54" s="255" t="s">
        <v>296</v>
      </c>
      <c r="G54" s="53"/>
      <c r="H54" s="68"/>
      <c r="I54" s="101"/>
      <c r="J54" s="101"/>
      <c r="K54" s="101"/>
      <c r="L54" s="101"/>
      <c r="M54" s="101"/>
      <c r="N54" s="101"/>
      <c r="O54" s="101"/>
      <c r="P54" s="101"/>
      <c r="Q54" s="101"/>
      <c r="R54" s="101"/>
      <c r="S54" s="101"/>
      <c r="T54" s="101"/>
      <c r="U54" s="101"/>
      <c r="V54" s="101"/>
      <c r="W54" s="143"/>
      <c r="X54" s="49"/>
      <c r="Y54" s="49"/>
      <c r="Z54" s="174"/>
      <c r="AA54" s="174"/>
      <c r="AB54" s="135"/>
    </row>
    <row r="55" s="1" customFormat="1" ht="42" customHeight="1" spans="1:28">
      <c r="A55" s="48"/>
      <c r="B55" s="48"/>
      <c r="C55" s="48"/>
      <c r="D55" s="67"/>
      <c r="E55" s="49"/>
      <c r="F55" s="255"/>
      <c r="G55" s="53"/>
      <c r="H55" s="68"/>
      <c r="I55" s="101"/>
      <c r="J55" s="101"/>
      <c r="K55" s="101"/>
      <c r="L55" s="101"/>
      <c r="M55" s="101"/>
      <c r="N55" s="101"/>
      <c r="O55" s="101"/>
      <c r="P55" s="101"/>
      <c r="Q55" s="101"/>
      <c r="R55" s="101"/>
      <c r="S55" s="101"/>
      <c r="T55" s="101"/>
      <c r="U55" s="101"/>
      <c r="V55" s="101"/>
      <c r="W55" s="143"/>
      <c r="X55" s="49"/>
      <c r="Y55" s="49"/>
      <c r="Z55" s="174"/>
      <c r="AA55" s="174"/>
      <c r="AB55" s="135"/>
    </row>
    <row r="56" s="1" customFormat="1" ht="42" customHeight="1" spans="1:28">
      <c r="A56" s="48"/>
      <c r="B56" s="48"/>
      <c r="C56" s="48"/>
      <c r="D56" s="67"/>
      <c r="E56" s="49"/>
      <c r="F56" s="255"/>
      <c r="G56" s="53"/>
      <c r="H56" s="68"/>
      <c r="I56" s="101"/>
      <c r="J56" s="101"/>
      <c r="K56" s="101"/>
      <c r="L56" s="101"/>
      <c r="M56" s="101"/>
      <c r="N56" s="101"/>
      <c r="O56" s="101"/>
      <c r="P56" s="101"/>
      <c r="Q56" s="101"/>
      <c r="R56" s="101"/>
      <c r="S56" s="101"/>
      <c r="T56" s="101"/>
      <c r="U56" s="101"/>
      <c r="V56" s="101"/>
      <c r="W56" s="143"/>
      <c r="X56" s="49"/>
      <c r="Y56" s="49"/>
      <c r="Z56" s="174"/>
      <c r="AA56" s="174"/>
      <c r="AB56" s="135"/>
    </row>
    <row r="57" s="1" customFormat="1" ht="42" customHeight="1" spans="1:28">
      <c r="A57" s="48"/>
      <c r="B57" s="48"/>
      <c r="C57" s="48"/>
      <c r="D57" s="67"/>
      <c r="E57" s="49"/>
      <c r="F57" s="255"/>
      <c r="G57" s="53"/>
      <c r="H57" s="68"/>
      <c r="I57" s="101"/>
      <c r="J57" s="101"/>
      <c r="K57" s="101"/>
      <c r="L57" s="101"/>
      <c r="M57" s="101"/>
      <c r="N57" s="101"/>
      <c r="O57" s="101"/>
      <c r="P57" s="101"/>
      <c r="Q57" s="101"/>
      <c r="R57" s="101"/>
      <c r="S57" s="101"/>
      <c r="T57" s="101"/>
      <c r="U57" s="101"/>
      <c r="V57" s="101"/>
      <c r="W57" s="143"/>
      <c r="X57" s="49"/>
      <c r="Y57" s="49"/>
      <c r="Z57" s="174"/>
      <c r="AA57" s="174"/>
      <c r="AB57" s="135"/>
    </row>
    <row r="58" s="1" customFormat="1" ht="26" customHeight="1" spans="1:28">
      <c r="A58" s="48"/>
      <c r="B58" s="48"/>
      <c r="C58" s="48"/>
      <c r="D58" s="67"/>
      <c r="E58" s="49"/>
      <c r="F58" s="58" t="s">
        <v>326</v>
      </c>
      <c r="G58" s="59"/>
      <c r="H58" s="60"/>
      <c r="I58" s="108">
        <f>SUM(I51:I53)</f>
        <v>25910473.91</v>
      </c>
      <c r="J58" s="108">
        <f>SUM(J51:J53)</f>
        <v>3368361.69</v>
      </c>
      <c r="K58" s="111">
        <f>I58+J58</f>
        <v>29278835.6</v>
      </c>
      <c r="L58" s="111"/>
      <c r="M58" s="111"/>
      <c r="N58" s="111"/>
      <c r="O58" s="111"/>
      <c r="P58" s="111"/>
      <c r="Q58" s="111"/>
      <c r="R58" s="111">
        <f t="shared" ref="R58:W58" si="12">SUM(R51:R53)</f>
        <v>0</v>
      </c>
      <c r="S58" s="147">
        <f>K58-L58-M58-N58-O58+R58</f>
        <v>29278835.6</v>
      </c>
      <c r="T58" s="147"/>
      <c r="U58" s="111">
        <f>SUM(U51:U53)</f>
        <v>25096144.8</v>
      </c>
      <c r="V58" s="111">
        <f t="shared" si="12"/>
        <v>0</v>
      </c>
      <c r="W58" s="111">
        <f t="shared" si="12"/>
        <v>4182690.8</v>
      </c>
      <c r="X58" s="81"/>
      <c r="Y58" s="81"/>
      <c r="Z58" s="188">
        <f>SUM(Z51:Z53)</f>
        <v>0</v>
      </c>
      <c r="AA58" s="188">
        <f>SUM(AA51:AA53)</f>
        <v>0</v>
      </c>
      <c r="AB58" s="146"/>
    </row>
    <row r="59" s="1" customFormat="1" ht="26" customHeight="1" spans="1:28">
      <c r="A59" s="48"/>
      <c r="B59" s="48"/>
      <c r="C59" s="48"/>
      <c r="D59" s="67"/>
      <c r="E59" s="81"/>
      <c r="F59" s="61" t="s">
        <v>327</v>
      </c>
      <c r="G59" s="61"/>
      <c r="H59" s="61"/>
      <c r="I59" s="109">
        <f>SUM(I54:I57)</f>
        <v>0</v>
      </c>
      <c r="J59" s="109">
        <f t="shared" ref="J59:AA59" si="13">SUM(J54:J57)</f>
        <v>0</v>
      </c>
      <c r="K59" s="109">
        <f t="shared" si="13"/>
        <v>0</v>
      </c>
      <c r="L59" s="109">
        <f t="shared" si="13"/>
        <v>0</v>
      </c>
      <c r="M59" s="109">
        <f t="shared" si="13"/>
        <v>0</v>
      </c>
      <c r="N59" s="109">
        <f t="shared" si="13"/>
        <v>0</v>
      </c>
      <c r="O59" s="109">
        <f t="shared" si="13"/>
        <v>0</v>
      </c>
      <c r="P59" s="109">
        <f t="shared" si="13"/>
        <v>0</v>
      </c>
      <c r="Q59" s="109">
        <f t="shared" si="13"/>
        <v>0</v>
      </c>
      <c r="R59" s="109">
        <f t="shared" si="13"/>
        <v>0</v>
      </c>
      <c r="S59" s="109">
        <f t="shared" si="13"/>
        <v>0</v>
      </c>
      <c r="T59" s="109">
        <f t="shared" si="13"/>
        <v>0</v>
      </c>
      <c r="U59" s="109">
        <f t="shared" si="13"/>
        <v>0</v>
      </c>
      <c r="V59" s="109">
        <f t="shared" si="13"/>
        <v>0</v>
      </c>
      <c r="W59" s="109">
        <f t="shared" si="13"/>
        <v>0</v>
      </c>
      <c r="X59" s="108">
        <f t="shared" si="13"/>
        <v>0</v>
      </c>
      <c r="Y59" s="108">
        <f t="shared" si="13"/>
        <v>0</v>
      </c>
      <c r="Z59" s="108">
        <f t="shared" si="13"/>
        <v>0</v>
      </c>
      <c r="AA59" s="108">
        <f t="shared" si="13"/>
        <v>0</v>
      </c>
      <c r="AB59" s="146"/>
    </row>
    <row r="60" s="1" customFormat="1" ht="38" customHeight="1" spans="1:28">
      <c r="A60" s="43">
        <v>5</v>
      </c>
      <c r="B60" s="43" t="s">
        <v>76</v>
      </c>
      <c r="C60" s="43" t="s">
        <v>77</v>
      </c>
      <c r="D60" s="43" t="s">
        <v>78</v>
      </c>
      <c r="E60" s="45">
        <v>98880000</v>
      </c>
      <c r="F60" s="45" t="s">
        <v>301</v>
      </c>
      <c r="G60" s="82" t="s">
        <v>79</v>
      </c>
      <c r="H60" s="82" t="s">
        <v>80</v>
      </c>
      <c r="I60" s="94"/>
      <c r="J60" s="94"/>
      <c r="K60" s="94">
        <f>I60+J60</f>
        <v>0</v>
      </c>
      <c r="L60" s="94"/>
      <c r="M60" s="94"/>
      <c r="N60" s="94"/>
      <c r="O60" s="94"/>
      <c r="P60" s="94"/>
      <c r="Q60" s="94"/>
      <c r="R60" s="94">
        <v>9888000</v>
      </c>
      <c r="S60" s="94">
        <f>K60-L60-M60-N60-O60+R60</f>
        <v>9888000</v>
      </c>
      <c r="T60" s="94"/>
      <c r="U60" s="94">
        <v>9888000</v>
      </c>
      <c r="V60" s="94"/>
      <c r="W60" s="94">
        <f>S60+T60-U60-V60</f>
        <v>0</v>
      </c>
      <c r="X60" s="45" t="e">
        <f>K68+F60</f>
        <v>#VALUE!</v>
      </c>
      <c r="Y60" s="45" t="e">
        <f>U68+F60</f>
        <v>#VALUE!</v>
      </c>
      <c r="Z60" s="145"/>
      <c r="AA60" s="145">
        <v>0</v>
      </c>
      <c r="AB60" s="145"/>
    </row>
    <row r="61" s="1" customFormat="1" ht="47" customHeight="1" spans="1:28">
      <c r="A61" s="48"/>
      <c r="B61" s="48"/>
      <c r="C61" s="48"/>
      <c r="D61" s="48"/>
      <c r="E61" s="49"/>
      <c r="F61" s="49"/>
      <c r="G61" s="50" t="s">
        <v>81</v>
      </c>
      <c r="H61" s="83" t="s">
        <v>82</v>
      </c>
      <c r="I61" s="112">
        <f>K61-J61</f>
        <v>70003539.82</v>
      </c>
      <c r="J61" s="112">
        <v>9100460.18</v>
      </c>
      <c r="K61" s="112">
        <v>79104000</v>
      </c>
      <c r="L61" s="112"/>
      <c r="M61" s="112"/>
      <c r="N61" s="112"/>
      <c r="O61" s="112"/>
      <c r="P61" s="112"/>
      <c r="Q61" s="112"/>
      <c r="R61" s="112">
        <v>-9888000</v>
      </c>
      <c r="S61" s="112">
        <f>K61-L61-M61-N61-O61+R61</f>
        <v>69216000</v>
      </c>
      <c r="T61" s="45"/>
      <c r="U61" s="148">
        <v>29664000</v>
      </c>
      <c r="V61" s="45"/>
      <c r="W61" s="45">
        <f>S61+T61-U61-U63</f>
        <v>0</v>
      </c>
      <c r="X61" s="49"/>
      <c r="Y61" s="49"/>
      <c r="Z61" s="145"/>
      <c r="AA61" s="145"/>
      <c r="AB61" s="45"/>
    </row>
    <row r="62" s="1" customFormat="1" ht="47" customHeight="1" spans="1:28">
      <c r="A62" s="48"/>
      <c r="B62" s="48"/>
      <c r="C62" s="48"/>
      <c r="D62" s="48"/>
      <c r="E62" s="49"/>
      <c r="F62" s="49"/>
      <c r="G62" s="50" t="s">
        <v>83</v>
      </c>
      <c r="H62" s="83" t="s">
        <v>84</v>
      </c>
      <c r="I62" s="113"/>
      <c r="J62" s="113"/>
      <c r="K62" s="113"/>
      <c r="L62" s="113"/>
      <c r="M62" s="113"/>
      <c r="N62" s="113"/>
      <c r="O62" s="113"/>
      <c r="P62" s="113"/>
      <c r="Q62" s="113"/>
      <c r="R62" s="113"/>
      <c r="S62" s="113"/>
      <c r="T62" s="49"/>
      <c r="U62" s="149"/>
      <c r="V62" s="49"/>
      <c r="W62" s="49">
        <f>S62+T62-U62-V62</f>
        <v>0</v>
      </c>
      <c r="X62" s="49"/>
      <c r="Y62" s="49"/>
      <c r="Z62" s="145"/>
      <c r="AA62" s="145"/>
      <c r="AB62" s="49"/>
    </row>
    <row r="63" s="1" customFormat="1" ht="47" customHeight="1" spans="1:28">
      <c r="A63" s="48"/>
      <c r="B63" s="48"/>
      <c r="C63" s="48"/>
      <c r="D63" s="48"/>
      <c r="E63" s="49"/>
      <c r="F63" s="81"/>
      <c r="G63" s="50" t="s">
        <v>85</v>
      </c>
      <c r="H63" s="83" t="s">
        <v>86</v>
      </c>
      <c r="I63" s="114"/>
      <c r="J63" s="114"/>
      <c r="K63" s="114"/>
      <c r="L63" s="114"/>
      <c r="M63" s="114"/>
      <c r="N63" s="114"/>
      <c r="O63" s="114"/>
      <c r="P63" s="114"/>
      <c r="Q63" s="114"/>
      <c r="R63" s="114"/>
      <c r="S63" s="114"/>
      <c r="T63" s="81"/>
      <c r="U63" s="149">
        <v>39552000</v>
      </c>
      <c r="V63" s="81"/>
      <c r="W63" s="81"/>
      <c r="X63" s="49"/>
      <c r="Y63" s="49"/>
      <c r="Z63" s="145"/>
      <c r="AA63" s="145"/>
      <c r="AB63" s="81"/>
    </row>
    <row r="64" s="1" customFormat="1" ht="47" customHeight="1" spans="1:28">
      <c r="A64" s="48"/>
      <c r="B64" s="48"/>
      <c r="C64" s="48"/>
      <c r="D64" s="48"/>
      <c r="E64" s="49"/>
      <c r="F64" s="103" t="s">
        <v>319</v>
      </c>
      <c r="G64" s="53"/>
      <c r="H64" s="151"/>
      <c r="I64" s="202"/>
      <c r="J64" s="202"/>
      <c r="K64" s="202"/>
      <c r="L64" s="202"/>
      <c r="M64" s="202"/>
      <c r="N64" s="202"/>
      <c r="O64" s="202"/>
      <c r="P64" s="202"/>
      <c r="Q64" s="202"/>
      <c r="R64" s="202"/>
      <c r="S64" s="202"/>
      <c r="T64" s="106"/>
      <c r="U64" s="206"/>
      <c r="V64" s="106"/>
      <c r="W64" s="106"/>
      <c r="X64" s="49"/>
      <c r="Y64" s="49"/>
      <c r="Z64" s="174"/>
      <c r="AA64" s="174"/>
      <c r="AB64" s="81"/>
    </row>
    <row r="65" s="1" customFormat="1" ht="47" customHeight="1" spans="1:28">
      <c r="A65" s="48"/>
      <c r="B65" s="48"/>
      <c r="C65" s="48"/>
      <c r="D65" s="48"/>
      <c r="E65" s="49"/>
      <c r="F65" s="105"/>
      <c r="G65" s="53"/>
      <c r="H65" s="151"/>
      <c r="I65" s="202"/>
      <c r="J65" s="202"/>
      <c r="K65" s="202"/>
      <c r="L65" s="202"/>
      <c r="M65" s="202"/>
      <c r="N65" s="202"/>
      <c r="O65" s="202"/>
      <c r="P65" s="202"/>
      <c r="Q65" s="202"/>
      <c r="R65" s="202"/>
      <c r="S65" s="202"/>
      <c r="T65" s="106"/>
      <c r="U65" s="206"/>
      <c r="V65" s="106"/>
      <c r="W65" s="106"/>
      <c r="X65" s="49"/>
      <c r="Y65" s="49"/>
      <c r="Z65" s="174"/>
      <c r="AA65" s="174"/>
      <c r="AB65" s="81"/>
    </row>
    <row r="66" s="1" customFormat="1" ht="47" customHeight="1" spans="1:28">
      <c r="A66" s="48"/>
      <c r="B66" s="48"/>
      <c r="C66" s="48"/>
      <c r="D66" s="48"/>
      <c r="E66" s="49"/>
      <c r="F66" s="105"/>
      <c r="G66" s="53"/>
      <c r="H66" s="151"/>
      <c r="I66" s="202"/>
      <c r="J66" s="202"/>
      <c r="K66" s="202"/>
      <c r="L66" s="202"/>
      <c r="M66" s="202"/>
      <c r="N66" s="202"/>
      <c r="O66" s="202"/>
      <c r="P66" s="202"/>
      <c r="Q66" s="202"/>
      <c r="R66" s="202"/>
      <c r="S66" s="202"/>
      <c r="T66" s="106"/>
      <c r="U66" s="206"/>
      <c r="V66" s="106"/>
      <c r="W66" s="106"/>
      <c r="X66" s="49"/>
      <c r="Y66" s="49"/>
      <c r="Z66" s="174"/>
      <c r="AA66" s="174"/>
      <c r="AB66" s="81"/>
    </row>
    <row r="67" s="1" customFormat="1" ht="47" customHeight="1" spans="1:28">
      <c r="A67" s="48"/>
      <c r="B67" s="48"/>
      <c r="C67" s="48"/>
      <c r="D67" s="48"/>
      <c r="E67" s="49"/>
      <c r="F67" s="106"/>
      <c r="G67" s="53"/>
      <c r="H67" s="151"/>
      <c r="I67" s="202"/>
      <c r="J67" s="202"/>
      <c r="K67" s="202"/>
      <c r="L67" s="202"/>
      <c r="M67" s="202"/>
      <c r="N67" s="202"/>
      <c r="O67" s="202"/>
      <c r="P67" s="202"/>
      <c r="Q67" s="202"/>
      <c r="R67" s="202"/>
      <c r="S67" s="202"/>
      <c r="T67" s="106"/>
      <c r="U67" s="206"/>
      <c r="V67" s="106"/>
      <c r="W67" s="106"/>
      <c r="X67" s="49"/>
      <c r="Y67" s="49"/>
      <c r="Z67" s="174"/>
      <c r="AA67" s="174"/>
      <c r="AB67" s="81"/>
    </row>
    <row r="68" s="1" customFormat="1" ht="39" customHeight="1" spans="1:28">
      <c r="A68" s="48"/>
      <c r="B68" s="48"/>
      <c r="C68" s="48"/>
      <c r="D68" s="48"/>
      <c r="E68" s="49"/>
      <c r="F68" s="58" t="s">
        <v>326</v>
      </c>
      <c r="G68" s="59"/>
      <c r="H68" s="60"/>
      <c r="I68" s="108">
        <f>SUM(I60:I63)</f>
        <v>70003539.82</v>
      </c>
      <c r="J68" s="108">
        <f t="shared" ref="I68:T68" si="14">SUM(J60:J63)</f>
        <v>9100460.18</v>
      </c>
      <c r="K68" s="108">
        <f t="shared" si="14"/>
        <v>79104000</v>
      </c>
      <c r="L68" s="108">
        <f t="shared" si="14"/>
        <v>0</v>
      </c>
      <c r="M68" s="108">
        <f t="shared" si="14"/>
        <v>0</v>
      </c>
      <c r="N68" s="108">
        <f t="shared" si="14"/>
        <v>0</v>
      </c>
      <c r="O68" s="108">
        <f t="shared" si="14"/>
        <v>0</v>
      </c>
      <c r="P68" s="108"/>
      <c r="Q68" s="108">
        <f>SUM(Q60:Q63)</f>
        <v>0</v>
      </c>
      <c r="R68" s="108">
        <f>SUM(R60:R63)</f>
        <v>0</v>
      </c>
      <c r="S68" s="108">
        <f>SUM(S60:S63)</f>
        <v>79104000</v>
      </c>
      <c r="T68" s="108">
        <f>SUM(T60:T63)</f>
        <v>0</v>
      </c>
      <c r="U68" s="108">
        <f>SUM(U60:U63)</f>
        <v>79104000</v>
      </c>
      <c r="V68" s="108"/>
      <c r="W68" s="108">
        <f>S68+T68-U68-V68</f>
        <v>0</v>
      </c>
      <c r="X68" s="81"/>
      <c r="Y68" s="81"/>
      <c r="Z68" s="188">
        <f>SUM(Z60:Z61)</f>
        <v>0</v>
      </c>
      <c r="AA68" s="188">
        <f>SUM(AA60:AA61)</f>
        <v>0</v>
      </c>
      <c r="AB68" s="188"/>
    </row>
    <row r="69" s="1" customFormat="1" ht="39" customHeight="1" spans="1:28">
      <c r="A69" s="48"/>
      <c r="B69" s="48"/>
      <c r="C69" s="48"/>
      <c r="D69" s="48"/>
      <c r="E69" s="49"/>
      <c r="F69" s="61" t="s">
        <v>327</v>
      </c>
      <c r="G69" s="61"/>
      <c r="H69" s="61"/>
      <c r="I69" s="109">
        <f>SUM(I64:I67)</f>
        <v>0</v>
      </c>
      <c r="J69" s="109">
        <f>SUM(J64:J67)</f>
        <v>0</v>
      </c>
      <c r="K69" s="109">
        <f t="shared" ref="J69:AA69" si="15">SUM(K64:K67)</f>
        <v>0</v>
      </c>
      <c r="L69" s="109">
        <f t="shared" si="15"/>
        <v>0</v>
      </c>
      <c r="M69" s="109">
        <f t="shared" si="15"/>
        <v>0</v>
      </c>
      <c r="N69" s="109">
        <f t="shared" si="15"/>
        <v>0</v>
      </c>
      <c r="O69" s="109">
        <f t="shared" si="15"/>
        <v>0</v>
      </c>
      <c r="P69" s="109">
        <f t="shared" si="15"/>
        <v>0</v>
      </c>
      <c r="Q69" s="109">
        <f t="shared" si="15"/>
        <v>0</v>
      </c>
      <c r="R69" s="109">
        <f t="shared" si="15"/>
        <v>0</v>
      </c>
      <c r="S69" s="109">
        <f t="shared" si="15"/>
        <v>0</v>
      </c>
      <c r="T69" s="109">
        <f t="shared" si="15"/>
        <v>0</v>
      </c>
      <c r="U69" s="109">
        <f t="shared" si="15"/>
        <v>0</v>
      </c>
      <c r="V69" s="109">
        <f t="shared" si="15"/>
        <v>0</v>
      </c>
      <c r="W69" s="109">
        <f t="shared" si="15"/>
        <v>0</v>
      </c>
      <c r="X69" s="109">
        <f t="shared" si="15"/>
        <v>0</v>
      </c>
      <c r="Y69" s="109">
        <f t="shared" si="15"/>
        <v>0</v>
      </c>
      <c r="Z69" s="109">
        <f t="shared" si="15"/>
        <v>0</v>
      </c>
      <c r="AA69" s="109">
        <f t="shared" si="15"/>
        <v>0</v>
      </c>
      <c r="AB69" s="188"/>
    </row>
    <row r="70" s="1" customFormat="1" ht="39" customHeight="1" spans="1:28">
      <c r="A70" s="43">
        <v>6</v>
      </c>
      <c r="B70" s="44" t="s">
        <v>87</v>
      </c>
      <c r="C70" s="43" t="s">
        <v>88</v>
      </c>
      <c r="D70" s="44" t="s">
        <v>35</v>
      </c>
      <c r="E70" s="45">
        <v>950000</v>
      </c>
      <c r="F70" s="46">
        <v>285000</v>
      </c>
      <c r="G70" s="152" t="s">
        <v>89</v>
      </c>
      <c r="H70" s="66" t="s">
        <v>90</v>
      </c>
      <c r="I70" s="94">
        <v>627358.49</v>
      </c>
      <c r="J70" s="94">
        <v>37641.51</v>
      </c>
      <c r="K70" s="94">
        <f t="shared" ref="K70:K82" si="16">I70+J70</f>
        <v>665000</v>
      </c>
      <c r="L70" s="94"/>
      <c r="M70" s="94"/>
      <c r="N70" s="94"/>
      <c r="O70" s="94"/>
      <c r="P70" s="94"/>
      <c r="Q70" s="94"/>
      <c r="R70" s="94"/>
      <c r="S70" s="94">
        <f t="shared" ref="S70:S93" si="17">K70-L70-M70-N70-O70+R70</f>
        <v>665000</v>
      </c>
      <c r="T70" s="94"/>
      <c r="U70" s="94">
        <v>665000</v>
      </c>
      <c r="V70" s="94"/>
      <c r="W70" s="94">
        <f>S70+T70-U70-V70</f>
        <v>0</v>
      </c>
      <c r="X70" s="45">
        <f>K71+F70</f>
        <v>950000</v>
      </c>
      <c r="Y70" s="45">
        <f>U71+F70</f>
        <v>950000</v>
      </c>
      <c r="Z70" s="145"/>
      <c r="AA70" s="145"/>
      <c r="AB70" s="145"/>
    </row>
    <row r="71" s="1" customFormat="1" ht="20" customHeight="1" spans="1:28">
      <c r="A71" s="153"/>
      <c r="B71" s="153"/>
      <c r="C71" s="153"/>
      <c r="D71" s="153"/>
      <c r="E71" s="81"/>
      <c r="F71" s="46"/>
      <c r="G71" s="154" t="s">
        <v>46</v>
      </c>
      <c r="H71" s="155"/>
      <c r="I71" s="108">
        <f>SUM(I70)</f>
        <v>627358.49</v>
      </c>
      <c r="J71" s="111">
        <f t="shared" ref="I71:K71" si="18">SUM(J70)</f>
        <v>37641.51</v>
      </c>
      <c r="K71" s="111">
        <f t="shared" si="18"/>
        <v>665000</v>
      </c>
      <c r="L71" s="111"/>
      <c r="M71" s="111"/>
      <c r="N71" s="111"/>
      <c r="O71" s="111"/>
      <c r="P71" s="111"/>
      <c r="Q71" s="111"/>
      <c r="R71" s="111">
        <f t="shared" ref="R71:W71" si="19">SUM(R70)</f>
        <v>0</v>
      </c>
      <c r="S71" s="147">
        <f t="shared" si="17"/>
        <v>665000</v>
      </c>
      <c r="T71" s="147"/>
      <c r="U71" s="111">
        <f t="shared" si="19"/>
        <v>665000</v>
      </c>
      <c r="V71" s="111">
        <f t="shared" si="19"/>
        <v>0</v>
      </c>
      <c r="W71" s="111">
        <f t="shared" si="19"/>
        <v>0</v>
      </c>
      <c r="X71" s="81"/>
      <c r="Y71" s="81"/>
      <c r="Z71" s="188">
        <f>SUM(Z70)</f>
        <v>0</v>
      </c>
      <c r="AA71" s="188">
        <f>SUM(AA70)</f>
        <v>0</v>
      </c>
      <c r="AB71" s="146"/>
    </row>
    <row r="72" s="1" customFormat="1" ht="84" customHeight="1" spans="1:28">
      <c r="A72" s="156">
        <v>7</v>
      </c>
      <c r="B72" s="157" t="s">
        <v>91</v>
      </c>
      <c r="C72" s="158" t="s">
        <v>92</v>
      </c>
      <c r="D72" s="157" t="s">
        <v>93</v>
      </c>
      <c r="E72" s="145">
        <v>299000</v>
      </c>
      <c r="F72" s="145">
        <v>89700</v>
      </c>
      <c r="G72" s="66" t="s">
        <v>94</v>
      </c>
      <c r="H72" s="66" t="s">
        <v>95</v>
      </c>
      <c r="I72" s="94">
        <v>197452.83</v>
      </c>
      <c r="J72" s="94">
        <v>11847.17</v>
      </c>
      <c r="K72" s="94">
        <f t="shared" si="16"/>
        <v>209300</v>
      </c>
      <c r="L72" s="94"/>
      <c r="M72" s="94"/>
      <c r="N72" s="94"/>
      <c r="O72" s="94"/>
      <c r="P72" s="94"/>
      <c r="Q72" s="94"/>
      <c r="R72" s="94"/>
      <c r="S72" s="94">
        <f t="shared" si="17"/>
        <v>209300</v>
      </c>
      <c r="T72" s="94"/>
      <c r="U72" s="94">
        <v>209300</v>
      </c>
      <c r="V72" s="94"/>
      <c r="W72" s="94">
        <f t="shared" ref="W72:W93" si="20">S72+T72-U72-V72</f>
        <v>0</v>
      </c>
      <c r="X72" s="145">
        <f t="shared" ref="X72:X90" si="21">K72+F72</f>
        <v>299000</v>
      </c>
      <c r="Y72" s="145">
        <f t="shared" ref="Y72:Y90" si="22">U72+F72</f>
        <v>299000</v>
      </c>
      <c r="Z72" s="145"/>
      <c r="AA72" s="145"/>
      <c r="AB72" s="145"/>
    </row>
    <row r="73" s="1" customFormat="1" ht="36" customHeight="1" spans="1:28">
      <c r="A73" s="156">
        <v>8</v>
      </c>
      <c r="B73" s="157" t="s">
        <v>96</v>
      </c>
      <c r="C73" s="158" t="s">
        <v>97</v>
      </c>
      <c r="D73" s="157" t="s">
        <v>98</v>
      </c>
      <c r="E73" s="145">
        <v>75800</v>
      </c>
      <c r="F73" s="145">
        <v>37900</v>
      </c>
      <c r="G73" s="66" t="s">
        <v>99</v>
      </c>
      <c r="H73" s="66" t="s">
        <v>100</v>
      </c>
      <c r="I73" s="94">
        <v>35754.72</v>
      </c>
      <c r="J73" s="94">
        <v>2145.28</v>
      </c>
      <c r="K73" s="94">
        <f t="shared" si="16"/>
        <v>37900</v>
      </c>
      <c r="L73" s="94"/>
      <c r="M73" s="94"/>
      <c r="N73" s="94"/>
      <c r="O73" s="94"/>
      <c r="P73" s="94"/>
      <c r="Q73" s="94"/>
      <c r="R73" s="94"/>
      <c r="S73" s="94">
        <f t="shared" si="17"/>
        <v>37900</v>
      </c>
      <c r="T73" s="94"/>
      <c r="U73" s="94">
        <f t="shared" ref="U73:U79" si="23">K73+R73</f>
        <v>37900</v>
      </c>
      <c r="V73" s="94"/>
      <c r="W73" s="94">
        <f t="shared" si="20"/>
        <v>0</v>
      </c>
      <c r="X73" s="145">
        <f t="shared" si="21"/>
        <v>75800</v>
      </c>
      <c r="Y73" s="145">
        <f t="shared" si="22"/>
        <v>75800</v>
      </c>
      <c r="Z73" s="145"/>
      <c r="AA73" s="145"/>
      <c r="AB73" s="145"/>
    </row>
    <row r="74" s="1" customFormat="1" ht="45" customHeight="1" spans="1:28">
      <c r="A74" s="156">
        <v>9</v>
      </c>
      <c r="B74" s="157" t="s">
        <v>101</v>
      </c>
      <c r="C74" s="158" t="s">
        <v>102</v>
      </c>
      <c r="D74" s="157" t="s">
        <v>103</v>
      </c>
      <c r="E74" s="145">
        <v>139000</v>
      </c>
      <c r="F74" s="145">
        <v>0</v>
      </c>
      <c r="G74" s="66" t="s">
        <v>104</v>
      </c>
      <c r="H74" s="66" t="s">
        <v>105</v>
      </c>
      <c r="I74" s="94">
        <v>131132.08</v>
      </c>
      <c r="J74" s="94">
        <v>7867.92000000001</v>
      </c>
      <c r="K74" s="94">
        <f t="shared" si="16"/>
        <v>139000</v>
      </c>
      <c r="L74" s="94"/>
      <c r="M74" s="94"/>
      <c r="N74" s="94"/>
      <c r="O74" s="94"/>
      <c r="P74" s="94"/>
      <c r="Q74" s="94"/>
      <c r="R74" s="94"/>
      <c r="S74" s="94">
        <f t="shared" si="17"/>
        <v>139000</v>
      </c>
      <c r="T74" s="94"/>
      <c r="U74" s="94">
        <f t="shared" si="23"/>
        <v>139000</v>
      </c>
      <c r="V74" s="94"/>
      <c r="W74" s="94">
        <f t="shared" si="20"/>
        <v>0</v>
      </c>
      <c r="X74" s="145">
        <f t="shared" si="21"/>
        <v>139000</v>
      </c>
      <c r="Y74" s="145">
        <f t="shared" si="22"/>
        <v>139000</v>
      </c>
      <c r="Z74" s="145"/>
      <c r="AA74" s="145"/>
      <c r="AB74" s="145"/>
    </row>
    <row r="75" s="1" customFormat="1" ht="36" customHeight="1" spans="1:28">
      <c r="A75" s="156">
        <v>10</v>
      </c>
      <c r="B75" s="157" t="s">
        <v>106</v>
      </c>
      <c r="C75" s="158" t="s">
        <v>107</v>
      </c>
      <c r="D75" s="157" t="s">
        <v>108</v>
      </c>
      <c r="E75" s="145">
        <v>147000</v>
      </c>
      <c r="F75" s="145">
        <v>58800</v>
      </c>
      <c r="G75" s="66" t="s">
        <v>109</v>
      </c>
      <c r="H75" s="66" t="s">
        <v>110</v>
      </c>
      <c r="I75" s="94">
        <v>83207.55</v>
      </c>
      <c r="J75" s="94">
        <v>4992.45</v>
      </c>
      <c r="K75" s="94">
        <f t="shared" si="16"/>
        <v>88200</v>
      </c>
      <c r="L75" s="94"/>
      <c r="M75" s="94"/>
      <c r="N75" s="94"/>
      <c r="O75" s="94"/>
      <c r="P75" s="94"/>
      <c r="Q75" s="94"/>
      <c r="R75" s="94"/>
      <c r="S75" s="94">
        <f t="shared" si="17"/>
        <v>88200</v>
      </c>
      <c r="T75" s="94"/>
      <c r="U75" s="94">
        <f t="shared" si="23"/>
        <v>88200</v>
      </c>
      <c r="V75" s="94"/>
      <c r="W75" s="94">
        <f t="shared" si="20"/>
        <v>0</v>
      </c>
      <c r="X75" s="145">
        <f t="shared" si="21"/>
        <v>147000</v>
      </c>
      <c r="Y75" s="145">
        <f t="shared" si="22"/>
        <v>147000</v>
      </c>
      <c r="Z75" s="145"/>
      <c r="AA75" s="145"/>
      <c r="AB75" s="145"/>
    </row>
    <row r="76" s="1" customFormat="1" ht="36" customHeight="1" spans="1:28">
      <c r="A76" s="156">
        <v>11</v>
      </c>
      <c r="B76" s="157" t="s">
        <v>111</v>
      </c>
      <c r="C76" s="158" t="s">
        <v>112</v>
      </c>
      <c r="D76" s="157" t="s">
        <v>113</v>
      </c>
      <c r="E76" s="145">
        <v>350000</v>
      </c>
      <c r="F76" s="145">
        <v>175000</v>
      </c>
      <c r="G76" s="66" t="s">
        <v>114</v>
      </c>
      <c r="H76" s="66" t="s">
        <v>115</v>
      </c>
      <c r="I76" s="94">
        <v>165094.34</v>
      </c>
      <c r="J76" s="94">
        <v>9905.66</v>
      </c>
      <c r="K76" s="94">
        <f t="shared" si="16"/>
        <v>175000</v>
      </c>
      <c r="L76" s="94"/>
      <c r="M76" s="94"/>
      <c r="N76" s="94"/>
      <c r="O76" s="94"/>
      <c r="P76" s="94"/>
      <c r="Q76" s="94"/>
      <c r="R76" s="94"/>
      <c r="S76" s="94">
        <f t="shared" si="17"/>
        <v>175000</v>
      </c>
      <c r="T76" s="94"/>
      <c r="U76" s="94">
        <f t="shared" si="23"/>
        <v>175000</v>
      </c>
      <c r="V76" s="94"/>
      <c r="W76" s="94">
        <f t="shared" si="20"/>
        <v>0</v>
      </c>
      <c r="X76" s="145">
        <f t="shared" si="21"/>
        <v>350000</v>
      </c>
      <c r="Y76" s="145">
        <f t="shared" si="22"/>
        <v>350000</v>
      </c>
      <c r="Z76" s="145"/>
      <c r="AA76" s="145"/>
      <c r="AB76" s="145"/>
    </row>
    <row r="77" s="1" customFormat="1" ht="71" customHeight="1" spans="1:28">
      <c r="A77" s="156">
        <v>12</v>
      </c>
      <c r="B77" s="157" t="s">
        <v>116</v>
      </c>
      <c r="C77" s="158" t="s">
        <v>117</v>
      </c>
      <c r="D77" s="157" t="s">
        <v>113</v>
      </c>
      <c r="E77" s="145">
        <v>372000</v>
      </c>
      <c r="F77" s="145"/>
      <c r="G77" s="66" t="s">
        <v>118</v>
      </c>
      <c r="H77" s="66" t="s">
        <v>119</v>
      </c>
      <c r="I77" s="94">
        <v>350943.4</v>
      </c>
      <c r="J77" s="94">
        <v>21056.6</v>
      </c>
      <c r="K77" s="94">
        <f t="shared" si="16"/>
        <v>372000</v>
      </c>
      <c r="L77" s="94"/>
      <c r="M77" s="94"/>
      <c r="N77" s="94"/>
      <c r="O77" s="94"/>
      <c r="P77" s="94"/>
      <c r="Q77" s="94"/>
      <c r="R77" s="94"/>
      <c r="S77" s="94">
        <f t="shared" si="17"/>
        <v>372000</v>
      </c>
      <c r="T77" s="94"/>
      <c r="U77" s="94">
        <f t="shared" si="23"/>
        <v>372000</v>
      </c>
      <c r="V77" s="94"/>
      <c r="W77" s="94">
        <f t="shared" si="20"/>
        <v>0</v>
      </c>
      <c r="X77" s="145">
        <f t="shared" si="21"/>
        <v>372000</v>
      </c>
      <c r="Y77" s="145">
        <f t="shared" si="22"/>
        <v>372000</v>
      </c>
      <c r="Z77" s="145"/>
      <c r="AA77" s="145">
        <v>0</v>
      </c>
      <c r="AB77" s="145"/>
    </row>
    <row r="78" s="1" customFormat="1" ht="59" customHeight="1" spans="1:28">
      <c r="A78" s="156">
        <v>13</v>
      </c>
      <c r="B78" s="157" t="s">
        <v>120</v>
      </c>
      <c r="C78" s="157" t="s">
        <v>121</v>
      </c>
      <c r="D78" s="157" t="s">
        <v>122</v>
      </c>
      <c r="E78" s="145">
        <v>472680</v>
      </c>
      <c r="F78" s="145"/>
      <c r="G78" s="66" t="s">
        <v>123</v>
      </c>
      <c r="H78" s="66" t="s">
        <v>124</v>
      </c>
      <c r="I78" s="94">
        <v>472680</v>
      </c>
      <c r="J78" s="94">
        <v>0</v>
      </c>
      <c r="K78" s="94">
        <f t="shared" si="16"/>
        <v>472680</v>
      </c>
      <c r="L78" s="94"/>
      <c r="M78" s="94"/>
      <c r="N78" s="94"/>
      <c r="O78" s="94"/>
      <c r="P78" s="94"/>
      <c r="Q78" s="94"/>
      <c r="R78" s="94"/>
      <c r="S78" s="94">
        <f t="shared" si="17"/>
        <v>472680</v>
      </c>
      <c r="T78" s="94"/>
      <c r="U78" s="94">
        <f t="shared" si="23"/>
        <v>472680</v>
      </c>
      <c r="V78" s="94"/>
      <c r="W78" s="94">
        <f t="shared" si="20"/>
        <v>0</v>
      </c>
      <c r="X78" s="145">
        <f t="shared" si="21"/>
        <v>472680</v>
      </c>
      <c r="Y78" s="145">
        <f t="shared" si="22"/>
        <v>472680</v>
      </c>
      <c r="Z78" s="145"/>
      <c r="AA78" s="145">
        <v>0</v>
      </c>
      <c r="AB78" s="145"/>
    </row>
    <row r="79" s="1" customFormat="1" ht="36" customHeight="1" spans="1:28">
      <c r="A79" s="43">
        <v>14</v>
      </c>
      <c r="B79" s="44" t="s">
        <v>125</v>
      </c>
      <c r="C79" s="43" t="s">
        <v>126</v>
      </c>
      <c r="D79" s="44" t="s">
        <v>127</v>
      </c>
      <c r="E79" s="43">
        <v>20718782.9686351</v>
      </c>
      <c r="F79" s="43"/>
      <c r="G79" s="159" t="s">
        <v>128</v>
      </c>
      <c r="H79" s="160" t="s">
        <v>129</v>
      </c>
      <c r="I79" s="94">
        <v>10000000</v>
      </c>
      <c r="J79" s="94">
        <v>0</v>
      </c>
      <c r="K79" s="94">
        <f t="shared" si="16"/>
        <v>10000000</v>
      </c>
      <c r="L79" s="94">
        <v>0</v>
      </c>
      <c r="M79" s="94">
        <v>0</v>
      </c>
      <c r="N79" s="94">
        <v>0</v>
      </c>
      <c r="O79" s="94">
        <v>0</v>
      </c>
      <c r="P79" s="94"/>
      <c r="Q79" s="94"/>
      <c r="R79" s="94">
        <v>0</v>
      </c>
      <c r="S79" s="94">
        <f t="shared" si="17"/>
        <v>10000000</v>
      </c>
      <c r="T79" s="94"/>
      <c r="U79" s="94">
        <f t="shared" si="23"/>
        <v>10000000</v>
      </c>
      <c r="V79" s="94"/>
      <c r="W79" s="94">
        <f t="shared" si="20"/>
        <v>0</v>
      </c>
      <c r="X79" s="145">
        <f t="shared" si="21"/>
        <v>10000000</v>
      </c>
      <c r="Y79" s="145">
        <f t="shared" si="22"/>
        <v>10000000</v>
      </c>
      <c r="Z79" s="145"/>
      <c r="AA79" s="145"/>
      <c r="AB79" s="145"/>
    </row>
    <row r="80" s="17" customFormat="1" ht="36" customHeight="1" spans="1:28">
      <c r="A80" s="153"/>
      <c r="B80" s="153"/>
      <c r="C80" s="153"/>
      <c r="D80" s="153"/>
      <c r="E80" s="153"/>
      <c r="F80" s="153"/>
      <c r="G80" s="159" t="s">
        <v>130</v>
      </c>
      <c r="H80" s="161" t="s">
        <v>131</v>
      </c>
      <c r="I80" s="94">
        <v>8350000</v>
      </c>
      <c r="J80" s="94">
        <v>0</v>
      </c>
      <c r="K80" s="94">
        <f t="shared" si="16"/>
        <v>8350000</v>
      </c>
      <c r="L80" s="94">
        <v>0</v>
      </c>
      <c r="M80" s="94">
        <v>0</v>
      </c>
      <c r="N80" s="94">
        <v>0</v>
      </c>
      <c r="O80" s="94">
        <v>0</v>
      </c>
      <c r="P80" s="94"/>
      <c r="Q80" s="94"/>
      <c r="R80" s="94">
        <v>0</v>
      </c>
      <c r="S80" s="94">
        <f t="shared" si="17"/>
        <v>8350000</v>
      </c>
      <c r="T80" s="94"/>
      <c r="U80" s="94">
        <v>8350000</v>
      </c>
      <c r="V80" s="94"/>
      <c r="W80" s="94">
        <f t="shared" si="20"/>
        <v>0</v>
      </c>
      <c r="X80" s="145">
        <f t="shared" si="21"/>
        <v>8350000</v>
      </c>
      <c r="Y80" s="145">
        <f t="shared" si="22"/>
        <v>8350000</v>
      </c>
      <c r="Z80" s="145"/>
      <c r="AA80" s="145"/>
      <c r="AB80" s="145"/>
    </row>
    <row r="81" s="1" customFormat="1" ht="97" customHeight="1" spans="1:28">
      <c r="A81" s="156">
        <v>15</v>
      </c>
      <c r="B81" s="157" t="s">
        <v>132</v>
      </c>
      <c r="C81" s="157" t="s">
        <v>133</v>
      </c>
      <c r="D81" s="157" t="s">
        <v>134</v>
      </c>
      <c r="E81" s="145">
        <v>125290</v>
      </c>
      <c r="F81" s="145"/>
      <c r="G81" s="66" t="s">
        <v>135</v>
      </c>
      <c r="H81" s="66" t="s">
        <v>136</v>
      </c>
      <c r="I81" s="94">
        <v>125290</v>
      </c>
      <c r="J81" s="94"/>
      <c r="K81" s="94">
        <f t="shared" si="16"/>
        <v>125290</v>
      </c>
      <c r="L81" s="94"/>
      <c r="M81" s="94"/>
      <c r="N81" s="94"/>
      <c r="O81" s="94"/>
      <c r="P81" s="94"/>
      <c r="Q81" s="94"/>
      <c r="R81" s="94"/>
      <c r="S81" s="94">
        <f t="shared" si="17"/>
        <v>125290</v>
      </c>
      <c r="T81" s="94"/>
      <c r="U81" s="94">
        <f t="shared" ref="U81:U90" si="24">K81+R81</f>
        <v>125290</v>
      </c>
      <c r="V81" s="94"/>
      <c r="W81" s="94">
        <f t="shared" si="20"/>
        <v>0</v>
      </c>
      <c r="X81" s="145">
        <f t="shared" si="21"/>
        <v>125290</v>
      </c>
      <c r="Y81" s="145">
        <f t="shared" si="22"/>
        <v>125290</v>
      </c>
      <c r="Z81" s="145"/>
      <c r="AA81" s="145">
        <v>0</v>
      </c>
      <c r="AB81" s="145"/>
    </row>
    <row r="82" s="1" customFormat="1" ht="36" customHeight="1" spans="1:28">
      <c r="A82" s="156">
        <v>16</v>
      </c>
      <c r="B82" s="157" t="s">
        <v>137</v>
      </c>
      <c r="C82" s="158" t="s">
        <v>138</v>
      </c>
      <c r="D82" s="157" t="s">
        <v>139</v>
      </c>
      <c r="E82" s="145">
        <v>750000</v>
      </c>
      <c r="F82" s="145">
        <v>300000</v>
      </c>
      <c r="G82" s="66" t="s">
        <v>140</v>
      </c>
      <c r="H82" s="66" t="s">
        <v>141</v>
      </c>
      <c r="I82" s="94">
        <v>424528.3</v>
      </c>
      <c r="J82" s="94">
        <v>25471.7</v>
      </c>
      <c r="K82" s="94">
        <f t="shared" si="16"/>
        <v>450000</v>
      </c>
      <c r="L82" s="94"/>
      <c r="M82" s="94"/>
      <c r="N82" s="94"/>
      <c r="O82" s="94"/>
      <c r="P82" s="94"/>
      <c r="Q82" s="94"/>
      <c r="R82" s="94"/>
      <c r="S82" s="94">
        <f t="shared" si="17"/>
        <v>450000</v>
      </c>
      <c r="T82" s="94"/>
      <c r="U82" s="94">
        <f t="shared" si="24"/>
        <v>450000</v>
      </c>
      <c r="V82" s="94"/>
      <c r="W82" s="94">
        <f t="shared" si="20"/>
        <v>0</v>
      </c>
      <c r="X82" s="145">
        <f t="shared" si="21"/>
        <v>750000</v>
      </c>
      <c r="Y82" s="145">
        <f t="shared" si="22"/>
        <v>750000</v>
      </c>
      <c r="Z82" s="145"/>
      <c r="AA82" s="145"/>
      <c r="AB82" s="145"/>
    </row>
    <row r="83" s="17" customFormat="1" ht="36" customHeight="1" spans="1:28">
      <c r="A83" s="156">
        <v>17</v>
      </c>
      <c r="B83" s="157" t="s">
        <v>142</v>
      </c>
      <c r="C83" s="158" t="s">
        <v>143</v>
      </c>
      <c r="D83" s="157" t="s">
        <v>144</v>
      </c>
      <c r="E83" s="145">
        <v>95000</v>
      </c>
      <c r="F83" s="145"/>
      <c r="G83" s="74" t="s">
        <v>145</v>
      </c>
      <c r="H83" s="74" t="s">
        <v>146</v>
      </c>
      <c r="I83" s="94">
        <f>K83-J83</f>
        <v>89622.64</v>
      </c>
      <c r="J83" s="94">
        <v>5377.36</v>
      </c>
      <c r="K83" s="94">
        <v>95000</v>
      </c>
      <c r="L83" s="94">
        <v>0</v>
      </c>
      <c r="M83" s="94">
        <v>0</v>
      </c>
      <c r="N83" s="94">
        <v>0</v>
      </c>
      <c r="O83" s="94">
        <v>0</v>
      </c>
      <c r="P83" s="94"/>
      <c r="Q83" s="94"/>
      <c r="R83" s="94">
        <v>0</v>
      </c>
      <c r="S83" s="94">
        <f t="shared" si="17"/>
        <v>95000</v>
      </c>
      <c r="T83" s="94"/>
      <c r="U83" s="94">
        <f t="shared" si="24"/>
        <v>95000</v>
      </c>
      <c r="V83" s="94"/>
      <c r="W83" s="94">
        <f t="shared" si="20"/>
        <v>0</v>
      </c>
      <c r="X83" s="145">
        <f t="shared" si="21"/>
        <v>95000</v>
      </c>
      <c r="Y83" s="145">
        <f t="shared" si="22"/>
        <v>95000</v>
      </c>
      <c r="Z83" s="145"/>
      <c r="AA83" s="145"/>
      <c r="AB83" s="145"/>
    </row>
    <row r="84" s="17" customFormat="1" ht="36" customHeight="1" spans="1:28">
      <c r="A84" s="156">
        <v>18</v>
      </c>
      <c r="B84" s="157" t="s">
        <v>147</v>
      </c>
      <c r="C84" s="157" t="s">
        <v>148</v>
      </c>
      <c r="D84" s="157" t="s">
        <v>149</v>
      </c>
      <c r="E84" s="145">
        <v>680000</v>
      </c>
      <c r="F84" s="145"/>
      <c r="G84" s="50" t="s">
        <v>150</v>
      </c>
      <c r="H84" s="66" t="s">
        <v>151</v>
      </c>
      <c r="I84" s="94">
        <f>K84-J84</f>
        <v>641509.43</v>
      </c>
      <c r="J84" s="94">
        <v>38490.57</v>
      </c>
      <c r="K84" s="94">
        <v>680000</v>
      </c>
      <c r="L84" s="94">
        <v>0</v>
      </c>
      <c r="M84" s="94">
        <v>0</v>
      </c>
      <c r="N84" s="94">
        <v>0</v>
      </c>
      <c r="O84" s="94">
        <v>0</v>
      </c>
      <c r="P84" s="94"/>
      <c r="Q84" s="94"/>
      <c r="R84" s="94">
        <v>0</v>
      </c>
      <c r="S84" s="94">
        <f t="shared" si="17"/>
        <v>680000</v>
      </c>
      <c r="T84" s="94"/>
      <c r="U84" s="94">
        <f t="shared" si="24"/>
        <v>680000</v>
      </c>
      <c r="V84" s="94"/>
      <c r="W84" s="94">
        <f t="shared" si="20"/>
        <v>0</v>
      </c>
      <c r="X84" s="145">
        <f t="shared" si="21"/>
        <v>680000</v>
      </c>
      <c r="Y84" s="145">
        <f t="shared" si="22"/>
        <v>680000</v>
      </c>
      <c r="Z84" s="145"/>
      <c r="AA84" s="145"/>
      <c r="AB84" s="145"/>
    </row>
    <row r="85" s="1" customFormat="1" ht="46" customHeight="1" spans="1:28">
      <c r="A85" s="156">
        <v>19</v>
      </c>
      <c r="B85" s="157" t="s">
        <v>152</v>
      </c>
      <c r="C85" s="158" t="s">
        <v>153</v>
      </c>
      <c r="D85" s="165" t="s">
        <v>154</v>
      </c>
      <c r="E85" s="145">
        <v>150000</v>
      </c>
      <c r="F85" s="145"/>
      <c r="G85" s="66" t="s">
        <v>155</v>
      </c>
      <c r="H85" s="66" t="s">
        <v>156</v>
      </c>
      <c r="I85" s="94">
        <v>141509.43</v>
      </c>
      <c r="J85" s="94">
        <v>8490.57000000001</v>
      </c>
      <c r="K85" s="94">
        <f t="shared" ref="K85:K88" si="25">I85+J85</f>
        <v>150000</v>
      </c>
      <c r="L85" s="94"/>
      <c r="M85" s="94"/>
      <c r="N85" s="94"/>
      <c r="O85" s="94"/>
      <c r="P85" s="94"/>
      <c r="Q85" s="94"/>
      <c r="R85" s="94"/>
      <c r="S85" s="94">
        <f t="shared" si="17"/>
        <v>150000</v>
      </c>
      <c r="T85" s="94"/>
      <c r="U85" s="94">
        <f t="shared" si="24"/>
        <v>150000</v>
      </c>
      <c r="V85" s="94"/>
      <c r="W85" s="94">
        <f t="shared" si="20"/>
        <v>0</v>
      </c>
      <c r="X85" s="145">
        <f t="shared" si="21"/>
        <v>150000</v>
      </c>
      <c r="Y85" s="145">
        <f t="shared" si="22"/>
        <v>150000</v>
      </c>
      <c r="Z85" s="145"/>
      <c r="AA85" s="145">
        <v>0</v>
      </c>
      <c r="AB85" s="145"/>
    </row>
    <row r="86" s="1" customFormat="1" ht="69" customHeight="1" spans="1:28">
      <c r="A86" s="156">
        <v>20</v>
      </c>
      <c r="B86" s="157" t="s">
        <v>157</v>
      </c>
      <c r="C86" s="158" t="s">
        <v>158</v>
      </c>
      <c r="D86" s="157" t="s">
        <v>159</v>
      </c>
      <c r="E86" s="145">
        <v>238000</v>
      </c>
      <c r="F86" s="145"/>
      <c r="G86" s="66" t="s">
        <v>160</v>
      </c>
      <c r="H86" s="66" t="s">
        <v>161</v>
      </c>
      <c r="I86" s="94">
        <v>231067.96</v>
      </c>
      <c r="J86" s="94">
        <v>6932.04000000001</v>
      </c>
      <c r="K86" s="94">
        <f t="shared" si="25"/>
        <v>238000</v>
      </c>
      <c r="L86" s="94"/>
      <c r="M86" s="94"/>
      <c r="N86" s="94"/>
      <c r="O86" s="94"/>
      <c r="P86" s="94"/>
      <c r="Q86" s="94"/>
      <c r="R86" s="94"/>
      <c r="S86" s="94">
        <f t="shared" si="17"/>
        <v>238000</v>
      </c>
      <c r="T86" s="94"/>
      <c r="U86" s="94">
        <f t="shared" si="24"/>
        <v>238000</v>
      </c>
      <c r="V86" s="94"/>
      <c r="W86" s="94">
        <f t="shared" si="20"/>
        <v>0</v>
      </c>
      <c r="X86" s="145">
        <f t="shared" si="21"/>
        <v>238000</v>
      </c>
      <c r="Y86" s="145">
        <f t="shared" si="22"/>
        <v>238000</v>
      </c>
      <c r="Z86" s="145"/>
      <c r="AA86" s="145">
        <v>0</v>
      </c>
      <c r="AB86" s="145"/>
    </row>
    <row r="87" s="1" customFormat="1" ht="60" customHeight="1" spans="1:28">
      <c r="A87" s="156">
        <v>21</v>
      </c>
      <c r="B87" s="157" t="s">
        <v>162</v>
      </c>
      <c r="C87" s="158" t="s">
        <v>163</v>
      </c>
      <c r="D87" s="157" t="s">
        <v>159</v>
      </c>
      <c r="E87" s="145">
        <v>180000</v>
      </c>
      <c r="F87" s="145"/>
      <c r="G87" s="66" t="s">
        <v>164</v>
      </c>
      <c r="H87" s="66" t="s">
        <v>165</v>
      </c>
      <c r="I87" s="94">
        <v>174757.28</v>
      </c>
      <c r="J87" s="94">
        <v>5242.72</v>
      </c>
      <c r="K87" s="94">
        <f t="shared" si="25"/>
        <v>180000</v>
      </c>
      <c r="L87" s="94"/>
      <c r="M87" s="94"/>
      <c r="N87" s="94"/>
      <c r="O87" s="94"/>
      <c r="P87" s="94"/>
      <c r="Q87" s="94"/>
      <c r="R87" s="94"/>
      <c r="S87" s="94">
        <f t="shared" si="17"/>
        <v>180000</v>
      </c>
      <c r="T87" s="94"/>
      <c r="U87" s="94">
        <f t="shared" si="24"/>
        <v>180000</v>
      </c>
      <c r="V87" s="94"/>
      <c r="W87" s="94">
        <f t="shared" si="20"/>
        <v>0</v>
      </c>
      <c r="X87" s="145">
        <f t="shared" si="21"/>
        <v>180000</v>
      </c>
      <c r="Y87" s="145">
        <f t="shared" si="22"/>
        <v>180000</v>
      </c>
      <c r="Z87" s="145"/>
      <c r="AA87" s="145">
        <v>0</v>
      </c>
      <c r="AB87" s="145"/>
    </row>
    <row r="88" s="1" customFormat="1" ht="53" customHeight="1" spans="1:28">
      <c r="A88" s="156">
        <v>22</v>
      </c>
      <c r="B88" s="157" t="s">
        <v>166</v>
      </c>
      <c r="C88" s="496" t="s">
        <v>167</v>
      </c>
      <c r="D88" s="157" t="s">
        <v>168</v>
      </c>
      <c r="E88" s="145">
        <v>168838.18</v>
      </c>
      <c r="F88" s="145"/>
      <c r="G88" s="66" t="s">
        <v>169</v>
      </c>
      <c r="H88" s="66" t="s">
        <v>170</v>
      </c>
      <c r="I88" s="94">
        <v>159281.3</v>
      </c>
      <c r="J88" s="94">
        <v>9556.88</v>
      </c>
      <c r="K88" s="94">
        <f t="shared" si="25"/>
        <v>168838.18</v>
      </c>
      <c r="L88" s="94"/>
      <c r="M88" s="94"/>
      <c r="N88" s="94"/>
      <c r="O88" s="94"/>
      <c r="P88" s="94"/>
      <c r="Q88" s="94"/>
      <c r="R88" s="94"/>
      <c r="S88" s="94">
        <f t="shared" si="17"/>
        <v>168838.18</v>
      </c>
      <c r="T88" s="94"/>
      <c r="U88" s="94">
        <f t="shared" si="24"/>
        <v>168838.18</v>
      </c>
      <c r="V88" s="94"/>
      <c r="W88" s="94">
        <f t="shared" si="20"/>
        <v>0</v>
      </c>
      <c r="X88" s="145">
        <f t="shared" si="21"/>
        <v>168838.18</v>
      </c>
      <c r="Y88" s="145">
        <f t="shared" si="22"/>
        <v>168838.18</v>
      </c>
      <c r="Z88" s="145"/>
      <c r="AA88" s="145">
        <v>0</v>
      </c>
      <c r="AB88" s="145"/>
    </row>
    <row r="89" s="17" customFormat="1" ht="47" customHeight="1" spans="1:28">
      <c r="A89" s="156">
        <v>23</v>
      </c>
      <c r="B89" s="157" t="s">
        <v>171</v>
      </c>
      <c r="C89" s="158" t="s">
        <v>172</v>
      </c>
      <c r="D89" s="157" t="s">
        <v>173</v>
      </c>
      <c r="E89" s="145">
        <v>533200</v>
      </c>
      <c r="F89" s="145"/>
      <c r="G89" s="50" t="s">
        <v>174</v>
      </c>
      <c r="H89" s="66" t="s">
        <v>175</v>
      </c>
      <c r="I89" s="94">
        <v>471858.4</v>
      </c>
      <c r="J89" s="94">
        <f>K89-I89</f>
        <v>61341.6</v>
      </c>
      <c r="K89" s="94">
        <v>533200</v>
      </c>
      <c r="L89" s="94">
        <v>0</v>
      </c>
      <c r="M89" s="94">
        <v>0</v>
      </c>
      <c r="N89" s="94">
        <v>0</v>
      </c>
      <c r="O89" s="94">
        <v>0</v>
      </c>
      <c r="P89" s="94"/>
      <c r="Q89" s="94"/>
      <c r="R89" s="94">
        <v>0</v>
      </c>
      <c r="S89" s="94">
        <f t="shared" si="17"/>
        <v>533200</v>
      </c>
      <c r="T89" s="94"/>
      <c r="U89" s="94">
        <f t="shared" si="24"/>
        <v>533200</v>
      </c>
      <c r="V89" s="94"/>
      <c r="W89" s="94">
        <f t="shared" si="20"/>
        <v>0</v>
      </c>
      <c r="X89" s="145">
        <f t="shared" si="21"/>
        <v>533200</v>
      </c>
      <c r="Y89" s="145">
        <f t="shared" si="22"/>
        <v>533200</v>
      </c>
      <c r="Z89" s="145"/>
      <c r="AA89" s="145"/>
      <c r="AB89" s="145"/>
    </row>
    <row r="90" s="1" customFormat="1" ht="59" customHeight="1" spans="1:28">
      <c r="A90" s="156">
        <v>24</v>
      </c>
      <c r="B90" s="166" t="s">
        <v>176</v>
      </c>
      <c r="C90" s="167" t="s">
        <v>177</v>
      </c>
      <c r="D90" s="166" t="s">
        <v>178</v>
      </c>
      <c r="E90" s="145">
        <v>87000</v>
      </c>
      <c r="F90" s="145">
        <v>87000</v>
      </c>
      <c r="G90" s="145"/>
      <c r="H90" s="145"/>
      <c r="I90" s="94"/>
      <c r="J90" s="94"/>
      <c r="K90" s="94"/>
      <c r="L90" s="94"/>
      <c r="M90" s="94"/>
      <c r="N90" s="94"/>
      <c r="O90" s="94"/>
      <c r="P90" s="94"/>
      <c r="Q90" s="94"/>
      <c r="R90" s="94"/>
      <c r="S90" s="94">
        <f t="shared" si="17"/>
        <v>0</v>
      </c>
      <c r="T90" s="94"/>
      <c r="U90" s="94">
        <f t="shared" si="24"/>
        <v>0</v>
      </c>
      <c r="V90" s="94"/>
      <c r="W90" s="94">
        <f t="shared" si="20"/>
        <v>0</v>
      </c>
      <c r="X90" s="145">
        <f t="shared" si="21"/>
        <v>87000</v>
      </c>
      <c r="Y90" s="145">
        <f t="shared" si="22"/>
        <v>87000</v>
      </c>
      <c r="Z90" s="145">
        <v>0</v>
      </c>
      <c r="AA90" s="145">
        <v>0</v>
      </c>
      <c r="AB90" s="145"/>
    </row>
    <row r="91" s="1" customFormat="1" ht="59" customHeight="1" spans="1:28">
      <c r="A91" s="156">
        <v>25</v>
      </c>
      <c r="B91" s="166" t="s">
        <v>179</v>
      </c>
      <c r="C91" s="167"/>
      <c r="D91" s="168" t="s">
        <v>180</v>
      </c>
      <c r="E91" s="145">
        <v>79600</v>
      </c>
      <c r="F91" s="145"/>
      <c r="G91" s="74" t="s">
        <v>181</v>
      </c>
      <c r="H91" s="161" t="s">
        <v>182</v>
      </c>
      <c r="I91" s="94">
        <v>22528.3</v>
      </c>
      <c r="J91" s="94">
        <v>1351.7</v>
      </c>
      <c r="K91" s="94">
        <f>J91+I91</f>
        <v>23880</v>
      </c>
      <c r="L91" s="94">
        <v>0</v>
      </c>
      <c r="M91" s="94">
        <v>0</v>
      </c>
      <c r="N91" s="94">
        <v>0</v>
      </c>
      <c r="O91" s="94">
        <v>0</v>
      </c>
      <c r="P91" s="94"/>
      <c r="Q91" s="94"/>
      <c r="R91" s="94">
        <v>0</v>
      </c>
      <c r="S91" s="94">
        <f t="shared" si="17"/>
        <v>23880</v>
      </c>
      <c r="T91" s="94"/>
      <c r="U91" s="94">
        <f>S91</f>
        <v>23880</v>
      </c>
      <c r="V91" s="94"/>
      <c r="W91" s="94">
        <f t="shared" si="20"/>
        <v>0</v>
      </c>
      <c r="X91" s="145">
        <f>K91</f>
        <v>23880</v>
      </c>
      <c r="Y91" s="145">
        <f t="shared" ref="Y91:Y93" si="26">U91</f>
        <v>23880</v>
      </c>
      <c r="Z91" s="145"/>
      <c r="AA91" s="145"/>
      <c r="AB91" s="145"/>
    </row>
    <row r="92" s="1" customFormat="1" ht="59" customHeight="1" spans="1:28">
      <c r="A92" s="169">
        <v>26</v>
      </c>
      <c r="B92" s="166" t="s">
        <v>183</v>
      </c>
      <c r="C92" s="167"/>
      <c r="D92" s="166" t="s">
        <v>122</v>
      </c>
      <c r="E92" s="145"/>
      <c r="F92" s="145"/>
      <c r="G92" s="47" t="s">
        <v>184</v>
      </c>
      <c r="H92" s="47" t="s">
        <v>185</v>
      </c>
      <c r="I92" s="94">
        <v>48750</v>
      </c>
      <c r="J92" s="94">
        <v>0</v>
      </c>
      <c r="K92" s="94">
        <f>I92+J92</f>
        <v>48750</v>
      </c>
      <c r="L92" s="94">
        <v>0</v>
      </c>
      <c r="M92" s="94">
        <v>0</v>
      </c>
      <c r="N92" s="94">
        <v>0</v>
      </c>
      <c r="O92" s="94">
        <v>0</v>
      </c>
      <c r="P92" s="94"/>
      <c r="Q92" s="94"/>
      <c r="R92" s="94">
        <v>0</v>
      </c>
      <c r="S92" s="94">
        <f t="shared" si="17"/>
        <v>48750</v>
      </c>
      <c r="T92" s="94">
        <v>0</v>
      </c>
      <c r="U92" s="94">
        <v>48750</v>
      </c>
      <c r="V92" s="405">
        <v>0</v>
      </c>
      <c r="W92" s="94">
        <f t="shared" si="20"/>
        <v>0</v>
      </c>
      <c r="X92" s="145">
        <f>K92</f>
        <v>48750</v>
      </c>
      <c r="Y92" s="145">
        <f t="shared" si="26"/>
        <v>48750</v>
      </c>
      <c r="Z92" s="145"/>
      <c r="AA92" s="145"/>
      <c r="AB92" s="145"/>
    </row>
    <row r="93" s="1" customFormat="1" ht="59" customHeight="1" spans="1:28">
      <c r="A93" s="170">
        <v>27</v>
      </c>
      <c r="B93" s="44" t="s">
        <v>186</v>
      </c>
      <c r="C93" s="43"/>
      <c r="D93" s="44" t="s">
        <v>187</v>
      </c>
      <c r="E93" s="145"/>
      <c r="F93" s="145"/>
      <c r="G93" s="47" t="s">
        <v>188</v>
      </c>
      <c r="H93" s="47" t="s">
        <v>189</v>
      </c>
      <c r="I93" s="99"/>
      <c r="J93" s="94"/>
      <c r="K93" s="94"/>
      <c r="L93" s="94">
        <v>0</v>
      </c>
      <c r="M93" s="94">
        <v>0</v>
      </c>
      <c r="N93" s="94">
        <v>0</v>
      </c>
      <c r="O93" s="94">
        <v>0</v>
      </c>
      <c r="P93" s="94"/>
      <c r="Q93" s="94"/>
      <c r="R93" s="207">
        <v>755500</v>
      </c>
      <c r="S93" s="112">
        <f t="shared" si="17"/>
        <v>755500</v>
      </c>
      <c r="T93" s="112">
        <v>0</v>
      </c>
      <c r="U93" s="112">
        <f>S93</f>
        <v>755500</v>
      </c>
      <c r="V93" s="401">
        <v>0</v>
      </c>
      <c r="W93" s="45">
        <f t="shared" si="20"/>
        <v>0</v>
      </c>
      <c r="X93" s="45">
        <f>K94</f>
        <v>755500</v>
      </c>
      <c r="Y93" s="45">
        <f t="shared" si="26"/>
        <v>755500</v>
      </c>
      <c r="Z93" s="314"/>
      <c r="AA93" s="145"/>
      <c r="AB93" s="45"/>
    </row>
    <row r="94" s="1" customFormat="1" ht="59" customHeight="1" spans="1:28">
      <c r="A94" s="171"/>
      <c r="B94" s="153"/>
      <c r="C94" s="153"/>
      <c r="D94" s="153"/>
      <c r="E94" s="145"/>
      <c r="F94" s="145"/>
      <c r="G94" s="74" t="s">
        <v>190</v>
      </c>
      <c r="H94" s="47" t="s">
        <v>191</v>
      </c>
      <c r="I94" s="99">
        <v>755500</v>
      </c>
      <c r="J94" s="94"/>
      <c r="K94" s="94">
        <f>I94+J94</f>
        <v>755500</v>
      </c>
      <c r="L94" s="94"/>
      <c r="M94" s="94"/>
      <c r="N94" s="94"/>
      <c r="O94" s="94"/>
      <c r="P94" s="94"/>
      <c r="Q94" s="94"/>
      <c r="R94" s="208">
        <f>-R93</f>
        <v>-755500</v>
      </c>
      <c r="S94" s="114"/>
      <c r="T94" s="114"/>
      <c r="U94" s="114"/>
      <c r="V94" s="416"/>
      <c r="W94" s="81"/>
      <c r="X94" s="81"/>
      <c r="Y94" s="81"/>
      <c r="Z94" s="314"/>
      <c r="AA94" s="145"/>
      <c r="AB94" s="81"/>
    </row>
    <row r="95" s="1" customFormat="1" ht="59" customHeight="1" spans="1:28">
      <c r="A95" s="48">
        <v>28</v>
      </c>
      <c r="B95" s="172" t="s">
        <v>192</v>
      </c>
      <c r="C95" s="48"/>
      <c r="D95" s="65" t="s">
        <v>193</v>
      </c>
      <c r="E95" s="45">
        <v>488544.07</v>
      </c>
      <c r="F95" s="145"/>
      <c r="G95" s="73"/>
      <c r="H95" s="47" t="s">
        <v>194</v>
      </c>
      <c r="I95" s="203">
        <v>460890.63</v>
      </c>
      <c r="J95" s="94">
        <v>27653.44</v>
      </c>
      <c r="K95" s="94">
        <f>J95+I95</f>
        <v>488544.07</v>
      </c>
      <c r="L95" s="94"/>
      <c r="M95" s="94"/>
      <c r="N95" s="94"/>
      <c r="O95" s="94"/>
      <c r="P95" s="94"/>
      <c r="Q95" s="94"/>
      <c r="R95" s="208"/>
      <c r="S95" s="45">
        <f>K95-L95-M95-N95-O95+R95-Q95</f>
        <v>488544.07</v>
      </c>
      <c r="T95" s="45"/>
      <c r="U95" s="114"/>
      <c r="V95" s="45"/>
      <c r="W95" s="94">
        <f>S95+T95-U95-V95</f>
        <v>488544.07</v>
      </c>
      <c r="X95" s="145">
        <f>K95+F95</f>
        <v>488544.07</v>
      </c>
      <c r="Y95" s="145">
        <f>U95+V95</f>
        <v>0</v>
      </c>
      <c r="Z95" s="314"/>
      <c r="AA95" s="145">
        <v>488544.07</v>
      </c>
      <c r="AB95" s="145"/>
    </row>
    <row r="96" s="1" customFormat="1" ht="59" customHeight="1" spans="1:28">
      <c r="A96" s="153"/>
      <c r="B96" s="153"/>
      <c r="C96" s="153"/>
      <c r="D96" s="173"/>
      <c r="E96" s="81"/>
      <c r="F96" s="174" t="s">
        <v>319</v>
      </c>
      <c r="G96" s="76" t="s">
        <v>332</v>
      </c>
      <c r="H96" s="68" t="s">
        <v>333</v>
      </c>
      <c r="I96" s="118"/>
      <c r="J96" s="101"/>
      <c r="K96" s="101"/>
      <c r="L96" s="101"/>
      <c r="M96" s="101"/>
      <c r="N96" s="101"/>
      <c r="O96" s="101"/>
      <c r="P96" s="101"/>
      <c r="Q96" s="101"/>
      <c r="R96" s="209"/>
      <c r="S96" s="81"/>
      <c r="T96" s="81"/>
      <c r="U96" s="202">
        <v>488544.07</v>
      </c>
      <c r="V96" s="81"/>
      <c r="W96" s="101">
        <f>-U96</f>
        <v>-488544.07</v>
      </c>
      <c r="X96" s="174"/>
      <c r="Y96" s="174"/>
      <c r="Z96" s="418"/>
      <c r="AA96" s="174"/>
      <c r="AB96" s="145"/>
    </row>
    <row r="97" s="1" customFormat="1" ht="59" customHeight="1" spans="1:28">
      <c r="A97" s="48">
        <v>29</v>
      </c>
      <c r="B97" s="172" t="s">
        <v>192</v>
      </c>
      <c r="C97" s="48"/>
      <c r="D97" s="65" t="s">
        <v>195</v>
      </c>
      <c r="E97" s="45">
        <v>1990753.91</v>
      </c>
      <c r="F97" s="145"/>
      <c r="G97" s="73"/>
      <c r="H97" s="47" t="s">
        <v>194</v>
      </c>
      <c r="I97" s="203">
        <v>1878069.73</v>
      </c>
      <c r="J97" s="94">
        <v>112684.18</v>
      </c>
      <c r="K97" s="94">
        <f>J97+I97</f>
        <v>1990753.91</v>
      </c>
      <c r="L97" s="94"/>
      <c r="M97" s="94"/>
      <c r="N97" s="94"/>
      <c r="O97" s="94"/>
      <c r="P97" s="94"/>
      <c r="Q97" s="94"/>
      <c r="R97" s="208"/>
      <c r="S97" s="45">
        <f>K97-L97-M97-N97-O97+R97-Q97</f>
        <v>1990753.91</v>
      </c>
      <c r="T97" s="45"/>
      <c r="U97" s="114"/>
      <c r="V97" s="45"/>
      <c r="W97" s="94">
        <f>S97+T97-U97-V97</f>
        <v>1990753.91</v>
      </c>
      <c r="X97" s="145">
        <f>K97+F97</f>
        <v>1990753.91</v>
      </c>
      <c r="Y97" s="145">
        <f>U97+V97</f>
        <v>0</v>
      </c>
      <c r="Z97" s="314"/>
      <c r="AA97" s="145">
        <v>1990753.91</v>
      </c>
      <c r="AB97" s="145"/>
    </row>
    <row r="98" s="1" customFormat="1" ht="59" customHeight="1" spans="1:28">
      <c r="A98" s="153"/>
      <c r="B98" s="153"/>
      <c r="C98" s="153"/>
      <c r="D98" s="173"/>
      <c r="E98" s="81"/>
      <c r="F98" s="174" t="s">
        <v>319</v>
      </c>
      <c r="G98" s="76" t="s">
        <v>334</v>
      </c>
      <c r="H98" s="68" t="s">
        <v>335</v>
      </c>
      <c r="I98" s="118"/>
      <c r="J98" s="101"/>
      <c r="K98" s="101"/>
      <c r="L98" s="101"/>
      <c r="M98" s="101"/>
      <c r="N98" s="101"/>
      <c r="O98" s="101"/>
      <c r="P98" s="101"/>
      <c r="Q98" s="101"/>
      <c r="R98" s="209"/>
      <c r="S98" s="81"/>
      <c r="T98" s="81"/>
      <c r="U98" s="202">
        <v>1990753.91</v>
      </c>
      <c r="V98" s="81"/>
      <c r="W98" s="101">
        <f>-U98</f>
        <v>-1990753.91</v>
      </c>
      <c r="X98" s="174"/>
      <c r="Y98" s="174"/>
      <c r="Z98" s="174"/>
      <c r="AA98" s="174"/>
      <c r="AB98" s="145"/>
    </row>
    <row r="99" s="1" customFormat="1" ht="59" customHeight="1" spans="1:28">
      <c r="A99" s="171">
        <v>30</v>
      </c>
      <c r="B99" s="159" t="s">
        <v>302</v>
      </c>
      <c r="C99" s="175"/>
      <c r="D99" s="159" t="s">
        <v>303</v>
      </c>
      <c r="E99" s="145">
        <v>100000</v>
      </c>
      <c r="F99" s="145"/>
      <c r="G99" s="73"/>
      <c r="H99" s="47"/>
      <c r="I99" s="203"/>
      <c r="J99" s="94"/>
      <c r="K99" s="94"/>
      <c r="L99" s="94"/>
      <c r="M99" s="94"/>
      <c r="N99" s="94"/>
      <c r="O99" s="94"/>
      <c r="P99" s="94"/>
      <c r="Q99" s="94"/>
      <c r="R99" s="208"/>
      <c r="S99" s="94"/>
      <c r="T99" s="114"/>
      <c r="U99" s="114"/>
      <c r="V99" s="416"/>
      <c r="W99" s="94"/>
      <c r="X99" s="145"/>
      <c r="Y99" s="145"/>
      <c r="Z99" s="145">
        <v>100000</v>
      </c>
      <c r="AA99" s="145">
        <v>100000</v>
      </c>
      <c r="AB99" s="145"/>
    </row>
    <row r="100" s="1" customFormat="1" ht="59" customHeight="1" spans="1:28">
      <c r="A100" s="171">
        <v>31</v>
      </c>
      <c r="B100" s="159" t="s">
        <v>304</v>
      </c>
      <c r="C100" s="175"/>
      <c r="D100" s="159" t="s">
        <v>305</v>
      </c>
      <c r="E100" s="145">
        <v>232250</v>
      </c>
      <c r="F100" s="145"/>
      <c r="G100" s="73"/>
      <c r="H100" s="47"/>
      <c r="I100" s="203"/>
      <c r="J100" s="94"/>
      <c r="K100" s="94"/>
      <c r="L100" s="94"/>
      <c r="M100" s="94"/>
      <c r="N100" s="94"/>
      <c r="O100" s="94"/>
      <c r="P100" s="94"/>
      <c r="Q100" s="94"/>
      <c r="R100" s="208"/>
      <c r="S100" s="94"/>
      <c r="T100" s="114"/>
      <c r="U100" s="114"/>
      <c r="V100" s="416"/>
      <c r="W100" s="94"/>
      <c r="X100" s="145"/>
      <c r="Y100" s="145"/>
      <c r="Z100" s="145">
        <v>232250</v>
      </c>
      <c r="AA100" s="145">
        <v>0</v>
      </c>
      <c r="AB100" s="145"/>
    </row>
    <row r="101" s="1" customFormat="1" ht="59" customHeight="1" spans="1:28">
      <c r="A101" s="171">
        <v>32</v>
      </c>
      <c r="B101" s="159" t="s">
        <v>306</v>
      </c>
      <c r="C101" s="176"/>
      <c r="D101" s="177" t="s">
        <v>307</v>
      </c>
      <c r="E101" s="145">
        <v>34915.3</v>
      </c>
      <c r="F101" s="145"/>
      <c r="G101" s="73"/>
      <c r="H101" s="47"/>
      <c r="I101" s="203"/>
      <c r="J101" s="94"/>
      <c r="K101" s="94"/>
      <c r="L101" s="94"/>
      <c r="M101" s="94"/>
      <c r="N101" s="94"/>
      <c r="O101" s="94"/>
      <c r="P101" s="94"/>
      <c r="Q101" s="94"/>
      <c r="R101" s="208"/>
      <c r="S101" s="94"/>
      <c r="T101" s="114"/>
      <c r="U101" s="114"/>
      <c r="V101" s="416"/>
      <c r="W101" s="94"/>
      <c r="X101" s="145"/>
      <c r="Y101" s="145"/>
      <c r="Z101" s="145">
        <v>34915.3</v>
      </c>
      <c r="AA101" s="145">
        <v>34915.3</v>
      </c>
      <c r="AB101" s="145"/>
    </row>
    <row r="102" s="1" customFormat="1" ht="59" customHeight="1" spans="1:28">
      <c r="A102" s="171">
        <v>33</v>
      </c>
      <c r="B102" s="159" t="s">
        <v>308</v>
      </c>
      <c r="C102" s="176"/>
      <c r="D102" s="177" t="s">
        <v>307</v>
      </c>
      <c r="E102" s="145">
        <v>47000</v>
      </c>
      <c r="F102" s="145"/>
      <c r="G102" s="73"/>
      <c r="H102" s="47"/>
      <c r="I102" s="203"/>
      <c r="J102" s="94"/>
      <c r="K102" s="94"/>
      <c r="L102" s="94"/>
      <c r="M102" s="94"/>
      <c r="N102" s="94"/>
      <c r="O102" s="94"/>
      <c r="P102" s="94"/>
      <c r="Q102" s="94"/>
      <c r="R102" s="208"/>
      <c r="S102" s="94"/>
      <c r="T102" s="114"/>
      <c r="U102" s="114"/>
      <c r="V102" s="416"/>
      <c r="W102" s="94"/>
      <c r="X102" s="145"/>
      <c r="Y102" s="145"/>
      <c r="Z102" s="145">
        <v>47000</v>
      </c>
      <c r="AA102" s="145">
        <v>47000</v>
      </c>
      <c r="AB102" s="145"/>
    </row>
    <row r="103" s="1" customFormat="1" ht="36" customHeight="1" spans="1:28">
      <c r="A103" s="178">
        <v>34</v>
      </c>
      <c r="B103" s="185" t="s">
        <v>196</v>
      </c>
      <c r="C103" s="186"/>
      <c r="D103" s="187"/>
      <c r="E103" s="283">
        <v>98000</v>
      </c>
      <c r="F103" s="188" t="s">
        <v>309</v>
      </c>
      <c r="G103" s="50" t="s">
        <v>197</v>
      </c>
      <c r="H103" s="51" t="s">
        <v>198</v>
      </c>
      <c r="I103" s="108">
        <v>61468.44</v>
      </c>
      <c r="J103" s="108">
        <v>0</v>
      </c>
      <c r="K103" s="108">
        <f>I103+J103</f>
        <v>61468.44</v>
      </c>
      <c r="L103" s="108"/>
      <c r="M103" s="108"/>
      <c r="N103" s="108"/>
      <c r="O103" s="108"/>
      <c r="P103" s="108"/>
      <c r="Q103" s="108">
        <f>M103-O103</f>
        <v>0</v>
      </c>
      <c r="R103" s="108"/>
      <c r="S103" s="94">
        <f>K103-L103-M103-N103-O103+R103-Q103</f>
        <v>61468.44</v>
      </c>
      <c r="T103" s="94">
        <v>0</v>
      </c>
      <c r="U103" s="94">
        <f>S103</f>
        <v>61468.44</v>
      </c>
      <c r="V103" s="405">
        <v>0</v>
      </c>
      <c r="W103" s="94">
        <f>S103+T103-U103-V103</f>
        <v>0</v>
      </c>
      <c r="X103" s="145" t="e">
        <f>K103+F103</f>
        <v>#VALUE!</v>
      </c>
      <c r="Y103" s="145" t="e">
        <f>U103+F103</f>
        <v>#VALUE!</v>
      </c>
      <c r="Z103" s="145"/>
      <c r="AA103" s="145"/>
      <c r="AB103" s="145"/>
    </row>
    <row r="104" s="1" customFormat="1" ht="36" customHeight="1" spans="1:28">
      <c r="A104" s="178"/>
      <c r="B104" s="189"/>
      <c r="C104" s="190"/>
      <c r="D104" s="191"/>
      <c r="E104" s="399"/>
      <c r="F104" s="193" t="s">
        <v>310</v>
      </c>
      <c r="G104" s="53"/>
      <c r="H104" s="194"/>
      <c r="I104" s="109"/>
      <c r="J104" s="109"/>
      <c r="K104" s="109">
        <f>I104+J104</f>
        <v>0</v>
      </c>
      <c r="L104" s="109"/>
      <c r="M104" s="109"/>
      <c r="N104" s="109"/>
      <c r="O104" s="109"/>
      <c r="P104" s="109"/>
      <c r="Q104" s="109"/>
      <c r="R104" s="109"/>
      <c r="S104" s="101"/>
      <c r="T104" s="101"/>
      <c r="U104" s="210"/>
      <c r="V104" s="417"/>
      <c r="W104" s="101"/>
      <c r="X104" s="174"/>
      <c r="Y104" s="174"/>
      <c r="Z104" s="174"/>
      <c r="AA104" s="174"/>
      <c r="AB104" s="145"/>
    </row>
    <row r="105" s="1" customFormat="1" ht="36" customHeight="1" spans="1:28">
      <c r="A105" s="178"/>
      <c r="B105" s="189"/>
      <c r="C105" s="190"/>
      <c r="D105" s="191"/>
      <c r="E105" s="399"/>
      <c r="F105" s="195"/>
      <c r="G105" s="53"/>
      <c r="H105" s="194"/>
      <c r="I105" s="109"/>
      <c r="J105" s="109"/>
      <c r="K105" s="109">
        <f>I105+J105</f>
        <v>0</v>
      </c>
      <c r="L105" s="109"/>
      <c r="M105" s="109"/>
      <c r="N105" s="109"/>
      <c r="O105" s="109"/>
      <c r="P105" s="109"/>
      <c r="Q105" s="109"/>
      <c r="R105" s="109"/>
      <c r="S105" s="101"/>
      <c r="T105" s="101"/>
      <c r="U105" s="210"/>
      <c r="V105" s="417"/>
      <c r="W105" s="101"/>
      <c r="X105" s="174"/>
      <c r="Y105" s="174"/>
      <c r="Z105" s="174"/>
      <c r="AA105" s="174"/>
      <c r="AB105" s="145"/>
    </row>
    <row r="106" s="1" customFormat="1" ht="36" customHeight="1" spans="1:28">
      <c r="A106" s="178"/>
      <c r="B106" s="189"/>
      <c r="C106" s="190"/>
      <c r="D106" s="191"/>
      <c r="E106" s="399"/>
      <c r="F106" s="195"/>
      <c r="G106" s="53"/>
      <c r="H106" s="194"/>
      <c r="I106" s="109"/>
      <c r="J106" s="109"/>
      <c r="K106" s="109">
        <f>I106+J106</f>
        <v>0</v>
      </c>
      <c r="L106" s="109"/>
      <c r="M106" s="109"/>
      <c r="N106" s="109"/>
      <c r="O106" s="109"/>
      <c r="P106" s="109"/>
      <c r="Q106" s="109"/>
      <c r="R106" s="109"/>
      <c r="S106" s="101"/>
      <c r="T106" s="101"/>
      <c r="U106" s="210"/>
      <c r="V106" s="417"/>
      <c r="W106" s="101"/>
      <c r="X106" s="174"/>
      <c r="Y106" s="174"/>
      <c r="Z106" s="174"/>
      <c r="AA106" s="174"/>
      <c r="AB106" s="145"/>
    </row>
    <row r="107" s="1" customFormat="1" ht="36" customHeight="1" spans="1:28">
      <c r="A107" s="43">
        <v>35</v>
      </c>
      <c r="B107" s="319" t="s">
        <v>199</v>
      </c>
      <c r="C107" s="320"/>
      <c r="D107" s="321"/>
      <c r="E107" s="399"/>
      <c r="F107" s="192" t="s">
        <v>309</v>
      </c>
      <c r="G107" s="196" t="s">
        <v>248</v>
      </c>
      <c r="H107" s="197" t="s">
        <v>200</v>
      </c>
      <c r="I107" s="188">
        <f>630506.8-220</f>
        <v>630286.8</v>
      </c>
      <c r="J107" s="108"/>
      <c r="K107" s="108">
        <f>J107+I107</f>
        <v>630286.8</v>
      </c>
      <c r="L107" s="108"/>
      <c r="M107" s="108"/>
      <c r="N107" s="108"/>
      <c r="O107" s="108"/>
      <c r="P107" s="108"/>
      <c r="Q107" s="108"/>
      <c r="R107" s="108"/>
      <c r="S107" s="94">
        <v>630286.8</v>
      </c>
      <c r="T107" s="94"/>
      <c r="U107" s="211">
        <v>486986.81</v>
      </c>
      <c r="V107" s="211"/>
      <c r="W107" s="101">
        <f>S107+T107-U107-V107+S108-U108</f>
        <v>143299.99</v>
      </c>
      <c r="X107" s="145" t="e">
        <f>K107+F107</f>
        <v>#VALUE!</v>
      </c>
      <c r="Y107" s="145">
        <v>342578.483333333</v>
      </c>
      <c r="Z107" s="145"/>
      <c r="AA107" s="145"/>
      <c r="AB107" s="174"/>
    </row>
    <row r="108" s="1" customFormat="1" ht="36" customHeight="1" spans="1:28">
      <c r="A108" s="48"/>
      <c r="B108" s="323"/>
      <c r="C108" s="324"/>
      <c r="D108" s="325"/>
      <c r="E108" s="412"/>
      <c r="F108" s="198"/>
      <c r="G108" s="196"/>
      <c r="H108" s="197" t="s">
        <v>201</v>
      </c>
      <c r="I108" s="188">
        <v>-6746.65</v>
      </c>
      <c r="J108" s="108"/>
      <c r="K108" s="108">
        <f>I108+J108</f>
        <v>-6746.65</v>
      </c>
      <c r="L108" s="108"/>
      <c r="M108" s="108"/>
      <c r="N108" s="108"/>
      <c r="O108" s="108"/>
      <c r="P108" s="108"/>
      <c r="Q108" s="108"/>
      <c r="R108" s="108"/>
      <c r="S108" s="94">
        <v>-6746.65</v>
      </c>
      <c r="T108" s="94"/>
      <c r="U108" s="211">
        <v>-6746.65</v>
      </c>
      <c r="V108" s="211"/>
      <c r="W108" s="94">
        <f>S108+T108-U108-V108</f>
        <v>0</v>
      </c>
      <c r="X108" s="145">
        <f>K108+F108</f>
        <v>-6746.65</v>
      </c>
      <c r="Y108" s="145">
        <f>X108</f>
        <v>-6746.65</v>
      </c>
      <c r="Z108" s="145"/>
      <c r="AA108" s="145"/>
      <c r="AB108" s="145"/>
    </row>
    <row r="109" s="1" customFormat="1" ht="36" customHeight="1" spans="1:28">
      <c r="A109" s="48"/>
      <c r="B109" s="323"/>
      <c r="C109" s="324"/>
      <c r="D109" s="325"/>
      <c r="E109" s="412"/>
      <c r="F109" s="199"/>
      <c r="G109" s="196"/>
      <c r="H109" s="197" t="s">
        <v>202</v>
      </c>
      <c r="I109" s="204">
        <f>1133+220</f>
        <v>1353</v>
      </c>
      <c r="J109" s="108"/>
      <c r="K109" s="108">
        <f>I109+J109</f>
        <v>1353</v>
      </c>
      <c r="L109" s="108"/>
      <c r="M109" s="108"/>
      <c r="N109" s="108"/>
      <c r="O109" s="108"/>
      <c r="P109" s="108"/>
      <c r="Q109" s="108"/>
      <c r="R109" s="108"/>
      <c r="S109" s="94">
        <v>1353</v>
      </c>
      <c r="T109" s="94"/>
      <c r="U109" s="211">
        <f>S109</f>
        <v>1353</v>
      </c>
      <c r="V109" s="211"/>
      <c r="W109" s="94">
        <f>S109+T109-U109-V109</f>
        <v>0</v>
      </c>
      <c r="X109" s="145"/>
      <c r="Y109" s="145"/>
      <c r="Z109" s="145"/>
      <c r="AA109" s="145"/>
      <c r="AB109" s="145"/>
    </row>
    <row r="110" s="1" customFormat="1" ht="36" customHeight="1" spans="1:28">
      <c r="A110" s="48"/>
      <c r="B110" s="323"/>
      <c r="C110" s="324"/>
      <c r="D110" s="325"/>
      <c r="E110" s="412"/>
      <c r="F110" s="212" t="s">
        <v>310</v>
      </c>
      <c r="G110" s="193" t="s">
        <v>311</v>
      </c>
      <c r="H110" s="200" t="s">
        <v>200</v>
      </c>
      <c r="I110" s="205">
        <v>476200.01</v>
      </c>
      <c r="J110" s="109"/>
      <c r="K110" s="109">
        <f>J110+I110</f>
        <v>476200.01</v>
      </c>
      <c r="L110" s="109"/>
      <c r="M110" s="109"/>
      <c r="N110" s="109"/>
      <c r="O110" s="109"/>
      <c r="P110" s="109"/>
      <c r="Q110" s="109"/>
      <c r="R110" s="109"/>
      <c r="S110" s="101">
        <v>476200.01</v>
      </c>
      <c r="T110" s="101"/>
      <c r="U110" s="102"/>
      <c r="V110" s="102"/>
      <c r="W110" s="101">
        <f>S110+T110-U110-V110</f>
        <v>476200.01</v>
      </c>
      <c r="X110" s="174"/>
      <c r="Y110" s="174"/>
      <c r="Z110" s="174"/>
      <c r="AA110" s="174"/>
      <c r="AB110" s="174"/>
    </row>
    <row r="111" s="1" customFormat="1" ht="36" customHeight="1" spans="1:28">
      <c r="A111" s="153"/>
      <c r="B111" s="323"/>
      <c r="C111" s="324"/>
      <c r="D111" s="325"/>
      <c r="E111" s="412"/>
      <c r="F111" s="212"/>
      <c r="G111" s="201"/>
      <c r="H111" s="200" t="s">
        <v>202</v>
      </c>
      <c r="I111" s="205">
        <v>832.96</v>
      </c>
      <c r="J111" s="109"/>
      <c r="K111" s="109">
        <f>J111+I111</f>
        <v>832.96</v>
      </c>
      <c r="L111" s="109"/>
      <c r="M111" s="109"/>
      <c r="N111" s="109"/>
      <c r="O111" s="109"/>
      <c r="P111" s="109"/>
      <c r="Q111" s="109"/>
      <c r="R111" s="109"/>
      <c r="S111" s="101">
        <v>832.96</v>
      </c>
      <c r="T111" s="101"/>
      <c r="U111" s="102">
        <v>832.96</v>
      </c>
      <c r="V111" s="102"/>
      <c r="W111" s="102">
        <f>S111+T111-U111-V111</f>
        <v>0</v>
      </c>
      <c r="X111" s="174"/>
      <c r="Y111" s="174"/>
      <c r="Z111" s="174"/>
      <c r="AA111" s="174"/>
      <c r="AB111" s="145"/>
    </row>
    <row r="112" s="1" customFormat="1" ht="36" customHeight="1" spans="1:28">
      <c r="A112" s="153"/>
      <c r="B112" s="323"/>
      <c r="C112" s="324"/>
      <c r="D112" s="325"/>
      <c r="E112" s="412"/>
      <c r="F112" s="212"/>
      <c r="G112" s="193" t="s">
        <v>336</v>
      </c>
      <c r="H112" s="200" t="s">
        <v>200</v>
      </c>
      <c r="I112" s="205">
        <v>446922.22</v>
      </c>
      <c r="J112" s="109"/>
      <c r="K112" s="109">
        <f>I112+J112</f>
        <v>446922.22</v>
      </c>
      <c r="L112" s="109"/>
      <c r="M112" s="109"/>
      <c r="N112" s="109"/>
      <c r="O112" s="109"/>
      <c r="P112" s="109"/>
      <c r="Q112" s="109"/>
      <c r="R112" s="109"/>
      <c r="S112" s="101">
        <f>K112</f>
        <v>446922.22</v>
      </c>
      <c r="T112" s="101"/>
      <c r="U112" s="102"/>
      <c r="V112" s="102"/>
      <c r="W112" s="102">
        <f t="shared" ref="W112:W123" si="27">S112+T112-U112-V112</f>
        <v>446922.22</v>
      </c>
      <c r="X112" s="174"/>
      <c r="Y112" s="174"/>
      <c r="Z112" s="174"/>
      <c r="AA112" s="174"/>
      <c r="AB112" s="145"/>
    </row>
    <row r="113" s="1" customFormat="1" ht="36" customHeight="1" spans="1:28">
      <c r="A113" s="153"/>
      <c r="B113" s="436"/>
      <c r="C113" s="437"/>
      <c r="D113" s="438"/>
      <c r="E113" s="413"/>
      <c r="F113" s="212"/>
      <c r="G113" s="201"/>
      <c r="H113" s="200" t="s">
        <v>202</v>
      </c>
      <c r="I113" s="205">
        <v>200</v>
      </c>
      <c r="J113" s="109"/>
      <c r="K113" s="109">
        <f>I113+J113</f>
        <v>200</v>
      </c>
      <c r="L113" s="109"/>
      <c r="M113" s="109"/>
      <c r="N113" s="109"/>
      <c r="O113" s="109"/>
      <c r="P113" s="109"/>
      <c r="Q113" s="109"/>
      <c r="R113" s="109"/>
      <c r="S113" s="101">
        <f t="shared" ref="S113:S118" si="28">K113</f>
        <v>200</v>
      </c>
      <c r="T113" s="101"/>
      <c r="U113" s="102">
        <v>200</v>
      </c>
      <c r="V113" s="102"/>
      <c r="W113" s="102">
        <f t="shared" si="27"/>
        <v>0</v>
      </c>
      <c r="X113" s="174"/>
      <c r="Y113" s="174"/>
      <c r="Z113" s="174"/>
      <c r="AA113" s="174"/>
      <c r="AB113" s="145"/>
    </row>
    <row r="114" s="1" customFormat="1" ht="36" customHeight="1" spans="1:28">
      <c r="A114" s="156">
        <v>36</v>
      </c>
      <c r="B114" s="216" t="s">
        <v>312</v>
      </c>
      <c r="C114" s="217"/>
      <c r="D114" s="218"/>
      <c r="E114" s="283"/>
      <c r="F114" s="188"/>
      <c r="G114" s="219"/>
      <c r="H114" s="188"/>
      <c r="I114" s="108">
        <f>SUM(I115:I142)</f>
        <v>532823.84</v>
      </c>
      <c r="J114" s="108">
        <f>SUM(J115:J142)</f>
        <v>19621.8200000005</v>
      </c>
      <c r="K114" s="108">
        <f>SUM(K115:K142)</f>
        <v>552445.66</v>
      </c>
      <c r="L114" s="108">
        <f t="shared" ref="L114:O114" si="29">L115+L122+L127+L128+L134</f>
        <v>0</v>
      </c>
      <c r="M114" s="108">
        <f t="shared" si="29"/>
        <v>0</v>
      </c>
      <c r="N114" s="108">
        <f t="shared" si="29"/>
        <v>0</v>
      </c>
      <c r="O114" s="108">
        <f t="shared" si="29"/>
        <v>0</v>
      </c>
      <c r="P114" s="108"/>
      <c r="Q114" s="108"/>
      <c r="R114" s="108">
        <f>R115+R122+R127+R128+R134</f>
        <v>0</v>
      </c>
      <c r="S114" s="108">
        <f>K114-L114-M114-N114-O114+R114-Q114</f>
        <v>552445.66</v>
      </c>
      <c r="T114" s="108"/>
      <c r="U114" s="108">
        <f t="shared" ref="U114:U118" si="30">S114</f>
        <v>552445.66</v>
      </c>
      <c r="V114" s="108"/>
      <c r="W114" s="108">
        <f t="shared" si="27"/>
        <v>0</v>
      </c>
      <c r="X114" s="145">
        <f>K114+F114</f>
        <v>552445.66</v>
      </c>
      <c r="Y114" s="145">
        <f>U114+F114</f>
        <v>552445.66</v>
      </c>
      <c r="Z114" s="145"/>
      <c r="AA114" s="145"/>
      <c r="AB114" s="145"/>
    </row>
    <row r="115" s="19" customFormat="1" ht="36" customHeight="1" spans="1:28">
      <c r="A115" s="175"/>
      <c r="B115" s="220" t="s">
        <v>205</v>
      </c>
      <c r="C115" s="221"/>
      <c r="D115" s="222"/>
      <c r="E115" s="414"/>
      <c r="F115" s="167" t="s">
        <v>295</v>
      </c>
      <c r="G115" s="145" t="s">
        <v>206</v>
      </c>
      <c r="H115" s="94"/>
      <c r="I115" s="94">
        <v>46517</v>
      </c>
      <c r="J115" s="94">
        <v>0</v>
      </c>
      <c r="K115" s="94">
        <f>J115+I115</f>
        <v>46517</v>
      </c>
      <c r="L115" s="235"/>
      <c r="M115" s="235"/>
      <c r="N115" s="235"/>
      <c r="O115" s="237"/>
      <c r="P115" s="237"/>
      <c r="Q115" s="237"/>
      <c r="R115" s="94"/>
      <c r="S115" s="94">
        <f>K115-L115-M115-N115-O115+R115-Q115</f>
        <v>46517</v>
      </c>
      <c r="T115" s="94"/>
      <c r="U115" s="94">
        <f t="shared" si="30"/>
        <v>46517</v>
      </c>
      <c r="V115" s="94"/>
      <c r="W115" s="94">
        <f t="shared" si="27"/>
        <v>0</v>
      </c>
      <c r="X115" s="145" t="e">
        <f>K115+F115</f>
        <v>#VALUE!</v>
      </c>
      <c r="Y115" s="145" t="e">
        <f>U115+F115</f>
        <v>#VALUE!</v>
      </c>
      <c r="Z115" s="145"/>
      <c r="AA115" s="145"/>
      <c r="AB115" s="145"/>
    </row>
    <row r="116" s="19" customFormat="1" ht="36" customHeight="1" spans="1:28">
      <c r="A116" s="175"/>
      <c r="B116" s="223"/>
      <c r="C116" s="224"/>
      <c r="D116" s="225"/>
      <c r="E116" s="415"/>
      <c r="F116" s="167"/>
      <c r="G116" s="145" t="s">
        <v>207</v>
      </c>
      <c r="H116" s="94"/>
      <c r="I116" s="94">
        <v>30516</v>
      </c>
      <c r="J116" s="94">
        <v>0</v>
      </c>
      <c r="K116" s="94">
        <f>J116+I116</f>
        <v>30516</v>
      </c>
      <c r="L116" s="235"/>
      <c r="M116" s="235"/>
      <c r="N116" s="235"/>
      <c r="O116" s="237"/>
      <c r="P116" s="237"/>
      <c r="Q116" s="237"/>
      <c r="R116" s="94"/>
      <c r="S116" s="94">
        <f>K116-L116-M116-N116-O116+R116-Q116</f>
        <v>30516</v>
      </c>
      <c r="T116" s="94"/>
      <c r="U116" s="94">
        <f t="shared" si="30"/>
        <v>30516</v>
      </c>
      <c r="V116" s="94"/>
      <c r="W116" s="94">
        <f t="shared" si="27"/>
        <v>0</v>
      </c>
      <c r="X116" s="145">
        <f>K116+F116</f>
        <v>30516</v>
      </c>
      <c r="Y116" s="145">
        <f>U116+F116</f>
        <v>30516</v>
      </c>
      <c r="Z116" s="145"/>
      <c r="AA116" s="145"/>
      <c r="AB116" s="145"/>
    </row>
    <row r="117" s="19" customFormat="1" ht="36" customHeight="1" spans="1:28">
      <c r="A117" s="175"/>
      <c r="B117" s="223"/>
      <c r="C117" s="224"/>
      <c r="D117" s="225"/>
      <c r="E117" s="415"/>
      <c r="F117" s="387" t="s">
        <v>296</v>
      </c>
      <c r="G117" s="174" t="s">
        <v>313</v>
      </c>
      <c r="H117" s="101"/>
      <c r="I117" s="101">
        <v>13017</v>
      </c>
      <c r="J117" s="101"/>
      <c r="K117" s="101">
        <f>J117+I117</f>
        <v>13017</v>
      </c>
      <c r="L117" s="238"/>
      <c r="M117" s="238"/>
      <c r="N117" s="238"/>
      <c r="O117" s="239"/>
      <c r="P117" s="239"/>
      <c r="Q117" s="239"/>
      <c r="R117" s="101"/>
      <c r="S117" s="101">
        <f t="shared" si="28"/>
        <v>13017</v>
      </c>
      <c r="T117" s="101"/>
      <c r="U117" s="101">
        <f t="shared" si="30"/>
        <v>13017</v>
      </c>
      <c r="V117" s="101"/>
      <c r="W117" s="101">
        <f t="shared" si="27"/>
        <v>0</v>
      </c>
      <c r="X117" s="174"/>
      <c r="Y117" s="174"/>
      <c r="Z117" s="174"/>
      <c r="AA117" s="174"/>
      <c r="AB117" s="145"/>
    </row>
    <row r="118" s="19" customFormat="1" ht="36" customHeight="1" spans="1:28">
      <c r="A118" s="175"/>
      <c r="B118" s="223"/>
      <c r="C118" s="224"/>
      <c r="D118" s="225"/>
      <c r="E118" s="415"/>
      <c r="F118" s="387"/>
      <c r="G118" s="174" t="s">
        <v>337</v>
      </c>
      <c r="H118" s="101"/>
      <c r="I118" s="101">
        <v>1700</v>
      </c>
      <c r="J118" s="101"/>
      <c r="K118" s="101">
        <f>J118+I118</f>
        <v>1700</v>
      </c>
      <c r="L118" s="238"/>
      <c r="M118" s="238"/>
      <c r="N118" s="238"/>
      <c r="O118" s="239"/>
      <c r="P118" s="239"/>
      <c r="Q118" s="239"/>
      <c r="R118" s="101"/>
      <c r="S118" s="101">
        <f t="shared" si="28"/>
        <v>1700</v>
      </c>
      <c r="T118" s="101"/>
      <c r="U118" s="101">
        <f t="shared" si="30"/>
        <v>1700</v>
      </c>
      <c r="V118" s="101"/>
      <c r="W118" s="101">
        <f t="shared" si="27"/>
        <v>0</v>
      </c>
      <c r="X118" s="174"/>
      <c r="Y118" s="174"/>
      <c r="Z118" s="174"/>
      <c r="AA118" s="174"/>
      <c r="AB118" s="145"/>
    </row>
    <row r="119" s="19" customFormat="1" ht="36" customHeight="1" spans="1:28">
      <c r="A119" s="175"/>
      <c r="B119" s="223"/>
      <c r="C119" s="224"/>
      <c r="D119" s="225"/>
      <c r="E119" s="415"/>
      <c r="F119" s="387"/>
      <c r="G119" s="174"/>
      <c r="H119" s="101"/>
      <c r="I119" s="101"/>
      <c r="J119" s="101"/>
      <c r="K119" s="101"/>
      <c r="L119" s="238"/>
      <c r="M119" s="238"/>
      <c r="N119" s="238"/>
      <c r="O119" s="239"/>
      <c r="P119" s="239"/>
      <c r="Q119" s="239"/>
      <c r="R119" s="101"/>
      <c r="S119" s="101"/>
      <c r="T119" s="101"/>
      <c r="U119" s="101"/>
      <c r="V119" s="101"/>
      <c r="W119" s="101">
        <f t="shared" si="27"/>
        <v>0</v>
      </c>
      <c r="X119" s="174"/>
      <c r="Y119" s="174"/>
      <c r="Z119" s="174"/>
      <c r="AA119" s="174"/>
      <c r="AB119" s="145"/>
    </row>
    <row r="120" s="19" customFormat="1" ht="36" customHeight="1" spans="1:28">
      <c r="A120" s="175"/>
      <c r="B120" s="223"/>
      <c r="C120" s="224"/>
      <c r="D120" s="225"/>
      <c r="E120" s="415"/>
      <c r="F120" s="387"/>
      <c r="G120" s="174"/>
      <c r="H120" s="101"/>
      <c r="I120" s="101"/>
      <c r="J120" s="101"/>
      <c r="K120" s="101"/>
      <c r="L120" s="238"/>
      <c r="M120" s="238"/>
      <c r="N120" s="238"/>
      <c r="O120" s="239"/>
      <c r="P120" s="239"/>
      <c r="Q120" s="239"/>
      <c r="R120" s="101"/>
      <c r="S120" s="101"/>
      <c r="T120" s="101"/>
      <c r="U120" s="101"/>
      <c r="V120" s="101"/>
      <c r="W120" s="101">
        <f t="shared" si="27"/>
        <v>0</v>
      </c>
      <c r="X120" s="174"/>
      <c r="Y120" s="174"/>
      <c r="Z120" s="174"/>
      <c r="AA120" s="174"/>
      <c r="AB120" s="145"/>
    </row>
    <row r="121" s="19" customFormat="1" ht="36" customHeight="1" spans="1:28">
      <c r="A121" s="175"/>
      <c r="B121" s="223"/>
      <c r="C121" s="224"/>
      <c r="D121" s="225"/>
      <c r="E121" s="415"/>
      <c r="F121" s="387"/>
      <c r="G121" s="174"/>
      <c r="H121" s="101"/>
      <c r="I121" s="101"/>
      <c r="J121" s="101"/>
      <c r="K121" s="101"/>
      <c r="L121" s="238"/>
      <c r="M121" s="238"/>
      <c r="N121" s="238"/>
      <c r="O121" s="239"/>
      <c r="P121" s="239"/>
      <c r="Q121" s="239"/>
      <c r="R121" s="101"/>
      <c r="S121" s="101"/>
      <c r="T121" s="101"/>
      <c r="U121" s="101"/>
      <c r="V121" s="101"/>
      <c r="W121" s="101">
        <f t="shared" si="27"/>
        <v>0</v>
      </c>
      <c r="X121" s="174"/>
      <c r="Y121" s="174"/>
      <c r="Z121" s="174"/>
      <c r="AA121" s="174"/>
      <c r="AB121" s="145"/>
    </row>
    <row r="122" s="19" customFormat="1" ht="36" customHeight="1" spans="1:28">
      <c r="A122" s="175"/>
      <c r="B122" s="220" t="s">
        <v>208</v>
      </c>
      <c r="C122" s="221"/>
      <c r="D122" s="222"/>
      <c r="E122" s="414"/>
      <c r="F122" s="46" t="s">
        <v>295</v>
      </c>
      <c r="G122" s="145" t="s">
        <v>206</v>
      </c>
      <c r="H122" s="94"/>
      <c r="I122" s="94">
        <f>287.12</f>
        <v>287.12</v>
      </c>
      <c r="J122" s="94">
        <v>2.88</v>
      </c>
      <c r="K122" s="94">
        <f>J122+I122</f>
        <v>290</v>
      </c>
      <c r="L122" s="94"/>
      <c r="M122" s="94"/>
      <c r="N122" s="94"/>
      <c r="O122" s="94"/>
      <c r="P122" s="94"/>
      <c r="Q122" s="94"/>
      <c r="R122" s="94"/>
      <c r="S122" s="94">
        <f>K122-L122-M122-N122-O122+R122-Q122</f>
        <v>290</v>
      </c>
      <c r="T122" s="94"/>
      <c r="U122" s="94">
        <f>S122</f>
        <v>290</v>
      </c>
      <c r="V122" s="94"/>
      <c r="W122" s="94">
        <f t="shared" si="27"/>
        <v>0</v>
      </c>
      <c r="X122" s="145" t="e">
        <f>K122+F122</f>
        <v>#VALUE!</v>
      </c>
      <c r="Y122" s="145" t="e">
        <f>U122+F122</f>
        <v>#VALUE!</v>
      </c>
      <c r="Z122" s="188"/>
      <c r="AA122" s="188"/>
      <c r="AB122" s="145"/>
    </row>
    <row r="123" s="19" customFormat="1" ht="36" customHeight="1" spans="1:28">
      <c r="A123" s="175"/>
      <c r="B123" s="223"/>
      <c r="C123" s="224"/>
      <c r="D123" s="225"/>
      <c r="E123" s="415"/>
      <c r="F123" s="52" t="s">
        <v>296</v>
      </c>
      <c r="G123" s="174" t="s">
        <v>337</v>
      </c>
      <c r="H123" s="226"/>
      <c r="I123" s="109"/>
      <c r="J123" s="109"/>
      <c r="K123" s="101">
        <f>J123+I123</f>
        <v>0</v>
      </c>
      <c r="L123" s="101"/>
      <c r="M123" s="101"/>
      <c r="N123" s="101"/>
      <c r="O123" s="101"/>
      <c r="P123" s="101"/>
      <c r="Q123" s="101"/>
      <c r="R123" s="101"/>
      <c r="S123" s="101">
        <f>K123</f>
        <v>0</v>
      </c>
      <c r="T123" s="101"/>
      <c r="U123" s="101">
        <f>S123</f>
        <v>0</v>
      </c>
      <c r="V123" s="101"/>
      <c r="W123" s="101">
        <f t="shared" si="27"/>
        <v>0</v>
      </c>
      <c r="X123" s="174"/>
      <c r="Y123" s="174"/>
      <c r="Z123" s="269"/>
      <c r="AA123" s="269"/>
      <c r="AB123" s="145"/>
    </row>
    <row r="124" s="19" customFormat="1" ht="36" customHeight="1" spans="1:28">
      <c r="A124" s="175"/>
      <c r="B124" s="223"/>
      <c r="C124" s="224"/>
      <c r="D124" s="225"/>
      <c r="E124" s="415"/>
      <c r="F124" s="52"/>
      <c r="G124" s="174"/>
      <c r="H124" s="101"/>
      <c r="I124" s="101"/>
      <c r="J124" s="101"/>
      <c r="K124" s="101"/>
      <c r="L124" s="101"/>
      <c r="M124" s="101"/>
      <c r="N124" s="101"/>
      <c r="O124" s="101"/>
      <c r="P124" s="101"/>
      <c r="Q124" s="101"/>
      <c r="R124" s="101"/>
      <c r="S124" s="101"/>
      <c r="T124" s="101"/>
      <c r="U124" s="101"/>
      <c r="V124" s="101"/>
      <c r="W124" s="101"/>
      <c r="X124" s="174"/>
      <c r="Y124" s="174"/>
      <c r="Z124" s="269"/>
      <c r="AA124" s="269"/>
      <c r="AB124" s="145"/>
    </row>
    <row r="125" s="19" customFormat="1" ht="36" customHeight="1" spans="1:28">
      <c r="A125" s="175"/>
      <c r="B125" s="223"/>
      <c r="C125" s="224"/>
      <c r="D125" s="225"/>
      <c r="E125" s="415"/>
      <c r="F125" s="52"/>
      <c r="G125" s="174"/>
      <c r="H125" s="101"/>
      <c r="I125" s="101"/>
      <c r="J125" s="101"/>
      <c r="K125" s="101"/>
      <c r="L125" s="101"/>
      <c r="M125" s="101"/>
      <c r="N125" s="101"/>
      <c r="O125" s="101"/>
      <c r="P125" s="101"/>
      <c r="Q125" s="101"/>
      <c r="R125" s="101"/>
      <c r="S125" s="101"/>
      <c r="T125" s="101"/>
      <c r="U125" s="101"/>
      <c r="V125" s="101"/>
      <c r="W125" s="101"/>
      <c r="X125" s="174"/>
      <c r="Y125" s="174"/>
      <c r="Z125" s="269"/>
      <c r="AA125" s="269"/>
      <c r="AB125" s="145"/>
    </row>
    <row r="126" s="19" customFormat="1" ht="36" customHeight="1" spans="1:28">
      <c r="A126" s="175"/>
      <c r="B126" s="223"/>
      <c r="C126" s="224"/>
      <c r="D126" s="225"/>
      <c r="E126" s="415"/>
      <c r="F126" s="52"/>
      <c r="G126" s="174"/>
      <c r="H126" s="101"/>
      <c r="I126" s="101"/>
      <c r="J126" s="101"/>
      <c r="K126" s="101"/>
      <c r="L126" s="101"/>
      <c r="M126" s="101"/>
      <c r="N126" s="101"/>
      <c r="O126" s="101"/>
      <c r="P126" s="101"/>
      <c r="Q126" s="101"/>
      <c r="R126" s="101"/>
      <c r="S126" s="101"/>
      <c r="T126" s="101"/>
      <c r="U126" s="101"/>
      <c r="V126" s="101"/>
      <c r="W126" s="102"/>
      <c r="X126" s="174"/>
      <c r="Y126" s="174"/>
      <c r="Z126" s="269"/>
      <c r="AA126" s="269"/>
      <c r="AB126" s="145"/>
    </row>
    <row r="127" s="19" customFormat="1" ht="36" customHeight="1" spans="1:28">
      <c r="A127" s="175"/>
      <c r="B127" s="220" t="s">
        <v>209</v>
      </c>
      <c r="C127" s="221"/>
      <c r="D127" s="222"/>
      <c r="E127" s="414"/>
      <c r="F127" s="45" t="s">
        <v>295</v>
      </c>
      <c r="G127" s="145" t="s">
        <v>206</v>
      </c>
      <c r="H127" s="94"/>
      <c r="I127" s="94">
        <v>116605.74</v>
      </c>
      <c r="J127" s="94">
        <v>3317.86000000048</v>
      </c>
      <c r="K127" s="94">
        <f>J127+I127</f>
        <v>119923.6</v>
      </c>
      <c r="L127" s="94"/>
      <c r="M127" s="94"/>
      <c r="N127" s="94"/>
      <c r="O127" s="94"/>
      <c r="P127" s="94"/>
      <c r="Q127" s="94"/>
      <c r="R127" s="94"/>
      <c r="S127" s="94">
        <f>K127-L127-M127-N127-O127+R127-Q127</f>
        <v>119923.6</v>
      </c>
      <c r="T127" s="94"/>
      <c r="U127" s="94">
        <f t="shared" ref="U127:U131" si="31">S127</f>
        <v>119923.6</v>
      </c>
      <c r="V127" s="94"/>
      <c r="W127" s="94">
        <f t="shared" ref="W127:W134" si="32">S127+T127-U127-V127</f>
        <v>0</v>
      </c>
      <c r="X127" s="145" t="e">
        <f>K127+F127</f>
        <v>#VALUE!</v>
      </c>
      <c r="Y127" s="145" t="e">
        <f>U127+F127</f>
        <v>#VALUE!</v>
      </c>
      <c r="Z127" s="188"/>
      <c r="AA127" s="188"/>
      <c r="AB127" s="145"/>
    </row>
    <row r="128" s="19" customFormat="1" ht="36" customHeight="1" spans="1:28">
      <c r="A128" s="175"/>
      <c r="B128" s="223"/>
      <c r="C128" s="224"/>
      <c r="D128" s="225"/>
      <c r="E128" s="415"/>
      <c r="F128" s="49"/>
      <c r="G128" s="45" t="s">
        <v>207</v>
      </c>
      <c r="H128" s="94"/>
      <c r="I128" s="108">
        <v>89025.62</v>
      </c>
      <c r="J128" s="108">
        <f>2148.43-100.78-401.06</f>
        <v>1646.59</v>
      </c>
      <c r="K128" s="94">
        <f>I128+J128</f>
        <v>90672.21</v>
      </c>
      <c r="L128" s="94"/>
      <c r="M128" s="94"/>
      <c r="N128" s="94"/>
      <c r="O128" s="94"/>
      <c r="P128" s="94"/>
      <c r="Q128" s="94"/>
      <c r="R128" s="94"/>
      <c r="S128" s="94">
        <f>K128-L128-M128-N128-O128+R128-Q128</f>
        <v>90672.21</v>
      </c>
      <c r="T128" s="94"/>
      <c r="U128" s="94">
        <f t="shared" si="31"/>
        <v>90672.21</v>
      </c>
      <c r="V128" s="94"/>
      <c r="W128" s="94">
        <f t="shared" si="32"/>
        <v>0</v>
      </c>
      <c r="X128" s="145">
        <f>K128+F128</f>
        <v>90672.21</v>
      </c>
      <c r="Y128" s="145">
        <f>U128+F128</f>
        <v>90672.21</v>
      </c>
      <c r="Z128" s="188"/>
      <c r="AA128" s="188"/>
      <c r="AB128" s="145"/>
    </row>
    <row r="129" s="19" customFormat="1" ht="36" customHeight="1" spans="1:28">
      <c r="A129" s="175"/>
      <c r="B129" s="223"/>
      <c r="C129" s="224"/>
      <c r="D129" s="225"/>
      <c r="E129" s="415"/>
      <c r="F129" s="49"/>
      <c r="G129" s="81"/>
      <c r="H129" s="233" t="s">
        <v>210</v>
      </c>
      <c r="I129" s="108">
        <v>6579.94</v>
      </c>
      <c r="J129" s="108">
        <f>3620-3408.78+3361-3171.16</f>
        <v>401.06</v>
      </c>
      <c r="K129" s="94">
        <f>J129+I129</f>
        <v>6981</v>
      </c>
      <c r="L129" s="94"/>
      <c r="M129" s="94"/>
      <c r="N129" s="94"/>
      <c r="O129" s="94"/>
      <c r="P129" s="94"/>
      <c r="Q129" s="94"/>
      <c r="R129" s="94"/>
      <c r="S129" s="94">
        <f>K129-L129-M129-N129-O129+R129-Q129</f>
        <v>6981</v>
      </c>
      <c r="T129" s="94"/>
      <c r="U129" s="94">
        <f t="shared" si="31"/>
        <v>6981</v>
      </c>
      <c r="V129" s="94"/>
      <c r="W129" s="94">
        <f t="shared" si="32"/>
        <v>0</v>
      </c>
      <c r="X129" s="145">
        <f>K129+F129</f>
        <v>6981</v>
      </c>
      <c r="Y129" s="145">
        <f>U129+F129</f>
        <v>6981</v>
      </c>
      <c r="Z129" s="188"/>
      <c r="AA129" s="188"/>
      <c r="AB129" s="145"/>
    </row>
    <row r="130" s="19" customFormat="1" ht="36" customHeight="1" spans="1:28">
      <c r="A130" s="175"/>
      <c r="B130" s="223"/>
      <c r="C130" s="224"/>
      <c r="D130" s="225"/>
      <c r="E130" s="415"/>
      <c r="F130" s="52" t="s">
        <v>296</v>
      </c>
      <c r="G130" s="174" t="s">
        <v>313</v>
      </c>
      <c r="H130" s="226"/>
      <c r="I130" s="109">
        <v>65309.79</v>
      </c>
      <c r="J130" s="109">
        <v>909.39</v>
      </c>
      <c r="K130" s="101">
        <f>J130+I130</f>
        <v>66219.18</v>
      </c>
      <c r="L130" s="101"/>
      <c r="M130" s="101"/>
      <c r="N130" s="101"/>
      <c r="O130" s="101"/>
      <c r="P130" s="101"/>
      <c r="Q130" s="101"/>
      <c r="R130" s="101"/>
      <c r="S130" s="101">
        <f>K130</f>
        <v>66219.18</v>
      </c>
      <c r="T130" s="101"/>
      <c r="U130" s="101">
        <f t="shared" si="31"/>
        <v>66219.18</v>
      </c>
      <c r="V130" s="101"/>
      <c r="W130" s="101">
        <f t="shared" si="32"/>
        <v>0</v>
      </c>
      <c r="X130" s="174"/>
      <c r="Y130" s="174"/>
      <c r="Z130" s="269"/>
      <c r="AA130" s="269"/>
      <c r="AB130" s="145"/>
    </row>
    <row r="131" s="19" customFormat="1" ht="36" customHeight="1" spans="1:28">
      <c r="A131" s="175"/>
      <c r="B131" s="223"/>
      <c r="C131" s="224"/>
      <c r="D131" s="225"/>
      <c r="E131" s="415"/>
      <c r="F131" s="52"/>
      <c r="G131" s="174" t="s">
        <v>337</v>
      </c>
      <c r="H131" s="226"/>
      <c r="I131" s="109">
        <v>9521.42</v>
      </c>
      <c r="J131" s="109">
        <f>810.89-771.11+7.68+790-750.83+15.37+30.37+758.4-721.26+2052-2036.63+591.63</f>
        <v>776.51</v>
      </c>
      <c r="K131" s="101">
        <f>J131+I131</f>
        <v>10297.93</v>
      </c>
      <c r="L131" s="101"/>
      <c r="M131" s="101"/>
      <c r="N131" s="101"/>
      <c r="O131" s="101"/>
      <c r="P131" s="101"/>
      <c r="Q131" s="101"/>
      <c r="R131" s="101"/>
      <c r="S131" s="101">
        <f>K131</f>
        <v>10297.93</v>
      </c>
      <c r="T131" s="101"/>
      <c r="U131" s="101">
        <f t="shared" si="31"/>
        <v>10297.93</v>
      </c>
      <c r="V131" s="101"/>
      <c r="W131" s="101"/>
      <c r="X131" s="174"/>
      <c r="Y131" s="174"/>
      <c r="Z131" s="269"/>
      <c r="AA131" s="269"/>
      <c r="AB131" s="145"/>
    </row>
    <row r="132" s="19" customFormat="1" ht="36" customHeight="1" spans="1:28">
      <c r="A132" s="175"/>
      <c r="B132" s="223"/>
      <c r="C132" s="224"/>
      <c r="D132" s="225"/>
      <c r="E132" s="415"/>
      <c r="F132" s="52"/>
      <c r="G132" s="174" t="s">
        <v>338</v>
      </c>
      <c r="H132" s="226"/>
      <c r="I132" s="109"/>
      <c r="J132" s="109"/>
      <c r="K132" s="101"/>
      <c r="L132" s="101"/>
      <c r="M132" s="101"/>
      <c r="N132" s="101"/>
      <c r="O132" s="101"/>
      <c r="P132" s="101"/>
      <c r="Q132" s="101"/>
      <c r="R132" s="101"/>
      <c r="S132" s="101"/>
      <c r="T132" s="101"/>
      <c r="U132" s="101"/>
      <c r="V132" s="101"/>
      <c r="W132" s="101"/>
      <c r="X132" s="174"/>
      <c r="Y132" s="174"/>
      <c r="Z132" s="269"/>
      <c r="AA132" s="269"/>
      <c r="AB132" s="145"/>
    </row>
    <row r="133" s="19" customFormat="1" ht="36" customHeight="1" spans="1:28">
      <c r="A133" s="175"/>
      <c r="B133" s="223"/>
      <c r="C133" s="224"/>
      <c r="D133" s="225"/>
      <c r="E133" s="415"/>
      <c r="F133" s="52"/>
      <c r="G133" s="174" t="s">
        <v>339</v>
      </c>
      <c r="H133" s="226"/>
      <c r="I133" s="109"/>
      <c r="J133" s="109"/>
      <c r="K133" s="101"/>
      <c r="L133" s="101"/>
      <c r="M133" s="101"/>
      <c r="N133" s="101"/>
      <c r="O133" s="101"/>
      <c r="P133" s="101"/>
      <c r="Q133" s="101"/>
      <c r="R133" s="101"/>
      <c r="S133" s="101"/>
      <c r="T133" s="101"/>
      <c r="U133" s="101"/>
      <c r="V133" s="101"/>
      <c r="W133" s="101"/>
      <c r="X133" s="174"/>
      <c r="Y133" s="174"/>
      <c r="Z133" s="269"/>
      <c r="AA133" s="269"/>
      <c r="AB133" s="145"/>
    </row>
    <row r="134" s="19" customFormat="1" ht="36" customHeight="1" spans="1:28">
      <c r="A134" s="175"/>
      <c r="B134" s="220" t="s">
        <v>211</v>
      </c>
      <c r="C134" s="221"/>
      <c r="D134" s="222"/>
      <c r="E134" s="414"/>
      <c r="F134" s="211" t="s">
        <v>295</v>
      </c>
      <c r="G134" s="145" t="s">
        <v>207</v>
      </c>
      <c r="H134" s="94"/>
      <c r="I134" s="108">
        <f>22857.94+11.28</f>
        <v>22869.22</v>
      </c>
      <c r="J134" s="108">
        <f>11.28+29.7+24.26*2</f>
        <v>89.5</v>
      </c>
      <c r="K134" s="94">
        <f>I134+J134</f>
        <v>22958.72</v>
      </c>
      <c r="L134" s="94"/>
      <c r="M134" s="94"/>
      <c r="N134" s="94"/>
      <c r="O134" s="94"/>
      <c r="P134" s="94"/>
      <c r="Q134" s="94"/>
      <c r="R134" s="94"/>
      <c r="S134" s="94">
        <f>K134-L134-M134-N134-O134+R134-Q134</f>
        <v>22958.72</v>
      </c>
      <c r="T134" s="108"/>
      <c r="U134" s="94">
        <f>S134</f>
        <v>22958.72</v>
      </c>
      <c r="V134" s="94"/>
      <c r="W134" s="94">
        <f>S134+T134-U134-V134</f>
        <v>0</v>
      </c>
      <c r="X134" s="145" t="e">
        <f>K134+F134</f>
        <v>#VALUE!</v>
      </c>
      <c r="Y134" s="145" t="e">
        <f>U134+F134</f>
        <v>#VALUE!</v>
      </c>
      <c r="Z134" s="188"/>
      <c r="AA134" s="188"/>
      <c r="AB134" s="145"/>
    </row>
    <row r="135" s="19" customFormat="1" ht="36" customHeight="1" spans="1:28">
      <c r="A135" s="175"/>
      <c r="B135" s="223"/>
      <c r="C135" s="224"/>
      <c r="D135" s="225"/>
      <c r="E135" s="419"/>
      <c r="F135" s="103" t="s">
        <v>296</v>
      </c>
      <c r="G135" s="174" t="s">
        <v>313</v>
      </c>
      <c r="H135" s="234" t="s">
        <v>314</v>
      </c>
      <c r="I135" s="109">
        <v>11785.05</v>
      </c>
      <c r="J135" s="109">
        <v>38.9500000000007</v>
      </c>
      <c r="K135" s="101">
        <f>I135+J135</f>
        <v>11824</v>
      </c>
      <c r="L135" s="101"/>
      <c r="M135" s="101"/>
      <c r="N135" s="101"/>
      <c r="O135" s="101"/>
      <c r="P135" s="101"/>
      <c r="Q135" s="101"/>
      <c r="R135" s="101"/>
      <c r="S135" s="101">
        <v>11824</v>
      </c>
      <c r="T135" s="109"/>
      <c r="U135" s="101">
        <v>11824</v>
      </c>
      <c r="V135" s="101"/>
      <c r="W135" s="101">
        <f>S135+T135-U135-V135</f>
        <v>0</v>
      </c>
      <c r="X135" s="174"/>
      <c r="Y135" s="174"/>
      <c r="Z135" s="269"/>
      <c r="AA135" s="269"/>
      <c r="AB135" s="145"/>
    </row>
    <row r="136" s="19" customFormat="1" ht="36" customHeight="1" spans="1:28">
      <c r="A136" s="175"/>
      <c r="B136" s="223"/>
      <c r="C136" s="224"/>
      <c r="D136" s="225"/>
      <c r="E136" s="419"/>
      <c r="F136" s="105"/>
      <c r="G136" s="174"/>
      <c r="H136" s="234"/>
      <c r="I136" s="109"/>
      <c r="J136" s="109"/>
      <c r="K136" s="101"/>
      <c r="L136" s="101"/>
      <c r="M136" s="101"/>
      <c r="N136" s="101"/>
      <c r="O136" s="101"/>
      <c r="P136" s="101"/>
      <c r="Q136" s="101"/>
      <c r="R136" s="101"/>
      <c r="S136" s="101"/>
      <c r="T136" s="109"/>
      <c r="U136" s="101"/>
      <c r="V136" s="101"/>
      <c r="W136" s="101"/>
      <c r="X136" s="174"/>
      <c r="Y136" s="174"/>
      <c r="Z136" s="269"/>
      <c r="AA136" s="269"/>
      <c r="AB136" s="145"/>
    </row>
    <row r="137" s="19" customFormat="1" ht="36" customHeight="1" spans="1:28">
      <c r="A137" s="175"/>
      <c r="B137" s="223"/>
      <c r="C137" s="224"/>
      <c r="D137" s="225"/>
      <c r="E137" s="419"/>
      <c r="F137" s="105"/>
      <c r="G137" s="174"/>
      <c r="H137" s="234"/>
      <c r="I137" s="109"/>
      <c r="J137" s="109"/>
      <c r="K137" s="101"/>
      <c r="L137" s="101"/>
      <c r="M137" s="101"/>
      <c r="N137" s="101"/>
      <c r="O137" s="101"/>
      <c r="P137" s="101"/>
      <c r="Q137" s="101"/>
      <c r="R137" s="101"/>
      <c r="S137" s="101"/>
      <c r="T137" s="109"/>
      <c r="U137" s="101"/>
      <c r="V137" s="101"/>
      <c r="W137" s="101"/>
      <c r="X137" s="174"/>
      <c r="Y137" s="174"/>
      <c r="Z137" s="269"/>
      <c r="AA137" s="269"/>
      <c r="AB137" s="145"/>
    </row>
    <row r="138" s="19" customFormat="1" ht="36" customHeight="1" spans="1:28">
      <c r="A138" s="175"/>
      <c r="B138" s="223"/>
      <c r="C138" s="224"/>
      <c r="D138" s="225"/>
      <c r="E138" s="419"/>
      <c r="F138" s="105"/>
      <c r="G138" s="174"/>
      <c r="H138" s="234"/>
      <c r="I138" s="109"/>
      <c r="J138" s="109"/>
      <c r="K138" s="101"/>
      <c r="L138" s="101"/>
      <c r="M138" s="101"/>
      <c r="N138" s="101"/>
      <c r="O138" s="101"/>
      <c r="P138" s="101"/>
      <c r="Q138" s="101"/>
      <c r="R138" s="101"/>
      <c r="S138" s="101"/>
      <c r="T138" s="109"/>
      <c r="U138" s="101"/>
      <c r="V138" s="101"/>
      <c r="W138" s="101"/>
      <c r="X138" s="174"/>
      <c r="Y138" s="174"/>
      <c r="Z138" s="269"/>
      <c r="AA138" s="269"/>
      <c r="AB138" s="145"/>
    </row>
    <row r="139" s="19" customFormat="1" ht="36" customHeight="1" spans="1:28">
      <c r="A139" s="175"/>
      <c r="B139" s="319" t="s">
        <v>210</v>
      </c>
      <c r="C139" s="320"/>
      <c r="D139" s="321"/>
      <c r="E139" s="237"/>
      <c r="F139" s="103" t="s">
        <v>296</v>
      </c>
      <c r="G139" s="174" t="s">
        <v>313</v>
      </c>
      <c r="H139" s="439" t="s">
        <v>315</v>
      </c>
      <c r="I139" s="109">
        <v>84328.41</v>
      </c>
      <c r="J139" s="109">
        <v>10962.71</v>
      </c>
      <c r="K139" s="101">
        <f t="shared" ref="K139:K141" si="33">J139+I139</f>
        <v>95291.12</v>
      </c>
      <c r="L139" s="101"/>
      <c r="M139" s="101"/>
      <c r="N139" s="101"/>
      <c r="O139" s="101"/>
      <c r="P139" s="101"/>
      <c r="Q139" s="101"/>
      <c r="R139" s="101"/>
      <c r="S139" s="101">
        <f t="shared" ref="S139:S141" si="34">K139</f>
        <v>95291.12</v>
      </c>
      <c r="T139" s="101"/>
      <c r="U139" s="101"/>
      <c r="V139" s="101"/>
      <c r="W139" s="101">
        <f>S139+T139-U139-V139</f>
        <v>95291.12</v>
      </c>
      <c r="X139" s="174"/>
      <c r="Y139" s="174"/>
      <c r="Z139" s="269"/>
      <c r="AA139" s="269">
        <v>95291.12</v>
      </c>
      <c r="AB139" s="145"/>
    </row>
    <row r="140" s="19" customFormat="1" ht="36" customHeight="1" spans="1:28">
      <c r="A140" s="175"/>
      <c r="B140" s="323"/>
      <c r="C140" s="324"/>
      <c r="D140" s="325"/>
      <c r="E140" s="237"/>
      <c r="F140" s="105"/>
      <c r="G140" s="174" t="s">
        <v>337</v>
      </c>
      <c r="H140" s="439" t="s">
        <v>340</v>
      </c>
      <c r="I140" s="109">
        <v>31416.34</v>
      </c>
      <c r="J140" s="109">
        <f>1041.5</f>
        <v>1041.5</v>
      </c>
      <c r="K140" s="101">
        <f t="shared" si="33"/>
        <v>32457.84</v>
      </c>
      <c r="L140" s="101"/>
      <c r="M140" s="101"/>
      <c r="N140" s="101"/>
      <c r="O140" s="101"/>
      <c r="P140" s="101"/>
      <c r="Q140" s="101"/>
      <c r="R140" s="101"/>
      <c r="S140" s="101">
        <f t="shared" si="34"/>
        <v>32457.84</v>
      </c>
      <c r="T140" s="101"/>
      <c r="U140" s="101">
        <f t="shared" ref="U139:U141" si="35">S140</f>
        <v>32457.84</v>
      </c>
      <c r="V140" s="101"/>
      <c r="W140" s="101">
        <f>S140+T140-U140-V140</f>
        <v>0</v>
      </c>
      <c r="X140" s="174"/>
      <c r="Y140" s="174"/>
      <c r="Z140" s="269"/>
      <c r="AA140" s="269"/>
      <c r="AB140" s="145"/>
    </row>
    <row r="141" s="19" customFormat="1" ht="36" customHeight="1" spans="1:28">
      <c r="A141" s="175"/>
      <c r="B141" s="436"/>
      <c r="C141" s="437"/>
      <c r="D141" s="438"/>
      <c r="E141" s="237"/>
      <c r="F141" s="106"/>
      <c r="G141" s="174" t="s">
        <v>337</v>
      </c>
      <c r="H141" s="226"/>
      <c r="I141" s="109">
        <v>3345.19</v>
      </c>
      <c r="J141" s="109">
        <v>434.87</v>
      </c>
      <c r="K141" s="101">
        <f t="shared" si="33"/>
        <v>3780.06</v>
      </c>
      <c r="L141" s="101"/>
      <c r="M141" s="101"/>
      <c r="N141" s="101"/>
      <c r="O141" s="101"/>
      <c r="P141" s="101"/>
      <c r="Q141" s="101"/>
      <c r="R141" s="101"/>
      <c r="S141" s="101">
        <f t="shared" si="34"/>
        <v>3780.06</v>
      </c>
      <c r="T141" s="101"/>
      <c r="U141" s="101"/>
      <c r="V141" s="101"/>
      <c r="W141" s="101">
        <f>S141+T141-U141-V141</f>
        <v>3780.06</v>
      </c>
      <c r="X141" s="174"/>
      <c r="Y141" s="174"/>
      <c r="Z141" s="269"/>
      <c r="AA141" s="269"/>
      <c r="AB141" s="145"/>
    </row>
    <row r="142" s="19" customFormat="1" ht="36" customHeight="1" spans="1:28">
      <c r="A142" s="175"/>
      <c r="B142" s="235"/>
      <c r="C142" s="235"/>
      <c r="D142" s="235"/>
      <c r="E142" s="237"/>
      <c r="F142" s="94"/>
      <c r="G142" s="145"/>
      <c r="H142" s="236"/>
      <c r="I142" s="108"/>
      <c r="J142" s="108"/>
      <c r="K142" s="94"/>
      <c r="L142" s="94"/>
      <c r="M142" s="94"/>
      <c r="N142" s="94"/>
      <c r="O142" s="94"/>
      <c r="P142" s="94"/>
      <c r="Q142" s="94"/>
      <c r="R142" s="94"/>
      <c r="S142" s="94"/>
      <c r="T142" s="108"/>
      <c r="U142" s="94"/>
      <c r="V142" s="94"/>
      <c r="W142" s="94">
        <f>S142+T142-U142-V142</f>
        <v>0</v>
      </c>
      <c r="X142" s="145"/>
      <c r="Y142" s="145"/>
      <c r="Z142" s="188"/>
      <c r="AA142" s="188"/>
      <c r="AB142" s="145"/>
    </row>
    <row r="143" s="20" customFormat="1" ht="36" customHeight="1" spans="1:28">
      <c r="A143" s="240" t="s">
        <v>212</v>
      </c>
      <c r="B143" s="241"/>
      <c r="C143" s="241"/>
      <c r="D143" s="241"/>
      <c r="E143" s="241"/>
      <c r="F143" s="241"/>
      <c r="G143" s="243"/>
      <c r="H143" s="244" t="s">
        <v>316</v>
      </c>
      <c r="I143" s="300">
        <f>I134+I129+I128+I127+I122+I116+I115+I109+I108+I107+I103+I97+I95+I94+I93+I92+I91+I90+I89+I88+I87+I86+I85+I84+I83+I82+I81+I80+I79+I78+I77+I76+I75+I74+I73+I72+I71+I68+I58+I49+I35+I25</f>
        <v>260599572.29</v>
      </c>
      <c r="J143" s="300">
        <f t="shared" ref="J143:W143" si="36">J134+J129+J128+J127+J122+J116+J115+J109+J108+J107+J103+J97+J95+J94+J93+J92+J91+J90+J89+J88+J87+J86+J85+J84+J83+J82+J81+J80+J79+J78+J77+J76+J75+J74+J73+J72+J71+J68+J58+J49+J35+J25</f>
        <v>25791352.63</v>
      </c>
      <c r="K143" s="300">
        <f t="shared" si="36"/>
        <v>286390924.92</v>
      </c>
      <c r="L143" s="300">
        <f t="shared" si="36"/>
        <v>2208694.43</v>
      </c>
      <c r="M143" s="300">
        <f t="shared" si="36"/>
        <v>0</v>
      </c>
      <c r="N143" s="300">
        <f t="shared" si="36"/>
        <v>0</v>
      </c>
      <c r="O143" s="300">
        <f t="shared" si="36"/>
        <v>613920.32</v>
      </c>
      <c r="P143" s="300">
        <f t="shared" si="36"/>
        <v>0</v>
      </c>
      <c r="Q143" s="300">
        <f t="shared" si="36"/>
        <v>3100</v>
      </c>
      <c r="R143" s="300">
        <f t="shared" si="36"/>
        <v>116593.5</v>
      </c>
      <c r="S143" s="300">
        <f t="shared" si="36"/>
        <v>281826803.67</v>
      </c>
      <c r="T143" s="300">
        <f t="shared" si="36"/>
        <v>1855000</v>
      </c>
      <c r="U143" s="300">
        <f t="shared" si="36"/>
        <v>250120580.13</v>
      </c>
      <c r="V143" s="300">
        <f t="shared" si="36"/>
        <v>1855000</v>
      </c>
      <c r="W143" s="300">
        <f t="shared" si="36"/>
        <v>31706223.54</v>
      </c>
      <c r="X143" s="300" t="e">
        <f>SUM(X6:X18,X28:X29,X37:X44,X51:X53,X60:X63,X70,X72:X78,X79:X86,X87:X94,X95:X109,X115:X116,X122:X129,X134)</f>
        <v>#VALUE!</v>
      </c>
      <c r="Y143" s="300" t="e">
        <f>SUM(Y6:Y18,Y28:Y29,Y37:Y44,Y51:Y53,Y60:Y63,Y70,Y72:Y78,Y79:Y86,Y87:Y94,Y95:Y109,Y115:Y116,Y122:Y129,Y134)</f>
        <v>#VALUE!</v>
      </c>
      <c r="Z143" s="307">
        <f>SUM(Z25,Z35,Z49,Z58,Z68,Z71,Z72:Z114)</f>
        <v>6040577.8</v>
      </c>
      <c r="AA143" s="307">
        <f>SUM(AA25,AA35,AA49,AA58,AA68,AA71,AA72:AA114)</f>
        <v>8171032.28</v>
      </c>
      <c r="AB143" s="307"/>
    </row>
    <row r="144" s="21" customFormat="1" ht="36" customHeight="1" spans="1:28">
      <c r="A144" s="245"/>
      <c r="B144" s="246"/>
      <c r="C144" s="246"/>
      <c r="D144" s="246"/>
      <c r="E144" s="246"/>
      <c r="F144" s="246"/>
      <c r="G144" s="212"/>
      <c r="H144" s="205" t="s">
        <v>317</v>
      </c>
      <c r="I144" s="301">
        <f>I26+I36+I50+I59+I64+I65+I66+I67+I69+I96+I98+I104+I105+I106+I110+I111+I112+I113+I117+I118+I119+I120+I121+I123+I124+I125+I126+I130+I131+I132+I133+I135+I136+I137+I138+I139+I140+I141</f>
        <v>1144578.39</v>
      </c>
      <c r="J144" s="301">
        <f>J26+J36+J50+J59+J64+J65+J66+J67+J69+J96+J98+J104+J105+J106+J110+J111+J112+J113+J117+J118+J119+J120+J121+J123+J124+J125+J126+J130+J131+J132+J133+J135+J136+J137+J138+J139+J140+J141</f>
        <v>820080.58</v>
      </c>
      <c r="K144" s="301">
        <f>K26+K36+K50+K59+K64+K65+K66+K67+K69+K96+K98+K104+K105+K106+K110+K111+K112+K113+K117+K118+K119+K120+K121+K123+K124+K125+K126+K130+K131+K132+K133+K135+K136+K137+K138+K139+K140+K141</f>
        <v>1964658.97</v>
      </c>
      <c r="L144" s="301">
        <f t="shared" ref="J144:W144" si="37">L26+L36+L50+L59+L64+L65+L66+L67+L69+L96+L98+L104+L105+L106+L110+L111+L112+L113+L117+L118+L119+L120+L121+L123+L124+L125+L126+L130+L131+L132+L133+L135+L136+L137+L138+L139+L140+L141</f>
        <v>0</v>
      </c>
      <c r="M144" s="301">
        <f t="shared" si="37"/>
        <v>0</v>
      </c>
      <c r="N144" s="301">
        <f t="shared" si="37"/>
        <v>0</v>
      </c>
      <c r="O144" s="301">
        <f t="shared" si="37"/>
        <v>201576.1</v>
      </c>
      <c r="P144" s="301">
        <f t="shared" si="37"/>
        <v>0</v>
      </c>
      <c r="Q144" s="301">
        <f t="shared" si="37"/>
        <v>0</v>
      </c>
      <c r="R144" s="301">
        <f t="shared" si="37"/>
        <v>0</v>
      </c>
      <c r="S144" s="301">
        <f t="shared" si="37"/>
        <v>1964658.97</v>
      </c>
      <c r="T144" s="301">
        <f t="shared" si="37"/>
        <v>0</v>
      </c>
      <c r="U144" s="301">
        <f t="shared" si="37"/>
        <v>18109509.45</v>
      </c>
      <c r="V144" s="301">
        <f t="shared" si="37"/>
        <v>1756800</v>
      </c>
      <c r="W144" s="301">
        <f t="shared" si="37"/>
        <v>-18103226.58</v>
      </c>
      <c r="X144" s="301">
        <f>X139+X135+X130+X117+X111+X110+X19</f>
        <v>0</v>
      </c>
      <c r="Y144" s="301">
        <f>Y139+Y135+Y130+Y117+Y111+Y110+Y19</f>
        <v>0</v>
      </c>
      <c r="Z144" s="308"/>
      <c r="AA144" s="308"/>
      <c r="AB144" s="308"/>
    </row>
    <row r="145" s="1" customFormat="1" ht="36" customHeight="1" spans="1:28">
      <c r="A145" s="250" t="s">
        <v>213</v>
      </c>
      <c r="B145" s="251" t="s">
        <v>214</v>
      </c>
      <c r="C145" s="252"/>
      <c r="D145" s="252"/>
      <c r="E145" s="217"/>
      <c r="F145" s="217"/>
      <c r="G145" s="217"/>
      <c r="H145" s="218"/>
      <c r="I145" s="94"/>
      <c r="J145" s="94"/>
      <c r="K145" s="94"/>
      <c r="L145" s="94"/>
      <c r="M145" s="94"/>
      <c r="N145" s="94"/>
      <c r="O145" s="94"/>
      <c r="P145" s="94"/>
      <c r="Q145" s="94"/>
      <c r="R145" s="94"/>
      <c r="S145" s="94">
        <f>K145-L145-M145-N145-O145+R145</f>
        <v>0</v>
      </c>
      <c r="T145" s="94"/>
      <c r="U145" s="94"/>
      <c r="V145" s="94"/>
      <c r="W145" s="94"/>
      <c r="X145" s="45"/>
      <c r="Y145" s="45"/>
      <c r="Z145" s="145"/>
      <c r="AA145" s="145"/>
      <c r="AB145" s="145"/>
    </row>
    <row r="146" s="22" customFormat="1" ht="42" customHeight="1" spans="1:239">
      <c r="A146" s="43">
        <v>22</v>
      </c>
      <c r="B146" s="44" t="s">
        <v>215</v>
      </c>
      <c r="C146" s="43" t="s">
        <v>216</v>
      </c>
      <c r="D146" s="43" t="s">
        <v>217</v>
      </c>
      <c r="E146" s="43">
        <v>9968383.94</v>
      </c>
      <c r="F146" s="45"/>
      <c r="G146" s="66" t="s">
        <v>218</v>
      </c>
      <c r="H146" s="66" t="s">
        <v>219</v>
      </c>
      <c r="I146" s="94"/>
      <c r="J146" s="94"/>
      <c r="K146" s="94">
        <f>I146+J146</f>
        <v>0</v>
      </c>
      <c r="L146" s="94"/>
      <c r="M146" s="94"/>
      <c r="N146" s="94"/>
      <c r="O146" s="94"/>
      <c r="P146" s="94"/>
      <c r="Q146" s="94"/>
      <c r="R146" s="94">
        <v>2990515.18</v>
      </c>
      <c r="S146" s="94">
        <f>K146-L146-M146-N146-O146+R146</f>
        <v>2990515.18</v>
      </c>
      <c r="T146" s="94"/>
      <c r="U146" s="94">
        <v>2990515.18</v>
      </c>
      <c r="V146" s="94"/>
      <c r="W146" s="94">
        <f>S146+T146-U146-V146</f>
        <v>0</v>
      </c>
      <c r="X146" s="145">
        <f>K146+F146</f>
        <v>0</v>
      </c>
      <c r="Y146" s="145">
        <f t="shared" ref="Y146:Y155" si="38">U146+F146</f>
        <v>2990515.18</v>
      </c>
      <c r="Z146" s="426"/>
      <c r="AA146" s="145"/>
      <c r="AB146" s="145"/>
      <c r="AC146" s="311"/>
      <c r="AD146" s="311"/>
      <c r="AE146" s="311"/>
      <c r="AF146" s="311"/>
      <c r="AG146" s="311"/>
      <c r="AH146" s="311"/>
      <c r="AI146" s="311"/>
      <c r="AJ146" s="311"/>
      <c r="AK146" s="311"/>
      <c r="AL146" s="311"/>
      <c r="AM146" s="311"/>
      <c r="AN146" s="311"/>
      <c r="AO146" s="311"/>
      <c r="AP146" s="311"/>
      <c r="AQ146" s="311"/>
      <c r="AR146" s="311"/>
      <c r="AS146" s="311"/>
      <c r="AT146" s="311"/>
      <c r="AU146" s="311"/>
      <c r="AV146" s="311"/>
      <c r="AW146" s="311"/>
      <c r="AX146" s="311"/>
      <c r="AY146" s="311"/>
      <c r="AZ146" s="311"/>
      <c r="BA146" s="311"/>
      <c r="BB146" s="311"/>
      <c r="BC146" s="311"/>
      <c r="BD146" s="311"/>
      <c r="BE146" s="311"/>
      <c r="BF146" s="311"/>
      <c r="BG146" s="311"/>
      <c r="BH146" s="311"/>
      <c r="BI146" s="311"/>
      <c r="BJ146" s="311"/>
      <c r="BK146" s="311"/>
      <c r="BL146" s="311"/>
      <c r="BM146" s="311"/>
      <c r="BN146" s="311"/>
      <c r="BO146" s="311"/>
      <c r="BP146" s="311"/>
      <c r="BQ146" s="311"/>
      <c r="BR146" s="311"/>
      <c r="BS146" s="311"/>
      <c r="BT146" s="311"/>
      <c r="BU146" s="311"/>
      <c r="BV146" s="311"/>
      <c r="BW146" s="311"/>
      <c r="BX146" s="311"/>
      <c r="BY146" s="311"/>
      <c r="BZ146" s="311"/>
      <c r="CA146" s="311"/>
      <c r="CB146" s="311"/>
      <c r="CC146" s="311"/>
      <c r="CD146" s="311"/>
      <c r="CE146" s="311"/>
      <c r="CF146" s="311"/>
      <c r="CG146" s="311"/>
      <c r="CH146" s="311"/>
      <c r="CI146" s="311"/>
      <c r="CJ146" s="311"/>
      <c r="CK146" s="311"/>
      <c r="CL146" s="311"/>
      <c r="CM146" s="311"/>
      <c r="CN146" s="311"/>
      <c r="CO146" s="311"/>
      <c r="CP146" s="311"/>
      <c r="CQ146" s="311"/>
      <c r="CR146" s="311"/>
      <c r="CS146" s="311"/>
      <c r="CT146" s="311"/>
      <c r="CU146" s="311"/>
      <c r="CV146" s="311"/>
      <c r="CW146" s="311"/>
      <c r="CX146" s="311"/>
      <c r="CY146" s="311"/>
      <c r="CZ146" s="311"/>
      <c r="DA146" s="311"/>
      <c r="DB146" s="311"/>
      <c r="DC146" s="311"/>
      <c r="DD146" s="311"/>
      <c r="DE146" s="311"/>
      <c r="DF146" s="311"/>
      <c r="DG146" s="311"/>
      <c r="DH146" s="311"/>
      <c r="DI146" s="311"/>
      <c r="DJ146" s="311"/>
      <c r="DK146" s="311"/>
      <c r="DL146" s="311"/>
      <c r="DM146" s="311"/>
      <c r="DN146" s="311"/>
      <c r="DO146" s="311"/>
      <c r="DP146" s="311"/>
      <c r="DQ146" s="311"/>
      <c r="DR146" s="311"/>
      <c r="DS146" s="311"/>
      <c r="DT146" s="311"/>
      <c r="DU146" s="311"/>
      <c r="DV146" s="311"/>
      <c r="DW146" s="311"/>
      <c r="DX146" s="311"/>
      <c r="DY146" s="311"/>
      <c r="DZ146" s="311"/>
      <c r="EA146" s="311"/>
      <c r="EB146" s="311"/>
      <c r="EC146" s="311"/>
      <c r="ED146" s="311"/>
      <c r="EE146" s="311"/>
      <c r="EF146" s="311"/>
      <c r="EG146" s="311"/>
      <c r="EH146" s="311"/>
      <c r="EI146" s="311"/>
      <c r="EJ146" s="311"/>
      <c r="EK146" s="311"/>
      <c r="EL146" s="311"/>
      <c r="EM146" s="311"/>
      <c r="EN146" s="311"/>
      <c r="EO146" s="311"/>
      <c r="EP146" s="311"/>
      <c r="EQ146" s="311"/>
      <c r="ER146" s="311"/>
      <c r="ES146" s="311"/>
      <c r="ET146" s="311"/>
      <c r="EU146" s="311"/>
      <c r="EV146" s="311"/>
      <c r="EW146" s="311"/>
      <c r="EX146" s="311"/>
      <c r="EY146" s="311"/>
      <c r="EZ146" s="311"/>
      <c r="FA146" s="311"/>
      <c r="FB146" s="311"/>
      <c r="FC146" s="311"/>
      <c r="FD146" s="311"/>
      <c r="FE146" s="311"/>
      <c r="FF146" s="311"/>
      <c r="FG146" s="311"/>
      <c r="FH146" s="311"/>
      <c r="FI146" s="311"/>
      <c r="FJ146" s="311"/>
      <c r="FK146" s="311"/>
      <c r="FL146" s="311"/>
      <c r="FM146" s="311"/>
      <c r="FN146" s="311"/>
      <c r="FO146" s="311"/>
      <c r="FP146" s="311"/>
      <c r="FQ146" s="311"/>
      <c r="FR146" s="311"/>
      <c r="FS146" s="311"/>
      <c r="FT146" s="311"/>
      <c r="FU146" s="311"/>
      <c r="FV146" s="311"/>
      <c r="FW146" s="311"/>
      <c r="FX146" s="311"/>
      <c r="FY146" s="311"/>
      <c r="FZ146" s="311"/>
      <c r="GA146" s="311"/>
      <c r="GB146" s="311"/>
      <c r="GC146" s="311"/>
      <c r="GD146" s="311"/>
      <c r="GE146" s="311"/>
      <c r="GF146" s="311"/>
      <c r="GG146" s="311"/>
      <c r="GH146" s="311"/>
      <c r="GI146" s="311"/>
      <c r="GJ146" s="311"/>
      <c r="GK146" s="311"/>
      <c r="GL146" s="311"/>
      <c r="GM146" s="311"/>
      <c r="GN146" s="311"/>
      <c r="GO146" s="311"/>
      <c r="GP146" s="311"/>
      <c r="GQ146" s="311"/>
      <c r="GR146" s="311"/>
      <c r="GS146" s="311"/>
      <c r="GT146" s="311"/>
      <c r="GU146" s="311"/>
      <c r="GV146" s="311"/>
      <c r="GW146" s="311"/>
      <c r="GX146" s="311"/>
      <c r="GY146" s="311"/>
      <c r="GZ146" s="311"/>
      <c r="HA146" s="311"/>
      <c r="HB146" s="311"/>
      <c r="HC146" s="311"/>
      <c r="HD146" s="311"/>
      <c r="HE146" s="311"/>
      <c r="HF146" s="311"/>
      <c r="HG146" s="311"/>
      <c r="HH146" s="311"/>
      <c r="HI146" s="311"/>
      <c r="HJ146" s="311"/>
      <c r="HK146" s="311"/>
      <c r="HL146" s="311"/>
      <c r="HM146" s="311"/>
      <c r="HN146" s="311"/>
      <c r="HO146" s="311"/>
      <c r="HP146" s="311"/>
      <c r="HQ146" s="311"/>
      <c r="HR146" s="311"/>
      <c r="HS146" s="311"/>
      <c r="HT146" s="311"/>
      <c r="HU146" s="311"/>
      <c r="HV146" s="311"/>
      <c r="HW146" s="311"/>
      <c r="HX146" s="311"/>
      <c r="HY146" s="311"/>
      <c r="HZ146" s="311"/>
      <c r="IA146" s="311"/>
      <c r="IB146" s="311"/>
      <c r="IC146" s="311"/>
      <c r="ID146" s="311"/>
      <c r="IE146" s="311"/>
    </row>
    <row r="147" s="22" customFormat="1" ht="42" customHeight="1" spans="1:239">
      <c r="A147" s="48"/>
      <c r="B147" s="48"/>
      <c r="C147" s="48"/>
      <c r="D147" s="48"/>
      <c r="E147" s="153"/>
      <c r="F147" s="81"/>
      <c r="G147" s="159" t="s">
        <v>220</v>
      </c>
      <c r="H147" s="73" t="s">
        <v>221</v>
      </c>
      <c r="I147" s="99">
        <v>3814289</v>
      </c>
      <c r="J147" s="421">
        <v>495857.57</v>
      </c>
      <c r="K147" s="94">
        <f t="shared" ref="K147:K150" si="39">J147+I147</f>
        <v>4310146.57</v>
      </c>
      <c r="L147" s="112"/>
      <c r="M147" s="112"/>
      <c r="N147" s="112"/>
      <c r="O147" s="112"/>
      <c r="P147" s="45"/>
      <c r="Q147" s="112"/>
      <c r="R147" s="112">
        <v>-2990515.18</v>
      </c>
      <c r="S147" s="112">
        <f>K147-L147-M147-N147-O147+R147+K148+K149+K150</f>
        <v>4984191.97</v>
      </c>
      <c r="T147" s="112">
        <v>0</v>
      </c>
      <c r="U147" s="112">
        <v>4984191.97</v>
      </c>
      <c r="V147" s="401">
        <v>0</v>
      </c>
      <c r="W147" s="401">
        <f>S147+T147-U147-V147</f>
        <v>0</v>
      </c>
      <c r="X147" s="45">
        <f>K147+F147+K148+K149+K150</f>
        <v>7974707.15</v>
      </c>
      <c r="Y147" s="145">
        <f t="shared" si="38"/>
        <v>4984191.97</v>
      </c>
      <c r="Z147" s="314"/>
      <c r="AA147" s="145"/>
      <c r="AB147" s="410"/>
      <c r="AC147" s="311"/>
      <c r="AD147" s="311"/>
      <c r="AE147" s="311"/>
      <c r="AF147" s="311"/>
      <c r="AG147" s="311"/>
      <c r="AH147" s="311"/>
      <c r="AI147" s="311"/>
      <c r="AJ147" s="311"/>
      <c r="AK147" s="311"/>
      <c r="AL147" s="311"/>
      <c r="AM147" s="311"/>
      <c r="AN147" s="311"/>
      <c r="AO147" s="311"/>
      <c r="AP147" s="311"/>
      <c r="AQ147" s="311"/>
      <c r="AR147" s="311"/>
      <c r="AS147" s="311"/>
      <c r="AT147" s="311"/>
      <c r="AU147" s="311"/>
      <c r="AV147" s="311"/>
      <c r="AW147" s="311"/>
      <c r="AX147" s="311"/>
      <c r="AY147" s="311"/>
      <c r="AZ147" s="311"/>
      <c r="BA147" s="311"/>
      <c r="BB147" s="311"/>
      <c r="BC147" s="311"/>
      <c r="BD147" s="311"/>
      <c r="BE147" s="311"/>
      <c r="BF147" s="311"/>
      <c r="BG147" s="311"/>
      <c r="BH147" s="311"/>
      <c r="BI147" s="311"/>
      <c r="BJ147" s="311"/>
      <c r="BK147" s="311"/>
      <c r="BL147" s="311"/>
      <c r="BM147" s="311"/>
      <c r="BN147" s="311"/>
      <c r="BO147" s="311"/>
      <c r="BP147" s="311"/>
      <c r="BQ147" s="311"/>
      <c r="BR147" s="311"/>
      <c r="BS147" s="311"/>
      <c r="BT147" s="311"/>
      <c r="BU147" s="311"/>
      <c r="BV147" s="311"/>
      <c r="BW147" s="311"/>
      <c r="BX147" s="311"/>
      <c r="BY147" s="311"/>
      <c r="BZ147" s="311"/>
      <c r="CA147" s="311"/>
      <c r="CB147" s="311"/>
      <c r="CC147" s="311"/>
      <c r="CD147" s="311"/>
      <c r="CE147" s="311"/>
      <c r="CF147" s="311"/>
      <c r="CG147" s="311"/>
      <c r="CH147" s="311"/>
      <c r="CI147" s="311"/>
      <c r="CJ147" s="311"/>
      <c r="CK147" s="311"/>
      <c r="CL147" s="311"/>
      <c r="CM147" s="311"/>
      <c r="CN147" s="311"/>
      <c r="CO147" s="311"/>
      <c r="CP147" s="311"/>
      <c r="CQ147" s="311"/>
      <c r="CR147" s="311"/>
      <c r="CS147" s="311"/>
      <c r="CT147" s="311"/>
      <c r="CU147" s="311"/>
      <c r="CV147" s="311"/>
      <c r="CW147" s="311"/>
      <c r="CX147" s="311"/>
      <c r="CY147" s="311"/>
      <c r="CZ147" s="311"/>
      <c r="DA147" s="311"/>
      <c r="DB147" s="311"/>
      <c r="DC147" s="311"/>
      <c r="DD147" s="311"/>
      <c r="DE147" s="311"/>
      <c r="DF147" s="311"/>
      <c r="DG147" s="311"/>
      <c r="DH147" s="311"/>
      <c r="DI147" s="311"/>
      <c r="DJ147" s="311"/>
      <c r="DK147" s="311"/>
      <c r="DL147" s="311"/>
      <c r="DM147" s="311"/>
      <c r="DN147" s="311"/>
      <c r="DO147" s="311"/>
      <c r="DP147" s="311"/>
      <c r="DQ147" s="311"/>
      <c r="DR147" s="311"/>
      <c r="DS147" s="311"/>
      <c r="DT147" s="311"/>
      <c r="DU147" s="311"/>
      <c r="DV147" s="311"/>
      <c r="DW147" s="311"/>
      <c r="DX147" s="311"/>
      <c r="DY147" s="311"/>
      <c r="DZ147" s="311"/>
      <c r="EA147" s="311"/>
      <c r="EB147" s="311"/>
      <c r="EC147" s="311"/>
      <c r="ED147" s="311"/>
      <c r="EE147" s="311"/>
      <c r="EF147" s="311"/>
      <c r="EG147" s="311"/>
      <c r="EH147" s="311"/>
      <c r="EI147" s="311"/>
      <c r="EJ147" s="311"/>
      <c r="EK147" s="311"/>
      <c r="EL147" s="311"/>
      <c r="EM147" s="311"/>
      <c r="EN147" s="311"/>
      <c r="EO147" s="311"/>
      <c r="EP147" s="311"/>
      <c r="EQ147" s="311"/>
      <c r="ER147" s="311"/>
      <c r="ES147" s="311"/>
      <c r="ET147" s="311"/>
      <c r="EU147" s="311"/>
      <c r="EV147" s="311"/>
      <c r="EW147" s="311"/>
      <c r="EX147" s="311"/>
      <c r="EY147" s="311"/>
      <c r="EZ147" s="311"/>
      <c r="FA147" s="311"/>
      <c r="FB147" s="311"/>
      <c r="FC147" s="311"/>
      <c r="FD147" s="311"/>
      <c r="FE147" s="311"/>
      <c r="FF147" s="311"/>
      <c r="FG147" s="311"/>
      <c r="FH147" s="311"/>
      <c r="FI147" s="311"/>
      <c r="FJ147" s="311"/>
      <c r="FK147" s="311"/>
      <c r="FL147" s="311"/>
      <c r="FM147" s="311"/>
      <c r="FN147" s="311"/>
      <c r="FO147" s="311"/>
      <c r="FP147" s="311"/>
      <c r="FQ147" s="311"/>
      <c r="FR147" s="311"/>
      <c r="FS147" s="311"/>
      <c r="FT147" s="311"/>
      <c r="FU147" s="311"/>
      <c r="FV147" s="311"/>
      <c r="FW147" s="311"/>
      <c r="FX147" s="311"/>
      <c r="FY147" s="311"/>
      <c r="FZ147" s="311"/>
      <c r="GA147" s="311"/>
      <c r="GB147" s="311"/>
      <c r="GC147" s="311"/>
      <c r="GD147" s="311"/>
      <c r="GE147" s="311"/>
      <c r="GF147" s="311"/>
      <c r="GG147" s="311"/>
      <c r="GH147" s="311"/>
      <c r="GI147" s="311"/>
      <c r="GJ147" s="311"/>
      <c r="GK147" s="311"/>
      <c r="GL147" s="311"/>
      <c r="GM147" s="311"/>
      <c r="GN147" s="311"/>
      <c r="GO147" s="311"/>
      <c r="GP147" s="311"/>
      <c r="GQ147" s="311"/>
      <c r="GR147" s="311"/>
      <c r="GS147" s="311"/>
      <c r="GT147" s="311"/>
      <c r="GU147" s="311"/>
      <c r="GV147" s="311"/>
      <c r="GW147" s="311"/>
      <c r="GX147" s="311"/>
      <c r="GY147" s="311"/>
      <c r="GZ147" s="311"/>
      <c r="HA147" s="311"/>
      <c r="HB147" s="311"/>
      <c r="HC147" s="311"/>
      <c r="HD147" s="311"/>
      <c r="HE147" s="311"/>
      <c r="HF147" s="311"/>
      <c r="HG147" s="311"/>
      <c r="HH147" s="311"/>
      <c r="HI147" s="311"/>
      <c r="HJ147" s="311"/>
      <c r="HK147" s="311"/>
      <c r="HL147" s="311"/>
      <c r="HM147" s="311"/>
      <c r="HN147" s="311"/>
      <c r="HO147" s="311"/>
      <c r="HP147" s="311"/>
      <c r="HQ147" s="311"/>
      <c r="HR147" s="311"/>
      <c r="HS147" s="311"/>
      <c r="HT147" s="311"/>
      <c r="HU147" s="311"/>
      <c r="HV147" s="311"/>
      <c r="HW147" s="311"/>
      <c r="HX147" s="311"/>
      <c r="HY147" s="311"/>
      <c r="HZ147" s="311"/>
      <c r="IA147" s="311"/>
      <c r="IB147" s="311"/>
      <c r="IC147" s="311"/>
      <c r="ID147" s="311"/>
      <c r="IE147" s="311"/>
    </row>
    <row r="148" s="23" customFormat="1" ht="42" customHeight="1" spans="1:239">
      <c r="A148" s="48"/>
      <c r="B148" s="48"/>
      <c r="C148" s="48"/>
      <c r="D148" s="48"/>
      <c r="E148" s="153"/>
      <c r="F148" s="81"/>
      <c r="G148" s="175"/>
      <c r="H148" s="73"/>
      <c r="I148" s="99">
        <v>2581578.51</v>
      </c>
      <c r="J148" s="422">
        <v>269332.9</v>
      </c>
      <c r="K148" s="94">
        <f t="shared" si="39"/>
        <v>2850911.41</v>
      </c>
      <c r="L148" s="113"/>
      <c r="M148" s="113"/>
      <c r="N148" s="113"/>
      <c r="O148" s="113"/>
      <c r="P148" s="49"/>
      <c r="Q148" s="113"/>
      <c r="R148" s="113"/>
      <c r="S148" s="113"/>
      <c r="T148" s="113"/>
      <c r="U148" s="113"/>
      <c r="V148" s="402"/>
      <c r="W148" s="402"/>
      <c r="X148" s="49"/>
      <c r="Y148" s="145"/>
      <c r="Z148" s="314"/>
      <c r="AA148" s="145"/>
      <c r="AB148" s="411"/>
      <c r="AC148" s="312"/>
      <c r="AD148" s="312"/>
      <c r="AE148" s="312"/>
      <c r="AF148" s="312"/>
      <c r="AG148" s="312"/>
      <c r="AH148" s="312"/>
      <c r="AI148" s="312"/>
      <c r="AJ148" s="312"/>
      <c r="AK148" s="312"/>
      <c r="AL148" s="312"/>
      <c r="AM148" s="312"/>
      <c r="AN148" s="312"/>
      <c r="AO148" s="312"/>
      <c r="AP148" s="312"/>
      <c r="AQ148" s="312"/>
      <c r="AR148" s="312"/>
      <c r="AS148" s="312"/>
      <c r="AT148" s="312"/>
      <c r="AU148" s="312"/>
      <c r="AV148" s="312"/>
      <c r="AW148" s="312"/>
      <c r="AX148" s="312"/>
      <c r="AY148" s="312"/>
      <c r="AZ148" s="312"/>
      <c r="BA148" s="312"/>
      <c r="BB148" s="312"/>
      <c r="BC148" s="312"/>
      <c r="BD148" s="312"/>
      <c r="BE148" s="312"/>
      <c r="BF148" s="312"/>
      <c r="BG148" s="312"/>
      <c r="BH148" s="312"/>
      <c r="BI148" s="312"/>
      <c r="BJ148" s="312"/>
      <c r="BK148" s="312"/>
      <c r="BL148" s="312"/>
      <c r="BM148" s="312"/>
      <c r="BN148" s="312"/>
      <c r="BO148" s="312"/>
      <c r="BP148" s="312"/>
      <c r="BQ148" s="312"/>
      <c r="BR148" s="312"/>
      <c r="BS148" s="312"/>
      <c r="BT148" s="312"/>
      <c r="BU148" s="312"/>
      <c r="BV148" s="312"/>
      <c r="BW148" s="312"/>
      <c r="BX148" s="312"/>
      <c r="BY148" s="312"/>
      <c r="BZ148" s="312"/>
      <c r="CA148" s="312"/>
      <c r="CB148" s="312"/>
      <c r="CC148" s="312"/>
      <c r="CD148" s="312"/>
      <c r="CE148" s="312"/>
      <c r="CF148" s="312"/>
      <c r="CG148" s="312"/>
      <c r="CH148" s="312"/>
      <c r="CI148" s="312"/>
      <c r="CJ148" s="312"/>
      <c r="CK148" s="312"/>
      <c r="CL148" s="312"/>
      <c r="CM148" s="312"/>
      <c r="CN148" s="312"/>
      <c r="CO148" s="312"/>
      <c r="CP148" s="312"/>
      <c r="CQ148" s="312"/>
      <c r="CR148" s="312"/>
      <c r="CS148" s="312"/>
      <c r="CT148" s="312"/>
      <c r="CU148" s="312"/>
      <c r="CV148" s="312"/>
      <c r="CW148" s="312"/>
      <c r="CX148" s="312"/>
      <c r="CY148" s="312"/>
      <c r="CZ148" s="312"/>
      <c r="DA148" s="312"/>
      <c r="DB148" s="312"/>
      <c r="DC148" s="312"/>
      <c r="DD148" s="312"/>
      <c r="DE148" s="312"/>
      <c r="DF148" s="312"/>
      <c r="DG148" s="312"/>
      <c r="DH148" s="312"/>
      <c r="DI148" s="312"/>
      <c r="DJ148" s="312"/>
      <c r="DK148" s="312"/>
      <c r="DL148" s="312"/>
      <c r="DM148" s="312"/>
      <c r="DN148" s="312"/>
      <c r="DO148" s="312"/>
      <c r="DP148" s="312"/>
      <c r="DQ148" s="312"/>
      <c r="DR148" s="312"/>
      <c r="DS148" s="312"/>
      <c r="DT148" s="312"/>
      <c r="DU148" s="312"/>
      <c r="DV148" s="312"/>
      <c r="DW148" s="312"/>
      <c r="DX148" s="312"/>
      <c r="DY148" s="312"/>
      <c r="DZ148" s="312"/>
      <c r="EA148" s="312"/>
      <c r="EB148" s="312"/>
      <c r="EC148" s="312"/>
      <c r="ED148" s="312"/>
      <c r="EE148" s="312"/>
      <c r="EF148" s="312"/>
      <c r="EG148" s="312"/>
      <c r="EH148" s="312"/>
      <c r="EI148" s="312"/>
      <c r="EJ148" s="312"/>
      <c r="EK148" s="312"/>
      <c r="EL148" s="312"/>
      <c r="EM148" s="312"/>
      <c r="EN148" s="312"/>
      <c r="EO148" s="312"/>
      <c r="EP148" s="312"/>
      <c r="EQ148" s="312"/>
      <c r="ER148" s="312"/>
      <c r="ES148" s="312"/>
      <c r="ET148" s="312"/>
      <c r="EU148" s="312"/>
      <c r="EV148" s="312"/>
      <c r="EW148" s="312"/>
      <c r="EX148" s="312"/>
      <c r="EY148" s="312"/>
      <c r="EZ148" s="312"/>
      <c r="FA148" s="312"/>
      <c r="FB148" s="312"/>
      <c r="FC148" s="312"/>
      <c r="FD148" s="312"/>
      <c r="FE148" s="312"/>
      <c r="FF148" s="312"/>
      <c r="FG148" s="312"/>
      <c r="FH148" s="312"/>
      <c r="FI148" s="312"/>
      <c r="FJ148" s="312"/>
      <c r="FK148" s="312"/>
      <c r="FL148" s="312"/>
      <c r="FM148" s="312"/>
      <c r="FN148" s="312"/>
      <c r="FO148" s="312"/>
      <c r="FP148" s="312"/>
      <c r="FQ148" s="312"/>
      <c r="FR148" s="312"/>
      <c r="FS148" s="312"/>
      <c r="FT148" s="312"/>
      <c r="FU148" s="312"/>
      <c r="FV148" s="312"/>
      <c r="FW148" s="312"/>
      <c r="FX148" s="312"/>
      <c r="FY148" s="312"/>
      <c r="FZ148" s="312"/>
      <c r="GA148" s="312"/>
      <c r="GB148" s="312"/>
      <c r="GC148" s="312"/>
      <c r="GD148" s="312"/>
      <c r="GE148" s="312"/>
      <c r="GF148" s="312"/>
      <c r="GG148" s="312"/>
      <c r="GH148" s="312"/>
      <c r="GI148" s="312"/>
      <c r="GJ148" s="312"/>
      <c r="GK148" s="312"/>
      <c r="GL148" s="312"/>
      <c r="GM148" s="312"/>
      <c r="GN148" s="312"/>
      <c r="GO148" s="312"/>
      <c r="GP148" s="312"/>
      <c r="GQ148" s="312"/>
      <c r="GR148" s="312"/>
      <c r="GS148" s="312"/>
      <c r="GT148" s="312"/>
      <c r="GU148" s="312"/>
      <c r="GV148" s="312"/>
      <c r="GW148" s="312"/>
      <c r="GX148" s="312"/>
      <c r="GY148" s="312"/>
      <c r="GZ148" s="312"/>
      <c r="HA148" s="312"/>
      <c r="HB148" s="312"/>
      <c r="HC148" s="312"/>
      <c r="HD148" s="312"/>
      <c r="HE148" s="312"/>
      <c r="HF148" s="312"/>
      <c r="HG148" s="312"/>
      <c r="HH148" s="312"/>
      <c r="HI148" s="312"/>
      <c r="HJ148" s="312"/>
      <c r="HK148" s="312"/>
      <c r="HL148" s="312"/>
      <c r="HM148" s="312"/>
      <c r="HN148" s="312"/>
      <c r="HO148" s="312"/>
      <c r="HP148" s="312"/>
      <c r="HQ148" s="312"/>
      <c r="HR148" s="312"/>
      <c r="HS148" s="312"/>
      <c r="HT148" s="312"/>
      <c r="HU148" s="312"/>
      <c r="HV148" s="312"/>
      <c r="HW148" s="312"/>
      <c r="HX148" s="312"/>
      <c r="HY148" s="312"/>
      <c r="HZ148" s="312"/>
      <c r="IA148" s="312"/>
      <c r="IB148" s="312"/>
      <c r="IC148" s="312"/>
      <c r="ID148" s="312"/>
      <c r="IE148" s="312"/>
    </row>
    <row r="149" s="23" customFormat="1" ht="42" customHeight="1" spans="1:239">
      <c r="A149" s="48"/>
      <c r="B149" s="48"/>
      <c r="C149" s="48"/>
      <c r="D149" s="48"/>
      <c r="E149" s="153"/>
      <c r="F149" s="81"/>
      <c r="G149" s="175"/>
      <c r="H149" s="73"/>
      <c r="I149" s="99">
        <v>411009.17</v>
      </c>
      <c r="J149" s="423"/>
      <c r="K149" s="94">
        <f t="shared" si="39"/>
        <v>411009.17</v>
      </c>
      <c r="L149" s="113"/>
      <c r="M149" s="113"/>
      <c r="N149" s="113"/>
      <c r="O149" s="113"/>
      <c r="P149" s="49"/>
      <c r="Q149" s="113"/>
      <c r="R149" s="113"/>
      <c r="S149" s="113"/>
      <c r="T149" s="113"/>
      <c r="U149" s="113"/>
      <c r="V149" s="402"/>
      <c r="W149" s="402"/>
      <c r="X149" s="49"/>
      <c r="Y149" s="145"/>
      <c r="Z149" s="314"/>
      <c r="AA149" s="145"/>
      <c r="AB149" s="411"/>
      <c r="AC149" s="312"/>
      <c r="AD149" s="312"/>
      <c r="AE149" s="312"/>
      <c r="AF149" s="312"/>
      <c r="AG149" s="312"/>
      <c r="AH149" s="312"/>
      <c r="AI149" s="312"/>
      <c r="AJ149" s="312"/>
      <c r="AK149" s="312"/>
      <c r="AL149" s="312"/>
      <c r="AM149" s="312"/>
      <c r="AN149" s="312"/>
      <c r="AO149" s="312"/>
      <c r="AP149" s="312"/>
      <c r="AQ149" s="312"/>
      <c r="AR149" s="312"/>
      <c r="AS149" s="312"/>
      <c r="AT149" s="312"/>
      <c r="AU149" s="312"/>
      <c r="AV149" s="312"/>
      <c r="AW149" s="312"/>
      <c r="AX149" s="312"/>
      <c r="AY149" s="312"/>
      <c r="AZ149" s="312"/>
      <c r="BA149" s="312"/>
      <c r="BB149" s="312"/>
      <c r="BC149" s="312"/>
      <c r="BD149" s="312"/>
      <c r="BE149" s="312"/>
      <c r="BF149" s="312"/>
      <c r="BG149" s="312"/>
      <c r="BH149" s="312"/>
      <c r="BI149" s="312"/>
      <c r="BJ149" s="312"/>
      <c r="BK149" s="312"/>
      <c r="BL149" s="312"/>
      <c r="BM149" s="312"/>
      <c r="BN149" s="312"/>
      <c r="BO149" s="312"/>
      <c r="BP149" s="312"/>
      <c r="BQ149" s="312"/>
      <c r="BR149" s="312"/>
      <c r="BS149" s="312"/>
      <c r="BT149" s="312"/>
      <c r="BU149" s="312"/>
      <c r="BV149" s="312"/>
      <c r="BW149" s="312"/>
      <c r="BX149" s="312"/>
      <c r="BY149" s="312"/>
      <c r="BZ149" s="312"/>
      <c r="CA149" s="312"/>
      <c r="CB149" s="312"/>
      <c r="CC149" s="312"/>
      <c r="CD149" s="312"/>
      <c r="CE149" s="312"/>
      <c r="CF149" s="312"/>
      <c r="CG149" s="312"/>
      <c r="CH149" s="312"/>
      <c r="CI149" s="312"/>
      <c r="CJ149" s="312"/>
      <c r="CK149" s="312"/>
      <c r="CL149" s="312"/>
      <c r="CM149" s="312"/>
      <c r="CN149" s="312"/>
      <c r="CO149" s="312"/>
      <c r="CP149" s="312"/>
      <c r="CQ149" s="312"/>
      <c r="CR149" s="312"/>
      <c r="CS149" s="312"/>
      <c r="CT149" s="312"/>
      <c r="CU149" s="312"/>
      <c r="CV149" s="312"/>
      <c r="CW149" s="312"/>
      <c r="CX149" s="312"/>
      <c r="CY149" s="312"/>
      <c r="CZ149" s="312"/>
      <c r="DA149" s="312"/>
      <c r="DB149" s="312"/>
      <c r="DC149" s="312"/>
      <c r="DD149" s="312"/>
      <c r="DE149" s="312"/>
      <c r="DF149" s="312"/>
      <c r="DG149" s="312"/>
      <c r="DH149" s="312"/>
      <c r="DI149" s="312"/>
      <c r="DJ149" s="312"/>
      <c r="DK149" s="312"/>
      <c r="DL149" s="312"/>
      <c r="DM149" s="312"/>
      <c r="DN149" s="312"/>
      <c r="DO149" s="312"/>
      <c r="DP149" s="312"/>
      <c r="DQ149" s="312"/>
      <c r="DR149" s="312"/>
      <c r="DS149" s="312"/>
      <c r="DT149" s="312"/>
      <c r="DU149" s="312"/>
      <c r="DV149" s="312"/>
      <c r="DW149" s="312"/>
      <c r="DX149" s="312"/>
      <c r="DY149" s="312"/>
      <c r="DZ149" s="312"/>
      <c r="EA149" s="312"/>
      <c r="EB149" s="312"/>
      <c r="EC149" s="312"/>
      <c r="ED149" s="312"/>
      <c r="EE149" s="312"/>
      <c r="EF149" s="312"/>
      <c r="EG149" s="312"/>
      <c r="EH149" s="312"/>
      <c r="EI149" s="312"/>
      <c r="EJ149" s="312"/>
      <c r="EK149" s="312"/>
      <c r="EL149" s="312"/>
      <c r="EM149" s="312"/>
      <c r="EN149" s="312"/>
      <c r="EO149" s="312"/>
      <c r="EP149" s="312"/>
      <c r="EQ149" s="312"/>
      <c r="ER149" s="312"/>
      <c r="ES149" s="312"/>
      <c r="ET149" s="312"/>
      <c r="EU149" s="312"/>
      <c r="EV149" s="312"/>
      <c r="EW149" s="312"/>
      <c r="EX149" s="312"/>
      <c r="EY149" s="312"/>
      <c r="EZ149" s="312"/>
      <c r="FA149" s="312"/>
      <c r="FB149" s="312"/>
      <c r="FC149" s="312"/>
      <c r="FD149" s="312"/>
      <c r="FE149" s="312"/>
      <c r="FF149" s="312"/>
      <c r="FG149" s="312"/>
      <c r="FH149" s="312"/>
      <c r="FI149" s="312"/>
      <c r="FJ149" s="312"/>
      <c r="FK149" s="312"/>
      <c r="FL149" s="312"/>
      <c r="FM149" s="312"/>
      <c r="FN149" s="312"/>
      <c r="FO149" s="312"/>
      <c r="FP149" s="312"/>
      <c r="FQ149" s="312"/>
      <c r="FR149" s="312"/>
      <c r="FS149" s="312"/>
      <c r="FT149" s="312"/>
      <c r="FU149" s="312"/>
      <c r="FV149" s="312"/>
      <c r="FW149" s="312"/>
      <c r="FX149" s="312"/>
      <c r="FY149" s="312"/>
      <c r="FZ149" s="312"/>
      <c r="GA149" s="312"/>
      <c r="GB149" s="312"/>
      <c r="GC149" s="312"/>
      <c r="GD149" s="312"/>
      <c r="GE149" s="312"/>
      <c r="GF149" s="312"/>
      <c r="GG149" s="312"/>
      <c r="GH149" s="312"/>
      <c r="GI149" s="312"/>
      <c r="GJ149" s="312"/>
      <c r="GK149" s="312"/>
      <c r="GL149" s="312"/>
      <c r="GM149" s="312"/>
      <c r="GN149" s="312"/>
      <c r="GO149" s="312"/>
      <c r="GP149" s="312"/>
      <c r="GQ149" s="312"/>
      <c r="GR149" s="312"/>
      <c r="GS149" s="312"/>
      <c r="GT149" s="312"/>
      <c r="GU149" s="312"/>
      <c r="GV149" s="312"/>
      <c r="GW149" s="312"/>
      <c r="GX149" s="312"/>
      <c r="GY149" s="312"/>
      <c r="GZ149" s="312"/>
      <c r="HA149" s="312"/>
      <c r="HB149" s="312"/>
      <c r="HC149" s="312"/>
      <c r="HD149" s="312"/>
      <c r="HE149" s="312"/>
      <c r="HF149" s="312"/>
      <c r="HG149" s="312"/>
      <c r="HH149" s="312"/>
      <c r="HI149" s="312"/>
      <c r="HJ149" s="312"/>
      <c r="HK149" s="312"/>
      <c r="HL149" s="312"/>
      <c r="HM149" s="312"/>
      <c r="HN149" s="312"/>
      <c r="HO149" s="312"/>
      <c r="HP149" s="312"/>
      <c r="HQ149" s="312"/>
      <c r="HR149" s="312"/>
      <c r="HS149" s="312"/>
      <c r="HT149" s="312"/>
      <c r="HU149" s="312"/>
      <c r="HV149" s="312"/>
      <c r="HW149" s="312"/>
      <c r="HX149" s="312"/>
      <c r="HY149" s="312"/>
      <c r="HZ149" s="312"/>
      <c r="IA149" s="312"/>
      <c r="IB149" s="312"/>
      <c r="IC149" s="312"/>
      <c r="ID149" s="312"/>
      <c r="IE149" s="312"/>
    </row>
    <row r="150" s="23" customFormat="1" ht="42" customHeight="1" spans="1:239">
      <c r="A150" s="153"/>
      <c r="B150" s="153"/>
      <c r="C150" s="153"/>
      <c r="D150" s="153"/>
      <c r="E150" s="153"/>
      <c r="F150" s="81"/>
      <c r="G150" s="175"/>
      <c r="H150" s="73"/>
      <c r="I150" s="99">
        <v>379849.06</v>
      </c>
      <c r="J150" s="421">
        <v>22790.94</v>
      </c>
      <c r="K150" s="94">
        <f t="shared" si="39"/>
        <v>402640</v>
      </c>
      <c r="L150" s="114"/>
      <c r="M150" s="114"/>
      <c r="N150" s="114"/>
      <c r="O150" s="114"/>
      <c r="P150" s="81"/>
      <c r="Q150" s="114"/>
      <c r="R150" s="114"/>
      <c r="S150" s="114"/>
      <c r="T150" s="114"/>
      <c r="U150" s="114"/>
      <c r="V150" s="416"/>
      <c r="W150" s="416"/>
      <c r="X150" s="81"/>
      <c r="Y150" s="145"/>
      <c r="Z150" s="314"/>
      <c r="AA150" s="145"/>
      <c r="AB150" s="427"/>
      <c r="AC150" s="312"/>
      <c r="AD150" s="312"/>
      <c r="AE150" s="312"/>
      <c r="AF150" s="312"/>
      <c r="AG150" s="312"/>
      <c r="AH150" s="312"/>
      <c r="AI150" s="312"/>
      <c r="AJ150" s="312"/>
      <c r="AK150" s="312"/>
      <c r="AL150" s="312"/>
      <c r="AM150" s="312"/>
      <c r="AN150" s="312"/>
      <c r="AO150" s="312"/>
      <c r="AP150" s="312"/>
      <c r="AQ150" s="312"/>
      <c r="AR150" s="312"/>
      <c r="AS150" s="312"/>
      <c r="AT150" s="312"/>
      <c r="AU150" s="312"/>
      <c r="AV150" s="312"/>
      <c r="AW150" s="312"/>
      <c r="AX150" s="312"/>
      <c r="AY150" s="312"/>
      <c r="AZ150" s="312"/>
      <c r="BA150" s="312"/>
      <c r="BB150" s="312"/>
      <c r="BC150" s="312"/>
      <c r="BD150" s="312"/>
      <c r="BE150" s="312"/>
      <c r="BF150" s="312"/>
      <c r="BG150" s="312"/>
      <c r="BH150" s="312"/>
      <c r="BI150" s="312"/>
      <c r="BJ150" s="312"/>
      <c r="BK150" s="312"/>
      <c r="BL150" s="312"/>
      <c r="BM150" s="312"/>
      <c r="BN150" s="312"/>
      <c r="BO150" s="312"/>
      <c r="BP150" s="312"/>
      <c r="BQ150" s="312"/>
      <c r="BR150" s="312"/>
      <c r="BS150" s="312"/>
      <c r="BT150" s="312"/>
      <c r="BU150" s="312"/>
      <c r="BV150" s="312"/>
      <c r="BW150" s="312"/>
      <c r="BX150" s="312"/>
      <c r="BY150" s="312"/>
      <c r="BZ150" s="312"/>
      <c r="CA150" s="312"/>
      <c r="CB150" s="312"/>
      <c r="CC150" s="312"/>
      <c r="CD150" s="312"/>
      <c r="CE150" s="312"/>
      <c r="CF150" s="312"/>
      <c r="CG150" s="312"/>
      <c r="CH150" s="312"/>
      <c r="CI150" s="312"/>
      <c r="CJ150" s="312"/>
      <c r="CK150" s="312"/>
      <c r="CL150" s="312"/>
      <c r="CM150" s="312"/>
      <c r="CN150" s="312"/>
      <c r="CO150" s="312"/>
      <c r="CP150" s="312"/>
      <c r="CQ150" s="312"/>
      <c r="CR150" s="312"/>
      <c r="CS150" s="312"/>
      <c r="CT150" s="312"/>
      <c r="CU150" s="312"/>
      <c r="CV150" s="312"/>
      <c r="CW150" s="312"/>
      <c r="CX150" s="312"/>
      <c r="CY150" s="312"/>
      <c r="CZ150" s="312"/>
      <c r="DA150" s="312"/>
      <c r="DB150" s="312"/>
      <c r="DC150" s="312"/>
      <c r="DD150" s="312"/>
      <c r="DE150" s="312"/>
      <c r="DF150" s="312"/>
      <c r="DG150" s="312"/>
      <c r="DH150" s="312"/>
      <c r="DI150" s="312"/>
      <c r="DJ150" s="312"/>
      <c r="DK150" s="312"/>
      <c r="DL150" s="312"/>
      <c r="DM150" s="312"/>
      <c r="DN150" s="312"/>
      <c r="DO150" s="312"/>
      <c r="DP150" s="312"/>
      <c r="DQ150" s="312"/>
      <c r="DR150" s="312"/>
      <c r="DS150" s="312"/>
      <c r="DT150" s="312"/>
      <c r="DU150" s="312"/>
      <c r="DV150" s="312"/>
      <c r="DW150" s="312"/>
      <c r="DX150" s="312"/>
      <c r="DY150" s="312"/>
      <c r="DZ150" s="312"/>
      <c r="EA150" s="312"/>
      <c r="EB150" s="312"/>
      <c r="EC150" s="312"/>
      <c r="ED150" s="312"/>
      <c r="EE150" s="312"/>
      <c r="EF150" s="312"/>
      <c r="EG150" s="312"/>
      <c r="EH150" s="312"/>
      <c r="EI150" s="312"/>
      <c r="EJ150" s="312"/>
      <c r="EK150" s="312"/>
      <c r="EL150" s="312"/>
      <c r="EM150" s="312"/>
      <c r="EN150" s="312"/>
      <c r="EO150" s="312"/>
      <c r="EP150" s="312"/>
      <c r="EQ150" s="312"/>
      <c r="ER150" s="312"/>
      <c r="ES150" s="312"/>
      <c r="ET150" s="312"/>
      <c r="EU150" s="312"/>
      <c r="EV150" s="312"/>
      <c r="EW150" s="312"/>
      <c r="EX150" s="312"/>
      <c r="EY150" s="312"/>
      <c r="EZ150" s="312"/>
      <c r="FA150" s="312"/>
      <c r="FB150" s="312"/>
      <c r="FC150" s="312"/>
      <c r="FD150" s="312"/>
      <c r="FE150" s="312"/>
      <c r="FF150" s="312"/>
      <c r="FG150" s="312"/>
      <c r="FH150" s="312"/>
      <c r="FI150" s="312"/>
      <c r="FJ150" s="312"/>
      <c r="FK150" s="312"/>
      <c r="FL150" s="312"/>
      <c r="FM150" s="312"/>
      <c r="FN150" s="312"/>
      <c r="FO150" s="312"/>
      <c r="FP150" s="312"/>
      <c r="FQ150" s="312"/>
      <c r="FR150" s="312"/>
      <c r="FS150" s="312"/>
      <c r="FT150" s="312"/>
      <c r="FU150" s="312"/>
      <c r="FV150" s="312"/>
      <c r="FW150" s="312"/>
      <c r="FX150" s="312"/>
      <c r="FY150" s="312"/>
      <c r="FZ150" s="312"/>
      <c r="GA150" s="312"/>
      <c r="GB150" s="312"/>
      <c r="GC150" s="312"/>
      <c r="GD150" s="312"/>
      <c r="GE150" s="312"/>
      <c r="GF150" s="312"/>
      <c r="GG150" s="312"/>
      <c r="GH150" s="312"/>
      <c r="GI150" s="312"/>
      <c r="GJ150" s="312"/>
      <c r="GK150" s="312"/>
      <c r="GL150" s="312"/>
      <c r="GM150" s="312"/>
      <c r="GN150" s="312"/>
      <c r="GO150" s="312"/>
      <c r="GP150" s="312"/>
      <c r="GQ150" s="312"/>
      <c r="GR150" s="312"/>
      <c r="GS150" s="312"/>
      <c r="GT150" s="312"/>
      <c r="GU150" s="312"/>
      <c r="GV150" s="312"/>
      <c r="GW150" s="312"/>
      <c r="GX150" s="312"/>
      <c r="GY150" s="312"/>
      <c r="GZ150" s="312"/>
      <c r="HA150" s="312"/>
      <c r="HB150" s="312"/>
      <c r="HC150" s="312"/>
      <c r="HD150" s="312"/>
      <c r="HE150" s="312"/>
      <c r="HF150" s="312"/>
      <c r="HG150" s="312"/>
      <c r="HH150" s="312"/>
      <c r="HI150" s="312"/>
      <c r="HJ150" s="312"/>
      <c r="HK150" s="312"/>
      <c r="HL150" s="312"/>
      <c r="HM150" s="312"/>
      <c r="HN150" s="312"/>
      <c r="HO150" s="312"/>
      <c r="HP150" s="312"/>
      <c r="HQ150" s="312"/>
      <c r="HR150" s="312"/>
      <c r="HS150" s="312"/>
      <c r="HT150" s="312"/>
      <c r="HU150" s="312"/>
      <c r="HV150" s="312"/>
      <c r="HW150" s="312"/>
      <c r="HX150" s="312"/>
      <c r="HY150" s="312"/>
      <c r="HZ150" s="312"/>
      <c r="IA150" s="312"/>
      <c r="IB150" s="312"/>
      <c r="IC150" s="312"/>
      <c r="ID150" s="312"/>
      <c r="IE150" s="312"/>
    </row>
    <row r="151" s="23" customFormat="1" ht="45" customHeight="1" spans="1:28">
      <c r="A151" s="156">
        <v>26</v>
      </c>
      <c r="B151" s="157" t="s">
        <v>222</v>
      </c>
      <c r="C151" s="158"/>
      <c r="D151" s="157" t="s">
        <v>223</v>
      </c>
      <c r="E151" s="158">
        <v>104523.9</v>
      </c>
      <c r="F151" s="145"/>
      <c r="G151" s="66" t="s">
        <v>224</v>
      </c>
      <c r="H151" s="66" t="s">
        <v>225</v>
      </c>
      <c r="I151" s="94">
        <v>104523.9</v>
      </c>
      <c r="J151" s="94">
        <v>0</v>
      </c>
      <c r="K151" s="94">
        <f t="shared" ref="K151:K155" si="40">I151+J151</f>
        <v>104523.9</v>
      </c>
      <c r="L151" s="94"/>
      <c r="M151" s="94"/>
      <c r="N151" s="94"/>
      <c r="O151" s="94"/>
      <c r="P151" s="94"/>
      <c r="Q151" s="94"/>
      <c r="R151" s="94"/>
      <c r="S151" s="94">
        <f t="shared" ref="S151:S159" si="41">K151-L151-M151-N151-O151+R151</f>
        <v>104523.9</v>
      </c>
      <c r="T151" s="108">
        <v>0</v>
      </c>
      <c r="U151" s="94">
        <f>K151</f>
        <v>104523.9</v>
      </c>
      <c r="V151" s="94"/>
      <c r="W151" s="94">
        <f t="shared" ref="W151:W156" si="42">S151+T151-U151-V151</f>
        <v>0</v>
      </c>
      <c r="X151" s="145">
        <f t="shared" ref="X151:X155" si="43">K151+F151</f>
        <v>104523.9</v>
      </c>
      <c r="Y151" s="145">
        <f t="shared" si="38"/>
        <v>104523.9</v>
      </c>
      <c r="Z151" s="145"/>
      <c r="AA151" s="145"/>
      <c r="AB151" s="145"/>
    </row>
    <row r="152" s="22" customFormat="1" ht="41.65" spans="1:239">
      <c r="A152" s="156">
        <v>23</v>
      </c>
      <c r="B152" s="157" t="s">
        <v>226</v>
      </c>
      <c r="C152" s="158" t="s">
        <v>227</v>
      </c>
      <c r="D152" s="157" t="s">
        <v>228</v>
      </c>
      <c r="E152" s="420">
        <v>7588343.88</v>
      </c>
      <c r="F152" s="256"/>
      <c r="G152" s="74" t="s">
        <v>229</v>
      </c>
      <c r="H152" s="74" t="s">
        <v>230</v>
      </c>
      <c r="I152" s="99">
        <v>6715348.57</v>
      </c>
      <c r="J152" s="99">
        <v>872995.31</v>
      </c>
      <c r="K152" s="94">
        <f>J152+I152</f>
        <v>7588343.88</v>
      </c>
      <c r="L152" s="94"/>
      <c r="M152" s="94">
        <v>379417.19</v>
      </c>
      <c r="N152" s="94"/>
      <c r="O152" s="94"/>
      <c r="P152" s="94"/>
      <c r="Q152" s="94"/>
      <c r="R152" s="94"/>
      <c r="S152" s="94">
        <f t="shared" si="41"/>
        <v>7208926.69</v>
      </c>
      <c r="T152" s="108">
        <v>0</v>
      </c>
      <c r="U152" s="302">
        <v>7208926.69</v>
      </c>
      <c r="V152" s="302"/>
      <c r="W152" s="94">
        <f t="shared" si="42"/>
        <v>0</v>
      </c>
      <c r="X152" s="145">
        <f t="shared" si="43"/>
        <v>7588343.88</v>
      </c>
      <c r="Y152" s="145">
        <f t="shared" si="38"/>
        <v>7208926.69</v>
      </c>
      <c r="Z152" s="145"/>
      <c r="AA152" s="145"/>
      <c r="AB152" s="145"/>
      <c r="AC152" s="313"/>
      <c r="AD152" s="313"/>
      <c r="AE152" s="313"/>
      <c r="AF152" s="313"/>
      <c r="AG152" s="313"/>
      <c r="AH152" s="313"/>
      <c r="AI152" s="313"/>
      <c r="AJ152" s="313"/>
      <c r="AK152" s="313"/>
      <c r="AL152" s="313"/>
      <c r="AM152" s="313"/>
      <c r="AN152" s="313"/>
      <c r="AO152" s="313"/>
      <c r="AP152" s="313"/>
      <c r="AQ152" s="313"/>
      <c r="AR152" s="313"/>
      <c r="AS152" s="313"/>
      <c r="AT152" s="313"/>
      <c r="AU152" s="313"/>
      <c r="AV152" s="313"/>
      <c r="AW152" s="313"/>
      <c r="AX152" s="313"/>
      <c r="AY152" s="313"/>
      <c r="AZ152" s="313"/>
      <c r="BA152" s="313"/>
      <c r="BB152" s="313"/>
      <c r="BC152" s="313"/>
      <c r="BD152" s="313"/>
      <c r="BE152" s="313"/>
      <c r="BF152" s="313"/>
      <c r="BG152" s="313"/>
      <c r="BH152" s="313"/>
      <c r="BI152" s="313"/>
      <c r="BJ152" s="313"/>
      <c r="BK152" s="313"/>
      <c r="BL152" s="313"/>
      <c r="BM152" s="313"/>
      <c r="BN152" s="313"/>
      <c r="BO152" s="313"/>
      <c r="BP152" s="313"/>
      <c r="BQ152" s="313"/>
      <c r="BR152" s="313"/>
      <c r="BS152" s="313"/>
      <c r="BT152" s="313"/>
      <c r="BU152" s="313"/>
      <c r="BV152" s="313"/>
      <c r="BW152" s="313"/>
      <c r="BX152" s="313"/>
      <c r="BY152" s="313"/>
      <c r="BZ152" s="313"/>
      <c r="CA152" s="313"/>
      <c r="CB152" s="313"/>
      <c r="CC152" s="313"/>
      <c r="CD152" s="313"/>
      <c r="CE152" s="313"/>
      <c r="CF152" s="313"/>
      <c r="CG152" s="313"/>
      <c r="CH152" s="313"/>
      <c r="CI152" s="313"/>
      <c r="CJ152" s="313"/>
      <c r="CK152" s="313"/>
      <c r="CL152" s="313"/>
      <c r="CM152" s="313"/>
      <c r="CN152" s="313"/>
      <c r="CO152" s="313"/>
      <c r="CP152" s="313"/>
      <c r="CQ152" s="313"/>
      <c r="CR152" s="313"/>
      <c r="CS152" s="313"/>
      <c r="CT152" s="313"/>
      <c r="CU152" s="313"/>
      <c r="CV152" s="313"/>
      <c r="CW152" s="313"/>
      <c r="CX152" s="313"/>
      <c r="CY152" s="313"/>
      <c r="CZ152" s="313"/>
      <c r="DA152" s="313"/>
      <c r="DB152" s="313"/>
      <c r="DC152" s="313"/>
      <c r="DD152" s="313"/>
      <c r="DE152" s="313"/>
      <c r="DF152" s="313"/>
      <c r="DG152" s="313"/>
      <c r="DH152" s="313"/>
      <c r="DI152" s="313"/>
      <c r="DJ152" s="313"/>
      <c r="DK152" s="313"/>
      <c r="DL152" s="313"/>
      <c r="DM152" s="313"/>
      <c r="DN152" s="313"/>
      <c r="DO152" s="313"/>
      <c r="DP152" s="313"/>
      <c r="DQ152" s="313"/>
      <c r="DR152" s="313"/>
      <c r="DS152" s="313"/>
      <c r="DT152" s="313"/>
      <c r="DU152" s="313"/>
      <c r="DV152" s="313"/>
      <c r="DW152" s="313"/>
      <c r="DX152" s="313"/>
      <c r="DY152" s="313"/>
      <c r="DZ152" s="313"/>
      <c r="EA152" s="313"/>
      <c r="EB152" s="313"/>
      <c r="EC152" s="313"/>
      <c r="ED152" s="313"/>
      <c r="EE152" s="313"/>
      <c r="EF152" s="313"/>
      <c r="EG152" s="313"/>
      <c r="EH152" s="313"/>
      <c r="EI152" s="313"/>
      <c r="EJ152" s="313"/>
      <c r="EK152" s="313"/>
      <c r="EL152" s="313"/>
      <c r="EM152" s="313"/>
      <c r="EN152" s="313"/>
      <c r="EO152" s="313"/>
      <c r="EP152" s="313"/>
      <c r="EQ152" s="313"/>
      <c r="ER152" s="313"/>
      <c r="ES152" s="313"/>
      <c r="ET152" s="313"/>
      <c r="EU152" s="313"/>
      <c r="EV152" s="313"/>
      <c r="EW152" s="313"/>
      <c r="EX152" s="313"/>
      <c r="EY152" s="313"/>
      <c r="EZ152" s="313"/>
      <c r="FA152" s="313"/>
      <c r="FB152" s="313"/>
      <c r="FC152" s="313"/>
      <c r="FD152" s="313"/>
      <c r="FE152" s="313"/>
      <c r="FF152" s="313"/>
      <c r="FG152" s="313"/>
      <c r="FH152" s="313"/>
      <c r="FI152" s="313"/>
      <c r="FJ152" s="313"/>
      <c r="FK152" s="313"/>
      <c r="FL152" s="313"/>
      <c r="FM152" s="313"/>
      <c r="FN152" s="313"/>
      <c r="FO152" s="313"/>
      <c r="FP152" s="313"/>
      <c r="FQ152" s="313"/>
      <c r="FR152" s="313"/>
      <c r="FS152" s="313"/>
      <c r="FT152" s="313"/>
      <c r="FU152" s="313"/>
      <c r="FV152" s="313"/>
      <c r="FW152" s="313"/>
      <c r="FX152" s="313"/>
      <c r="FY152" s="313"/>
      <c r="FZ152" s="313"/>
      <c r="GA152" s="313"/>
      <c r="GB152" s="313"/>
      <c r="GC152" s="313"/>
      <c r="GD152" s="313"/>
      <c r="GE152" s="313"/>
      <c r="GF152" s="313"/>
      <c r="GG152" s="313"/>
      <c r="GH152" s="313"/>
      <c r="GI152" s="313"/>
      <c r="GJ152" s="313"/>
      <c r="GK152" s="313"/>
      <c r="GL152" s="313"/>
      <c r="GM152" s="313"/>
      <c r="GN152" s="313"/>
      <c r="GO152" s="313"/>
      <c r="GP152" s="313"/>
      <c r="GQ152" s="313"/>
      <c r="GR152" s="313"/>
      <c r="GS152" s="313"/>
      <c r="GT152" s="313"/>
      <c r="GU152" s="313"/>
      <c r="GV152" s="313"/>
      <c r="GW152" s="313"/>
      <c r="GX152" s="313"/>
      <c r="GY152" s="313"/>
      <c r="GZ152" s="313"/>
      <c r="HA152" s="313"/>
      <c r="HB152" s="313"/>
      <c r="HC152" s="313"/>
      <c r="HD152" s="313"/>
      <c r="HE152" s="313"/>
      <c r="HF152" s="313"/>
      <c r="HG152" s="313"/>
      <c r="HH152" s="313"/>
      <c r="HI152" s="313"/>
      <c r="HJ152" s="313"/>
      <c r="HK152" s="313"/>
      <c r="HL152" s="313"/>
      <c r="HM152" s="313"/>
      <c r="HN152" s="313"/>
      <c r="HO152" s="313"/>
      <c r="HP152" s="313"/>
      <c r="HQ152" s="313"/>
      <c r="HR152" s="313"/>
      <c r="HS152" s="313"/>
      <c r="HT152" s="313"/>
      <c r="HU152" s="313"/>
      <c r="HV152" s="313"/>
      <c r="HW152" s="313"/>
      <c r="HX152" s="313"/>
      <c r="HY152" s="313"/>
      <c r="HZ152" s="313"/>
      <c r="IA152" s="313"/>
      <c r="IB152" s="313"/>
      <c r="IC152" s="313"/>
      <c r="ID152" s="313"/>
      <c r="IE152" s="313"/>
    </row>
    <row r="153" s="22" customFormat="1" ht="41.65" spans="1:28">
      <c r="A153" s="156">
        <v>24</v>
      </c>
      <c r="B153" s="157" t="s">
        <v>231</v>
      </c>
      <c r="C153" s="158" t="s">
        <v>232</v>
      </c>
      <c r="D153" s="157" t="s">
        <v>233</v>
      </c>
      <c r="E153" s="158">
        <v>371000</v>
      </c>
      <c r="F153" s="145"/>
      <c r="G153" s="72" t="s">
        <v>234</v>
      </c>
      <c r="H153" s="66" t="s">
        <v>235</v>
      </c>
      <c r="I153" s="94">
        <f>K153-J153</f>
        <v>349999.99</v>
      </c>
      <c r="J153" s="94">
        <v>21000.01</v>
      </c>
      <c r="K153" s="94">
        <v>371000</v>
      </c>
      <c r="L153" s="94">
        <v>0</v>
      </c>
      <c r="M153" s="94">
        <v>0</v>
      </c>
      <c r="N153" s="94">
        <v>0</v>
      </c>
      <c r="O153" s="94">
        <v>0</v>
      </c>
      <c r="P153" s="94"/>
      <c r="Q153" s="94"/>
      <c r="R153" s="94">
        <v>0</v>
      </c>
      <c r="S153" s="94">
        <f t="shared" si="41"/>
        <v>371000</v>
      </c>
      <c r="T153" s="108">
        <v>0</v>
      </c>
      <c r="U153" s="94">
        <v>371000</v>
      </c>
      <c r="V153" s="405"/>
      <c r="W153" s="94">
        <f t="shared" si="42"/>
        <v>0</v>
      </c>
      <c r="X153" s="145">
        <f t="shared" si="43"/>
        <v>371000</v>
      </c>
      <c r="Y153" s="145">
        <f t="shared" si="38"/>
        <v>371000</v>
      </c>
      <c r="Z153" s="145"/>
      <c r="AA153" s="145"/>
      <c r="AB153" s="145"/>
    </row>
    <row r="154" s="22" customFormat="1" ht="61" customHeight="1" spans="1:28">
      <c r="A154" s="156">
        <v>25</v>
      </c>
      <c r="B154" s="157" t="s">
        <v>236</v>
      </c>
      <c r="C154" s="158" t="s">
        <v>237</v>
      </c>
      <c r="D154" s="165" t="s">
        <v>154</v>
      </c>
      <c r="E154" s="158">
        <v>98000</v>
      </c>
      <c r="F154" s="145"/>
      <c r="G154" s="72" t="s">
        <v>238</v>
      </c>
      <c r="H154" s="66" t="s">
        <v>239</v>
      </c>
      <c r="I154" s="94">
        <f>98000-J154</f>
        <v>92452.83</v>
      </c>
      <c r="J154" s="94">
        <v>5547.17</v>
      </c>
      <c r="K154" s="94">
        <f t="shared" si="40"/>
        <v>98000</v>
      </c>
      <c r="L154" s="94"/>
      <c r="M154" s="94"/>
      <c r="N154" s="94"/>
      <c r="O154" s="94"/>
      <c r="P154" s="94"/>
      <c r="Q154" s="94"/>
      <c r="R154" s="94"/>
      <c r="S154" s="94">
        <f t="shared" si="41"/>
        <v>98000</v>
      </c>
      <c r="T154" s="108">
        <v>0</v>
      </c>
      <c r="U154" s="94">
        <f>K154+R154</f>
        <v>98000</v>
      </c>
      <c r="V154" s="405"/>
      <c r="W154" s="94">
        <f t="shared" si="42"/>
        <v>0</v>
      </c>
      <c r="X154" s="145">
        <f t="shared" si="43"/>
        <v>98000</v>
      </c>
      <c r="Y154" s="145">
        <f t="shared" si="38"/>
        <v>98000</v>
      </c>
      <c r="Z154" s="145"/>
      <c r="AA154" s="145"/>
      <c r="AB154" s="145"/>
    </row>
    <row r="155" s="23" customFormat="1" ht="45" customHeight="1" spans="1:28">
      <c r="A155" s="156">
        <v>26</v>
      </c>
      <c r="B155" s="157" t="s">
        <v>166</v>
      </c>
      <c r="C155" s="257" t="s">
        <v>240</v>
      </c>
      <c r="D155" s="157" t="s">
        <v>168</v>
      </c>
      <c r="E155" s="258">
        <v>9654.85</v>
      </c>
      <c r="F155" s="258"/>
      <c r="G155" s="50" t="s">
        <v>241</v>
      </c>
      <c r="H155" s="50" t="s">
        <v>242</v>
      </c>
      <c r="I155" s="108">
        <v>9108.34905660377</v>
      </c>
      <c r="J155" s="108">
        <v>546.500943396226</v>
      </c>
      <c r="K155" s="94">
        <f t="shared" si="40"/>
        <v>9654.85</v>
      </c>
      <c r="L155" s="94">
        <v>0</v>
      </c>
      <c r="M155" s="94">
        <v>0</v>
      </c>
      <c r="N155" s="94">
        <v>0</v>
      </c>
      <c r="O155" s="94">
        <v>0</v>
      </c>
      <c r="P155" s="94"/>
      <c r="Q155" s="94"/>
      <c r="R155" s="94">
        <v>0</v>
      </c>
      <c r="S155" s="94">
        <f t="shared" si="41"/>
        <v>9654.85</v>
      </c>
      <c r="T155" s="108">
        <v>0</v>
      </c>
      <c r="U155" s="108">
        <v>9654.85</v>
      </c>
      <c r="V155" s="108"/>
      <c r="W155" s="94">
        <f t="shared" si="42"/>
        <v>0</v>
      </c>
      <c r="X155" s="145">
        <f t="shared" si="43"/>
        <v>9654.85</v>
      </c>
      <c r="Y155" s="145">
        <f t="shared" si="38"/>
        <v>9654.85</v>
      </c>
      <c r="Z155" s="145"/>
      <c r="AA155" s="145"/>
      <c r="AB155" s="145"/>
    </row>
    <row r="156" s="23" customFormat="1" ht="45" customHeight="1" spans="1:28">
      <c r="A156" s="156">
        <v>27</v>
      </c>
      <c r="B156" s="259" t="s">
        <v>318</v>
      </c>
      <c r="C156" s="259"/>
      <c r="D156" s="259" t="s">
        <v>244</v>
      </c>
      <c r="E156" s="259">
        <v>722880</v>
      </c>
      <c r="F156" s="259"/>
      <c r="G156" s="74" t="s">
        <v>245</v>
      </c>
      <c r="H156" s="74" t="s">
        <v>246</v>
      </c>
      <c r="I156" s="94">
        <v>575745.13</v>
      </c>
      <c r="J156" s="94">
        <f>K156-I156</f>
        <v>74846.87</v>
      </c>
      <c r="K156" s="94">
        <v>650592</v>
      </c>
      <c r="L156" s="94">
        <v>0</v>
      </c>
      <c r="M156" s="94">
        <v>0</v>
      </c>
      <c r="N156" s="94">
        <v>0</v>
      </c>
      <c r="O156" s="94">
        <v>72288</v>
      </c>
      <c r="P156" s="94"/>
      <c r="Q156" s="94"/>
      <c r="R156" s="108">
        <v>0</v>
      </c>
      <c r="S156" s="94">
        <f t="shared" si="41"/>
        <v>578304</v>
      </c>
      <c r="T156" s="108">
        <v>0</v>
      </c>
      <c r="U156" s="108">
        <v>379417.19</v>
      </c>
      <c r="V156" s="425"/>
      <c r="W156" s="94">
        <f t="shared" si="42"/>
        <v>198886.81</v>
      </c>
      <c r="X156" s="145">
        <f>K156</f>
        <v>650592</v>
      </c>
      <c r="Y156" s="145">
        <f>U156+V156</f>
        <v>379417.19</v>
      </c>
      <c r="Z156" s="145"/>
      <c r="AA156" s="145"/>
      <c r="AB156" s="145"/>
    </row>
    <row r="157" s="23" customFormat="1" ht="45" customHeight="1" spans="1:28">
      <c r="A157" s="156"/>
      <c r="B157" s="260"/>
      <c r="C157" s="261"/>
      <c r="D157" s="261"/>
      <c r="E157" s="261"/>
      <c r="F157" s="261"/>
      <c r="G157" s="73"/>
      <c r="H157" s="73"/>
      <c r="I157" s="94"/>
      <c r="J157" s="94"/>
      <c r="K157" s="94"/>
      <c r="L157" s="94"/>
      <c r="M157" s="94"/>
      <c r="N157" s="94"/>
      <c r="O157" s="94"/>
      <c r="P157" s="94"/>
      <c r="Q157" s="94"/>
      <c r="R157" s="108"/>
      <c r="S157" s="94"/>
      <c r="T157" s="108"/>
      <c r="U157" s="108"/>
      <c r="V157" s="425"/>
      <c r="W157" s="94"/>
      <c r="X157" s="145"/>
      <c r="Y157" s="145"/>
      <c r="Z157" s="145">
        <v>271174.81</v>
      </c>
      <c r="AA157" s="145">
        <v>271174.81</v>
      </c>
      <c r="AB157" s="145"/>
    </row>
    <row r="158" s="23" customFormat="1" ht="45" customHeight="1" spans="1:28">
      <c r="A158" s="156">
        <v>28</v>
      </c>
      <c r="B158" s="216" t="s">
        <v>196</v>
      </c>
      <c r="C158" s="217"/>
      <c r="D158" s="218"/>
      <c r="E158" s="258">
        <v>10000</v>
      </c>
      <c r="F158" s="258"/>
      <c r="G158" s="50" t="s">
        <v>197</v>
      </c>
      <c r="H158" s="51" t="s">
        <v>198</v>
      </c>
      <c r="I158" s="108">
        <v>3952.44</v>
      </c>
      <c r="J158" s="108"/>
      <c r="K158" s="94">
        <f t="shared" ref="K158:K174" si="44">I158+J158</f>
        <v>3952.44</v>
      </c>
      <c r="L158" s="94">
        <v>0</v>
      </c>
      <c r="M158" s="94">
        <v>0</v>
      </c>
      <c r="N158" s="94">
        <v>0</v>
      </c>
      <c r="O158" s="94">
        <v>0</v>
      </c>
      <c r="P158" s="94"/>
      <c r="Q158" s="94"/>
      <c r="R158" s="94">
        <v>0</v>
      </c>
      <c r="S158" s="94">
        <f>K158-L158-M158-N158-O158+R158</f>
        <v>3952.44</v>
      </c>
      <c r="T158" s="108">
        <v>0</v>
      </c>
      <c r="U158" s="108">
        <v>3952.44</v>
      </c>
      <c r="V158" s="108"/>
      <c r="W158" s="94">
        <f>S158+T158-U158-V158</f>
        <v>0</v>
      </c>
      <c r="X158" s="145">
        <f t="shared" ref="X158:X160" si="45">K158+F158</f>
        <v>3952.44</v>
      </c>
      <c r="Y158" s="145">
        <f>U158+F158</f>
        <v>3952.44</v>
      </c>
      <c r="Z158" s="145"/>
      <c r="AA158" s="145"/>
      <c r="AB158" s="145"/>
    </row>
    <row r="159" s="23" customFormat="1" ht="45" customHeight="1" spans="1:28">
      <c r="A159" s="156">
        <v>29</v>
      </c>
      <c r="B159" s="216" t="s">
        <v>312</v>
      </c>
      <c r="C159" s="217"/>
      <c r="D159" s="218"/>
      <c r="E159" s="258"/>
      <c r="F159" s="258"/>
      <c r="G159" s="188" t="s">
        <v>248</v>
      </c>
      <c r="H159" s="258"/>
      <c r="I159" s="108">
        <f>SUM(I160:I174)</f>
        <v>38394.68</v>
      </c>
      <c r="J159" s="108">
        <f>J160+J167+J168</f>
        <v>0</v>
      </c>
      <c r="K159" s="108">
        <f t="shared" si="44"/>
        <v>38394.68</v>
      </c>
      <c r="L159" s="94"/>
      <c r="M159" s="94"/>
      <c r="N159" s="94"/>
      <c r="O159" s="94"/>
      <c r="P159" s="94"/>
      <c r="Q159" s="94"/>
      <c r="R159" s="108"/>
      <c r="S159" s="108">
        <f>K159-L159-M159-N159-O159+R159</f>
        <v>38394.68</v>
      </c>
      <c r="T159" s="108">
        <v>0</v>
      </c>
      <c r="U159" s="108">
        <f>K159+R159</f>
        <v>38394.68</v>
      </c>
      <c r="V159" s="94"/>
      <c r="W159" s="94">
        <f>S159+T159-U159-V159</f>
        <v>0</v>
      </c>
      <c r="X159" s="145">
        <f t="shared" si="45"/>
        <v>38394.68</v>
      </c>
      <c r="Y159" s="145">
        <f>U159+F159</f>
        <v>38394.68</v>
      </c>
      <c r="Z159" s="258"/>
      <c r="AA159" s="145"/>
      <c r="AB159" s="145"/>
    </row>
    <row r="160" s="23" customFormat="1" ht="45" customHeight="1" spans="1:28">
      <c r="A160" s="175"/>
      <c r="B160" s="263" t="s">
        <v>249</v>
      </c>
      <c r="C160" s="264"/>
      <c r="D160" s="265"/>
      <c r="E160" s="192"/>
      <c r="F160" s="192"/>
      <c r="G160" s="188" t="s">
        <v>250</v>
      </c>
      <c r="H160" s="258"/>
      <c r="I160" s="108">
        <v>3770</v>
      </c>
      <c r="J160" s="108"/>
      <c r="K160" s="94">
        <f t="shared" si="44"/>
        <v>3770</v>
      </c>
      <c r="L160" s="94"/>
      <c r="M160" s="94"/>
      <c r="N160" s="94"/>
      <c r="O160" s="94"/>
      <c r="P160" s="94"/>
      <c r="Q160" s="94"/>
      <c r="R160" s="108"/>
      <c r="S160" s="94">
        <f>K160-L160-M160-N160-O160+R160</f>
        <v>3770</v>
      </c>
      <c r="T160" s="108">
        <v>0</v>
      </c>
      <c r="U160" s="94">
        <f>K160+R160</f>
        <v>3770</v>
      </c>
      <c r="V160" s="94"/>
      <c r="W160" s="94">
        <f>S160+T160-U160-V160</f>
        <v>0</v>
      </c>
      <c r="X160" s="145">
        <f t="shared" si="45"/>
        <v>3770</v>
      </c>
      <c r="Y160" s="145">
        <f>U160+F160</f>
        <v>3770</v>
      </c>
      <c r="Z160" s="258"/>
      <c r="AA160" s="145"/>
      <c r="AB160" s="145"/>
    </row>
    <row r="161" s="23" customFormat="1" ht="45" customHeight="1" spans="1:28">
      <c r="A161" s="175"/>
      <c r="B161" s="266"/>
      <c r="C161" s="267"/>
      <c r="D161" s="268"/>
      <c r="E161" s="198"/>
      <c r="F161" s="198"/>
      <c r="G161" s="188" t="s">
        <v>251</v>
      </c>
      <c r="H161" s="258"/>
      <c r="I161" s="108">
        <v>8043</v>
      </c>
      <c r="J161" s="108"/>
      <c r="K161" s="94">
        <f t="shared" si="44"/>
        <v>8043</v>
      </c>
      <c r="L161" s="94"/>
      <c r="M161" s="94"/>
      <c r="N161" s="94"/>
      <c r="O161" s="94"/>
      <c r="P161" s="94"/>
      <c r="Q161" s="94"/>
      <c r="R161" s="108"/>
      <c r="S161" s="94">
        <v>8043</v>
      </c>
      <c r="T161" s="108"/>
      <c r="U161" s="94">
        <v>8043</v>
      </c>
      <c r="V161" s="94"/>
      <c r="W161" s="94">
        <f>S161+T161-U161-V161</f>
        <v>0</v>
      </c>
      <c r="X161" s="145">
        <f>K161</f>
        <v>8043</v>
      </c>
      <c r="Y161" s="145">
        <f>U161+F161</f>
        <v>8043</v>
      </c>
      <c r="Z161" s="258"/>
      <c r="AA161" s="145"/>
      <c r="AB161" s="145"/>
    </row>
    <row r="162" s="23" customFormat="1" ht="45" customHeight="1" spans="1:28">
      <c r="A162" s="175"/>
      <c r="B162" s="266"/>
      <c r="C162" s="267"/>
      <c r="D162" s="268"/>
      <c r="E162" s="198"/>
      <c r="F162" s="198"/>
      <c r="G162" s="188" t="s">
        <v>320</v>
      </c>
      <c r="H162" s="258"/>
      <c r="I162" s="108">
        <v>9579</v>
      </c>
      <c r="J162" s="108">
        <v>0</v>
      </c>
      <c r="K162" s="94">
        <f t="shared" si="44"/>
        <v>9579</v>
      </c>
      <c r="L162" s="94"/>
      <c r="M162" s="94"/>
      <c r="N162" s="94"/>
      <c r="O162" s="94"/>
      <c r="P162" s="94"/>
      <c r="Q162" s="94"/>
      <c r="R162" s="108"/>
      <c r="S162" s="94">
        <f>K162</f>
        <v>9579</v>
      </c>
      <c r="T162" s="108"/>
      <c r="U162" s="94">
        <f t="shared" ref="U162:U167" si="46">S162</f>
        <v>9579</v>
      </c>
      <c r="V162" s="94"/>
      <c r="W162" s="94"/>
      <c r="X162" s="145"/>
      <c r="Y162" s="145"/>
      <c r="Z162" s="258"/>
      <c r="AA162" s="145"/>
      <c r="AB162" s="145"/>
    </row>
    <row r="163" s="23" customFormat="1" ht="45" customHeight="1" spans="1:28">
      <c r="A163" s="175"/>
      <c r="B163" s="266"/>
      <c r="C163" s="267"/>
      <c r="D163" s="268"/>
      <c r="E163" s="198"/>
      <c r="F163" s="198"/>
      <c r="G163" s="188" t="s">
        <v>341</v>
      </c>
      <c r="H163" s="258"/>
      <c r="I163" s="108">
        <v>7041</v>
      </c>
      <c r="J163" s="108"/>
      <c r="K163" s="94">
        <f t="shared" si="44"/>
        <v>7041</v>
      </c>
      <c r="L163" s="94"/>
      <c r="M163" s="94"/>
      <c r="N163" s="94"/>
      <c r="O163" s="94"/>
      <c r="P163" s="94"/>
      <c r="Q163" s="94"/>
      <c r="R163" s="108"/>
      <c r="S163" s="94"/>
      <c r="T163" s="108"/>
      <c r="U163" s="94">
        <f t="shared" si="46"/>
        <v>0</v>
      </c>
      <c r="V163" s="94"/>
      <c r="W163" s="94"/>
      <c r="X163" s="145"/>
      <c r="Y163" s="145"/>
      <c r="Z163" s="258"/>
      <c r="AA163" s="145"/>
      <c r="AB163" s="145"/>
    </row>
    <row r="164" s="23" customFormat="1" ht="45" customHeight="1" spans="1:28">
      <c r="A164" s="175"/>
      <c r="B164" s="266"/>
      <c r="C164" s="267"/>
      <c r="D164" s="268"/>
      <c r="E164" s="198"/>
      <c r="F164" s="198"/>
      <c r="G164" s="188" t="s">
        <v>342</v>
      </c>
      <c r="H164" s="258"/>
      <c r="I164" s="108"/>
      <c r="J164" s="108"/>
      <c r="K164" s="94">
        <f t="shared" si="44"/>
        <v>0</v>
      </c>
      <c r="L164" s="94"/>
      <c r="M164" s="94"/>
      <c r="N164" s="94"/>
      <c r="O164" s="94"/>
      <c r="P164" s="94"/>
      <c r="Q164" s="94"/>
      <c r="R164" s="108"/>
      <c r="S164" s="94"/>
      <c r="T164" s="108"/>
      <c r="U164" s="94">
        <f t="shared" si="46"/>
        <v>0</v>
      </c>
      <c r="V164" s="94"/>
      <c r="W164" s="94"/>
      <c r="X164" s="145"/>
      <c r="Y164" s="145"/>
      <c r="Z164" s="258"/>
      <c r="AA164" s="145"/>
      <c r="AB164" s="145"/>
    </row>
    <row r="165" s="23" customFormat="1" ht="45" customHeight="1" spans="1:28">
      <c r="A165" s="175"/>
      <c r="B165" s="266"/>
      <c r="C165" s="267"/>
      <c r="D165" s="268"/>
      <c r="E165" s="198"/>
      <c r="F165" s="198"/>
      <c r="G165" s="188" t="s">
        <v>343</v>
      </c>
      <c r="H165" s="258"/>
      <c r="I165" s="108"/>
      <c r="J165" s="108"/>
      <c r="K165" s="94">
        <f t="shared" si="44"/>
        <v>0</v>
      </c>
      <c r="L165" s="94"/>
      <c r="M165" s="94"/>
      <c r="N165" s="94"/>
      <c r="O165" s="94"/>
      <c r="P165" s="94"/>
      <c r="Q165" s="94"/>
      <c r="R165" s="108"/>
      <c r="S165" s="94"/>
      <c r="T165" s="108"/>
      <c r="U165" s="94">
        <f t="shared" si="46"/>
        <v>0</v>
      </c>
      <c r="V165" s="94"/>
      <c r="W165" s="94"/>
      <c r="X165" s="145"/>
      <c r="Y165" s="145"/>
      <c r="Z165" s="258"/>
      <c r="AA165" s="145"/>
      <c r="AB165" s="145"/>
    </row>
    <row r="166" s="23" customFormat="1" ht="45" customHeight="1" spans="1:28">
      <c r="A166" s="175"/>
      <c r="B166" s="271"/>
      <c r="C166" s="272"/>
      <c r="D166" s="273"/>
      <c r="E166" s="199"/>
      <c r="F166" s="199"/>
      <c r="G166" s="188" t="s">
        <v>344</v>
      </c>
      <c r="H166" s="258"/>
      <c r="I166" s="108"/>
      <c r="J166" s="108"/>
      <c r="K166" s="94">
        <f t="shared" si="44"/>
        <v>0</v>
      </c>
      <c r="L166" s="94"/>
      <c r="M166" s="94"/>
      <c r="N166" s="94"/>
      <c r="O166" s="94"/>
      <c r="P166" s="94"/>
      <c r="Q166" s="94"/>
      <c r="R166" s="108"/>
      <c r="S166" s="94"/>
      <c r="T166" s="108"/>
      <c r="U166" s="94">
        <f t="shared" si="46"/>
        <v>0</v>
      </c>
      <c r="V166" s="94"/>
      <c r="W166" s="94"/>
      <c r="X166" s="145"/>
      <c r="Y166" s="145"/>
      <c r="Z166" s="258"/>
      <c r="AA166" s="145"/>
      <c r="AB166" s="145"/>
    </row>
    <row r="167" s="23" customFormat="1" ht="45" customHeight="1" spans="1:28">
      <c r="A167" s="175"/>
      <c r="B167" s="274" t="s">
        <v>252</v>
      </c>
      <c r="C167" s="275"/>
      <c r="D167" s="276"/>
      <c r="E167" s="258"/>
      <c r="F167" s="258"/>
      <c r="G167" s="188" t="s">
        <v>250</v>
      </c>
      <c r="H167" s="258"/>
      <c r="I167" s="108"/>
      <c r="J167" s="108"/>
      <c r="K167" s="94">
        <f t="shared" si="44"/>
        <v>0</v>
      </c>
      <c r="L167" s="94"/>
      <c r="M167" s="94"/>
      <c r="N167" s="94"/>
      <c r="O167" s="94"/>
      <c r="P167" s="94"/>
      <c r="Q167" s="94"/>
      <c r="R167" s="108"/>
      <c r="S167" s="94">
        <f>K167</f>
        <v>0</v>
      </c>
      <c r="T167" s="94"/>
      <c r="U167" s="94">
        <f t="shared" si="46"/>
        <v>0</v>
      </c>
      <c r="V167" s="94"/>
      <c r="W167" s="94">
        <f>S167+T167-U167-V167</f>
        <v>0</v>
      </c>
      <c r="X167" s="145">
        <f>K167+F167</f>
        <v>0</v>
      </c>
      <c r="Y167" s="145">
        <f>U167+F167</f>
        <v>0</v>
      </c>
      <c r="Z167" s="258"/>
      <c r="AA167" s="145"/>
      <c r="AB167" s="145"/>
    </row>
    <row r="168" s="23" customFormat="1" ht="45" customHeight="1" spans="1:28">
      <c r="A168" s="175"/>
      <c r="B168" s="263" t="s">
        <v>253</v>
      </c>
      <c r="C168" s="264"/>
      <c r="D168" s="265"/>
      <c r="E168" s="192"/>
      <c r="F168" s="192"/>
      <c r="G168" s="188" t="s">
        <v>251</v>
      </c>
      <c r="H168" s="258"/>
      <c r="I168" s="108">
        <v>200</v>
      </c>
      <c r="J168" s="108">
        <v>0</v>
      </c>
      <c r="K168" s="94">
        <f t="shared" si="44"/>
        <v>200</v>
      </c>
      <c r="L168" s="94"/>
      <c r="M168" s="94"/>
      <c r="N168" s="94"/>
      <c r="O168" s="94"/>
      <c r="P168" s="94"/>
      <c r="Q168" s="94"/>
      <c r="R168" s="108"/>
      <c r="S168" s="94">
        <f>K168</f>
        <v>200</v>
      </c>
      <c r="T168" s="94"/>
      <c r="U168" s="94">
        <f>K168+R168</f>
        <v>200</v>
      </c>
      <c r="V168" s="94"/>
      <c r="W168" s="94">
        <f>S168+T168-U168-V168</f>
        <v>0</v>
      </c>
      <c r="X168" s="145">
        <f>K168+F168</f>
        <v>200</v>
      </c>
      <c r="Y168" s="145">
        <f>U168+F168</f>
        <v>200</v>
      </c>
      <c r="Z168" s="258"/>
      <c r="AA168" s="145"/>
      <c r="AB168" s="145"/>
    </row>
    <row r="169" s="23" customFormat="1" ht="45" customHeight="1" spans="1:28">
      <c r="A169" s="175"/>
      <c r="B169" s="266"/>
      <c r="C169" s="267"/>
      <c r="D169" s="268"/>
      <c r="E169" s="198"/>
      <c r="F169" s="198"/>
      <c r="G169" s="188" t="s">
        <v>320</v>
      </c>
      <c r="H169" s="258"/>
      <c r="I169" s="108">
        <v>800</v>
      </c>
      <c r="J169" s="108">
        <v>0</v>
      </c>
      <c r="K169" s="94">
        <f t="shared" si="44"/>
        <v>800</v>
      </c>
      <c r="L169" s="94"/>
      <c r="M169" s="94"/>
      <c r="N169" s="94"/>
      <c r="O169" s="94"/>
      <c r="P169" s="94"/>
      <c r="Q169" s="94"/>
      <c r="R169" s="108"/>
      <c r="S169" s="94">
        <f>K169</f>
        <v>800</v>
      </c>
      <c r="T169" s="94"/>
      <c r="U169" s="94">
        <f>S169</f>
        <v>800</v>
      </c>
      <c r="V169" s="94"/>
      <c r="W169" s="94"/>
      <c r="X169" s="145"/>
      <c r="Y169" s="145"/>
      <c r="Z169" s="258"/>
      <c r="AA169" s="145"/>
      <c r="AB169" s="145"/>
    </row>
    <row r="170" s="23" customFormat="1" ht="45" customHeight="1" spans="1:28">
      <c r="A170" s="175"/>
      <c r="B170" s="266"/>
      <c r="C170" s="267"/>
      <c r="D170" s="268"/>
      <c r="E170" s="198"/>
      <c r="F170" s="198"/>
      <c r="G170" s="188" t="s">
        <v>341</v>
      </c>
      <c r="H170" s="258"/>
      <c r="I170" s="108">
        <v>8961.68</v>
      </c>
      <c r="J170" s="108">
        <f>3.66+17.77+5.45+3126-2948.99+4653-4369.57</f>
        <v>487.320000000001</v>
      </c>
      <c r="K170" s="94">
        <f t="shared" si="44"/>
        <v>9449</v>
      </c>
      <c r="L170" s="94"/>
      <c r="M170" s="94"/>
      <c r="N170" s="94"/>
      <c r="O170" s="94"/>
      <c r="P170" s="94"/>
      <c r="Q170" s="94"/>
      <c r="R170" s="108"/>
      <c r="S170" s="94">
        <f>K170</f>
        <v>9449</v>
      </c>
      <c r="T170" s="94"/>
      <c r="U170" s="94">
        <f>S170</f>
        <v>9449</v>
      </c>
      <c r="V170" s="94"/>
      <c r="W170" s="94"/>
      <c r="X170" s="145"/>
      <c r="Y170" s="145"/>
      <c r="Z170" s="258"/>
      <c r="AA170" s="145"/>
      <c r="AB170" s="145"/>
    </row>
    <row r="171" s="23" customFormat="1" ht="45" customHeight="1" spans="1:28">
      <c r="A171" s="175"/>
      <c r="B171" s="266"/>
      <c r="C171" s="267"/>
      <c r="D171" s="268"/>
      <c r="E171" s="198"/>
      <c r="F171" s="198"/>
      <c r="G171" s="188"/>
      <c r="H171" s="258"/>
      <c r="I171" s="108"/>
      <c r="J171" s="108"/>
      <c r="K171" s="94">
        <f t="shared" si="44"/>
        <v>0</v>
      </c>
      <c r="L171" s="94"/>
      <c r="M171" s="94"/>
      <c r="N171" s="94"/>
      <c r="O171" s="94"/>
      <c r="P171" s="94"/>
      <c r="Q171" s="94"/>
      <c r="R171" s="108"/>
      <c r="S171" s="94"/>
      <c r="T171" s="94"/>
      <c r="U171" s="94">
        <f>S171</f>
        <v>0</v>
      </c>
      <c r="V171" s="94"/>
      <c r="W171" s="94"/>
      <c r="X171" s="145"/>
      <c r="Y171" s="145"/>
      <c r="Z171" s="258"/>
      <c r="AA171" s="145"/>
      <c r="AB171" s="145"/>
    </row>
    <row r="172" s="23" customFormat="1" ht="45" customHeight="1" spans="1:28">
      <c r="A172" s="175"/>
      <c r="B172" s="266"/>
      <c r="C172" s="267"/>
      <c r="D172" s="268"/>
      <c r="E172" s="198"/>
      <c r="F172" s="198"/>
      <c r="G172" s="188"/>
      <c r="H172" s="258"/>
      <c r="I172" s="108"/>
      <c r="J172" s="108"/>
      <c r="K172" s="94">
        <f t="shared" si="44"/>
        <v>0</v>
      </c>
      <c r="L172" s="94"/>
      <c r="M172" s="94"/>
      <c r="N172" s="94"/>
      <c r="O172" s="94"/>
      <c r="P172" s="94"/>
      <c r="Q172" s="94"/>
      <c r="R172" s="108"/>
      <c r="S172" s="94"/>
      <c r="T172" s="94"/>
      <c r="U172" s="94"/>
      <c r="V172" s="94"/>
      <c r="W172" s="94"/>
      <c r="X172" s="145"/>
      <c r="Y172" s="145"/>
      <c r="Z172" s="258"/>
      <c r="AA172" s="145"/>
      <c r="AB172" s="145"/>
    </row>
    <row r="173" s="23" customFormat="1" ht="45" customHeight="1" spans="1:28">
      <c r="A173" s="175"/>
      <c r="B173" s="271"/>
      <c r="C173" s="272"/>
      <c r="D173" s="273"/>
      <c r="E173" s="199"/>
      <c r="F173" s="199"/>
      <c r="G173" s="188"/>
      <c r="H173" s="258"/>
      <c r="I173" s="108"/>
      <c r="J173" s="108"/>
      <c r="K173" s="94">
        <f t="shared" si="44"/>
        <v>0</v>
      </c>
      <c r="L173" s="94"/>
      <c r="M173" s="94"/>
      <c r="N173" s="94"/>
      <c r="O173" s="94"/>
      <c r="P173" s="94"/>
      <c r="Q173" s="94"/>
      <c r="R173" s="108"/>
      <c r="S173" s="94"/>
      <c r="T173" s="94"/>
      <c r="U173" s="94"/>
      <c r="V173" s="94"/>
      <c r="W173" s="94"/>
      <c r="X173" s="145"/>
      <c r="Y173" s="145"/>
      <c r="Z173" s="258"/>
      <c r="AA173" s="145"/>
      <c r="AB173" s="145"/>
    </row>
    <row r="174" s="23" customFormat="1" ht="45" customHeight="1" spans="1:28">
      <c r="A174" s="175"/>
      <c r="B174" s="274" t="s">
        <v>254</v>
      </c>
      <c r="C174" s="275"/>
      <c r="D174" s="276"/>
      <c r="E174" s="258"/>
      <c r="F174" s="258"/>
      <c r="G174" s="188" t="s">
        <v>250</v>
      </c>
      <c r="H174" s="258"/>
      <c r="I174" s="108"/>
      <c r="J174" s="108"/>
      <c r="K174" s="94">
        <f t="shared" si="44"/>
        <v>0</v>
      </c>
      <c r="L174" s="94"/>
      <c r="M174" s="94"/>
      <c r="N174" s="94"/>
      <c r="O174" s="94"/>
      <c r="P174" s="94"/>
      <c r="Q174" s="94"/>
      <c r="R174" s="108"/>
      <c r="S174" s="94">
        <f>K174</f>
        <v>0</v>
      </c>
      <c r="T174" s="94"/>
      <c r="U174" s="94">
        <f>S174</f>
        <v>0</v>
      </c>
      <c r="V174" s="94"/>
      <c r="W174" s="94">
        <f>S174+T174-U174-V174</f>
        <v>0</v>
      </c>
      <c r="X174" s="145"/>
      <c r="Y174" s="145"/>
      <c r="Z174" s="258"/>
      <c r="AA174" s="145"/>
      <c r="AB174" s="145"/>
    </row>
    <row r="175" s="20" customFormat="1" ht="36" customHeight="1" spans="1:28">
      <c r="A175" s="277" t="s">
        <v>255</v>
      </c>
      <c r="B175" s="277"/>
      <c r="C175" s="277"/>
      <c r="D175" s="277"/>
      <c r="E175" s="277">
        <f>SUM(E146:E159)</f>
        <v>18872786.57</v>
      </c>
      <c r="F175" s="277">
        <f>SUM(F146:F159)</f>
        <v>0</v>
      </c>
      <c r="G175" s="243"/>
      <c r="H175" s="243" t="s">
        <v>316</v>
      </c>
      <c r="I175" s="300">
        <f>SUM(I146:I150,I151:I161,I167:I168,I174)-I159</f>
        <v>15049869.9490566</v>
      </c>
      <c r="J175" s="300">
        <f t="shared" ref="I175:O175" si="47">SUM(J146:J150,J151:J161,J167:J168,J174)-J159</f>
        <v>1762917.2709434</v>
      </c>
      <c r="K175" s="300">
        <f t="shared" si="47"/>
        <v>16812787.22</v>
      </c>
      <c r="L175" s="300">
        <f t="shared" si="47"/>
        <v>0</v>
      </c>
      <c r="M175" s="300">
        <f t="shared" si="47"/>
        <v>379417.19</v>
      </c>
      <c r="N175" s="300">
        <f t="shared" si="47"/>
        <v>0</v>
      </c>
      <c r="O175" s="300">
        <f t="shared" si="47"/>
        <v>72288</v>
      </c>
      <c r="P175" s="300"/>
      <c r="Q175" s="300">
        <f t="shared" ref="Q175:Y175" si="48">SUM(Q146:Q150,Q151:Q161,Q167:Q168,Q174)-Q159</f>
        <v>0</v>
      </c>
      <c r="R175" s="300">
        <f t="shared" si="48"/>
        <v>0</v>
      </c>
      <c r="S175" s="300">
        <f t="shared" si="48"/>
        <v>16361082.03</v>
      </c>
      <c r="T175" s="300">
        <f t="shared" si="48"/>
        <v>0</v>
      </c>
      <c r="U175" s="300">
        <f t="shared" si="48"/>
        <v>16162195.22</v>
      </c>
      <c r="V175" s="300">
        <f t="shared" si="48"/>
        <v>0</v>
      </c>
      <c r="W175" s="300">
        <f t="shared" si="48"/>
        <v>198886.81</v>
      </c>
      <c r="X175" s="300">
        <f t="shared" si="48"/>
        <v>16812787.22</v>
      </c>
      <c r="Y175" s="300">
        <f t="shared" si="48"/>
        <v>16162195.22</v>
      </c>
      <c r="Z175" s="307">
        <f>SUM(Z146:Z159)</f>
        <v>271174.81</v>
      </c>
      <c r="AA175" s="307">
        <f>SUM(AA146:AA159)</f>
        <v>271174.81</v>
      </c>
      <c r="AB175" s="307"/>
    </row>
    <row r="176" s="21" customFormat="1" ht="36" customHeight="1" spans="1:28">
      <c r="A176" s="277"/>
      <c r="B176" s="277"/>
      <c r="C176" s="277"/>
      <c r="D176" s="277"/>
      <c r="E176" s="277"/>
      <c r="F176" s="277"/>
      <c r="G176" s="212"/>
      <c r="H176" s="212" t="s">
        <v>317</v>
      </c>
      <c r="I176" s="301">
        <f>I169+I162+I163+I170</f>
        <v>26381.68</v>
      </c>
      <c r="J176" s="301">
        <f>J169+J162+J163+J170</f>
        <v>487.320000000001</v>
      </c>
      <c r="K176" s="301">
        <f>K169+K162+K163+K170</f>
        <v>26869</v>
      </c>
      <c r="L176" s="301">
        <f t="shared" ref="I176:O176" si="49">L169+L162</f>
        <v>0</v>
      </c>
      <c r="M176" s="301">
        <f t="shared" si="49"/>
        <v>0</v>
      </c>
      <c r="N176" s="301">
        <f t="shared" si="49"/>
        <v>0</v>
      </c>
      <c r="O176" s="301">
        <f t="shared" si="49"/>
        <v>0</v>
      </c>
      <c r="P176" s="301"/>
      <c r="Q176" s="301">
        <f t="shared" ref="Q176:Y176" si="50">Q169+Q162</f>
        <v>0</v>
      </c>
      <c r="R176" s="301">
        <f t="shared" si="50"/>
        <v>0</v>
      </c>
      <c r="S176" s="301">
        <f t="shared" si="50"/>
        <v>10379</v>
      </c>
      <c r="T176" s="301">
        <f t="shared" si="50"/>
        <v>0</v>
      </c>
      <c r="U176" s="301">
        <f t="shared" si="50"/>
        <v>10379</v>
      </c>
      <c r="V176" s="301">
        <f t="shared" si="50"/>
        <v>0</v>
      </c>
      <c r="W176" s="301">
        <f t="shared" si="50"/>
        <v>0</v>
      </c>
      <c r="X176" s="301">
        <f t="shared" si="50"/>
        <v>0</v>
      </c>
      <c r="Y176" s="301">
        <f t="shared" si="50"/>
        <v>0</v>
      </c>
      <c r="Z176" s="308"/>
      <c r="AA176" s="308"/>
      <c r="AB176" s="308"/>
    </row>
    <row r="177" s="1" customFormat="1" ht="36" customHeight="1" spans="1:28">
      <c r="A177" s="283"/>
      <c r="B177" s="216" t="s">
        <v>256</v>
      </c>
      <c r="C177" s="217"/>
      <c r="D177" s="217"/>
      <c r="E177" s="217"/>
      <c r="F177" s="217"/>
      <c r="G177" s="217"/>
      <c r="H177" s="218"/>
      <c r="I177" s="94"/>
      <c r="J177" s="94"/>
      <c r="K177" s="94"/>
      <c r="L177" s="94"/>
      <c r="M177" s="94"/>
      <c r="N177" s="94"/>
      <c r="O177" s="94"/>
      <c r="P177" s="94"/>
      <c r="Q177" s="94"/>
      <c r="R177" s="94"/>
      <c r="S177" s="94">
        <f t="shared" ref="S177:S185" si="51">K177-L177-M177-N177-O177+R177</f>
        <v>0</v>
      </c>
      <c r="T177" s="94"/>
      <c r="U177" s="94"/>
      <c r="V177" s="94"/>
      <c r="W177" s="94"/>
      <c r="X177" s="45"/>
      <c r="Y177" s="45"/>
      <c r="Z177" s="145"/>
      <c r="AA177" s="145"/>
      <c r="AB177" s="145"/>
    </row>
    <row r="178" s="22" customFormat="1" ht="42" customHeight="1" spans="1:239">
      <c r="A178" s="156">
        <v>29</v>
      </c>
      <c r="B178" s="157" t="s">
        <v>257</v>
      </c>
      <c r="C178" s="158"/>
      <c r="D178" s="157" t="s">
        <v>98</v>
      </c>
      <c r="E178" s="158">
        <v>58000</v>
      </c>
      <c r="F178" s="158"/>
      <c r="G178" s="157" t="s">
        <v>258</v>
      </c>
      <c r="H178" s="157" t="s">
        <v>259</v>
      </c>
      <c r="I178" s="94">
        <v>54716.98</v>
      </c>
      <c r="J178" s="94">
        <v>3283.02</v>
      </c>
      <c r="K178" s="94">
        <f t="shared" ref="K178:K181" si="52">J178+I178</f>
        <v>58000</v>
      </c>
      <c r="L178" s="237"/>
      <c r="M178" s="237"/>
      <c r="N178" s="237"/>
      <c r="O178" s="237"/>
      <c r="P178" s="237"/>
      <c r="Q178" s="237"/>
      <c r="R178" s="237"/>
      <c r="S178" s="94">
        <f t="shared" si="51"/>
        <v>58000</v>
      </c>
      <c r="T178" s="94"/>
      <c r="U178" s="237">
        <v>58000</v>
      </c>
      <c r="V178" s="237"/>
      <c r="W178" s="237">
        <f t="shared" ref="W178:W186" si="53">S178+T178-U178-V178</f>
        <v>0</v>
      </c>
      <c r="X178" s="145">
        <f t="shared" ref="X177:X183" si="54">K178+F178</f>
        <v>58000</v>
      </c>
      <c r="Y178" s="145">
        <f t="shared" ref="Y178:Y183" si="55">U178+F178</f>
        <v>58000</v>
      </c>
      <c r="Z178" s="158"/>
      <c r="AA178" s="145"/>
      <c r="AB178" s="158"/>
      <c r="AC178" s="311"/>
      <c r="AD178" s="311"/>
      <c r="AE178" s="311"/>
      <c r="AF178" s="311"/>
      <c r="AG178" s="311"/>
      <c r="AH178" s="311"/>
      <c r="AI178" s="311"/>
      <c r="AJ178" s="311"/>
      <c r="AK178" s="311"/>
      <c r="AL178" s="311"/>
      <c r="AM178" s="311"/>
      <c r="AN178" s="311"/>
      <c r="AO178" s="311"/>
      <c r="AP178" s="311"/>
      <c r="AQ178" s="311"/>
      <c r="AR178" s="311"/>
      <c r="AS178" s="311"/>
      <c r="AT178" s="311"/>
      <c r="AU178" s="311"/>
      <c r="AV178" s="311"/>
      <c r="AW178" s="311"/>
      <c r="AX178" s="311"/>
      <c r="AY178" s="311"/>
      <c r="AZ178" s="311"/>
      <c r="BA178" s="311"/>
      <c r="BB178" s="311"/>
      <c r="BC178" s="311"/>
      <c r="BD178" s="311"/>
      <c r="BE178" s="311"/>
      <c r="BF178" s="311"/>
      <c r="BG178" s="311"/>
      <c r="BH178" s="311"/>
      <c r="BI178" s="311"/>
      <c r="BJ178" s="311"/>
      <c r="BK178" s="311"/>
      <c r="BL178" s="311"/>
      <c r="BM178" s="311"/>
      <c r="BN178" s="311"/>
      <c r="BO178" s="311"/>
      <c r="BP178" s="311"/>
      <c r="BQ178" s="311"/>
      <c r="BR178" s="311"/>
      <c r="BS178" s="311"/>
      <c r="BT178" s="311"/>
      <c r="BU178" s="311"/>
      <c r="BV178" s="311"/>
      <c r="BW178" s="311"/>
      <c r="BX178" s="311"/>
      <c r="BY178" s="311"/>
      <c r="BZ178" s="311"/>
      <c r="CA178" s="311"/>
      <c r="CB178" s="311"/>
      <c r="CC178" s="311"/>
      <c r="CD178" s="311"/>
      <c r="CE178" s="311"/>
      <c r="CF178" s="311"/>
      <c r="CG178" s="311"/>
      <c r="CH178" s="311"/>
      <c r="CI178" s="311"/>
      <c r="CJ178" s="311"/>
      <c r="CK178" s="311"/>
      <c r="CL178" s="311"/>
      <c r="CM178" s="311"/>
      <c r="CN178" s="311"/>
      <c r="CO178" s="311"/>
      <c r="CP178" s="311"/>
      <c r="CQ178" s="311"/>
      <c r="CR178" s="311"/>
      <c r="CS178" s="311"/>
      <c r="CT178" s="311"/>
      <c r="CU178" s="311"/>
      <c r="CV178" s="311"/>
      <c r="CW178" s="311"/>
      <c r="CX178" s="311"/>
      <c r="CY178" s="311"/>
      <c r="CZ178" s="311"/>
      <c r="DA178" s="311"/>
      <c r="DB178" s="311"/>
      <c r="DC178" s="311"/>
      <c r="DD178" s="311"/>
      <c r="DE178" s="311"/>
      <c r="DF178" s="311"/>
      <c r="DG178" s="311"/>
      <c r="DH178" s="311"/>
      <c r="DI178" s="311"/>
      <c r="DJ178" s="311"/>
      <c r="DK178" s="311"/>
      <c r="DL178" s="311"/>
      <c r="DM178" s="311"/>
      <c r="DN178" s="311"/>
      <c r="DO178" s="311"/>
      <c r="DP178" s="311"/>
      <c r="DQ178" s="311"/>
      <c r="DR178" s="311"/>
      <c r="DS178" s="311"/>
      <c r="DT178" s="311"/>
      <c r="DU178" s="311"/>
      <c r="DV178" s="311"/>
      <c r="DW178" s="311"/>
      <c r="DX178" s="311"/>
      <c r="DY178" s="311"/>
      <c r="DZ178" s="311"/>
      <c r="EA178" s="311"/>
      <c r="EB178" s="311"/>
      <c r="EC178" s="311"/>
      <c r="ED178" s="311"/>
      <c r="EE178" s="311"/>
      <c r="EF178" s="311"/>
      <c r="EG178" s="311"/>
      <c r="EH178" s="311"/>
      <c r="EI178" s="311"/>
      <c r="EJ178" s="311"/>
      <c r="EK178" s="311"/>
      <c r="EL178" s="311"/>
      <c r="EM178" s="311"/>
      <c r="EN178" s="311"/>
      <c r="EO178" s="311"/>
      <c r="EP178" s="311"/>
      <c r="EQ178" s="311"/>
      <c r="ER178" s="311"/>
      <c r="ES178" s="311"/>
      <c r="ET178" s="311"/>
      <c r="EU178" s="311"/>
      <c r="EV178" s="311"/>
      <c r="EW178" s="311"/>
      <c r="EX178" s="311"/>
      <c r="EY178" s="311"/>
      <c r="EZ178" s="311"/>
      <c r="FA178" s="311"/>
      <c r="FB178" s="311"/>
      <c r="FC178" s="311"/>
      <c r="FD178" s="311"/>
      <c r="FE178" s="311"/>
      <c r="FF178" s="311"/>
      <c r="FG178" s="311"/>
      <c r="FH178" s="311"/>
      <c r="FI178" s="311"/>
      <c r="FJ178" s="311"/>
      <c r="FK178" s="311"/>
      <c r="FL178" s="311"/>
      <c r="FM178" s="311"/>
      <c r="FN178" s="311"/>
      <c r="FO178" s="311"/>
      <c r="FP178" s="311"/>
      <c r="FQ178" s="311"/>
      <c r="FR178" s="311"/>
      <c r="FS178" s="311"/>
      <c r="FT178" s="311"/>
      <c r="FU178" s="311"/>
      <c r="FV178" s="311"/>
      <c r="FW178" s="311"/>
      <c r="FX178" s="311"/>
      <c r="FY178" s="311"/>
      <c r="FZ178" s="311"/>
      <c r="GA178" s="311"/>
      <c r="GB178" s="311"/>
      <c r="GC178" s="311"/>
      <c r="GD178" s="311"/>
      <c r="GE178" s="311"/>
      <c r="GF178" s="311"/>
      <c r="GG178" s="311"/>
      <c r="GH178" s="311"/>
      <c r="GI178" s="311"/>
      <c r="GJ178" s="311"/>
      <c r="GK178" s="311"/>
      <c r="GL178" s="311"/>
      <c r="GM178" s="311"/>
      <c r="GN178" s="311"/>
      <c r="GO178" s="311"/>
      <c r="GP178" s="311"/>
      <c r="GQ178" s="311"/>
      <c r="GR178" s="311"/>
      <c r="GS178" s="311"/>
      <c r="GT178" s="311"/>
      <c r="GU178" s="311"/>
      <c r="GV178" s="311"/>
      <c r="GW178" s="311"/>
      <c r="GX178" s="311"/>
      <c r="GY178" s="311"/>
      <c r="GZ178" s="311"/>
      <c r="HA178" s="311"/>
      <c r="HB178" s="311"/>
      <c r="HC178" s="311"/>
      <c r="HD178" s="311"/>
      <c r="HE178" s="311"/>
      <c r="HF178" s="311"/>
      <c r="HG178" s="311"/>
      <c r="HH178" s="311"/>
      <c r="HI178" s="311"/>
      <c r="HJ178" s="311"/>
      <c r="HK178" s="311"/>
      <c r="HL178" s="311"/>
      <c r="HM178" s="311"/>
      <c r="HN178" s="311"/>
      <c r="HO178" s="311"/>
      <c r="HP178" s="311"/>
      <c r="HQ178" s="311"/>
      <c r="HR178" s="311"/>
      <c r="HS178" s="311"/>
      <c r="HT178" s="311"/>
      <c r="HU178" s="311"/>
      <c r="HV178" s="311"/>
      <c r="HW178" s="311"/>
      <c r="HX178" s="311"/>
      <c r="HY178" s="311"/>
      <c r="HZ178" s="311"/>
      <c r="IA178" s="311"/>
      <c r="IB178" s="311"/>
      <c r="IC178" s="311"/>
      <c r="ID178" s="311"/>
      <c r="IE178" s="311"/>
    </row>
    <row r="179" s="22" customFormat="1" ht="38" customHeight="1" spans="1:239">
      <c r="A179" s="156">
        <v>30</v>
      </c>
      <c r="B179" s="157" t="s">
        <v>260</v>
      </c>
      <c r="C179" s="158"/>
      <c r="D179" s="157" t="s">
        <v>261</v>
      </c>
      <c r="E179" s="420">
        <v>300000</v>
      </c>
      <c r="F179" s="420"/>
      <c r="G179" s="284" t="s">
        <v>262</v>
      </c>
      <c r="H179" s="284" t="s">
        <v>263</v>
      </c>
      <c r="I179" s="302">
        <v>283018.87</v>
      </c>
      <c r="J179" s="302">
        <v>16981.13</v>
      </c>
      <c r="K179" s="94">
        <f t="shared" si="52"/>
        <v>300000</v>
      </c>
      <c r="L179" s="237"/>
      <c r="M179" s="237"/>
      <c r="N179" s="237"/>
      <c r="O179" s="237"/>
      <c r="P179" s="237"/>
      <c r="Q179" s="237"/>
      <c r="R179" s="310"/>
      <c r="S179" s="94">
        <f t="shared" si="51"/>
        <v>300000</v>
      </c>
      <c r="T179" s="94"/>
      <c r="U179" s="310">
        <v>300000</v>
      </c>
      <c r="V179" s="310"/>
      <c r="W179" s="237">
        <f t="shared" si="53"/>
        <v>0</v>
      </c>
      <c r="X179" s="145">
        <f t="shared" si="54"/>
        <v>300000</v>
      </c>
      <c r="Y179" s="145">
        <f t="shared" si="55"/>
        <v>300000</v>
      </c>
      <c r="Z179" s="420"/>
      <c r="AA179" s="145"/>
      <c r="AB179" s="158"/>
      <c r="AC179" s="313"/>
      <c r="AD179" s="313"/>
      <c r="AE179" s="313"/>
      <c r="AF179" s="313"/>
      <c r="AG179" s="313"/>
      <c r="AH179" s="313"/>
      <c r="AI179" s="313"/>
      <c r="AJ179" s="313"/>
      <c r="AK179" s="313"/>
      <c r="AL179" s="313"/>
      <c r="AM179" s="313"/>
      <c r="AN179" s="313"/>
      <c r="AO179" s="313"/>
      <c r="AP179" s="313"/>
      <c r="AQ179" s="313"/>
      <c r="AR179" s="313"/>
      <c r="AS179" s="313"/>
      <c r="AT179" s="313"/>
      <c r="AU179" s="313"/>
      <c r="AV179" s="313"/>
      <c r="AW179" s="313"/>
      <c r="AX179" s="313"/>
      <c r="AY179" s="313"/>
      <c r="AZ179" s="313"/>
      <c r="BA179" s="313"/>
      <c r="BB179" s="313"/>
      <c r="BC179" s="313"/>
      <c r="BD179" s="313"/>
      <c r="BE179" s="313"/>
      <c r="BF179" s="313"/>
      <c r="BG179" s="313"/>
      <c r="BH179" s="313"/>
      <c r="BI179" s="313"/>
      <c r="BJ179" s="313"/>
      <c r="BK179" s="313"/>
      <c r="BL179" s="313"/>
      <c r="BM179" s="313"/>
      <c r="BN179" s="313"/>
      <c r="BO179" s="313"/>
      <c r="BP179" s="313"/>
      <c r="BQ179" s="313"/>
      <c r="BR179" s="313"/>
      <c r="BS179" s="313"/>
      <c r="BT179" s="313"/>
      <c r="BU179" s="313"/>
      <c r="BV179" s="313"/>
      <c r="BW179" s="313"/>
      <c r="BX179" s="313"/>
      <c r="BY179" s="313"/>
      <c r="BZ179" s="313"/>
      <c r="CA179" s="313"/>
      <c r="CB179" s="313"/>
      <c r="CC179" s="313"/>
      <c r="CD179" s="313"/>
      <c r="CE179" s="313"/>
      <c r="CF179" s="313"/>
      <c r="CG179" s="313"/>
      <c r="CH179" s="313"/>
      <c r="CI179" s="313"/>
      <c r="CJ179" s="313"/>
      <c r="CK179" s="313"/>
      <c r="CL179" s="313"/>
      <c r="CM179" s="313"/>
      <c r="CN179" s="313"/>
      <c r="CO179" s="313"/>
      <c r="CP179" s="313"/>
      <c r="CQ179" s="313"/>
      <c r="CR179" s="313"/>
      <c r="CS179" s="313"/>
      <c r="CT179" s="313"/>
      <c r="CU179" s="313"/>
      <c r="CV179" s="313"/>
      <c r="CW179" s="313"/>
      <c r="CX179" s="313"/>
      <c r="CY179" s="313"/>
      <c r="CZ179" s="313"/>
      <c r="DA179" s="313"/>
      <c r="DB179" s="313"/>
      <c r="DC179" s="313"/>
      <c r="DD179" s="313"/>
      <c r="DE179" s="313"/>
      <c r="DF179" s="313"/>
      <c r="DG179" s="313"/>
      <c r="DH179" s="313"/>
      <c r="DI179" s="313"/>
      <c r="DJ179" s="313"/>
      <c r="DK179" s="313"/>
      <c r="DL179" s="313"/>
      <c r="DM179" s="313"/>
      <c r="DN179" s="313"/>
      <c r="DO179" s="313"/>
      <c r="DP179" s="313"/>
      <c r="DQ179" s="313"/>
      <c r="DR179" s="313"/>
      <c r="DS179" s="313"/>
      <c r="DT179" s="313"/>
      <c r="DU179" s="313"/>
      <c r="DV179" s="313"/>
      <c r="DW179" s="313"/>
      <c r="DX179" s="313"/>
      <c r="DY179" s="313"/>
      <c r="DZ179" s="313"/>
      <c r="EA179" s="313"/>
      <c r="EB179" s="313"/>
      <c r="EC179" s="313"/>
      <c r="ED179" s="313"/>
      <c r="EE179" s="313"/>
      <c r="EF179" s="313"/>
      <c r="EG179" s="313"/>
      <c r="EH179" s="313"/>
      <c r="EI179" s="313"/>
      <c r="EJ179" s="313"/>
      <c r="EK179" s="313"/>
      <c r="EL179" s="313"/>
      <c r="EM179" s="313"/>
      <c r="EN179" s="313"/>
      <c r="EO179" s="313"/>
      <c r="EP179" s="313"/>
      <c r="EQ179" s="313"/>
      <c r="ER179" s="313"/>
      <c r="ES179" s="313"/>
      <c r="ET179" s="313"/>
      <c r="EU179" s="313"/>
      <c r="EV179" s="313"/>
      <c r="EW179" s="313"/>
      <c r="EX179" s="313"/>
      <c r="EY179" s="313"/>
      <c r="EZ179" s="313"/>
      <c r="FA179" s="313"/>
      <c r="FB179" s="313"/>
      <c r="FC179" s="313"/>
      <c r="FD179" s="313"/>
      <c r="FE179" s="313"/>
      <c r="FF179" s="313"/>
      <c r="FG179" s="313"/>
      <c r="FH179" s="313"/>
      <c r="FI179" s="313"/>
      <c r="FJ179" s="313"/>
      <c r="FK179" s="313"/>
      <c r="FL179" s="313"/>
      <c r="FM179" s="313"/>
      <c r="FN179" s="313"/>
      <c r="FO179" s="313"/>
      <c r="FP179" s="313"/>
      <c r="FQ179" s="313"/>
      <c r="FR179" s="313"/>
      <c r="FS179" s="313"/>
      <c r="FT179" s="313"/>
      <c r="FU179" s="313"/>
      <c r="FV179" s="313"/>
      <c r="FW179" s="313"/>
      <c r="FX179" s="313"/>
      <c r="FY179" s="313"/>
      <c r="FZ179" s="313"/>
      <c r="GA179" s="313"/>
      <c r="GB179" s="313"/>
      <c r="GC179" s="313"/>
      <c r="GD179" s="313"/>
      <c r="GE179" s="313"/>
      <c r="GF179" s="313"/>
      <c r="GG179" s="313"/>
      <c r="GH179" s="313"/>
      <c r="GI179" s="313"/>
      <c r="GJ179" s="313"/>
      <c r="GK179" s="313"/>
      <c r="GL179" s="313"/>
      <c r="GM179" s="313"/>
      <c r="GN179" s="313"/>
      <c r="GO179" s="313"/>
      <c r="GP179" s="313"/>
      <c r="GQ179" s="313"/>
      <c r="GR179" s="313"/>
      <c r="GS179" s="313"/>
      <c r="GT179" s="313"/>
      <c r="GU179" s="313"/>
      <c r="GV179" s="313"/>
      <c r="GW179" s="313"/>
      <c r="GX179" s="313"/>
      <c r="GY179" s="313"/>
      <c r="GZ179" s="313"/>
      <c r="HA179" s="313"/>
      <c r="HB179" s="313"/>
      <c r="HC179" s="313"/>
      <c r="HD179" s="313"/>
      <c r="HE179" s="313"/>
      <c r="HF179" s="313"/>
      <c r="HG179" s="313"/>
      <c r="HH179" s="313"/>
      <c r="HI179" s="313"/>
      <c r="HJ179" s="313"/>
      <c r="HK179" s="313"/>
      <c r="HL179" s="313"/>
      <c r="HM179" s="313"/>
      <c r="HN179" s="313"/>
      <c r="HO179" s="313"/>
      <c r="HP179" s="313"/>
      <c r="HQ179" s="313"/>
      <c r="HR179" s="313"/>
      <c r="HS179" s="313"/>
      <c r="HT179" s="313"/>
      <c r="HU179" s="313"/>
      <c r="HV179" s="313"/>
      <c r="HW179" s="313"/>
      <c r="HX179" s="313"/>
      <c r="HY179" s="313"/>
      <c r="HZ179" s="313"/>
      <c r="IA179" s="313"/>
      <c r="IB179" s="313"/>
      <c r="IC179" s="313"/>
      <c r="ID179" s="313"/>
      <c r="IE179" s="313"/>
    </row>
    <row r="180" s="22" customFormat="1" ht="53" customHeight="1" spans="1:28">
      <c r="A180" s="156">
        <v>31</v>
      </c>
      <c r="B180" s="157" t="s">
        <v>264</v>
      </c>
      <c r="C180" s="158"/>
      <c r="D180" s="157" t="s">
        <v>265</v>
      </c>
      <c r="E180" s="158">
        <v>140000</v>
      </c>
      <c r="F180" s="158"/>
      <c r="G180" s="157" t="s">
        <v>266</v>
      </c>
      <c r="H180" s="157" t="s">
        <v>267</v>
      </c>
      <c r="I180" s="94">
        <v>132075.47</v>
      </c>
      <c r="J180" s="94">
        <v>7924.53</v>
      </c>
      <c r="K180" s="94">
        <f t="shared" si="52"/>
        <v>140000</v>
      </c>
      <c r="L180" s="237"/>
      <c r="M180" s="237"/>
      <c r="N180" s="237"/>
      <c r="O180" s="237"/>
      <c r="P180" s="237"/>
      <c r="Q180" s="237"/>
      <c r="R180" s="237"/>
      <c r="S180" s="94">
        <f t="shared" si="51"/>
        <v>140000</v>
      </c>
      <c r="T180" s="94"/>
      <c r="U180" s="237">
        <v>140000</v>
      </c>
      <c r="V180" s="237"/>
      <c r="W180" s="237">
        <f t="shared" si="53"/>
        <v>0</v>
      </c>
      <c r="X180" s="145">
        <f t="shared" si="54"/>
        <v>140000</v>
      </c>
      <c r="Y180" s="145">
        <f t="shared" si="55"/>
        <v>140000</v>
      </c>
      <c r="Z180" s="158"/>
      <c r="AA180" s="145"/>
      <c r="AB180" s="158"/>
    </row>
    <row r="181" s="22" customFormat="1" ht="45" customHeight="1" spans="1:28">
      <c r="A181" s="156">
        <v>32</v>
      </c>
      <c r="B181" s="157" t="s">
        <v>268</v>
      </c>
      <c r="C181" s="158"/>
      <c r="D181" s="157" t="s">
        <v>178</v>
      </c>
      <c r="E181" s="158">
        <v>48000</v>
      </c>
      <c r="F181" s="158"/>
      <c r="G181" s="157" t="s">
        <v>269</v>
      </c>
      <c r="H181" s="157" t="s">
        <v>270</v>
      </c>
      <c r="I181" s="94">
        <v>45283.02</v>
      </c>
      <c r="J181" s="94">
        <v>2716.98</v>
      </c>
      <c r="K181" s="94">
        <f t="shared" si="52"/>
        <v>48000</v>
      </c>
      <c r="L181" s="237"/>
      <c r="M181" s="237"/>
      <c r="N181" s="237"/>
      <c r="O181" s="237"/>
      <c r="P181" s="237"/>
      <c r="Q181" s="237"/>
      <c r="R181" s="237"/>
      <c r="S181" s="94">
        <f t="shared" si="51"/>
        <v>48000</v>
      </c>
      <c r="T181" s="94"/>
      <c r="U181" s="237">
        <v>48000</v>
      </c>
      <c r="V181" s="237"/>
      <c r="W181" s="237">
        <f t="shared" si="53"/>
        <v>0</v>
      </c>
      <c r="X181" s="145">
        <f t="shared" si="54"/>
        <v>48000</v>
      </c>
      <c r="Y181" s="145">
        <f t="shared" si="55"/>
        <v>48000</v>
      </c>
      <c r="Z181" s="158"/>
      <c r="AA181" s="145"/>
      <c r="AB181" s="158"/>
    </row>
    <row r="182" s="22" customFormat="1" ht="45" customHeight="1" spans="1:28">
      <c r="A182" s="156">
        <v>33</v>
      </c>
      <c r="B182" s="157" t="s">
        <v>271</v>
      </c>
      <c r="C182" s="158"/>
      <c r="D182" s="157" t="s">
        <v>272</v>
      </c>
      <c r="E182" s="158">
        <v>23800</v>
      </c>
      <c r="F182" s="158"/>
      <c r="G182" s="145"/>
      <c r="H182" s="145"/>
      <c r="I182" s="94"/>
      <c r="J182" s="94"/>
      <c r="K182" s="94">
        <f>I182+J182</f>
        <v>0</v>
      </c>
      <c r="L182" s="94"/>
      <c r="M182" s="94"/>
      <c r="N182" s="94"/>
      <c r="O182" s="94"/>
      <c r="P182" s="94"/>
      <c r="Q182" s="94"/>
      <c r="R182" s="94"/>
      <c r="S182" s="94">
        <f t="shared" si="51"/>
        <v>0</v>
      </c>
      <c r="T182" s="94"/>
      <c r="U182" s="94"/>
      <c r="V182" s="94"/>
      <c r="W182" s="237">
        <f t="shared" si="53"/>
        <v>0</v>
      </c>
      <c r="X182" s="145">
        <f t="shared" si="54"/>
        <v>0</v>
      </c>
      <c r="Y182" s="145">
        <f t="shared" si="55"/>
        <v>0</v>
      </c>
      <c r="Z182" s="145">
        <v>23800</v>
      </c>
      <c r="AA182" s="145">
        <v>23800</v>
      </c>
      <c r="AB182" s="158"/>
    </row>
    <row r="183" s="22" customFormat="1" ht="45" customHeight="1" spans="1:28">
      <c r="A183" s="156">
        <v>34</v>
      </c>
      <c r="B183" s="157" t="s">
        <v>273</v>
      </c>
      <c r="C183" s="158" t="s">
        <v>274</v>
      </c>
      <c r="D183" s="157" t="s">
        <v>275</v>
      </c>
      <c r="E183" s="158">
        <v>29800</v>
      </c>
      <c r="F183" s="158"/>
      <c r="G183" s="66" t="s">
        <v>276</v>
      </c>
      <c r="H183" s="66" t="s">
        <v>277</v>
      </c>
      <c r="I183" s="94">
        <v>28113.21</v>
      </c>
      <c r="J183" s="94">
        <v>1686.79</v>
      </c>
      <c r="K183" s="94">
        <v>29800</v>
      </c>
      <c r="L183" s="94">
        <v>0</v>
      </c>
      <c r="M183" s="94">
        <v>0</v>
      </c>
      <c r="N183" s="94">
        <v>0</v>
      </c>
      <c r="O183" s="94">
        <v>0</v>
      </c>
      <c r="P183" s="94"/>
      <c r="Q183" s="94"/>
      <c r="R183" s="94">
        <v>0</v>
      </c>
      <c r="S183" s="94">
        <f t="shared" si="51"/>
        <v>29800</v>
      </c>
      <c r="T183" s="94"/>
      <c r="U183" s="94">
        <v>29800</v>
      </c>
      <c r="V183" s="94"/>
      <c r="W183" s="237">
        <f t="shared" si="53"/>
        <v>0</v>
      </c>
      <c r="X183" s="145">
        <f t="shared" si="54"/>
        <v>29800</v>
      </c>
      <c r="Y183" s="145">
        <f t="shared" si="55"/>
        <v>29800</v>
      </c>
      <c r="Z183" s="145"/>
      <c r="AA183" s="145"/>
      <c r="AB183" s="158"/>
    </row>
    <row r="184" s="23" customFormat="1" ht="45" customHeight="1" spans="1:28">
      <c r="A184" s="289">
        <v>35</v>
      </c>
      <c r="B184" s="263" t="s">
        <v>249</v>
      </c>
      <c r="C184" s="264"/>
      <c r="D184" s="265"/>
      <c r="E184" s="428"/>
      <c r="F184" s="158" t="s">
        <v>295</v>
      </c>
      <c r="G184" s="145" t="s">
        <v>207</v>
      </c>
      <c r="H184" s="66"/>
      <c r="I184" s="94">
        <v>5480</v>
      </c>
      <c r="J184" s="94">
        <v>0</v>
      </c>
      <c r="K184" s="94">
        <f>J184+I184</f>
        <v>5480</v>
      </c>
      <c r="L184" s="94"/>
      <c r="M184" s="94"/>
      <c r="N184" s="94"/>
      <c r="O184" s="94"/>
      <c r="P184" s="94"/>
      <c r="Q184" s="94"/>
      <c r="R184" s="94"/>
      <c r="S184" s="94">
        <f t="shared" si="51"/>
        <v>5480</v>
      </c>
      <c r="T184" s="94"/>
      <c r="U184" s="94">
        <v>5480</v>
      </c>
      <c r="V184" s="94"/>
      <c r="W184" s="237">
        <f t="shared" si="53"/>
        <v>0</v>
      </c>
      <c r="X184" s="145"/>
      <c r="Y184" s="145"/>
      <c r="Z184" s="145"/>
      <c r="AA184" s="145"/>
      <c r="AB184" s="158"/>
    </row>
    <row r="185" s="23" customFormat="1" ht="45" customHeight="1" spans="1:28">
      <c r="A185" s="315"/>
      <c r="B185" s="266"/>
      <c r="C185" s="267"/>
      <c r="D185" s="268"/>
      <c r="E185" s="428"/>
      <c r="F185" s="286" t="s">
        <v>296</v>
      </c>
      <c r="G185" s="174" t="s">
        <v>321</v>
      </c>
      <c r="H185" s="285" t="s">
        <v>322</v>
      </c>
      <c r="I185" s="101">
        <v>980</v>
      </c>
      <c r="J185" s="101"/>
      <c r="K185" s="101">
        <f>I185+J185</f>
        <v>980</v>
      </c>
      <c r="L185" s="101"/>
      <c r="M185" s="101"/>
      <c r="N185" s="101"/>
      <c r="O185" s="101"/>
      <c r="P185" s="101"/>
      <c r="Q185" s="101"/>
      <c r="R185" s="101"/>
      <c r="S185" s="101">
        <v>980</v>
      </c>
      <c r="T185" s="101"/>
      <c r="U185" s="101">
        <v>980</v>
      </c>
      <c r="V185" s="94"/>
      <c r="W185" s="237">
        <f t="shared" si="53"/>
        <v>0</v>
      </c>
      <c r="X185" s="145"/>
      <c r="Y185" s="145"/>
      <c r="Z185" s="145"/>
      <c r="AA185" s="145"/>
      <c r="AB185" s="158"/>
    </row>
    <row r="186" s="23" customFormat="1" ht="45" customHeight="1" spans="1:28">
      <c r="A186" s="315"/>
      <c r="B186" s="266"/>
      <c r="C186" s="267"/>
      <c r="D186" s="268"/>
      <c r="E186" s="428"/>
      <c r="F186" s="287"/>
      <c r="G186" s="174" t="s">
        <v>337</v>
      </c>
      <c r="H186" s="285"/>
      <c r="I186" s="101">
        <v>879</v>
      </c>
      <c r="J186" s="101"/>
      <c r="K186" s="101">
        <f>I186+J186</f>
        <v>879</v>
      </c>
      <c r="L186" s="101"/>
      <c r="M186" s="101"/>
      <c r="N186" s="101"/>
      <c r="O186" s="101"/>
      <c r="P186" s="101"/>
      <c r="Q186" s="101"/>
      <c r="R186" s="101"/>
      <c r="S186" s="101">
        <f t="shared" ref="S186:S189" si="56">K186</f>
        <v>879</v>
      </c>
      <c r="T186" s="101"/>
      <c r="U186" s="101">
        <f t="shared" ref="U186:U189" si="57">S186</f>
        <v>879</v>
      </c>
      <c r="V186" s="94"/>
      <c r="W186" s="237"/>
      <c r="X186" s="145"/>
      <c r="Y186" s="145"/>
      <c r="Z186" s="145"/>
      <c r="AA186" s="145"/>
      <c r="AB186" s="158"/>
    </row>
    <row r="187" s="23" customFormat="1" ht="45" customHeight="1" spans="1:28">
      <c r="A187" s="315"/>
      <c r="B187" s="266"/>
      <c r="C187" s="267"/>
      <c r="D187" s="268"/>
      <c r="E187" s="428"/>
      <c r="F187" s="287"/>
      <c r="G187" s="174"/>
      <c r="H187" s="285"/>
      <c r="I187" s="101"/>
      <c r="J187" s="101"/>
      <c r="K187" s="101">
        <f>I187+J187</f>
        <v>0</v>
      </c>
      <c r="L187" s="101"/>
      <c r="M187" s="101"/>
      <c r="N187" s="101"/>
      <c r="O187" s="101"/>
      <c r="P187" s="101"/>
      <c r="Q187" s="101"/>
      <c r="R187" s="101"/>
      <c r="S187" s="101">
        <f t="shared" si="56"/>
        <v>0</v>
      </c>
      <c r="T187" s="101"/>
      <c r="U187" s="101">
        <f t="shared" si="57"/>
        <v>0</v>
      </c>
      <c r="V187" s="94"/>
      <c r="W187" s="237"/>
      <c r="X187" s="145"/>
      <c r="Y187" s="145"/>
      <c r="Z187" s="145"/>
      <c r="AA187" s="145"/>
      <c r="AB187" s="158"/>
    </row>
    <row r="188" s="23" customFormat="1" ht="45" customHeight="1" spans="1:28">
      <c r="A188" s="315"/>
      <c r="B188" s="266"/>
      <c r="C188" s="267"/>
      <c r="D188" s="268"/>
      <c r="E188" s="428"/>
      <c r="F188" s="287"/>
      <c r="G188" s="174"/>
      <c r="H188" s="285"/>
      <c r="I188" s="101"/>
      <c r="J188" s="101"/>
      <c r="K188" s="101">
        <f>I188+J188</f>
        <v>0</v>
      </c>
      <c r="L188" s="101"/>
      <c r="M188" s="101"/>
      <c r="N188" s="101"/>
      <c r="O188" s="101"/>
      <c r="P188" s="101"/>
      <c r="Q188" s="101"/>
      <c r="R188" s="101"/>
      <c r="S188" s="101">
        <f t="shared" si="56"/>
        <v>0</v>
      </c>
      <c r="T188" s="101"/>
      <c r="U188" s="101">
        <f t="shared" si="57"/>
        <v>0</v>
      </c>
      <c r="V188" s="94"/>
      <c r="W188" s="237"/>
      <c r="X188" s="145"/>
      <c r="Y188" s="145"/>
      <c r="Z188" s="145"/>
      <c r="AA188" s="145"/>
      <c r="AB188" s="158"/>
    </row>
    <row r="189" s="23" customFormat="1" ht="45" customHeight="1" spans="1:28">
      <c r="A189" s="315"/>
      <c r="B189" s="271"/>
      <c r="C189" s="272"/>
      <c r="D189" s="273"/>
      <c r="E189" s="428"/>
      <c r="F189" s="429"/>
      <c r="G189" s="174"/>
      <c r="H189" s="285"/>
      <c r="I189" s="101"/>
      <c r="J189" s="101"/>
      <c r="K189" s="101">
        <f>I189+J189</f>
        <v>0</v>
      </c>
      <c r="L189" s="101"/>
      <c r="M189" s="101"/>
      <c r="N189" s="101"/>
      <c r="O189" s="101"/>
      <c r="P189" s="101"/>
      <c r="Q189" s="101"/>
      <c r="R189" s="101"/>
      <c r="S189" s="101">
        <f t="shared" si="56"/>
        <v>0</v>
      </c>
      <c r="T189" s="101"/>
      <c r="U189" s="101">
        <f t="shared" si="57"/>
        <v>0</v>
      </c>
      <c r="V189" s="94"/>
      <c r="W189" s="237"/>
      <c r="X189" s="145"/>
      <c r="Y189" s="145"/>
      <c r="Z189" s="145"/>
      <c r="AA189" s="145"/>
      <c r="AB189" s="158"/>
    </row>
    <row r="190" s="23" customFormat="1" ht="45" customHeight="1" spans="1:28">
      <c r="A190" s="317"/>
      <c r="B190" s="263" t="s">
        <v>254</v>
      </c>
      <c r="C190" s="264"/>
      <c r="D190" s="265"/>
      <c r="E190" s="158"/>
      <c r="F190" s="158" t="s">
        <v>295</v>
      </c>
      <c r="G190" s="66" t="s">
        <v>278</v>
      </c>
      <c r="H190" s="145"/>
      <c r="I190" s="94">
        <v>13509.5</v>
      </c>
      <c r="J190" s="94">
        <f>55.45+15.05</f>
        <v>70.5</v>
      </c>
      <c r="K190" s="94">
        <f>J190+I190</f>
        <v>13580</v>
      </c>
      <c r="L190" s="94"/>
      <c r="M190" s="94"/>
      <c r="N190" s="94"/>
      <c r="O190" s="94"/>
      <c r="P190" s="94"/>
      <c r="Q190" s="94"/>
      <c r="R190" s="94"/>
      <c r="S190" s="94">
        <f>K190-L190-M190-N190-O190+R190</f>
        <v>13580</v>
      </c>
      <c r="T190" s="94"/>
      <c r="U190" s="94">
        <v>13580</v>
      </c>
      <c r="V190" s="94"/>
      <c r="W190" s="237">
        <f>S190+T190-U190-V190</f>
        <v>0</v>
      </c>
      <c r="X190" s="145" t="e">
        <f>K190+F190</f>
        <v>#VALUE!</v>
      </c>
      <c r="Y190" s="145" t="e">
        <f>U190+F190</f>
        <v>#VALUE!</v>
      </c>
      <c r="Z190" s="145"/>
      <c r="AA190" s="145"/>
      <c r="AB190" s="158"/>
    </row>
    <row r="191" s="23" customFormat="1" ht="45" customHeight="1" spans="1:28">
      <c r="A191" s="317"/>
      <c r="B191" s="266"/>
      <c r="C191" s="267"/>
      <c r="D191" s="268"/>
      <c r="E191" s="158"/>
      <c r="F191" s="286" t="s">
        <v>296</v>
      </c>
      <c r="G191" s="285"/>
      <c r="H191" s="174"/>
      <c r="I191" s="101"/>
      <c r="J191" s="101"/>
      <c r="K191" s="101"/>
      <c r="L191" s="101"/>
      <c r="M191" s="101"/>
      <c r="N191" s="101"/>
      <c r="O191" s="101"/>
      <c r="P191" s="101"/>
      <c r="Q191" s="101"/>
      <c r="R191" s="101"/>
      <c r="S191" s="101">
        <f t="shared" ref="S191:S197" si="58">K191</f>
        <v>0</v>
      </c>
      <c r="T191" s="101"/>
      <c r="U191" s="101">
        <f t="shared" ref="U191:U197" si="59">S191</f>
        <v>0</v>
      </c>
      <c r="V191" s="94"/>
      <c r="W191" s="237"/>
      <c r="X191" s="145"/>
      <c r="Y191" s="145"/>
      <c r="Z191" s="145"/>
      <c r="AA191" s="145"/>
      <c r="AB191" s="158"/>
    </row>
    <row r="192" s="23" customFormat="1" ht="45" customHeight="1" spans="1:28">
      <c r="A192" s="317"/>
      <c r="B192" s="271"/>
      <c r="C192" s="272"/>
      <c r="D192" s="273"/>
      <c r="E192" s="158"/>
      <c r="F192" s="287"/>
      <c r="G192" s="285"/>
      <c r="H192" s="174"/>
      <c r="I192" s="101"/>
      <c r="J192" s="101"/>
      <c r="K192" s="101"/>
      <c r="L192" s="101"/>
      <c r="M192" s="101"/>
      <c r="N192" s="101"/>
      <c r="O192" s="101"/>
      <c r="P192" s="101"/>
      <c r="Q192" s="101"/>
      <c r="R192" s="101"/>
      <c r="S192" s="101">
        <f t="shared" si="58"/>
        <v>0</v>
      </c>
      <c r="T192" s="101"/>
      <c r="U192" s="101">
        <f t="shared" si="59"/>
        <v>0</v>
      </c>
      <c r="V192" s="94"/>
      <c r="W192" s="237"/>
      <c r="X192" s="145"/>
      <c r="Y192" s="145"/>
      <c r="Z192" s="145"/>
      <c r="AA192" s="145"/>
      <c r="AB192" s="158"/>
    </row>
    <row r="193" s="23" customFormat="1" ht="45" customHeight="1" spans="1:28">
      <c r="A193" s="317"/>
      <c r="B193" s="318" t="s">
        <v>345</v>
      </c>
      <c r="C193" s="275"/>
      <c r="D193" s="276"/>
      <c r="E193" s="158"/>
      <c r="F193" s="286" t="s">
        <v>296</v>
      </c>
      <c r="G193" s="174" t="s">
        <v>337</v>
      </c>
      <c r="H193" s="285"/>
      <c r="I193" s="101">
        <v>48316.83</v>
      </c>
      <c r="J193" s="101">
        <v>483.17</v>
      </c>
      <c r="K193" s="101">
        <f>J193+I193</f>
        <v>48800</v>
      </c>
      <c r="L193" s="101"/>
      <c r="M193" s="101"/>
      <c r="N193" s="101"/>
      <c r="O193" s="101"/>
      <c r="P193" s="101"/>
      <c r="Q193" s="101"/>
      <c r="R193" s="101"/>
      <c r="S193" s="101">
        <f t="shared" si="58"/>
        <v>48800</v>
      </c>
      <c r="T193" s="101"/>
      <c r="U193" s="101">
        <f t="shared" si="59"/>
        <v>48800</v>
      </c>
      <c r="V193" s="94"/>
      <c r="W193" s="237"/>
      <c r="X193" s="145"/>
      <c r="Y193" s="145"/>
      <c r="Z193" s="145"/>
      <c r="AA193" s="145"/>
      <c r="AB193" s="158"/>
    </row>
    <row r="194" s="23" customFormat="1" ht="45" customHeight="1" spans="1:28">
      <c r="A194" s="317"/>
      <c r="B194" s="274"/>
      <c r="C194" s="275"/>
      <c r="D194" s="276"/>
      <c r="E194" s="158"/>
      <c r="F194" s="287"/>
      <c r="G194" s="174"/>
      <c r="H194" s="285"/>
      <c r="I194" s="101"/>
      <c r="J194" s="101"/>
      <c r="K194" s="101"/>
      <c r="L194" s="101"/>
      <c r="M194" s="101"/>
      <c r="N194" s="101"/>
      <c r="O194" s="101"/>
      <c r="P194" s="101"/>
      <c r="Q194" s="101"/>
      <c r="R194" s="101"/>
      <c r="S194" s="101">
        <f t="shared" si="58"/>
        <v>0</v>
      </c>
      <c r="T194" s="101"/>
      <c r="U194" s="101">
        <f t="shared" si="59"/>
        <v>0</v>
      </c>
      <c r="V194" s="94"/>
      <c r="W194" s="237"/>
      <c r="X194" s="145"/>
      <c r="Y194" s="145"/>
      <c r="Z194" s="145"/>
      <c r="AA194" s="145"/>
      <c r="AB194" s="158"/>
    </row>
    <row r="195" s="23" customFormat="1" ht="45" customHeight="1" spans="1:28">
      <c r="A195" s="317"/>
      <c r="B195" s="274"/>
      <c r="C195" s="275"/>
      <c r="D195" s="276"/>
      <c r="E195" s="158"/>
      <c r="F195" s="287"/>
      <c r="G195" s="174"/>
      <c r="H195" s="285"/>
      <c r="I195" s="101"/>
      <c r="J195" s="101"/>
      <c r="K195" s="101"/>
      <c r="L195" s="101"/>
      <c r="M195" s="101"/>
      <c r="N195" s="101"/>
      <c r="O195" s="101"/>
      <c r="P195" s="101"/>
      <c r="Q195" s="101"/>
      <c r="R195" s="101"/>
      <c r="S195" s="101">
        <f t="shared" si="58"/>
        <v>0</v>
      </c>
      <c r="T195" s="101"/>
      <c r="U195" s="101">
        <f t="shared" si="59"/>
        <v>0</v>
      </c>
      <c r="V195" s="94"/>
      <c r="W195" s="237"/>
      <c r="X195" s="145"/>
      <c r="Y195" s="145"/>
      <c r="Z195" s="145"/>
      <c r="AA195" s="145"/>
      <c r="AB195" s="158"/>
    </row>
    <row r="196" s="23" customFormat="1" ht="45" customHeight="1" spans="1:28">
      <c r="A196" s="317"/>
      <c r="B196" s="274"/>
      <c r="C196" s="275"/>
      <c r="D196" s="276"/>
      <c r="E196" s="158"/>
      <c r="F196" s="287"/>
      <c r="G196" s="174"/>
      <c r="H196" s="285"/>
      <c r="I196" s="101"/>
      <c r="J196" s="101"/>
      <c r="K196" s="101"/>
      <c r="L196" s="101"/>
      <c r="M196" s="101"/>
      <c r="N196" s="101"/>
      <c r="O196" s="101"/>
      <c r="P196" s="101"/>
      <c r="Q196" s="101"/>
      <c r="R196" s="101"/>
      <c r="S196" s="101">
        <f t="shared" si="58"/>
        <v>0</v>
      </c>
      <c r="T196" s="101"/>
      <c r="U196" s="101">
        <f t="shared" si="59"/>
        <v>0</v>
      </c>
      <c r="V196" s="94"/>
      <c r="W196" s="237"/>
      <c r="X196" s="145"/>
      <c r="Y196" s="145"/>
      <c r="Z196" s="145"/>
      <c r="AA196" s="145"/>
      <c r="AB196" s="158"/>
    </row>
    <row r="197" s="23" customFormat="1" ht="45" customHeight="1" spans="1:28">
      <c r="A197" s="317"/>
      <c r="B197" s="274"/>
      <c r="C197" s="275"/>
      <c r="D197" s="276"/>
      <c r="E197" s="158"/>
      <c r="F197" s="429"/>
      <c r="G197" s="174"/>
      <c r="H197" s="285"/>
      <c r="I197" s="101"/>
      <c r="J197" s="101"/>
      <c r="K197" s="101"/>
      <c r="L197" s="101"/>
      <c r="M197" s="101"/>
      <c r="N197" s="101"/>
      <c r="O197" s="101"/>
      <c r="P197" s="101"/>
      <c r="Q197" s="101"/>
      <c r="R197" s="101"/>
      <c r="S197" s="101">
        <f t="shared" si="58"/>
        <v>0</v>
      </c>
      <c r="T197" s="101"/>
      <c r="U197" s="101">
        <f t="shared" si="59"/>
        <v>0</v>
      </c>
      <c r="V197" s="94"/>
      <c r="W197" s="237"/>
      <c r="X197" s="145"/>
      <c r="Y197" s="145"/>
      <c r="Z197" s="145"/>
      <c r="AA197" s="145"/>
      <c r="AB197" s="158"/>
    </row>
    <row r="198" s="20" customFormat="1" ht="36" customHeight="1" spans="1:28">
      <c r="A198" s="277" t="s">
        <v>323</v>
      </c>
      <c r="B198" s="277"/>
      <c r="C198" s="277"/>
      <c r="D198" s="277"/>
      <c r="E198" s="277"/>
      <c r="F198" s="277"/>
      <c r="G198" s="243"/>
      <c r="H198" s="243" t="s">
        <v>316</v>
      </c>
      <c r="I198" s="300">
        <f t="shared" ref="I198:O198" si="60">SUM(I178:I184,I190)</f>
        <v>562197.05</v>
      </c>
      <c r="J198" s="300">
        <f t="shared" si="60"/>
        <v>32662.95</v>
      </c>
      <c r="K198" s="300">
        <f t="shared" si="60"/>
        <v>594860</v>
      </c>
      <c r="L198" s="300">
        <f t="shared" si="60"/>
        <v>0</v>
      </c>
      <c r="M198" s="300">
        <f t="shared" si="60"/>
        <v>0</v>
      </c>
      <c r="N198" s="300">
        <f t="shared" si="60"/>
        <v>0</v>
      </c>
      <c r="O198" s="300">
        <f t="shared" si="60"/>
        <v>0</v>
      </c>
      <c r="P198" s="300"/>
      <c r="Q198" s="300">
        <f t="shared" ref="Q198:Y198" si="61">SUM(Q178:Q184,Q190)</f>
        <v>0</v>
      </c>
      <c r="R198" s="300">
        <f t="shared" si="61"/>
        <v>0</v>
      </c>
      <c r="S198" s="300">
        <f t="shared" si="61"/>
        <v>594860</v>
      </c>
      <c r="T198" s="300">
        <f t="shared" si="61"/>
        <v>0</v>
      </c>
      <c r="U198" s="300">
        <f t="shared" si="61"/>
        <v>594860</v>
      </c>
      <c r="V198" s="300">
        <f t="shared" si="61"/>
        <v>0</v>
      </c>
      <c r="W198" s="300">
        <f t="shared" si="61"/>
        <v>0</v>
      </c>
      <c r="X198" s="300" t="e">
        <f t="shared" si="61"/>
        <v>#VALUE!</v>
      </c>
      <c r="Y198" s="300" t="e">
        <f t="shared" si="61"/>
        <v>#VALUE!</v>
      </c>
      <c r="Z198" s="307">
        <f>SUM(Z177:Z190)</f>
        <v>23800</v>
      </c>
      <c r="AA198" s="307">
        <f>SUM(AA177:AA190)</f>
        <v>23800</v>
      </c>
      <c r="AB198" s="307"/>
    </row>
    <row r="199" s="20" customFormat="1" ht="36" customHeight="1" spans="1:28">
      <c r="A199" s="277"/>
      <c r="B199" s="277"/>
      <c r="C199" s="277"/>
      <c r="D199" s="277"/>
      <c r="E199" s="277"/>
      <c r="F199" s="277"/>
      <c r="G199" s="212"/>
      <c r="H199" s="212" t="s">
        <v>317</v>
      </c>
      <c r="I199" s="301">
        <f>I185+I186+I193</f>
        <v>50175.83</v>
      </c>
      <c r="J199" s="301">
        <f>J185+J186+J193</f>
        <v>483.17</v>
      </c>
      <c r="K199" s="301">
        <f>K185+K186+K193</f>
        <v>50659</v>
      </c>
      <c r="L199" s="301">
        <f t="shared" ref="I199:O199" si="62">L185</f>
        <v>0</v>
      </c>
      <c r="M199" s="301">
        <f t="shared" si="62"/>
        <v>0</v>
      </c>
      <c r="N199" s="301">
        <f t="shared" si="62"/>
        <v>0</v>
      </c>
      <c r="O199" s="301">
        <f t="shared" si="62"/>
        <v>0</v>
      </c>
      <c r="P199" s="301"/>
      <c r="Q199" s="301">
        <f t="shared" ref="Q199:Y199" si="63">Q185</f>
        <v>0</v>
      </c>
      <c r="R199" s="301">
        <f t="shared" si="63"/>
        <v>0</v>
      </c>
      <c r="S199" s="301">
        <f t="shared" si="63"/>
        <v>980</v>
      </c>
      <c r="T199" s="301">
        <f t="shared" si="63"/>
        <v>0</v>
      </c>
      <c r="U199" s="301">
        <f t="shared" si="63"/>
        <v>980</v>
      </c>
      <c r="V199" s="301">
        <f t="shared" si="63"/>
        <v>0</v>
      </c>
      <c r="W199" s="301">
        <f t="shared" si="63"/>
        <v>0</v>
      </c>
      <c r="X199" s="301">
        <f t="shared" si="63"/>
        <v>0</v>
      </c>
      <c r="Y199" s="301">
        <f t="shared" si="63"/>
        <v>0</v>
      </c>
      <c r="Z199" s="308"/>
      <c r="AA199" s="308"/>
      <c r="AB199" s="308"/>
    </row>
    <row r="200" s="20" customFormat="1" ht="36" customHeight="1" spans="1:28">
      <c r="A200" s="277" t="s">
        <v>280</v>
      </c>
      <c r="B200" s="277"/>
      <c r="C200" s="277"/>
      <c r="D200" s="277"/>
      <c r="E200" s="277"/>
      <c r="F200" s="430"/>
      <c r="G200" s="329">
        <f>287000000+17000000+599600</f>
        <v>304599600</v>
      </c>
      <c r="H200" s="329" t="s">
        <v>316</v>
      </c>
      <c r="I200" s="346">
        <f>I198+I175+I143</f>
        <v>276211639.289057</v>
      </c>
      <c r="J200" s="346">
        <f>J198+J175+J143</f>
        <v>27586932.8509434</v>
      </c>
      <c r="K200" s="346">
        <f t="shared" ref="I200:N200" si="64">K198+K175+K143</f>
        <v>303798572.14</v>
      </c>
      <c r="L200" s="346">
        <f t="shared" si="64"/>
        <v>2208694.43</v>
      </c>
      <c r="M200" s="346">
        <f t="shared" si="64"/>
        <v>379417.19</v>
      </c>
      <c r="N200" s="346">
        <f t="shared" si="64"/>
        <v>0</v>
      </c>
      <c r="O200" s="347">
        <f>O198+O175+O143+P198+Q198+P175+Q175+P143+Q143</f>
        <v>689308.32</v>
      </c>
      <c r="P200" s="347"/>
      <c r="Q200" s="329"/>
      <c r="R200" s="346">
        <f t="shared" ref="R200:W200" si="65">R198+R175+R143</f>
        <v>116593.5</v>
      </c>
      <c r="S200" s="346">
        <f t="shared" si="65"/>
        <v>298782745.7</v>
      </c>
      <c r="T200" s="346">
        <f t="shared" si="65"/>
        <v>1855000</v>
      </c>
      <c r="U200" s="346">
        <f t="shared" si="65"/>
        <v>266877635.35</v>
      </c>
      <c r="V200" s="346">
        <f t="shared" si="65"/>
        <v>1855000</v>
      </c>
      <c r="W200" s="346">
        <f t="shared" si="65"/>
        <v>31905110.35</v>
      </c>
      <c r="X200" s="433" t="e">
        <f t="shared" ref="X200:AA200" si="66">X175+X143+X198</f>
        <v>#VALUE!</v>
      </c>
      <c r="Y200" s="433" t="e">
        <f t="shared" si="66"/>
        <v>#VALUE!</v>
      </c>
      <c r="Z200" s="434">
        <f>Z198+Z175+Z143</f>
        <v>6335552.61</v>
      </c>
      <c r="AA200" s="433">
        <f t="shared" si="66"/>
        <v>8466007.09</v>
      </c>
      <c r="AB200" s="329"/>
    </row>
    <row r="201" ht="26" customHeight="1" spans="1:28">
      <c r="A201" s="277"/>
      <c r="B201" s="277"/>
      <c r="C201" s="277"/>
      <c r="D201" s="277"/>
      <c r="E201" s="277"/>
      <c r="F201" s="431"/>
      <c r="G201" s="212"/>
      <c r="H201" s="212" t="s">
        <v>317</v>
      </c>
      <c r="I201" s="301">
        <f>I199+I176+I144</f>
        <v>1221135.9</v>
      </c>
      <c r="J201" s="301">
        <f t="shared" ref="J201:O201" si="67">J199+J176+J144</f>
        <v>821051.07</v>
      </c>
      <c r="K201" s="301">
        <f t="shared" si="67"/>
        <v>2042186.97</v>
      </c>
      <c r="L201" s="301">
        <f t="shared" si="67"/>
        <v>0</v>
      </c>
      <c r="M201" s="301">
        <f t="shared" si="67"/>
        <v>0</v>
      </c>
      <c r="N201" s="301">
        <f t="shared" si="67"/>
        <v>0</v>
      </c>
      <c r="O201" s="301">
        <f t="shared" si="67"/>
        <v>201576.1</v>
      </c>
      <c r="P201" s="301"/>
      <c r="Q201" s="301"/>
      <c r="R201" s="301">
        <f t="shared" ref="R201:AA201" si="68">R199+R176+R144</f>
        <v>0</v>
      </c>
      <c r="S201" s="301">
        <f t="shared" si="68"/>
        <v>1976017.97</v>
      </c>
      <c r="T201" s="301">
        <f t="shared" si="68"/>
        <v>0</v>
      </c>
      <c r="U201" s="301">
        <f t="shared" si="68"/>
        <v>18120868.45</v>
      </c>
      <c r="V201" s="301">
        <f t="shared" si="68"/>
        <v>1756800</v>
      </c>
      <c r="W201" s="301">
        <f t="shared" si="68"/>
        <v>-18103226.58</v>
      </c>
      <c r="X201" s="301">
        <f t="shared" si="68"/>
        <v>0</v>
      </c>
      <c r="Y201" s="301">
        <f t="shared" si="68"/>
        <v>0</v>
      </c>
      <c r="Z201" s="301">
        <f t="shared" si="68"/>
        <v>0</v>
      </c>
      <c r="AA201" s="301">
        <f t="shared" si="68"/>
        <v>0</v>
      </c>
      <c r="AB201" s="359"/>
    </row>
    <row r="202" ht="38" customHeight="1" spans="1:28">
      <c r="A202" s="277"/>
      <c r="B202" s="277"/>
      <c r="C202" s="277"/>
      <c r="D202" s="277"/>
      <c r="E202" s="277"/>
      <c r="F202" s="432"/>
      <c r="G202" s="196"/>
      <c r="H202" s="37" t="s">
        <v>346</v>
      </c>
      <c r="I202" s="349">
        <f>I201+I200</f>
        <v>277432775.189057</v>
      </c>
      <c r="J202" s="349">
        <f t="shared" ref="I202:O202" si="69">J201+J200</f>
        <v>28407983.9209434</v>
      </c>
      <c r="K202" s="349">
        <f t="shared" si="69"/>
        <v>305840759.11</v>
      </c>
      <c r="L202" s="350">
        <f t="shared" si="69"/>
        <v>2208694.43</v>
      </c>
      <c r="M202" s="350">
        <f t="shared" si="69"/>
        <v>379417.19</v>
      </c>
      <c r="N202" s="350">
        <f t="shared" si="69"/>
        <v>0</v>
      </c>
      <c r="O202" s="351">
        <f t="shared" si="69"/>
        <v>890884.42</v>
      </c>
      <c r="P202" s="352"/>
      <c r="Q202" s="362"/>
      <c r="R202" s="349">
        <f t="shared" ref="R202:AA202" si="70">R201+R200</f>
        <v>116593.5</v>
      </c>
      <c r="S202" s="349">
        <f t="shared" si="70"/>
        <v>300758763.67</v>
      </c>
      <c r="T202" s="349">
        <f t="shared" si="70"/>
        <v>1855000</v>
      </c>
      <c r="U202" s="349">
        <f t="shared" si="70"/>
        <v>284998503.8</v>
      </c>
      <c r="V202" s="363">
        <f t="shared" si="70"/>
        <v>3611800</v>
      </c>
      <c r="W202" s="364">
        <f t="shared" si="70"/>
        <v>13801883.77</v>
      </c>
      <c r="X202" s="364" t="e">
        <f t="shared" si="70"/>
        <v>#VALUE!</v>
      </c>
      <c r="Y202" s="364" t="e">
        <f t="shared" si="70"/>
        <v>#VALUE!</v>
      </c>
      <c r="Z202" s="364">
        <f t="shared" si="70"/>
        <v>6335552.61</v>
      </c>
      <c r="AA202" s="364">
        <f t="shared" si="70"/>
        <v>8466007.09</v>
      </c>
      <c r="AB202" s="365"/>
    </row>
    <row r="203" ht="42" customHeight="1" spans="12:28">
      <c r="L203" s="353">
        <f>L202+M202+N202+O202</f>
        <v>3478996.04</v>
      </c>
      <c r="M203" s="353"/>
      <c r="N203" s="353"/>
      <c r="O203" s="353"/>
      <c r="P203" s="353"/>
      <c r="Q203" s="353"/>
      <c r="R203" s="29"/>
      <c r="T203" s="367"/>
      <c r="U203" s="29"/>
      <c r="V203" s="368"/>
      <c r="W203" s="368">
        <v>1066422.22</v>
      </c>
      <c r="Z203" s="435" t="s">
        <v>347</v>
      </c>
      <c r="AB203" s="369"/>
    </row>
    <row r="204" ht="40" customHeight="1" spans="9:28">
      <c r="I204" s="29">
        <v>276874471.51</v>
      </c>
      <c r="J204" s="29">
        <v>27598843.9</v>
      </c>
      <c r="K204" s="29">
        <f>J204+I204</f>
        <v>304473315.41</v>
      </c>
      <c r="L204" s="29">
        <v>2208694.43</v>
      </c>
      <c r="M204" s="29">
        <v>379417.19</v>
      </c>
      <c r="N204" s="29"/>
      <c r="O204" s="29">
        <v>72288</v>
      </c>
      <c r="P204" s="29"/>
      <c r="Q204" s="29">
        <v>617020.32</v>
      </c>
      <c r="R204" s="29"/>
      <c r="S204" s="367"/>
      <c r="T204" s="367"/>
      <c r="U204" s="29"/>
      <c r="V204" s="368"/>
      <c r="W204" s="26">
        <f>W202-W203</f>
        <v>12735461.55</v>
      </c>
      <c r="Z204" s="435" t="s">
        <v>348</v>
      </c>
      <c r="AB204" s="369"/>
    </row>
    <row r="205" spans="23:23">
      <c r="W205" s="368"/>
    </row>
    <row r="206" spans="23:23">
      <c r="W206" s="368"/>
    </row>
    <row r="207" spans="9:26">
      <c r="I207" s="29">
        <f>2175912.08-954776.18</f>
        <v>1221135.9</v>
      </c>
      <c r="J207" s="29">
        <v>821051.07</v>
      </c>
      <c r="K207" s="29">
        <f>J207+I207</f>
        <v>2042186.97</v>
      </c>
      <c r="W207" s="368">
        <v>12735461.55</v>
      </c>
      <c r="Z207" s="435" t="s">
        <v>349</v>
      </c>
    </row>
    <row r="208" ht="13.9" spans="21:26">
      <c r="U208" s="29"/>
      <c r="W208" s="368">
        <v>99071.18</v>
      </c>
      <c r="Z208" s="435" t="s">
        <v>350</v>
      </c>
    </row>
    <row r="209" spans="23:23">
      <c r="W209" s="368"/>
    </row>
    <row r="210" spans="9:23">
      <c r="I210" s="29">
        <f>I207-I201</f>
        <v>0</v>
      </c>
      <c r="J210" s="29">
        <f>J207-J201</f>
        <v>0</v>
      </c>
      <c r="K210" s="29">
        <f>K207-K201</f>
        <v>0</v>
      </c>
      <c r="Q210" s="355">
        <v>201576.1</v>
      </c>
      <c r="W210" s="368"/>
    </row>
    <row r="211" spans="15:23">
      <c r="O211" s="355">
        <v>3478996.04</v>
      </c>
      <c r="W211" s="368">
        <f>W204-W207</f>
        <v>0</v>
      </c>
    </row>
    <row r="212" spans="23:23">
      <c r="W212" s="368"/>
    </row>
    <row r="213" spans="17:23">
      <c r="Q213" s="30">
        <f>Q204+Q210</f>
        <v>818596.42</v>
      </c>
      <c r="W213" s="368"/>
    </row>
    <row r="214" spans="23:23">
      <c r="W214" s="368"/>
    </row>
    <row r="215" spans="23:23">
      <c r="W215" s="368"/>
    </row>
    <row r="216" spans="21:23">
      <c r="U216" s="29">
        <f>U201+V201</f>
        <v>19877668.45</v>
      </c>
      <c r="W216" s="368"/>
    </row>
    <row r="217" spans="23:23">
      <c r="W217" s="368"/>
    </row>
    <row r="218" spans="23:23">
      <c r="W218" s="368"/>
    </row>
    <row r="219" spans="23:23">
      <c r="W219" s="368"/>
    </row>
    <row r="220" spans="23:23">
      <c r="W220" s="368"/>
    </row>
    <row r="221" spans="23:23">
      <c r="W221" s="368"/>
    </row>
    <row r="222" spans="23:23">
      <c r="W222" s="368"/>
    </row>
    <row r="223" spans="23:23">
      <c r="W223" s="368">
        <f>W220-W217</f>
        <v>0</v>
      </c>
    </row>
  </sheetData>
  <mergeCells count="343">
    <mergeCell ref="A1:AA1"/>
    <mergeCell ref="I2:K2"/>
    <mergeCell ref="L2:Q2"/>
    <mergeCell ref="S2:T2"/>
    <mergeCell ref="U2:V2"/>
    <mergeCell ref="Z2:AA2"/>
    <mergeCell ref="O3:Q3"/>
    <mergeCell ref="B5:H5"/>
    <mergeCell ref="F25:H25"/>
    <mergeCell ref="F26:H26"/>
    <mergeCell ref="F35:H35"/>
    <mergeCell ref="F36:H36"/>
    <mergeCell ref="F49:H49"/>
    <mergeCell ref="F50:H50"/>
    <mergeCell ref="F58:H58"/>
    <mergeCell ref="F59:H59"/>
    <mergeCell ref="F68:H68"/>
    <mergeCell ref="F69:H69"/>
    <mergeCell ref="G71:H71"/>
    <mergeCell ref="B114:D114"/>
    <mergeCell ref="B142:D142"/>
    <mergeCell ref="B145:H145"/>
    <mergeCell ref="B158:D158"/>
    <mergeCell ref="B159:D159"/>
    <mergeCell ref="B167:D167"/>
    <mergeCell ref="B174:D174"/>
    <mergeCell ref="B177:H177"/>
    <mergeCell ref="B193:D193"/>
    <mergeCell ref="B194:D194"/>
    <mergeCell ref="B195:D195"/>
    <mergeCell ref="B196:D196"/>
    <mergeCell ref="B197:D197"/>
    <mergeCell ref="O200:Q200"/>
    <mergeCell ref="O202:Q202"/>
    <mergeCell ref="L203:Q203"/>
    <mergeCell ref="A2:A4"/>
    <mergeCell ref="A6:A26"/>
    <mergeCell ref="A28:A36"/>
    <mergeCell ref="A37:A50"/>
    <mergeCell ref="A51:A59"/>
    <mergeCell ref="A60:A69"/>
    <mergeCell ref="A70:A71"/>
    <mergeCell ref="A79:A80"/>
    <mergeCell ref="A93:A94"/>
    <mergeCell ref="A95:A96"/>
    <mergeCell ref="A97:A98"/>
    <mergeCell ref="A103:A106"/>
    <mergeCell ref="A107:A111"/>
    <mergeCell ref="A115:A142"/>
    <mergeCell ref="A146:A150"/>
    <mergeCell ref="A184:A190"/>
    <mergeCell ref="B2:B4"/>
    <mergeCell ref="B6:B26"/>
    <mergeCell ref="B28:B36"/>
    <mergeCell ref="B37:B50"/>
    <mergeCell ref="B51:B59"/>
    <mergeCell ref="B60:B69"/>
    <mergeCell ref="B70:B71"/>
    <mergeCell ref="B79:B80"/>
    <mergeCell ref="B93:B94"/>
    <mergeCell ref="B95:B96"/>
    <mergeCell ref="B97:B98"/>
    <mergeCell ref="B146:B150"/>
    <mergeCell ref="B156:B157"/>
    <mergeCell ref="C2:C4"/>
    <mergeCell ref="C6:C26"/>
    <mergeCell ref="C28:C36"/>
    <mergeCell ref="C37:C50"/>
    <mergeCell ref="C51:C59"/>
    <mergeCell ref="C60:C69"/>
    <mergeCell ref="C70:C71"/>
    <mergeCell ref="C79:C80"/>
    <mergeCell ref="C93:C94"/>
    <mergeCell ref="C95:C96"/>
    <mergeCell ref="C97:C98"/>
    <mergeCell ref="C146:C150"/>
    <mergeCell ref="C156:C157"/>
    <mergeCell ref="D2:D4"/>
    <mergeCell ref="D6:D26"/>
    <mergeCell ref="D28:D36"/>
    <mergeCell ref="D37:D50"/>
    <mergeCell ref="D51:D59"/>
    <mergeCell ref="D60:D69"/>
    <mergeCell ref="D70:D71"/>
    <mergeCell ref="D79:D80"/>
    <mergeCell ref="D93:D94"/>
    <mergeCell ref="D95:D96"/>
    <mergeCell ref="D97:D98"/>
    <mergeCell ref="D146:D150"/>
    <mergeCell ref="D156:D157"/>
    <mergeCell ref="E2:E4"/>
    <mergeCell ref="E6:E26"/>
    <mergeCell ref="E28:E36"/>
    <mergeCell ref="E37:E50"/>
    <mergeCell ref="E51:E59"/>
    <mergeCell ref="E60:E69"/>
    <mergeCell ref="E70:E71"/>
    <mergeCell ref="E79:E80"/>
    <mergeCell ref="E95:E96"/>
    <mergeCell ref="E97:E98"/>
    <mergeCell ref="E107:E113"/>
    <mergeCell ref="E115:E121"/>
    <mergeCell ref="E122:E126"/>
    <mergeCell ref="E127:E133"/>
    <mergeCell ref="E134:E135"/>
    <mergeCell ref="E146:E147"/>
    <mergeCell ref="E156:E157"/>
    <mergeCell ref="E160:E166"/>
    <mergeCell ref="E168:E173"/>
    <mergeCell ref="F2:F4"/>
    <mergeCell ref="F6:F18"/>
    <mergeCell ref="F19:F24"/>
    <mergeCell ref="F28:F29"/>
    <mergeCell ref="F30:F34"/>
    <mergeCell ref="F37:F44"/>
    <mergeCell ref="F45:F48"/>
    <mergeCell ref="F51:F53"/>
    <mergeCell ref="F54:F57"/>
    <mergeCell ref="F60:F63"/>
    <mergeCell ref="F64:F67"/>
    <mergeCell ref="F70:F71"/>
    <mergeCell ref="F79:F80"/>
    <mergeCell ref="F104:F106"/>
    <mergeCell ref="F107:F109"/>
    <mergeCell ref="F110:F113"/>
    <mergeCell ref="F115:F116"/>
    <mergeCell ref="F117:F121"/>
    <mergeCell ref="F123:F126"/>
    <mergeCell ref="F127:F129"/>
    <mergeCell ref="F130:F133"/>
    <mergeCell ref="F135:F138"/>
    <mergeCell ref="F139:F141"/>
    <mergeCell ref="F146:F147"/>
    <mergeCell ref="F156:F157"/>
    <mergeCell ref="F160:F161"/>
    <mergeCell ref="F162:F166"/>
    <mergeCell ref="F168:F173"/>
    <mergeCell ref="F185:F189"/>
    <mergeCell ref="F191:F192"/>
    <mergeCell ref="F193:F197"/>
    <mergeCell ref="F200:F202"/>
    <mergeCell ref="G2:G4"/>
    <mergeCell ref="G6:G7"/>
    <mergeCell ref="G8:G10"/>
    <mergeCell ref="G12:G14"/>
    <mergeCell ref="G15:G18"/>
    <mergeCell ref="G38:G40"/>
    <mergeCell ref="G42:G43"/>
    <mergeCell ref="G46:G47"/>
    <mergeCell ref="G107:G109"/>
    <mergeCell ref="G110:G111"/>
    <mergeCell ref="G112:G113"/>
    <mergeCell ref="G128:G129"/>
    <mergeCell ref="G147:G150"/>
    <mergeCell ref="H2:H4"/>
    <mergeCell ref="H6:H7"/>
    <mergeCell ref="H8:H10"/>
    <mergeCell ref="H12:H14"/>
    <mergeCell ref="H15:H18"/>
    <mergeCell ref="H38:H40"/>
    <mergeCell ref="H42:H43"/>
    <mergeCell ref="H46:H47"/>
    <mergeCell ref="H147:H150"/>
    <mergeCell ref="I3:I4"/>
    <mergeCell ref="I61:I63"/>
    <mergeCell ref="J3:J4"/>
    <mergeCell ref="J6:J7"/>
    <mergeCell ref="J8:J10"/>
    <mergeCell ref="J16:J17"/>
    <mergeCell ref="J38:J40"/>
    <mergeCell ref="J61:J63"/>
    <mergeCell ref="J148:J149"/>
    <mergeCell ref="K3:K4"/>
    <mergeCell ref="K6:K7"/>
    <mergeCell ref="K8:K10"/>
    <mergeCell ref="K12:K14"/>
    <mergeCell ref="K16:K17"/>
    <mergeCell ref="K38:K40"/>
    <mergeCell ref="K61:K63"/>
    <mergeCell ref="L3:L4"/>
    <mergeCell ref="L6:L7"/>
    <mergeCell ref="L8:L10"/>
    <mergeCell ref="L12:L14"/>
    <mergeCell ref="L15:L18"/>
    <mergeCell ref="L38:L40"/>
    <mergeCell ref="L42:L43"/>
    <mergeCell ref="L61:L63"/>
    <mergeCell ref="L147:L150"/>
    <mergeCell ref="M3:M4"/>
    <mergeCell ref="M6:M7"/>
    <mergeCell ref="M8:M10"/>
    <mergeCell ref="M12:M14"/>
    <mergeCell ref="M15:M18"/>
    <mergeCell ref="M38:M40"/>
    <mergeCell ref="M42:M43"/>
    <mergeCell ref="M61:M63"/>
    <mergeCell ref="M147:M150"/>
    <mergeCell ref="N3:N4"/>
    <mergeCell ref="N6:N7"/>
    <mergeCell ref="N8:N10"/>
    <mergeCell ref="N12:N14"/>
    <mergeCell ref="N15:N18"/>
    <mergeCell ref="N38:N40"/>
    <mergeCell ref="N42:N43"/>
    <mergeCell ref="N61:N63"/>
    <mergeCell ref="N147:N150"/>
    <mergeCell ref="O6:O7"/>
    <mergeCell ref="O8:O10"/>
    <mergeCell ref="O12:O14"/>
    <mergeCell ref="O15:O18"/>
    <mergeCell ref="O38:O40"/>
    <mergeCell ref="O42:O43"/>
    <mergeCell ref="O61:O63"/>
    <mergeCell ref="O147:O150"/>
    <mergeCell ref="P6:P7"/>
    <mergeCell ref="P8:P10"/>
    <mergeCell ref="P12:P14"/>
    <mergeCell ref="P15:P18"/>
    <mergeCell ref="P38:P40"/>
    <mergeCell ref="P42:P43"/>
    <mergeCell ref="P147:P150"/>
    <mergeCell ref="Q6:Q7"/>
    <mergeCell ref="Q8:Q10"/>
    <mergeCell ref="Q12:Q14"/>
    <mergeCell ref="Q15:Q18"/>
    <mergeCell ref="Q38:Q40"/>
    <mergeCell ref="Q42:Q43"/>
    <mergeCell ref="Q61:Q63"/>
    <mergeCell ref="Q147:Q150"/>
    <mergeCell ref="R2:R3"/>
    <mergeCell ref="R6:R7"/>
    <mergeCell ref="R8:R10"/>
    <mergeCell ref="R12:R14"/>
    <mergeCell ref="R15:R18"/>
    <mergeCell ref="R38:R40"/>
    <mergeCell ref="R42:R43"/>
    <mergeCell ref="R61:R63"/>
    <mergeCell ref="R147:R150"/>
    <mergeCell ref="S6:S7"/>
    <mergeCell ref="S8:S10"/>
    <mergeCell ref="S12:S14"/>
    <mergeCell ref="S15:S18"/>
    <mergeCell ref="S38:S40"/>
    <mergeCell ref="S42:S43"/>
    <mergeCell ref="S61:S63"/>
    <mergeCell ref="S93:S94"/>
    <mergeCell ref="S95:S96"/>
    <mergeCell ref="S97:S98"/>
    <mergeCell ref="S147:S150"/>
    <mergeCell ref="T6:T7"/>
    <mergeCell ref="T8:T10"/>
    <mergeCell ref="T12:T14"/>
    <mergeCell ref="T15:T18"/>
    <mergeCell ref="T38:T40"/>
    <mergeCell ref="T42:T43"/>
    <mergeCell ref="T46:T47"/>
    <mergeCell ref="T61:T63"/>
    <mergeCell ref="T93:T94"/>
    <mergeCell ref="T95:T96"/>
    <mergeCell ref="T97:T98"/>
    <mergeCell ref="T147:T150"/>
    <mergeCell ref="U6:U7"/>
    <mergeCell ref="U8:U10"/>
    <mergeCell ref="U12:U14"/>
    <mergeCell ref="U15:U18"/>
    <mergeCell ref="U38:U40"/>
    <mergeCell ref="U42:U43"/>
    <mergeCell ref="U46:U47"/>
    <mergeCell ref="U61:U62"/>
    <mergeCell ref="U93:U94"/>
    <mergeCell ref="U147:U150"/>
    <mergeCell ref="V6:V7"/>
    <mergeCell ref="V8:V10"/>
    <mergeCell ref="V12:V14"/>
    <mergeCell ref="V15:V18"/>
    <mergeCell ref="V38:V40"/>
    <mergeCell ref="V42:V43"/>
    <mergeCell ref="V46:V47"/>
    <mergeCell ref="V61:V63"/>
    <mergeCell ref="V93:V94"/>
    <mergeCell ref="V95:V96"/>
    <mergeCell ref="V97:V98"/>
    <mergeCell ref="V147:V150"/>
    <mergeCell ref="W2:W3"/>
    <mergeCell ref="W6:W7"/>
    <mergeCell ref="W8:W10"/>
    <mergeCell ref="W12:W14"/>
    <mergeCell ref="W15:W18"/>
    <mergeCell ref="W38:W40"/>
    <mergeCell ref="W42:W43"/>
    <mergeCell ref="W46:W47"/>
    <mergeCell ref="W61:W63"/>
    <mergeCell ref="W93:W94"/>
    <mergeCell ref="W147:W150"/>
    <mergeCell ref="X2:X3"/>
    <mergeCell ref="X51:X58"/>
    <mergeCell ref="X60:X68"/>
    <mergeCell ref="X70:X71"/>
    <mergeCell ref="X93:X94"/>
    <mergeCell ref="X147:X150"/>
    <mergeCell ref="Y2:Y3"/>
    <mergeCell ref="Y51:Y58"/>
    <mergeCell ref="Y60:Y68"/>
    <mergeCell ref="Y70:Y71"/>
    <mergeCell ref="Y93:Y94"/>
    <mergeCell ref="Z12:Z14"/>
    <mergeCell ref="Z15:Z17"/>
    <mergeCell ref="Z143:Z144"/>
    <mergeCell ref="Z175:Z176"/>
    <mergeCell ref="Z198:Z199"/>
    <mergeCell ref="AA12:AA14"/>
    <mergeCell ref="AA15:AA17"/>
    <mergeCell ref="AA143:AA144"/>
    <mergeCell ref="AA175:AA176"/>
    <mergeCell ref="AA198:AA199"/>
    <mergeCell ref="AB2:AB3"/>
    <mergeCell ref="AB6:AB7"/>
    <mergeCell ref="AB8:AB10"/>
    <mergeCell ref="AB12:AB14"/>
    <mergeCell ref="AB15:AB18"/>
    <mergeCell ref="AB38:AB40"/>
    <mergeCell ref="AB42:AB43"/>
    <mergeCell ref="AB61:AB63"/>
    <mergeCell ref="AB93:AB94"/>
    <mergeCell ref="AB143:AB144"/>
    <mergeCell ref="AB147:AB150"/>
    <mergeCell ref="AB175:AB176"/>
    <mergeCell ref="AB198:AB199"/>
    <mergeCell ref="B127:D133"/>
    <mergeCell ref="B122:D126"/>
    <mergeCell ref="B115:D121"/>
    <mergeCell ref="B107:D113"/>
    <mergeCell ref="A175:F176"/>
    <mergeCell ref="A143:F144"/>
    <mergeCell ref="B139:D141"/>
    <mergeCell ref="B168:D173"/>
    <mergeCell ref="B160:D166"/>
    <mergeCell ref="B184:D189"/>
    <mergeCell ref="B134:D138"/>
    <mergeCell ref="B103:D106"/>
    <mergeCell ref="A198:F199"/>
    <mergeCell ref="A200:E202"/>
    <mergeCell ref="B190:D192"/>
  </mergeCells>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40"/>
  <sheetViews>
    <sheetView zoomScale="80" zoomScaleNormal="80" workbookViewId="0">
      <pane ySplit="4" topLeftCell="A212" activePane="bottomLeft" state="frozen"/>
      <selection/>
      <selection pane="bottomLeft" activeCell="K99" sqref="K99"/>
    </sheetView>
  </sheetViews>
  <sheetFormatPr defaultColWidth="9" defaultRowHeight="13.85"/>
  <cols>
    <col min="1" max="1" width="7.08333333333333" style="24" customWidth="1"/>
    <col min="2" max="2" width="23.75" style="24" customWidth="1"/>
    <col min="3" max="3" width="11.5583333333333" style="24" customWidth="1"/>
    <col min="4" max="4" width="12.5" style="24" customWidth="1"/>
    <col min="5" max="5" width="12.3416666666667" style="24" customWidth="1"/>
    <col min="6" max="6" width="9.83333333333333" style="397" customWidth="1"/>
    <col min="7" max="7" width="23.5" style="27" customWidth="1"/>
    <col min="8" max="8" width="21.0916666666667" style="28" customWidth="1"/>
    <col min="9" max="9" width="18.75" style="29" customWidth="1"/>
    <col min="10" max="10" width="15.375" style="29" customWidth="1"/>
    <col min="11" max="11" width="16.625" style="29" customWidth="1"/>
    <col min="12" max="12" width="17.0333333333333" style="30" hidden="1" customWidth="1"/>
    <col min="13" max="13" width="13.5916666666667" style="30" hidden="1" customWidth="1"/>
    <col min="14" max="14" width="10.775" style="30" hidden="1" customWidth="1"/>
    <col min="15" max="15" width="11.6083333333333" style="30" customWidth="1"/>
    <col min="16" max="16" width="13.75" style="30" customWidth="1"/>
    <col min="17" max="17" width="13.625" style="30" customWidth="1"/>
    <col min="18" max="18" width="15.375" style="30" customWidth="1"/>
    <col min="19" max="19" width="17.125" style="31" customWidth="1"/>
    <col min="20" max="20" width="17.1833333333333" style="31" customWidth="1"/>
    <col min="21" max="21" width="17.125" style="30" customWidth="1"/>
    <col min="22" max="22" width="13.75" style="32" customWidth="1"/>
    <col min="23" max="23" width="17.125" style="32" customWidth="1"/>
    <col min="24" max="24" width="16.625" style="24" hidden="1" customWidth="1"/>
    <col min="25" max="25" width="15.375" style="24" hidden="1" customWidth="1"/>
    <col min="26" max="26" width="17.125" style="397" customWidth="1"/>
    <col min="27" max="27" width="15" style="397" customWidth="1"/>
    <col min="28" max="28" width="28.5916666666667" style="33" customWidth="1"/>
    <col min="29" max="16384" width="9" style="1"/>
  </cols>
  <sheetData>
    <row r="1" s="1" customFormat="1" ht="27" customHeight="1" spans="1:28">
      <c r="A1" s="34" t="s">
        <v>325</v>
      </c>
      <c r="B1" s="34"/>
      <c r="C1" s="34"/>
      <c r="D1" s="34"/>
      <c r="E1" s="34"/>
      <c r="F1" s="34"/>
      <c r="G1" s="34"/>
      <c r="H1" s="34"/>
      <c r="I1" s="84"/>
      <c r="J1" s="84"/>
      <c r="K1" s="84"/>
      <c r="L1" s="85"/>
      <c r="M1" s="85"/>
      <c r="N1" s="85"/>
      <c r="O1" s="85"/>
      <c r="P1" s="85"/>
      <c r="Q1" s="85"/>
      <c r="R1" s="85"/>
      <c r="S1" s="121"/>
      <c r="T1" s="121"/>
      <c r="U1" s="85"/>
      <c r="V1" s="85"/>
      <c r="W1" s="85"/>
      <c r="X1" s="34"/>
      <c r="Y1" s="34"/>
      <c r="Z1" s="34"/>
      <c r="AA1" s="34"/>
      <c r="AB1" s="34"/>
    </row>
    <row r="2" s="15" customFormat="1" ht="20.25" spans="1:28">
      <c r="A2" s="36" t="s">
        <v>1</v>
      </c>
      <c r="B2" s="36" t="s">
        <v>2</v>
      </c>
      <c r="C2" s="36" t="s">
        <v>3</v>
      </c>
      <c r="D2" s="36" t="s">
        <v>4</v>
      </c>
      <c r="E2" s="36" t="s">
        <v>5</v>
      </c>
      <c r="F2" s="36" t="s">
        <v>6</v>
      </c>
      <c r="G2" s="36" t="s">
        <v>7</v>
      </c>
      <c r="H2" s="36" t="s">
        <v>8</v>
      </c>
      <c r="I2" s="86" t="s">
        <v>285</v>
      </c>
      <c r="J2" s="87"/>
      <c r="K2" s="87"/>
      <c r="L2" s="88" t="s">
        <v>286</v>
      </c>
      <c r="M2" s="89"/>
      <c r="N2" s="89"/>
      <c r="O2" s="89"/>
      <c r="P2" s="89"/>
      <c r="Q2" s="89"/>
      <c r="R2" s="122" t="s">
        <v>11</v>
      </c>
      <c r="S2" s="123" t="s">
        <v>12</v>
      </c>
      <c r="T2" s="124"/>
      <c r="U2" s="123" t="s">
        <v>287</v>
      </c>
      <c r="V2" s="124"/>
      <c r="W2" s="122" t="s">
        <v>14</v>
      </c>
      <c r="X2" s="36" t="s">
        <v>15</v>
      </c>
      <c r="Y2" s="36" t="s">
        <v>16</v>
      </c>
      <c r="Z2" s="36" t="s">
        <v>351</v>
      </c>
      <c r="AA2" s="406"/>
      <c r="AB2" s="122" t="s">
        <v>289</v>
      </c>
    </row>
    <row r="3" s="16" customFormat="1" ht="20.25" spans="1:28">
      <c r="A3" s="36"/>
      <c r="B3" s="36"/>
      <c r="C3" s="36"/>
      <c r="D3" s="36"/>
      <c r="E3" s="36"/>
      <c r="F3" s="36"/>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398"/>
      <c r="Y3" s="398"/>
      <c r="Z3" s="407" t="s">
        <v>29</v>
      </c>
      <c r="AA3" s="408" t="s">
        <v>30</v>
      </c>
      <c r="AB3" s="126"/>
    </row>
    <row r="4" s="16" customFormat="1" ht="44" customHeight="1" spans="1:28">
      <c r="A4" s="36"/>
      <c r="B4" s="36"/>
      <c r="C4" s="36"/>
      <c r="D4" s="36"/>
      <c r="E4" s="36"/>
      <c r="F4" s="36"/>
      <c r="G4" s="36"/>
      <c r="H4" s="36"/>
      <c r="I4" s="36"/>
      <c r="J4" s="36"/>
      <c r="K4" s="36"/>
      <c r="L4" s="36"/>
      <c r="M4" s="36"/>
      <c r="N4" s="36"/>
      <c r="O4" s="92" t="s">
        <v>293</v>
      </c>
      <c r="P4" s="92" t="s">
        <v>294</v>
      </c>
      <c r="Q4" s="92" t="s">
        <v>25</v>
      </c>
      <c r="R4" s="126"/>
      <c r="S4" s="127"/>
      <c r="T4" s="125"/>
      <c r="U4" s="128"/>
      <c r="V4" s="128"/>
      <c r="W4" s="129"/>
      <c r="X4" s="399"/>
      <c r="Y4" s="399"/>
      <c r="Z4" s="407"/>
      <c r="AA4" s="407"/>
      <c r="AB4" s="129"/>
    </row>
    <row r="5" s="1" customFormat="1" ht="36" customHeight="1" spans="1:28">
      <c r="A5" s="38" t="s">
        <v>31</v>
      </c>
      <c r="B5" s="39" t="s">
        <v>32</v>
      </c>
      <c r="C5" s="40"/>
      <c r="D5" s="40"/>
      <c r="E5" s="40"/>
      <c r="F5" s="40"/>
      <c r="G5" s="40"/>
      <c r="H5" s="42"/>
      <c r="I5" s="93"/>
      <c r="J5" s="93"/>
      <c r="K5" s="93"/>
      <c r="L5" s="93"/>
      <c r="M5" s="93"/>
      <c r="N5" s="93"/>
      <c r="O5" s="93"/>
      <c r="P5" s="93"/>
      <c r="Q5" s="93"/>
      <c r="R5" s="93"/>
      <c r="S5" s="93"/>
      <c r="T5" s="130"/>
      <c r="U5" s="131"/>
      <c r="V5" s="130"/>
      <c r="W5" s="130"/>
      <c r="X5" s="45" t="e">
        <f>K25+F6</f>
        <v>#VALUE!</v>
      </c>
      <c r="Y5" s="45">
        <f>U25+V25</f>
        <v>85833468.7</v>
      </c>
      <c r="Z5" s="182"/>
      <c r="AA5" s="182"/>
      <c r="AB5" s="132"/>
    </row>
    <row r="6" s="1" customFormat="1" ht="25" customHeight="1" spans="1:28">
      <c r="A6" s="43">
        <v>1</v>
      </c>
      <c r="B6" s="43" t="s">
        <v>33</v>
      </c>
      <c r="C6" s="43" t="s">
        <v>34</v>
      </c>
      <c r="D6" s="43"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49"/>
      <c r="Y6" s="49"/>
      <c r="Z6" s="145"/>
      <c r="AA6" s="145">
        <v>0</v>
      </c>
      <c r="AB6" s="69"/>
    </row>
    <row r="7" s="1" customFormat="1" spans="1:28">
      <c r="A7" s="48"/>
      <c r="B7" s="48"/>
      <c r="C7" s="48"/>
      <c r="D7" s="48"/>
      <c r="E7" s="49"/>
      <c r="F7" s="46"/>
      <c r="G7" s="47"/>
      <c r="H7" s="47"/>
      <c r="I7" s="94">
        <v>26478900.92</v>
      </c>
      <c r="J7" s="95"/>
      <c r="K7" s="95"/>
      <c r="L7" s="96"/>
      <c r="M7" s="96"/>
      <c r="N7" s="96"/>
      <c r="O7" s="96"/>
      <c r="P7" s="98"/>
      <c r="Q7" s="98"/>
      <c r="R7" s="98"/>
      <c r="S7" s="96"/>
      <c r="T7" s="98"/>
      <c r="U7" s="98"/>
      <c r="V7" s="98"/>
      <c r="W7" s="98"/>
      <c r="X7" s="49"/>
      <c r="Y7" s="49"/>
      <c r="Z7" s="145"/>
      <c r="AA7" s="145"/>
      <c r="AB7" s="70"/>
    </row>
    <row r="8" s="1" customFormat="1" spans="1:28">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49"/>
      <c r="Y8" s="49"/>
      <c r="Z8" s="145"/>
      <c r="AA8" s="145"/>
      <c r="AB8" s="69"/>
    </row>
    <row r="9" s="1" customFormat="1" spans="1:28">
      <c r="A9" s="48"/>
      <c r="B9" s="48"/>
      <c r="C9" s="48"/>
      <c r="D9" s="48"/>
      <c r="E9" s="49"/>
      <c r="F9" s="46"/>
      <c r="G9" s="47"/>
      <c r="H9" s="47"/>
      <c r="I9" s="94">
        <v>7013045.58</v>
      </c>
      <c r="J9" s="95"/>
      <c r="K9" s="95"/>
      <c r="L9" s="96"/>
      <c r="M9" s="96"/>
      <c r="N9" s="96"/>
      <c r="O9" s="96"/>
      <c r="P9" s="70"/>
      <c r="Q9" s="98"/>
      <c r="R9" s="98"/>
      <c r="S9" s="96"/>
      <c r="T9" s="98"/>
      <c r="U9" s="98"/>
      <c r="V9" s="98"/>
      <c r="W9" s="98"/>
      <c r="X9" s="49"/>
      <c r="Y9" s="49"/>
      <c r="Z9" s="145"/>
      <c r="AA9" s="145"/>
      <c r="AB9" s="70"/>
    </row>
    <row r="10" s="1" customFormat="1" spans="1:28">
      <c r="A10" s="48"/>
      <c r="B10" s="48"/>
      <c r="C10" s="48"/>
      <c r="D10" s="48"/>
      <c r="E10" s="49"/>
      <c r="F10" s="46"/>
      <c r="G10" s="47"/>
      <c r="H10" s="47"/>
      <c r="I10" s="94">
        <v>9999999</v>
      </c>
      <c r="J10" s="95"/>
      <c r="K10" s="95"/>
      <c r="L10" s="96"/>
      <c r="M10" s="96"/>
      <c r="N10" s="96"/>
      <c r="O10" s="96"/>
      <c r="P10" s="70"/>
      <c r="Q10" s="98"/>
      <c r="R10" s="98"/>
      <c r="S10" s="96"/>
      <c r="T10" s="98"/>
      <c r="U10" s="98"/>
      <c r="V10" s="98"/>
      <c r="W10" s="98"/>
      <c r="X10" s="49"/>
      <c r="Y10" s="49"/>
      <c r="Z10" s="145"/>
      <c r="AA10" s="145"/>
      <c r="AB10" s="70"/>
    </row>
    <row r="11" s="1" customFormat="1" ht="38" customHeight="1" spans="1:28">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49"/>
      <c r="Y11" s="49"/>
      <c r="Z11" s="145"/>
      <c r="AA11" s="145"/>
      <c r="AB11" s="135"/>
    </row>
    <row r="12" s="1" customFormat="1" spans="1:28">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9"/>
      <c r="Y12" s="49"/>
      <c r="Z12" s="46"/>
      <c r="AA12" s="45"/>
      <c r="AB12" s="46"/>
    </row>
    <row r="13" s="1" customFormat="1" spans="1:28">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9"/>
      <c r="Y13" s="49"/>
      <c r="Z13" s="46"/>
      <c r="AA13" s="49"/>
      <c r="AB13" s="46"/>
    </row>
    <row r="14" s="1" customFormat="1" spans="1:28">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9"/>
      <c r="Y14" s="49"/>
      <c r="Z14" s="46"/>
      <c r="AA14" s="81"/>
      <c r="AB14" s="46"/>
    </row>
    <row r="15" s="1" customFormat="1" spans="1:28">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49"/>
      <c r="Y15" s="49"/>
      <c r="Z15" s="409"/>
      <c r="AA15" s="45"/>
      <c r="AB15" s="137"/>
    </row>
    <row r="16" s="1" customFormat="1" spans="1:28">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49"/>
      <c r="Y16" s="49"/>
      <c r="Z16" s="49"/>
      <c r="AA16" s="49"/>
      <c r="AB16" s="137"/>
    </row>
    <row r="17" s="1" customFormat="1" spans="1:28">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49"/>
      <c r="Y17" s="49"/>
      <c r="Z17" s="81"/>
      <c r="AA17" s="81"/>
      <c r="AB17" s="137"/>
    </row>
    <row r="18" s="1" customFormat="1" spans="1:28">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49"/>
      <c r="Y18" s="49"/>
      <c r="Z18" s="81"/>
      <c r="AA18" s="81"/>
      <c r="AB18" s="139"/>
    </row>
    <row r="19" s="1" customFormat="1" ht="31" customHeight="1" spans="1:28">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105"/>
      <c r="Y19" s="105"/>
      <c r="Z19" s="106">
        <v>5092142.4</v>
      </c>
      <c r="AA19" s="106">
        <v>5092142.4</v>
      </c>
      <c r="AB19" s="56"/>
    </row>
    <row r="20" s="1" customFormat="1" ht="31" customHeight="1" spans="1:28">
      <c r="A20" s="48"/>
      <c r="B20" s="48"/>
      <c r="C20" s="48"/>
      <c r="D20" s="48"/>
      <c r="E20" s="49"/>
      <c r="F20" s="52"/>
      <c r="G20" s="53"/>
      <c r="H20" s="53"/>
      <c r="I20" s="101"/>
      <c r="J20" s="101"/>
      <c r="K20" s="101"/>
      <c r="L20" s="104"/>
      <c r="M20" s="104"/>
      <c r="N20" s="104"/>
      <c r="O20" s="104"/>
      <c r="P20" s="104"/>
      <c r="Q20" s="104"/>
      <c r="R20" s="104"/>
      <c r="S20" s="104"/>
      <c r="T20" s="104"/>
      <c r="U20" s="104"/>
      <c r="V20" s="140"/>
      <c r="W20" s="140"/>
      <c r="X20" s="105"/>
      <c r="Y20" s="105"/>
      <c r="Z20" s="106"/>
      <c r="AA20" s="106"/>
      <c r="AB20" s="56"/>
    </row>
    <row r="21" s="1" customFormat="1" ht="31" customHeight="1" spans="1:28">
      <c r="A21" s="48"/>
      <c r="B21" s="48"/>
      <c r="C21" s="48"/>
      <c r="D21" s="48"/>
      <c r="E21" s="49"/>
      <c r="F21" s="52"/>
      <c r="G21" s="53"/>
      <c r="H21" s="53"/>
      <c r="I21" s="101"/>
      <c r="J21" s="101"/>
      <c r="K21" s="101"/>
      <c r="L21" s="104"/>
      <c r="M21" s="104"/>
      <c r="N21" s="104"/>
      <c r="O21" s="104"/>
      <c r="P21" s="104"/>
      <c r="Q21" s="104"/>
      <c r="R21" s="104"/>
      <c r="S21" s="104"/>
      <c r="T21" s="104"/>
      <c r="U21" s="104"/>
      <c r="V21" s="140"/>
      <c r="W21" s="140"/>
      <c r="X21" s="105"/>
      <c r="Y21" s="105"/>
      <c r="Z21" s="106"/>
      <c r="AA21" s="106"/>
      <c r="AB21" s="56"/>
    </row>
    <row r="22" s="1" customFormat="1" ht="31" customHeight="1" spans="1:28">
      <c r="A22" s="48"/>
      <c r="B22" s="48"/>
      <c r="C22" s="48"/>
      <c r="D22" s="48"/>
      <c r="E22" s="49"/>
      <c r="F22" s="52"/>
      <c r="G22" s="53"/>
      <c r="H22" s="53"/>
      <c r="I22" s="101"/>
      <c r="J22" s="101"/>
      <c r="K22" s="101"/>
      <c r="L22" s="104"/>
      <c r="M22" s="104"/>
      <c r="N22" s="104"/>
      <c r="O22" s="104"/>
      <c r="P22" s="104"/>
      <c r="Q22" s="104"/>
      <c r="R22" s="104"/>
      <c r="S22" s="104"/>
      <c r="T22" s="104"/>
      <c r="U22" s="104"/>
      <c r="V22" s="140"/>
      <c r="W22" s="140"/>
      <c r="X22" s="105"/>
      <c r="Y22" s="105"/>
      <c r="Z22" s="106"/>
      <c r="AA22" s="106"/>
      <c r="AB22" s="56"/>
    </row>
    <row r="23" s="1" customFormat="1" ht="31" customHeight="1" spans="1:28">
      <c r="A23" s="48"/>
      <c r="B23" s="48"/>
      <c r="C23" s="48"/>
      <c r="D23" s="48"/>
      <c r="E23" s="49"/>
      <c r="F23" s="52"/>
      <c r="G23" s="53"/>
      <c r="H23" s="53"/>
      <c r="I23" s="101"/>
      <c r="J23" s="101"/>
      <c r="K23" s="101"/>
      <c r="L23" s="104"/>
      <c r="M23" s="104"/>
      <c r="N23" s="104"/>
      <c r="O23" s="104"/>
      <c r="P23" s="104"/>
      <c r="Q23" s="104"/>
      <c r="R23" s="104"/>
      <c r="S23" s="104"/>
      <c r="T23" s="104"/>
      <c r="U23" s="104"/>
      <c r="V23" s="140"/>
      <c r="W23" s="140"/>
      <c r="X23" s="105"/>
      <c r="Y23" s="105"/>
      <c r="Z23" s="106"/>
      <c r="AA23" s="106"/>
      <c r="AB23" s="56"/>
    </row>
    <row r="24" s="1" customFormat="1" ht="31" customHeight="1" spans="1:28">
      <c r="A24" s="48"/>
      <c r="B24" s="48"/>
      <c r="C24" s="48"/>
      <c r="D24" s="48"/>
      <c r="E24" s="49"/>
      <c r="F24" s="52"/>
      <c r="G24" s="53"/>
      <c r="H24" s="53"/>
      <c r="I24" s="101"/>
      <c r="J24" s="101"/>
      <c r="K24" s="101"/>
      <c r="L24" s="104"/>
      <c r="M24" s="104"/>
      <c r="N24" s="104"/>
      <c r="O24" s="104"/>
      <c r="P24" s="104"/>
      <c r="Q24" s="104"/>
      <c r="R24" s="104"/>
      <c r="S24" s="104"/>
      <c r="T24" s="104"/>
      <c r="U24" s="104"/>
      <c r="V24" s="140"/>
      <c r="W24" s="140"/>
      <c r="X24" s="105"/>
      <c r="Y24" s="105"/>
      <c r="Z24" s="106"/>
      <c r="AA24" s="106"/>
      <c r="AB24" s="56"/>
    </row>
    <row r="25" s="1" customFormat="1" ht="41" customHeight="1" spans="1:28">
      <c r="A25" s="48"/>
      <c r="B25" s="48"/>
      <c r="C25" s="48"/>
      <c r="D25" s="48"/>
      <c r="E25" s="49"/>
      <c r="F25" s="58" t="s">
        <v>326</v>
      </c>
      <c r="G25" s="59"/>
      <c r="H25" s="60"/>
      <c r="I25" s="108">
        <f>SUM(I6:I18)</f>
        <v>94163828.8</v>
      </c>
      <c r="J25" s="108">
        <f>SUM(J6:J18)</f>
        <v>9375096.89</v>
      </c>
      <c r="K25" s="108">
        <f>SUM(K6:K18)</f>
        <v>103538925.69</v>
      </c>
      <c r="L25" s="108">
        <f>SUM(L6:L18)</f>
        <v>2208694.43</v>
      </c>
      <c r="M25" s="108">
        <f t="shared" ref="I25:AA25" si="1">SUM(M6:M18)</f>
        <v>0</v>
      </c>
      <c r="N25" s="108">
        <f t="shared" si="1"/>
        <v>0</v>
      </c>
      <c r="O25" s="108">
        <f t="shared" si="1"/>
        <v>0</v>
      </c>
      <c r="P25" s="108">
        <f t="shared" si="1"/>
        <v>0</v>
      </c>
      <c r="Q25" s="108">
        <f t="shared" si="1"/>
        <v>3100</v>
      </c>
      <c r="R25" s="108">
        <f t="shared" si="1"/>
        <v>0</v>
      </c>
      <c r="S25" s="108">
        <f t="shared" si="1"/>
        <v>100072131.26</v>
      </c>
      <c r="T25" s="108">
        <f t="shared" si="1"/>
        <v>1255000</v>
      </c>
      <c r="U25" s="108">
        <f t="shared" si="1"/>
        <v>84578468.7</v>
      </c>
      <c r="V25" s="108">
        <f t="shared" si="1"/>
        <v>1255000</v>
      </c>
      <c r="W25" s="108">
        <f t="shared" si="1"/>
        <v>15493662.56</v>
      </c>
      <c r="X25" s="108">
        <f t="shared" si="1"/>
        <v>0</v>
      </c>
      <c r="Y25" s="108">
        <f t="shared" si="1"/>
        <v>0</v>
      </c>
      <c r="Z25" s="108">
        <f t="shared" si="1"/>
        <v>0</v>
      </c>
      <c r="AA25" s="108">
        <f t="shared" si="1"/>
        <v>0</v>
      </c>
      <c r="AB25" s="146"/>
    </row>
    <row r="26" s="1" customFormat="1" ht="41" customHeight="1" spans="1:28">
      <c r="A26" s="48"/>
      <c r="B26" s="48"/>
      <c r="C26" s="48"/>
      <c r="D26" s="48"/>
      <c r="E26" s="49"/>
      <c r="F26" s="61" t="s">
        <v>327</v>
      </c>
      <c r="G26" s="61"/>
      <c r="H26" s="61"/>
      <c r="I26" s="109">
        <f>SUM(I19:I24)</f>
        <v>0</v>
      </c>
      <c r="J26" s="109">
        <f t="shared" ref="I26:AB26" si="2">SUM(J19:J24)</f>
        <v>0</v>
      </c>
      <c r="K26" s="109">
        <f t="shared" si="2"/>
        <v>0</v>
      </c>
      <c r="L26" s="109">
        <f t="shared" si="2"/>
        <v>0</v>
      </c>
      <c r="M26" s="109">
        <f t="shared" si="2"/>
        <v>0</v>
      </c>
      <c r="N26" s="109">
        <f t="shared" si="2"/>
        <v>0</v>
      </c>
      <c r="O26" s="109">
        <f t="shared" si="2"/>
        <v>0</v>
      </c>
      <c r="P26" s="109">
        <f t="shared" si="2"/>
        <v>0</v>
      </c>
      <c r="Q26" s="109">
        <f t="shared" si="2"/>
        <v>0</v>
      </c>
      <c r="R26" s="109">
        <f t="shared" si="2"/>
        <v>0</v>
      </c>
      <c r="S26" s="109">
        <f t="shared" si="2"/>
        <v>0</v>
      </c>
      <c r="T26" s="109">
        <f t="shared" si="2"/>
        <v>0</v>
      </c>
      <c r="U26" s="109">
        <f t="shared" si="2"/>
        <v>15493662.56</v>
      </c>
      <c r="V26" s="109">
        <f t="shared" si="2"/>
        <v>0</v>
      </c>
      <c r="W26" s="109">
        <f t="shared" si="2"/>
        <v>-15493662.56</v>
      </c>
      <c r="X26" s="109">
        <f t="shared" si="2"/>
        <v>0</v>
      </c>
      <c r="Y26" s="109">
        <f t="shared" si="2"/>
        <v>0</v>
      </c>
      <c r="Z26" s="109">
        <f t="shared" si="2"/>
        <v>5092142.4</v>
      </c>
      <c r="AA26" s="109">
        <f t="shared" si="2"/>
        <v>5092142.4</v>
      </c>
      <c r="AB26" s="109">
        <f t="shared" si="2"/>
        <v>0</v>
      </c>
    </row>
    <row r="27" s="1" customFormat="1" ht="41" customHeight="1" spans="1:28">
      <c r="A27" s="43"/>
      <c r="B27" s="43"/>
      <c r="C27" s="43"/>
      <c r="D27" s="43"/>
      <c r="E27" s="45"/>
      <c r="F27" s="62"/>
      <c r="G27" s="63"/>
      <c r="H27" s="64"/>
      <c r="I27" s="110"/>
      <c r="J27" s="110"/>
      <c r="K27" s="385"/>
      <c r="L27" s="111"/>
      <c r="M27" s="111"/>
      <c r="N27" s="111"/>
      <c r="O27" s="111"/>
      <c r="P27" s="111"/>
      <c r="Q27" s="111"/>
      <c r="R27" s="111"/>
      <c r="S27" s="111"/>
      <c r="T27" s="141"/>
      <c r="U27" s="141"/>
      <c r="V27" s="141"/>
      <c r="W27" s="141"/>
      <c r="X27" s="400"/>
      <c r="Y27" s="400"/>
      <c r="Z27" s="111"/>
      <c r="AA27" s="111"/>
      <c r="AB27" s="142"/>
    </row>
    <row r="28" s="1" customFormat="1" ht="27" spans="1:28">
      <c r="A28" s="43">
        <v>2</v>
      </c>
      <c r="B28" s="43" t="s">
        <v>47</v>
      </c>
      <c r="C28" s="43" t="s">
        <v>48</v>
      </c>
      <c r="D28" s="65" t="s">
        <v>49</v>
      </c>
      <c r="E28" s="45">
        <v>1845935</v>
      </c>
      <c r="F28" s="45" t="s">
        <v>295</v>
      </c>
      <c r="G28" s="66" t="s">
        <v>50</v>
      </c>
      <c r="H28" s="66" t="s">
        <v>51</v>
      </c>
      <c r="I28" s="94"/>
      <c r="J28" s="94"/>
      <c r="K28" s="94">
        <f>I28+J28</f>
        <v>0</v>
      </c>
      <c r="L28" s="94"/>
      <c r="M28" s="94"/>
      <c r="N28" s="94"/>
      <c r="O28" s="94"/>
      <c r="P28" s="94"/>
      <c r="Q28" s="94"/>
      <c r="R28" s="94">
        <v>184593.5</v>
      </c>
      <c r="S28" s="94">
        <f>K28-L28-M28-N28-O28+R28</f>
        <v>184593.5</v>
      </c>
      <c r="T28" s="133"/>
      <c r="U28" s="134">
        <f>R28</f>
        <v>184593.5</v>
      </c>
      <c r="V28" s="133"/>
      <c r="W28" s="133">
        <f>S28+T28-U28-V28</f>
        <v>0</v>
      </c>
      <c r="X28" s="45" t="e">
        <f>K35+F28</f>
        <v>#VALUE!</v>
      </c>
      <c r="Y28" s="45">
        <f>U35</f>
        <v>456593.5</v>
      </c>
      <c r="Z28" s="145"/>
      <c r="AA28" s="145">
        <v>0</v>
      </c>
      <c r="AB28" s="135"/>
    </row>
    <row r="29" s="1" customFormat="1" ht="35" customHeight="1" spans="1:28">
      <c r="A29" s="48"/>
      <c r="B29" s="48"/>
      <c r="C29" s="48"/>
      <c r="D29" s="67"/>
      <c r="E29" s="49"/>
      <c r="F29" s="49"/>
      <c r="G29" s="66" t="s">
        <v>52</v>
      </c>
      <c r="H29" s="47" t="s">
        <v>53</v>
      </c>
      <c r="I29" s="94">
        <v>320754.72</v>
      </c>
      <c r="J29" s="94">
        <v>19245.28</v>
      </c>
      <c r="K29" s="94">
        <f>I29+J29</f>
        <v>340000</v>
      </c>
      <c r="L29" s="94"/>
      <c r="M29" s="94"/>
      <c r="N29" s="94"/>
      <c r="O29" s="94"/>
      <c r="P29" s="94"/>
      <c r="Q29" s="94"/>
      <c r="R29" s="94">
        <v>-68000</v>
      </c>
      <c r="S29" s="94">
        <f>K29-L29-M29-N29-O29+R29</f>
        <v>272000</v>
      </c>
      <c r="T29" s="133"/>
      <c r="U29" s="134">
        <v>272000</v>
      </c>
      <c r="V29" s="133"/>
      <c r="W29" s="133">
        <f>S29+T29-U29-V29</f>
        <v>0</v>
      </c>
      <c r="X29" s="49"/>
      <c r="Y29" s="49"/>
      <c r="Z29" s="145"/>
      <c r="AA29" s="145"/>
      <c r="AB29" s="135"/>
    </row>
    <row r="30" s="1" customFormat="1" ht="35" customHeight="1" spans="1:28">
      <c r="A30" s="48"/>
      <c r="B30" s="48"/>
      <c r="C30" s="48"/>
      <c r="D30" s="67"/>
      <c r="E30" s="49"/>
      <c r="F30" s="52" t="s">
        <v>296</v>
      </c>
      <c r="G30" s="68" t="s">
        <v>352</v>
      </c>
      <c r="H30" s="68" t="s">
        <v>353</v>
      </c>
      <c r="I30" s="101">
        <v>914728.77</v>
      </c>
      <c r="J30" s="101">
        <v>54883.73</v>
      </c>
      <c r="K30" s="101">
        <v>969612.5</v>
      </c>
      <c r="L30" s="101"/>
      <c r="M30" s="101"/>
      <c r="N30" s="101"/>
      <c r="O30" s="101"/>
      <c r="P30" s="101"/>
      <c r="Q30" s="101"/>
      <c r="R30" s="101"/>
      <c r="S30" s="101"/>
      <c r="T30" s="143"/>
      <c r="U30" s="144"/>
      <c r="V30" s="143"/>
      <c r="W30" s="143"/>
      <c r="X30" s="105"/>
      <c r="Y30" s="105"/>
      <c r="Z30" s="174"/>
      <c r="AA30" s="174"/>
      <c r="AB30" s="135"/>
    </row>
    <row r="31" s="1" customFormat="1" ht="35" customHeight="1" spans="1:28">
      <c r="A31" s="48"/>
      <c r="B31" s="48"/>
      <c r="C31" s="48"/>
      <c r="D31" s="67"/>
      <c r="E31" s="49"/>
      <c r="F31" s="52"/>
      <c r="G31" s="68"/>
      <c r="H31" s="68"/>
      <c r="I31" s="101"/>
      <c r="J31" s="101"/>
      <c r="K31" s="101"/>
      <c r="L31" s="101"/>
      <c r="M31" s="101"/>
      <c r="N31" s="101"/>
      <c r="O31" s="101"/>
      <c r="P31" s="101"/>
      <c r="Q31" s="101"/>
      <c r="R31" s="101"/>
      <c r="S31" s="101"/>
      <c r="T31" s="143"/>
      <c r="U31" s="144"/>
      <c r="V31" s="143"/>
      <c r="W31" s="143"/>
      <c r="X31" s="105"/>
      <c r="Y31" s="105"/>
      <c r="Z31" s="174"/>
      <c r="AA31" s="174"/>
      <c r="AB31" s="135"/>
    </row>
    <row r="32" s="1" customFormat="1" ht="35" customHeight="1" spans="1:28">
      <c r="A32" s="48"/>
      <c r="B32" s="48"/>
      <c r="C32" s="48"/>
      <c r="D32" s="67"/>
      <c r="E32" s="49"/>
      <c r="F32" s="52"/>
      <c r="G32" s="68"/>
      <c r="H32" s="68"/>
      <c r="I32" s="101"/>
      <c r="J32" s="101"/>
      <c r="K32" s="101"/>
      <c r="L32" s="101"/>
      <c r="M32" s="101"/>
      <c r="N32" s="101"/>
      <c r="O32" s="101"/>
      <c r="P32" s="101"/>
      <c r="Q32" s="101"/>
      <c r="R32" s="101"/>
      <c r="S32" s="101"/>
      <c r="T32" s="143"/>
      <c r="U32" s="144"/>
      <c r="V32" s="143"/>
      <c r="W32" s="143"/>
      <c r="X32" s="105"/>
      <c r="Y32" s="105"/>
      <c r="Z32" s="174"/>
      <c r="AA32" s="174"/>
      <c r="AB32" s="135"/>
    </row>
    <row r="33" s="1" customFormat="1" ht="35" customHeight="1" spans="1:28">
      <c r="A33" s="48"/>
      <c r="B33" s="48"/>
      <c r="C33" s="48"/>
      <c r="D33" s="67"/>
      <c r="E33" s="49"/>
      <c r="F33" s="52"/>
      <c r="G33" s="68"/>
      <c r="H33" s="68"/>
      <c r="I33" s="101"/>
      <c r="J33" s="101"/>
      <c r="K33" s="101"/>
      <c r="L33" s="101"/>
      <c r="M33" s="101"/>
      <c r="N33" s="101"/>
      <c r="O33" s="101"/>
      <c r="P33" s="101"/>
      <c r="Q33" s="101"/>
      <c r="R33" s="101"/>
      <c r="S33" s="101"/>
      <c r="T33" s="143"/>
      <c r="U33" s="144"/>
      <c r="V33" s="143"/>
      <c r="W33" s="143"/>
      <c r="X33" s="105"/>
      <c r="Y33" s="105"/>
      <c r="Z33" s="174"/>
      <c r="AA33" s="174"/>
      <c r="AB33" s="135"/>
    </row>
    <row r="34" s="1" customFormat="1" ht="21" customHeight="1" spans="1:28">
      <c r="A34" s="48"/>
      <c r="B34" s="48"/>
      <c r="C34" s="48"/>
      <c r="D34" s="67"/>
      <c r="E34" s="49"/>
      <c r="F34" s="52"/>
      <c r="G34" s="52"/>
      <c r="H34" s="52"/>
      <c r="I34" s="101"/>
      <c r="J34" s="101"/>
      <c r="K34" s="101">
        <f t="shared" ref="K34:K37" si="3">I34+J34</f>
        <v>0</v>
      </c>
      <c r="L34" s="101"/>
      <c r="M34" s="101"/>
      <c r="N34" s="101"/>
      <c r="O34" s="101"/>
      <c r="P34" s="101"/>
      <c r="Q34" s="101"/>
      <c r="R34" s="101"/>
      <c r="S34" s="101">
        <f t="shared" ref="S34:S38" si="4">K34-L34-M34-N34-O34+R34</f>
        <v>0</v>
      </c>
      <c r="T34" s="143"/>
      <c r="U34" s="144"/>
      <c r="V34" s="143"/>
      <c r="W34" s="143">
        <f t="shared" ref="W34:W44" si="5">S34+T34-U34-V34</f>
        <v>0</v>
      </c>
      <c r="X34" s="105"/>
      <c r="Y34" s="105"/>
      <c r="Z34" s="174">
        <v>969612.5</v>
      </c>
      <c r="AA34" s="174">
        <v>853019</v>
      </c>
      <c r="AB34" s="135" t="s">
        <v>299</v>
      </c>
    </row>
    <row r="35" s="1" customFormat="1" ht="29" customHeight="1" spans="1:28">
      <c r="A35" s="48"/>
      <c r="B35" s="48"/>
      <c r="C35" s="48"/>
      <c r="D35" s="67"/>
      <c r="E35" s="49"/>
      <c r="F35" s="58" t="s">
        <v>326</v>
      </c>
      <c r="G35" s="59"/>
      <c r="H35" s="60"/>
      <c r="I35" s="108">
        <f>SUM(I28:I29)</f>
        <v>320754.72</v>
      </c>
      <c r="J35" s="108">
        <f>SUM(J28:J29)</f>
        <v>19245.28</v>
      </c>
      <c r="K35" s="111">
        <f t="shared" si="3"/>
        <v>340000</v>
      </c>
      <c r="L35" s="111">
        <f t="shared" ref="L35:U35" si="6">SUM(L28:L29)</f>
        <v>0</v>
      </c>
      <c r="M35" s="111">
        <f t="shared" si="6"/>
        <v>0</v>
      </c>
      <c r="N35" s="111">
        <f t="shared" si="6"/>
        <v>0</v>
      </c>
      <c r="O35" s="111">
        <f t="shared" si="6"/>
        <v>0</v>
      </c>
      <c r="P35" s="111">
        <f t="shared" si="6"/>
        <v>0</v>
      </c>
      <c r="Q35" s="111">
        <f t="shared" si="6"/>
        <v>0</v>
      </c>
      <c r="R35" s="111">
        <f t="shared" si="6"/>
        <v>116593.5</v>
      </c>
      <c r="S35" s="111">
        <f t="shared" si="6"/>
        <v>456593.5</v>
      </c>
      <c r="T35" s="111">
        <f t="shared" si="6"/>
        <v>0</v>
      </c>
      <c r="U35" s="111">
        <f t="shared" si="6"/>
        <v>456593.5</v>
      </c>
      <c r="V35" s="111">
        <f>SUM(V28:V34)</f>
        <v>0</v>
      </c>
      <c r="W35" s="111">
        <f>SUM(W28:W34)</f>
        <v>0</v>
      </c>
      <c r="X35" s="111"/>
      <c r="Y35" s="111"/>
      <c r="Z35" s="111">
        <f>SUM(Z28:Z34)</f>
        <v>969612.5</v>
      </c>
      <c r="AA35" s="111">
        <f>SUM(AA28:AA34)</f>
        <v>853019</v>
      </c>
      <c r="AB35" s="146"/>
    </row>
    <row r="36" s="1" customFormat="1" ht="29" customHeight="1" spans="1:28">
      <c r="A36" s="48"/>
      <c r="B36" s="48"/>
      <c r="C36" s="48"/>
      <c r="D36" s="67"/>
      <c r="E36" s="49"/>
      <c r="F36" s="61" t="s">
        <v>327</v>
      </c>
      <c r="G36" s="61"/>
      <c r="H36" s="61"/>
      <c r="I36" s="109">
        <f>SUM(I30:I34)</f>
        <v>914728.77</v>
      </c>
      <c r="J36" s="109">
        <f t="shared" ref="J36:AA36" si="7">SUM(J30:J34)</f>
        <v>54883.73</v>
      </c>
      <c r="K36" s="109">
        <f t="shared" si="7"/>
        <v>969612.5</v>
      </c>
      <c r="L36" s="109">
        <f t="shared" si="7"/>
        <v>0</v>
      </c>
      <c r="M36" s="109">
        <f t="shared" si="7"/>
        <v>0</v>
      </c>
      <c r="N36" s="109">
        <f t="shared" si="7"/>
        <v>0</v>
      </c>
      <c r="O36" s="109">
        <f t="shared" si="7"/>
        <v>0</v>
      </c>
      <c r="P36" s="109">
        <f t="shared" si="7"/>
        <v>0</v>
      </c>
      <c r="Q36" s="109">
        <f t="shared" si="7"/>
        <v>0</v>
      </c>
      <c r="R36" s="109">
        <f t="shared" si="7"/>
        <v>0</v>
      </c>
      <c r="S36" s="109">
        <f t="shared" si="7"/>
        <v>0</v>
      </c>
      <c r="T36" s="109">
        <f t="shared" si="7"/>
        <v>0</v>
      </c>
      <c r="U36" s="109">
        <f t="shared" si="7"/>
        <v>0</v>
      </c>
      <c r="V36" s="109">
        <f t="shared" si="7"/>
        <v>0</v>
      </c>
      <c r="W36" s="109">
        <f t="shared" si="7"/>
        <v>0</v>
      </c>
      <c r="X36" s="109">
        <f t="shared" si="7"/>
        <v>0</v>
      </c>
      <c r="Y36" s="109">
        <f t="shared" si="7"/>
        <v>0</v>
      </c>
      <c r="Z36" s="109">
        <f t="shared" si="7"/>
        <v>969612.5</v>
      </c>
      <c r="AA36" s="109">
        <f t="shared" si="7"/>
        <v>853019</v>
      </c>
      <c r="AB36" s="142"/>
    </row>
    <row r="37" s="1" customFormat="1" ht="27.4" spans="1:28">
      <c r="A37" s="43">
        <v>3</v>
      </c>
      <c r="B37" s="43" t="s">
        <v>54</v>
      </c>
      <c r="C37" s="43" t="s">
        <v>55</v>
      </c>
      <c r="D37" s="43" t="s">
        <v>56</v>
      </c>
      <c r="E37" s="45">
        <v>68192032</v>
      </c>
      <c r="F37" s="45" t="s">
        <v>295</v>
      </c>
      <c r="G37" s="66" t="s">
        <v>57</v>
      </c>
      <c r="H37" s="50" t="s">
        <v>58</v>
      </c>
      <c r="I37" s="94"/>
      <c r="J37" s="94"/>
      <c r="K37" s="94">
        <f t="shared" si="3"/>
        <v>0</v>
      </c>
      <c r="L37" s="94"/>
      <c r="M37" s="94"/>
      <c r="N37" s="94"/>
      <c r="O37" s="94"/>
      <c r="P37" s="94"/>
      <c r="Q37" s="94"/>
      <c r="R37" s="94">
        <v>3409601.6</v>
      </c>
      <c r="S37" s="94">
        <f t="shared" si="4"/>
        <v>3409601.6</v>
      </c>
      <c r="T37" s="133"/>
      <c r="U37" s="134">
        <v>3409601.6</v>
      </c>
      <c r="V37" s="133"/>
      <c r="W37" s="133">
        <f t="shared" si="5"/>
        <v>0</v>
      </c>
      <c r="X37" s="45" t="e">
        <f>K49+F37</f>
        <v>#VALUE!</v>
      </c>
      <c r="Y37" s="45">
        <f>U49+V49</f>
        <v>36666914.82</v>
      </c>
      <c r="Z37" s="145"/>
      <c r="AA37" s="145"/>
      <c r="AB37" s="135"/>
    </row>
    <row r="38" s="1" customFormat="1" ht="25" customHeight="1" spans="1:28">
      <c r="A38" s="48"/>
      <c r="B38" s="48"/>
      <c r="C38" s="48"/>
      <c r="D38" s="48"/>
      <c r="E38" s="49"/>
      <c r="F38" s="49"/>
      <c r="G38" s="69" t="s">
        <v>59</v>
      </c>
      <c r="H38" s="69" t="s">
        <v>60</v>
      </c>
      <c r="I38" s="99">
        <v>636517.45</v>
      </c>
      <c r="J38" s="112">
        <v>621962.02</v>
      </c>
      <c r="K38" s="112">
        <f>I38+I39+I40+J38</f>
        <v>6719203.2</v>
      </c>
      <c r="L38" s="97"/>
      <c r="M38" s="97"/>
      <c r="N38" s="97"/>
      <c r="O38" s="97"/>
      <c r="P38" s="97"/>
      <c r="Q38" s="97"/>
      <c r="R38" s="97">
        <v>-3409601.6</v>
      </c>
      <c r="S38" s="97">
        <f t="shared" si="4"/>
        <v>3309601.6</v>
      </c>
      <c r="T38" s="97"/>
      <c r="U38" s="97">
        <v>3175217.54</v>
      </c>
      <c r="V38" s="97"/>
      <c r="W38" s="97">
        <f t="shared" si="5"/>
        <v>134384.059999999</v>
      </c>
      <c r="X38" s="49"/>
      <c r="Y38" s="49"/>
      <c r="Z38" s="145"/>
      <c r="AA38" s="145"/>
      <c r="AB38" s="69"/>
    </row>
    <row r="39" s="1" customFormat="1" spans="1:28">
      <c r="A39" s="48"/>
      <c r="B39" s="48"/>
      <c r="C39" s="48"/>
      <c r="D39" s="48"/>
      <c r="E39" s="49"/>
      <c r="F39" s="49"/>
      <c r="G39" s="70"/>
      <c r="H39" s="70"/>
      <c r="I39" s="99">
        <v>3153077.71</v>
      </c>
      <c r="J39" s="113"/>
      <c r="K39" s="113"/>
      <c r="L39" s="98"/>
      <c r="M39" s="98"/>
      <c r="N39" s="98"/>
      <c r="O39" s="98"/>
      <c r="P39" s="98"/>
      <c r="Q39" s="98"/>
      <c r="R39" s="98"/>
      <c r="S39" s="98"/>
      <c r="T39" s="98"/>
      <c r="U39" s="98"/>
      <c r="V39" s="98"/>
      <c r="W39" s="98">
        <f t="shared" si="5"/>
        <v>0</v>
      </c>
      <c r="X39" s="49"/>
      <c r="Y39" s="49"/>
      <c r="Z39" s="145"/>
      <c r="AA39" s="145"/>
      <c r="AB39" s="70"/>
    </row>
    <row r="40" s="1" customFormat="1" spans="1:28">
      <c r="A40" s="48"/>
      <c r="B40" s="48"/>
      <c r="C40" s="48"/>
      <c r="D40" s="48"/>
      <c r="E40" s="49"/>
      <c r="F40" s="49"/>
      <c r="G40" s="71"/>
      <c r="H40" s="71"/>
      <c r="I40" s="99">
        <v>2307646.02</v>
      </c>
      <c r="J40" s="114"/>
      <c r="K40" s="114"/>
      <c r="L40" s="115"/>
      <c r="M40" s="115"/>
      <c r="N40" s="115"/>
      <c r="O40" s="115"/>
      <c r="P40" s="115"/>
      <c r="Q40" s="115"/>
      <c r="R40" s="115"/>
      <c r="S40" s="115"/>
      <c r="T40" s="115"/>
      <c r="U40" s="115"/>
      <c r="V40" s="115"/>
      <c r="W40" s="115">
        <f t="shared" si="5"/>
        <v>0</v>
      </c>
      <c r="X40" s="49"/>
      <c r="Y40" s="49"/>
      <c r="Z40" s="145"/>
      <c r="AA40" s="145"/>
      <c r="AB40" s="71"/>
    </row>
    <row r="41" s="1" customFormat="1" ht="58" customHeight="1" spans="1:28">
      <c r="A41" s="48"/>
      <c r="B41" s="48"/>
      <c r="C41" s="48"/>
      <c r="D41" s="48"/>
      <c r="E41" s="49"/>
      <c r="F41" s="49"/>
      <c r="G41" s="72" t="s">
        <v>61</v>
      </c>
      <c r="H41" s="69" t="s">
        <v>62</v>
      </c>
      <c r="I41" s="116">
        <v>12303071.5</v>
      </c>
      <c r="J41" s="117">
        <v>1594936.5</v>
      </c>
      <c r="K41" s="94">
        <f t="shared" ref="K41:K47" si="8">I41+J41</f>
        <v>13898008</v>
      </c>
      <c r="L41" s="94"/>
      <c r="M41" s="94"/>
      <c r="N41" s="94"/>
      <c r="O41" s="94">
        <v>277960.16</v>
      </c>
      <c r="P41" s="94"/>
      <c r="Q41" s="94"/>
      <c r="R41" s="94"/>
      <c r="S41" s="94">
        <f>K41-L41-M41-N41-O41+R41</f>
        <v>13620047.84</v>
      </c>
      <c r="T41" s="133"/>
      <c r="U41" s="134">
        <v>13620047.84</v>
      </c>
      <c r="V41" s="133"/>
      <c r="W41" s="133">
        <f t="shared" si="5"/>
        <v>0</v>
      </c>
      <c r="X41" s="49"/>
      <c r="Y41" s="49"/>
      <c r="Z41" s="145"/>
      <c r="AA41" s="145"/>
      <c r="AB41" s="135"/>
    </row>
    <row r="42" s="1" customFormat="1" ht="37" customHeight="1" spans="1:28">
      <c r="A42" s="48"/>
      <c r="B42" s="48"/>
      <c r="C42" s="48"/>
      <c r="D42" s="48"/>
      <c r="E42" s="49"/>
      <c r="F42" s="49"/>
      <c r="G42" s="73" t="s">
        <v>63</v>
      </c>
      <c r="H42" s="73" t="s">
        <v>64</v>
      </c>
      <c r="I42" s="99">
        <v>2877914.34</v>
      </c>
      <c r="J42" s="95">
        <v>172674.86</v>
      </c>
      <c r="K42" s="95">
        <f t="shared" si="8"/>
        <v>3050589.2</v>
      </c>
      <c r="L42" s="112"/>
      <c r="M42" s="112"/>
      <c r="N42" s="112"/>
      <c r="O42" s="112">
        <v>335960.16</v>
      </c>
      <c r="P42" s="112"/>
      <c r="Q42" s="112"/>
      <c r="R42" s="112">
        <v>0</v>
      </c>
      <c r="S42" s="112">
        <f>K42-L42-M42-N42-O42+R42+K43-600000</f>
        <v>15862047.84</v>
      </c>
      <c r="T42" s="112">
        <v>600000</v>
      </c>
      <c r="U42" s="112">
        <v>15862047.84</v>
      </c>
      <c r="V42" s="401">
        <v>600000</v>
      </c>
      <c r="W42" s="401">
        <f t="shared" si="5"/>
        <v>0</v>
      </c>
      <c r="X42" s="49"/>
      <c r="Y42" s="49"/>
      <c r="Z42" s="145"/>
      <c r="AA42" s="145"/>
      <c r="AB42" s="410"/>
    </row>
    <row r="43" s="1" customFormat="1" ht="37" customHeight="1" spans="1:28">
      <c r="A43" s="48"/>
      <c r="B43" s="48"/>
      <c r="C43" s="48"/>
      <c r="D43" s="48"/>
      <c r="E43" s="49"/>
      <c r="F43" s="49"/>
      <c r="G43" s="73"/>
      <c r="H43" s="73"/>
      <c r="I43" s="99">
        <v>12612310.83</v>
      </c>
      <c r="J43" s="95">
        <v>1135107.97</v>
      </c>
      <c r="K43" s="95">
        <f t="shared" si="8"/>
        <v>13747418.8</v>
      </c>
      <c r="L43" s="113"/>
      <c r="M43" s="113"/>
      <c r="N43" s="113"/>
      <c r="O43" s="113"/>
      <c r="P43" s="113"/>
      <c r="Q43" s="113"/>
      <c r="R43" s="113"/>
      <c r="S43" s="113"/>
      <c r="T43" s="113"/>
      <c r="U43" s="113"/>
      <c r="V43" s="402"/>
      <c r="W43" s="402">
        <f t="shared" si="5"/>
        <v>0</v>
      </c>
      <c r="X43" s="49"/>
      <c r="Y43" s="49"/>
      <c r="Z43" s="145"/>
      <c r="AA43" s="145"/>
      <c r="AB43" s="411"/>
    </row>
    <row r="44" s="1" customFormat="1" ht="30" customHeight="1" spans="1:28">
      <c r="A44" s="48"/>
      <c r="B44" s="48"/>
      <c r="C44" s="48"/>
      <c r="D44" s="48"/>
      <c r="E44" s="49"/>
      <c r="F44" s="49"/>
      <c r="G44" s="74" t="s">
        <v>65</v>
      </c>
      <c r="H44" s="74" t="s">
        <v>66</v>
      </c>
      <c r="I44" s="99">
        <v>9272888.15</v>
      </c>
      <c r="J44" s="99"/>
      <c r="K44" s="94">
        <f t="shared" si="8"/>
        <v>9272888.15</v>
      </c>
      <c r="L44" s="94">
        <v>0</v>
      </c>
      <c r="M44" s="94">
        <v>0</v>
      </c>
      <c r="N44" s="94">
        <v>0</v>
      </c>
      <c r="O44" s="94">
        <v>0</v>
      </c>
      <c r="P44" s="94"/>
      <c r="Q44" s="94"/>
      <c r="R44" s="94">
        <v>0</v>
      </c>
      <c r="S44" s="94">
        <f>K44-L44-M44-N44-O44+R44</f>
        <v>9272888.15</v>
      </c>
      <c r="T44" s="94"/>
      <c r="U44" s="94"/>
      <c r="V44" s="94"/>
      <c r="W44" s="94">
        <f t="shared" si="5"/>
        <v>9272888.15</v>
      </c>
      <c r="X44" s="49"/>
      <c r="Y44" s="49"/>
      <c r="Z44" s="145">
        <f>1756800+2900000</f>
        <v>4656800</v>
      </c>
      <c r="AA44" s="145">
        <f>Z44</f>
        <v>4656800</v>
      </c>
      <c r="AB44" s="145" t="s">
        <v>300</v>
      </c>
    </row>
    <row r="45" s="1" customFormat="1" ht="30" customHeight="1" spans="1:28">
      <c r="A45" s="48"/>
      <c r="B45" s="48"/>
      <c r="C45" s="48"/>
      <c r="D45" s="48"/>
      <c r="E45" s="49"/>
      <c r="F45" s="52" t="s">
        <v>296</v>
      </c>
      <c r="G45" s="53" t="s">
        <v>328</v>
      </c>
      <c r="H45" s="75" t="s">
        <v>329</v>
      </c>
      <c r="I45" s="118">
        <f>-I44</f>
        <v>-9272888.15</v>
      </c>
      <c r="J45" s="101"/>
      <c r="K45" s="101">
        <f t="shared" si="8"/>
        <v>-9272888.15</v>
      </c>
      <c r="L45" s="101"/>
      <c r="M45" s="101"/>
      <c r="N45" s="101"/>
      <c r="O45" s="101"/>
      <c r="P45" s="101"/>
      <c r="Q45" s="101"/>
      <c r="R45" s="101"/>
      <c r="S45" s="101">
        <f t="shared" ref="S45:S48" si="9">K45</f>
        <v>-9272888.15</v>
      </c>
      <c r="T45" s="101"/>
      <c r="U45" s="101"/>
      <c r="V45" s="101"/>
      <c r="W45" s="101">
        <f>S45</f>
        <v>-9272888.15</v>
      </c>
      <c r="X45" s="105"/>
      <c r="Y45" s="105"/>
      <c r="Z45" s="174"/>
      <c r="AA45" s="174"/>
      <c r="AB45" s="145"/>
    </row>
    <row r="46" s="1" customFormat="1" ht="30" customHeight="1" spans="1:28">
      <c r="A46" s="48"/>
      <c r="B46" s="48"/>
      <c r="C46" s="48"/>
      <c r="D46" s="48"/>
      <c r="E46" s="49"/>
      <c r="F46" s="52"/>
      <c r="G46" s="76" t="s">
        <v>330</v>
      </c>
      <c r="H46" s="76" t="s">
        <v>331</v>
      </c>
      <c r="I46" s="118">
        <v>8318111.97</v>
      </c>
      <c r="J46" s="118">
        <v>748630.08</v>
      </c>
      <c r="K46" s="101">
        <f t="shared" si="8"/>
        <v>9066742.05</v>
      </c>
      <c r="L46" s="101"/>
      <c r="M46" s="101"/>
      <c r="N46" s="101"/>
      <c r="O46" s="101">
        <v>201576.1</v>
      </c>
      <c r="P46" s="101"/>
      <c r="Q46" s="101"/>
      <c r="R46" s="101"/>
      <c r="S46" s="101">
        <f t="shared" si="9"/>
        <v>9066742.05</v>
      </c>
      <c r="T46" s="403"/>
      <c r="U46" s="103"/>
      <c r="V46" s="103">
        <v>1756800</v>
      </c>
      <c r="W46" s="403">
        <f>S46+S47-O46-V46</f>
        <v>8120428.7</v>
      </c>
      <c r="X46" s="105"/>
      <c r="Y46" s="105"/>
      <c r="Z46" s="174"/>
      <c r="AA46" s="174"/>
      <c r="AB46" s="145"/>
    </row>
    <row r="47" s="1" customFormat="1" ht="30" customHeight="1" spans="1:28">
      <c r="A47" s="48"/>
      <c r="B47" s="48"/>
      <c r="C47" s="48"/>
      <c r="D47" s="48"/>
      <c r="E47" s="49"/>
      <c r="F47" s="52"/>
      <c r="G47" s="76"/>
      <c r="H47" s="76"/>
      <c r="I47" s="118">
        <v>954776.18</v>
      </c>
      <c r="J47" s="118">
        <v>57286.57</v>
      </c>
      <c r="K47" s="101">
        <f t="shared" si="8"/>
        <v>1012062.75</v>
      </c>
      <c r="L47" s="101"/>
      <c r="M47" s="101"/>
      <c r="N47" s="101"/>
      <c r="O47" s="101"/>
      <c r="P47" s="101"/>
      <c r="Q47" s="101"/>
      <c r="R47" s="101"/>
      <c r="S47" s="101">
        <f t="shared" si="9"/>
        <v>1012062.75</v>
      </c>
      <c r="T47" s="404"/>
      <c r="U47" s="106"/>
      <c r="V47" s="106"/>
      <c r="W47" s="404"/>
      <c r="X47" s="105"/>
      <c r="Y47" s="105"/>
      <c r="Z47" s="174"/>
      <c r="AA47" s="174"/>
      <c r="AB47" s="145"/>
    </row>
    <row r="48" s="1" customFormat="1" ht="58" customHeight="1" spans="1:28">
      <c r="A48" s="48"/>
      <c r="B48" s="48"/>
      <c r="C48" s="48"/>
      <c r="D48" s="48"/>
      <c r="E48" s="49"/>
      <c r="F48" s="52"/>
      <c r="G48" s="388" t="s">
        <v>354</v>
      </c>
      <c r="H48" s="389" t="s">
        <v>355</v>
      </c>
      <c r="I48" s="118"/>
      <c r="J48" s="118"/>
      <c r="K48" s="101"/>
      <c r="L48" s="101"/>
      <c r="M48" s="101"/>
      <c r="N48" s="101"/>
      <c r="O48" s="101"/>
      <c r="P48" s="101"/>
      <c r="Q48" s="101"/>
      <c r="R48" s="101"/>
      <c r="S48" s="101">
        <f t="shared" si="9"/>
        <v>0</v>
      </c>
      <c r="T48" s="101"/>
      <c r="U48" s="101">
        <v>7196228.7</v>
      </c>
      <c r="V48" s="101">
        <v>924200</v>
      </c>
      <c r="W48" s="101">
        <f>-(U48+V48)</f>
        <v>-8120428.7</v>
      </c>
      <c r="X48" s="105"/>
      <c r="Y48" s="105"/>
      <c r="Z48" s="174"/>
      <c r="AA48" s="174"/>
      <c r="AB48" s="145"/>
    </row>
    <row r="49" s="1" customFormat="1" ht="29" customHeight="1" spans="1:28">
      <c r="A49" s="48"/>
      <c r="B49" s="48"/>
      <c r="C49" s="48"/>
      <c r="D49" s="48"/>
      <c r="E49" s="49"/>
      <c r="F49" s="58" t="s">
        <v>326</v>
      </c>
      <c r="G49" s="59"/>
      <c r="H49" s="60"/>
      <c r="I49" s="108">
        <f>SUM(I37:I44)</f>
        <v>43163426</v>
      </c>
      <c r="J49" s="108">
        <f t="shared" ref="J49:W49" si="10">SUM(J37:J44)</f>
        <v>3524681.35</v>
      </c>
      <c r="K49" s="108">
        <f t="shared" si="10"/>
        <v>46688107.35</v>
      </c>
      <c r="L49" s="108">
        <f t="shared" si="10"/>
        <v>0</v>
      </c>
      <c r="M49" s="108">
        <f t="shared" si="10"/>
        <v>0</v>
      </c>
      <c r="N49" s="108">
        <f t="shared" si="10"/>
        <v>0</v>
      </c>
      <c r="O49" s="108">
        <f t="shared" si="10"/>
        <v>613920.32</v>
      </c>
      <c r="P49" s="108">
        <f t="shared" si="10"/>
        <v>0</v>
      </c>
      <c r="Q49" s="108">
        <f t="shared" si="10"/>
        <v>0</v>
      </c>
      <c r="R49" s="108">
        <f t="shared" si="10"/>
        <v>0</v>
      </c>
      <c r="S49" s="108">
        <f t="shared" si="10"/>
        <v>45474187.03</v>
      </c>
      <c r="T49" s="111">
        <f t="shared" si="10"/>
        <v>600000</v>
      </c>
      <c r="U49" s="111">
        <f t="shared" si="10"/>
        <v>36066914.82</v>
      </c>
      <c r="V49" s="111">
        <f t="shared" si="10"/>
        <v>600000</v>
      </c>
      <c r="W49" s="111">
        <f t="shared" si="10"/>
        <v>9407272.21</v>
      </c>
      <c r="X49" s="111"/>
      <c r="Y49" s="111"/>
      <c r="Z49" s="111">
        <f>SUM(Z37:Z44)</f>
        <v>4656800</v>
      </c>
      <c r="AA49" s="111">
        <f>SUM(AA37:AA44)</f>
        <v>4656800</v>
      </c>
      <c r="AB49" s="146"/>
    </row>
    <row r="50" s="1" customFormat="1" ht="29" customHeight="1" spans="1:28">
      <c r="A50" s="48"/>
      <c r="B50" s="48"/>
      <c r="C50" s="48"/>
      <c r="D50" s="48"/>
      <c r="E50" s="49"/>
      <c r="F50" s="61" t="s">
        <v>327</v>
      </c>
      <c r="G50" s="61"/>
      <c r="H50" s="61"/>
      <c r="I50" s="109">
        <f>SUM(I45:I48)</f>
        <v>-5.82076609134674e-10</v>
      </c>
      <c r="J50" s="109">
        <f t="shared" ref="J50:AA50" si="11">SUM(J45:J48)</f>
        <v>805916.65</v>
      </c>
      <c r="K50" s="109">
        <f t="shared" si="11"/>
        <v>805916.649999999</v>
      </c>
      <c r="L50" s="109">
        <f t="shared" si="11"/>
        <v>0</v>
      </c>
      <c r="M50" s="109">
        <f t="shared" si="11"/>
        <v>0</v>
      </c>
      <c r="N50" s="109">
        <f t="shared" si="11"/>
        <v>0</v>
      </c>
      <c r="O50" s="109">
        <f t="shared" si="11"/>
        <v>201576.1</v>
      </c>
      <c r="P50" s="109">
        <f t="shared" si="11"/>
        <v>0</v>
      </c>
      <c r="Q50" s="109">
        <f t="shared" si="11"/>
        <v>0</v>
      </c>
      <c r="R50" s="109">
        <f t="shared" si="11"/>
        <v>0</v>
      </c>
      <c r="S50" s="109">
        <f t="shared" si="11"/>
        <v>805916.649999999</v>
      </c>
      <c r="T50" s="109">
        <f t="shared" si="11"/>
        <v>0</v>
      </c>
      <c r="U50" s="109">
        <f t="shared" si="11"/>
        <v>7196228.7</v>
      </c>
      <c r="V50" s="109">
        <f t="shared" si="11"/>
        <v>2681000</v>
      </c>
      <c r="W50" s="109">
        <f t="shared" si="11"/>
        <v>-9272888.15</v>
      </c>
      <c r="X50" s="109">
        <f t="shared" si="11"/>
        <v>0</v>
      </c>
      <c r="Y50" s="109">
        <f t="shared" si="11"/>
        <v>0</v>
      </c>
      <c r="Z50" s="109">
        <f t="shared" si="11"/>
        <v>0</v>
      </c>
      <c r="AA50" s="109">
        <f t="shared" si="11"/>
        <v>0</v>
      </c>
      <c r="AB50" s="142"/>
    </row>
    <row r="51" s="1" customFormat="1" ht="39" customHeight="1" spans="1:28">
      <c r="A51" s="43">
        <v>4</v>
      </c>
      <c r="B51" s="43" t="s">
        <v>67</v>
      </c>
      <c r="C51" s="43" t="s">
        <v>68</v>
      </c>
      <c r="D51" s="65" t="s">
        <v>69</v>
      </c>
      <c r="E51" s="45">
        <v>31370181</v>
      </c>
      <c r="F51" s="43" t="s">
        <v>295</v>
      </c>
      <c r="G51" s="66" t="s">
        <v>70</v>
      </c>
      <c r="H51" s="66" t="s">
        <v>71</v>
      </c>
      <c r="I51" s="94"/>
      <c r="J51" s="94"/>
      <c r="K51" s="94">
        <f>I51+J51</f>
        <v>0</v>
      </c>
      <c r="L51" s="94"/>
      <c r="M51" s="94"/>
      <c r="N51" s="94"/>
      <c r="O51" s="94"/>
      <c r="P51" s="94"/>
      <c r="Q51" s="94"/>
      <c r="R51" s="94">
        <v>3137018.1</v>
      </c>
      <c r="S51" s="94">
        <f t="shared" ref="S51:S53" si="12">K51-L51-M51-N51-O51+R51</f>
        <v>3137018.1</v>
      </c>
      <c r="T51" s="94"/>
      <c r="U51" s="94">
        <v>3137018.1</v>
      </c>
      <c r="V51" s="94"/>
      <c r="W51" s="133">
        <f t="shared" ref="W51:W53" si="13">S51+T51-U51-V51</f>
        <v>0</v>
      </c>
      <c r="X51" s="45" t="e">
        <f>K58+F51</f>
        <v>#VALUE!</v>
      </c>
      <c r="Y51" s="45">
        <f>U58</f>
        <v>25096144.8</v>
      </c>
      <c r="Z51" s="145"/>
      <c r="AA51" s="145">
        <v>0</v>
      </c>
      <c r="AB51" s="135"/>
    </row>
    <row r="52" s="1" customFormat="1" ht="51" customHeight="1" spans="1:28">
      <c r="A52" s="48"/>
      <c r="B52" s="48"/>
      <c r="C52" s="48"/>
      <c r="D52" s="67"/>
      <c r="E52" s="49"/>
      <c r="F52" s="48"/>
      <c r="G52" s="66" t="s">
        <v>72</v>
      </c>
      <c r="H52" s="78" t="s">
        <v>73</v>
      </c>
      <c r="I52" s="95">
        <v>16656733.21</v>
      </c>
      <c r="J52" s="95">
        <v>2165375.39</v>
      </c>
      <c r="K52" s="95">
        <f>I52+J52</f>
        <v>18822108.6</v>
      </c>
      <c r="L52" s="95"/>
      <c r="M52" s="95"/>
      <c r="N52" s="95"/>
      <c r="O52" s="95"/>
      <c r="P52" s="95"/>
      <c r="Q52" s="95"/>
      <c r="R52" s="95">
        <v>-3137018.1</v>
      </c>
      <c r="S52" s="95">
        <f t="shared" si="12"/>
        <v>15685090.5</v>
      </c>
      <c r="T52" s="95"/>
      <c r="U52" s="95">
        <v>15685090.5</v>
      </c>
      <c r="V52" s="405"/>
      <c r="W52" s="133">
        <f t="shared" si="13"/>
        <v>0</v>
      </c>
      <c r="X52" s="49"/>
      <c r="Y52" s="49"/>
      <c r="Z52" s="145"/>
      <c r="AA52" s="145"/>
      <c r="AB52" s="135"/>
    </row>
    <row r="53" s="1" customFormat="1" ht="42" customHeight="1" spans="1:28">
      <c r="A53" s="48"/>
      <c r="B53" s="48"/>
      <c r="C53" s="48"/>
      <c r="D53" s="67"/>
      <c r="E53" s="49"/>
      <c r="F53" s="48"/>
      <c r="G53" s="79" t="s">
        <v>74</v>
      </c>
      <c r="H53" s="80" t="s">
        <v>75</v>
      </c>
      <c r="I53" s="120">
        <v>9253740.7</v>
      </c>
      <c r="J53" s="120">
        <f>K53-I53</f>
        <v>1202986.3</v>
      </c>
      <c r="K53" s="120">
        <v>10456727</v>
      </c>
      <c r="L53" s="120">
        <v>0</v>
      </c>
      <c r="M53" s="94">
        <v>0</v>
      </c>
      <c r="N53" s="94">
        <v>0</v>
      </c>
      <c r="O53" s="94">
        <v>0</v>
      </c>
      <c r="P53" s="94"/>
      <c r="Q53" s="94"/>
      <c r="R53" s="94">
        <v>0</v>
      </c>
      <c r="S53" s="94">
        <f t="shared" si="12"/>
        <v>10456727</v>
      </c>
      <c r="T53" s="94">
        <v>0</v>
      </c>
      <c r="U53" s="94">
        <v>6274036.2</v>
      </c>
      <c r="V53" s="94"/>
      <c r="W53" s="133">
        <f t="shared" si="13"/>
        <v>4182690.8</v>
      </c>
      <c r="X53" s="49"/>
      <c r="Y53" s="49"/>
      <c r="Z53" s="174"/>
      <c r="AA53" s="174"/>
      <c r="AB53" s="135"/>
    </row>
    <row r="54" s="1" customFormat="1" ht="42" customHeight="1" spans="1:28">
      <c r="A54" s="48"/>
      <c r="B54" s="48"/>
      <c r="C54" s="48"/>
      <c r="D54" s="67"/>
      <c r="E54" s="49"/>
      <c r="F54" s="255" t="s">
        <v>296</v>
      </c>
      <c r="G54" s="53" t="s">
        <v>356</v>
      </c>
      <c r="H54" s="68" t="s">
        <v>357</v>
      </c>
      <c r="I54" s="101"/>
      <c r="J54" s="101"/>
      <c r="K54" s="101"/>
      <c r="L54" s="101"/>
      <c r="M54" s="101"/>
      <c r="N54" s="101"/>
      <c r="O54" s="101"/>
      <c r="P54" s="101"/>
      <c r="Q54" s="101"/>
      <c r="R54" s="101"/>
      <c r="S54" s="101"/>
      <c r="T54" s="101"/>
      <c r="U54" s="101">
        <v>3130000</v>
      </c>
      <c r="V54" s="101"/>
      <c r="W54" s="143">
        <f>-U54</f>
        <v>-3130000</v>
      </c>
      <c r="X54" s="49"/>
      <c r="Y54" s="49"/>
      <c r="Z54" s="174"/>
      <c r="AA54" s="174"/>
      <c r="AB54" s="135"/>
    </row>
    <row r="55" s="1" customFormat="1" ht="42" customHeight="1" spans="1:28">
      <c r="A55" s="48"/>
      <c r="B55" s="48"/>
      <c r="C55" s="48"/>
      <c r="D55" s="67"/>
      <c r="E55" s="49"/>
      <c r="F55" s="255"/>
      <c r="G55" s="53"/>
      <c r="H55" s="68"/>
      <c r="I55" s="101"/>
      <c r="J55" s="101"/>
      <c r="K55" s="101"/>
      <c r="L55" s="101"/>
      <c r="M55" s="101"/>
      <c r="N55" s="101"/>
      <c r="O55" s="101"/>
      <c r="P55" s="101"/>
      <c r="Q55" s="101"/>
      <c r="R55" s="101"/>
      <c r="S55" s="101"/>
      <c r="T55" s="101"/>
      <c r="U55" s="101"/>
      <c r="V55" s="101"/>
      <c r="W55" s="143"/>
      <c r="X55" s="49"/>
      <c r="Y55" s="49"/>
      <c r="Z55" s="174"/>
      <c r="AA55" s="174"/>
      <c r="AB55" s="135"/>
    </row>
    <row r="56" s="1" customFormat="1" ht="42" customHeight="1" spans="1:28">
      <c r="A56" s="48"/>
      <c r="B56" s="48"/>
      <c r="C56" s="48"/>
      <c r="D56" s="67"/>
      <c r="E56" s="49"/>
      <c r="F56" s="255"/>
      <c r="G56" s="53"/>
      <c r="H56" s="68"/>
      <c r="I56" s="101"/>
      <c r="J56" s="101"/>
      <c r="K56" s="101"/>
      <c r="L56" s="101"/>
      <c r="M56" s="101"/>
      <c r="N56" s="101"/>
      <c r="O56" s="101"/>
      <c r="P56" s="101"/>
      <c r="Q56" s="101"/>
      <c r="R56" s="101"/>
      <c r="S56" s="101"/>
      <c r="T56" s="101"/>
      <c r="U56" s="101"/>
      <c r="V56" s="101"/>
      <c r="W56" s="143"/>
      <c r="X56" s="49"/>
      <c r="Y56" s="49"/>
      <c r="Z56" s="174"/>
      <c r="AA56" s="174"/>
      <c r="AB56" s="135"/>
    </row>
    <row r="57" s="1" customFormat="1" ht="42" customHeight="1" spans="1:28">
      <c r="A57" s="48"/>
      <c r="B57" s="48"/>
      <c r="C57" s="48"/>
      <c r="D57" s="67"/>
      <c r="E57" s="49"/>
      <c r="F57" s="255"/>
      <c r="G57" s="53"/>
      <c r="H57" s="68"/>
      <c r="I57" s="101"/>
      <c r="J57" s="101"/>
      <c r="K57" s="101"/>
      <c r="L57" s="101"/>
      <c r="M57" s="101"/>
      <c r="N57" s="101"/>
      <c r="O57" s="101"/>
      <c r="P57" s="101"/>
      <c r="Q57" s="101"/>
      <c r="R57" s="101"/>
      <c r="S57" s="101"/>
      <c r="T57" s="101"/>
      <c r="U57" s="101"/>
      <c r="V57" s="101"/>
      <c r="W57" s="143"/>
      <c r="X57" s="49"/>
      <c r="Y57" s="49"/>
      <c r="Z57" s="174"/>
      <c r="AA57" s="174"/>
      <c r="AB57" s="135"/>
    </row>
    <row r="58" s="1" customFormat="1" ht="26" customHeight="1" spans="1:28">
      <c r="A58" s="48"/>
      <c r="B58" s="48"/>
      <c r="C58" s="48"/>
      <c r="D58" s="67"/>
      <c r="E58" s="49"/>
      <c r="F58" s="58" t="s">
        <v>326</v>
      </c>
      <c r="G58" s="59"/>
      <c r="H58" s="60"/>
      <c r="I58" s="108">
        <f>SUM(I51:I53)</f>
        <v>25910473.91</v>
      </c>
      <c r="J58" s="108">
        <f>SUM(J51:J53)</f>
        <v>3368361.69</v>
      </c>
      <c r="K58" s="111">
        <f>I58+J58</f>
        <v>29278835.6</v>
      </c>
      <c r="L58" s="111"/>
      <c r="M58" s="111"/>
      <c r="N58" s="111"/>
      <c r="O58" s="111"/>
      <c r="P58" s="111"/>
      <c r="Q58" s="111"/>
      <c r="R58" s="111">
        <f t="shared" ref="R58:W58" si="14">SUM(R51:R53)</f>
        <v>0</v>
      </c>
      <c r="S58" s="147">
        <f t="shared" ref="S58:S61" si="15">K58-L58-M58-N58-O58+R58</f>
        <v>29278835.6</v>
      </c>
      <c r="T58" s="147"/>
      <c r="U58" s="111">
        <f t="shared" si="14"/>
        <v>25096144.8</v>
      </c>
      <c r="V58" s="111">
        <f t="shared" si="14"/>
        <v>0</v>
      </c>
      <c r="W58" s="111">
        <f t="shared" si="14"/>
        <v>4182690.8</v>
      </c>
      <c r="X58" s="81"/>
      <c r="Y58" s="81"/>
      <c r="Z58" s="188">
        <f>SUM(Z51:Z53)</f>
        <v>0</v>
      </c>
      <c r="AA58" s="188">
        <f>SUM(AA51:AA53)</f>
        <v>0</v>
      </c>
      <c r="AB58" s="146"/>
    </row>
    <row r="59" s="1" customFormat="1" ht="26" customHeight="1" spans="1:28">
      <c r="A59" s="48"/>
      <c r="B59" s="48"/>
      <c r="C59" s="48"/>
      <c r="D59" s="67"/>
      <c r="E59" s="81"/>
      <c r="F59" s="61" t="s">
        <v>327</v>
      </c>
      <c r="G59" s="61"/>
      <c r="H59" s="61"/>
      <c r="I59" s="109">
        <f>SUM(I54:I57)</f>
        <v>0</v>
      </c>
      <c r="J59" s="109">
        <f t="shared" ref="I59:AA59" si="16">SUM(J54:J57)</f>
        <v>0</v>
      </c>
      <c r="K59" s="109">
        <f t="shared" si="16"/>
        <v>0</v>
      </c>
      <c r="L59" s="109">
        <f t="shared" si="16"/>
        <v>0</v>
      </c>
      <c r="M59" s="109">
        <f t="shared" si="16"/>
        <v>0</v>
      </c>
      <c r="N59" s="109">
        <f t="shared" si="16"/>
        <v>0</v>
      </c>
      <c r="O59" s="109">
        <f t="shared" si="16"/>
        <v>0</v>
      </c>
      <c r="P59" s="109">
        <f t="shared" si="16"/>
        <v>0</v>
      </c>
      <c r="Q59" s="109">
        <f t="shared" si="16"/>
        <v>0</v>
      </c>
      <c r="R59" s="109">
        <f t="shared" si="16"/>
        <v>0</v>
      </c>
      <c r="S59" s="109">
        <f t="shared" si="16"/>
        <v>0</v>
      </c>
      <c r="T59" s="109">
        <f t="shared" si="16"/>
        <v>0</v>
      </c>
      <c r="U59" s="109">
        <f t="shared" si="16"/>
        <v>3130000</v>
      </c>
      <c r="V59" s="109">
        <f t="shared" si="16"/>
        <v>0</v>
      </c>
      <c r="W59" s="109">
        <f t="shared" si="16"/>
        <v>-3130000</v>
      </c>
      <c r="X59" s="108">
        <f t="shared" si="16"/>
        <v>0</v>
      </c>
      <c r="Y59" s="108">
        <f t="shared" si="16"/>
        <v>0</v>
      </c>
      <c r="Z59" s="108">
        <f t="shared" si="16"/>
        <v>0</v>
      </c>
      <c r="AA59" s="108">
        <f t="shared" si="16"/>
        <v>0</v>
      </c>
      <c r="AB59" s="146"/>
    </row>
    <row r="60" s="1" customFormat="1" ht="38" customHeight="1" spans="1:28">
      <c r="A60" s="43">
        <v>5</v>
      </c>
      <c r="B60" s="43" t="s">
        <v>76</v>
      </c>
      <c r="C60" s="43" t="s">
        <v>77</v>
      </c>
      <c r="D60" s="43" t="s">
        <v>78</v>
      </c>
      <c r="E60" s="45">
        <v>98880000</v>
      </c>
      <c r="F60" s="45" t="s">
        <v>301</v>
      </c>
      <c r="G60" s="82" t="s">
        <v>79</v>
      </c>
      <c r="H60" s="82" t="s">
        <v>80</v>
      </c>
      <c r="I60" s="94"/>
      <c r="J60" s="94"/>
      <c r="K60" s="94">
        <f>I60+J60</f>
        <v>0</v>
      </c>
      <c r="L60" s="94"/>
      <c r="M60" s="94"/>
      <c r="N60" s="94"/>
      <c r="O60" s="94"/>
      <c r="P60" s="94"/>
      <c r="Q60" s="94"/>
      <c r="R60" s="94">
        <v>9888000</v>
      </c>
      <c r="S60" s="94">
        <f t="shared" si="15"/>
        <v>9888000</v>
      </c>
      <c r="T60" s="94"/>
      <c r="U60" s="94">
        <v>9888000</v>
      </c>
      <c r="V60" s="94"/>
      <c r="W60" s="94">
        <f>S60+T60-U60-V60</f>
        <v>0</v>
      </c>
      <c r="X60" s="45" t="e">
        <f>K68+F60</f>
        <v>#VALUE!</v>
      </c>
      <c r="Y60" s="45" t="e">
        <f>U68+F60</f>
        <v>#VALUE!</v>
      </c>
      <c r="Z60" s="145"/>
      <c r="AA60" s="145">
        <v>0</v>
      </c>
      <c r="AB60" s="145"/>
    </row>
    <row r="61" s="1" customFormat="1" ht="47" customHeight="1" spans="1:28">
      <c r="A61" s="48"/>
      <c r="B61" s="48"/>
      <c r="C61" s="48"/>
      <c r="D61" s="48"/>
      <c r="E61" s="49"/>
      <c r="F61" s="49"/>
      <c r="G61" s="50" t="s">
        <v>81</v>
      </c>
      <c r="H61" s="83" t="s">
        <v>82</v>
      </c>
      <c r="I61" s="112">
        <f>K61-J61</f>
        <v>70003539.82</v>
      </c>
      <c r="J61" s="112">
        <v>9100460.18</v>
      </c>
      <c r="K61" s="112">
        <v>79104000</v>
      </c>
      <c r="L61" s="112"/>
      <c r="M61" s="112"/>
      <c r="N61" s="112"/>
      <c r="O61" s="112"/>
      <c r="P61" s="112"/>
      <c r="Q61" s="112"/>
      <c r="R61" s="112">
        <v>-9888000</v>
      </c>
      <c r="S61" s="112">
        <f t="shared" si="15"/>
        <v>69216000</v>
      </c>
      <c r="T61" s="45"/>
      <c r="U61" s="148">
        <v>29664000</v>
      </c>
      <c r="V61" s="45"/>
      <c r="W61" s="45">
        <f>S61+T61-U61-U63</f>
        <v>0</v>
      </c>
      <c r="X61" s="49"/>
      <c r="Y61" s="49"/>
      <c r="Z61" s="145"/>
      <c r="AA61" s="145"/>
      <c r="AB61" s="45"/>
    </row>
    <row r="62" s="1" customFormat="1" ht="47" customHeight="1" spans="1:28">
      <c r="A62" s="48"/>
      <c r="B62" s="48"/>
      <c r="C62" s="48"/>
      <c r="D62" s="48"/>
      <c r="E62" s="49"/>
      <c r="F62" s="49"/>
      <c r="G62" s="50" t="s">
        <v>83</v>
      </c>
      <c r="H62" s="83" t="s">
        <v>84</v>
      </c>
      <c r="I62" s="113"/>
      <c r="J62" s="113"/>
      <c r="K62" s="113"/>
      <c r="L62" s="113"/>
      <c r="M62" s="113"/>
      <c r="N62" s="113"/>
      <c r="O62" s="113"/>
      <c r="P62" s="113"/>
      <c r="Q62" s="113"/>
      <c r="R62" s="113"/>
      <c r="S62" s="113"/>
      <c r="T62" s="49"/>
      <c r="U62" s="149"/>
      <c r="V62" s="49"/>
      <c r="W62" s="49">
        <f>S62+T62-U62-V62</f>
        <v>0</v>
      </c>
      <c r="X62" s="49"/>
      <c r="Y62" s="49"/>
      <c r="Z62" s="145"/>
      <c r="AA62" s="145"/>
      <c r="AB62" s="49"/>
    </row>
    <row r="63" s="1" customFormat="1" ht="47" customHeight="1" spans="1:28">
      <c r="A63" s="48"/>
      <c r="B63" s="48"/>
      <c r="C63" s="48"/>
      <c r="D63" s="48"/>
      <c r="E63" s="49"/>
      <c r="F63" s="81"/>
      <c r="G63" s="50" t="s">
        <v>85</v>
      </c>
      <c r="H63" s="83" t="s">
        <v>86</v>
      </c>
      <c r="I63" s="114"/>
      <c r="J63" s="114"/>
      <c r="K63" s="114"/>
      <c r="L63" s="114"/>
      <c r="M63" s="114"/>
      <c r="N63" s="114"/>
      <c r="O63" s="114"/>
      <c r="P63" s="114"/>
      <c r="Q63" s="114"/>
      <c r="R63" s="114"/>
      <c r="S63" s="114"/>
      <c r="T63" s="81"/>
      <c r="U63" s="149">
        <v>39552000</v>
      </c>
      <c r="V63" s="81"/>
      <c r="W63" s="81"/>
      <c r="X63" s="49"/>
      <c r="Y63" s="49"/>
      <c r="Z63" s="145"/>
      <c r="AA63" s="145"/>
      <c r="AB63" s="81"/>
    </row>
    <row r="64" s="1" customFormat="1" ht="47" customHeight="1" spans="1:28">
      <c r="A64" s="48"/>
      <c r="B64" s="48"/>
      <c r="C64" s="48"/>
      <c r="D64" s="48"/>
      <c r="E64" s="49"/>
      <c r="F64" s="103" t="s">
        <v>319</v>
      </c>
      <c r="G64" s="53" t="s">
        <v>358</v>
      </c>
      <c r="H64" s="202" t="s">
        <v>359</v>
      </c>
      <c r="I64" s="202">
        <v>17500884.96</v>
      </c>
      <c r="J64" s="202">
        <v>2275115.04</v>
      </c>
      <c r="K64" s="202">
        <f>J64+I64</f>
        <v>19776000</v>
      </c>
      <c r="L64" s="202"/>
      <c r="M64" s="202"/>
      <c r="N64" s="202"/>
      <c r="O64" s="202"/>
      <c r="P64" s="202"/>
      <c r="Q64" s="202"/>
      <c r="R64" s="202"/>
      <c r="S64" s="202">
        <f>K64</f>
        <v>19776000</v>
      </c>
      <c r="T64" s="106"/>
      <c r="U64" s="206">
        <v>2432415.3</v>
      </c>
      <c r="V64" s="106"/>
      <c r="W64" s="106">
        <f>S64-U64</f>
        <v>17343584.7</v>
      </c>
      <c r="X64" s="49"/>
      <c r="Y64" s="49"/>
      <c r="Z64" s="174"/>
      <c r="AA64" s="174"/>
      <c r="AB64" s="81"/>
    </row>
    <row r="65" s="1" customFormat="1" ht="47" customHeight="1" spans="1:28">
      <c r="A65" s="48"/>
      <c r="B65" s="48"/>
      <c r="C65" s="48"/>
      <c r="D65" s="48"/>
      <c r="E65" s="49"/>
      <c r="F65" s="105"/>
      <c r="G65" s="53"/>
      <c r="H65" s="151"/>
      <c r="I65" s="202"/>
      <c r="J65" s="202"/>
      <c r="K65" s="202"/>
      <c r="L65" s="202"/>
      <c r="M65" s="202"/>
      <c r="N65" s="202"/>
      <c r="O65" s="202"/>
      <c r="P65" s="202"/>
      <c r="Q65" s="202"/>
      <c r="R65" s="202"/>
      <c r="S65" s="202"/>
      <c r="T65" s="106"/>
      <c r="U65" s="206"/>
      <c r="V65" s="106"/>
      <c r="W65" s="106"/>
      <c r="X65" s="49"/>
      <c r="Y65" s="49"/>
      <c r="Z65" s="174"/>
      <c r="AA65" s="174"/>
      <c r="AB65" s="81"/>
    </row>
    <row r="66" s="1" customFormat="1" ht="47" customHeight="1" spans="1:28">
      <c r="A66" s="48"/>
      <c r="B66" s="48"/>
      <c r="C66" s="48"/>
      <c r="D66" s="48"/>
      <c r="E66" s="49"/>
      <c r="F66" s="105"/>
      <c r="G66" s="53"/>
      <c r="H66" s="151"/>
      <c r="I66" s="202"/>
      <c r="J66" s="202"/>
      <c r="K66" s="202"/>
      <c r="L66" s="202"/>
      <c r="M66" s="202"/>
      <c r="N66" s="202"/>
      <c r="O66" s="202"/>
      <c r="P66" s="202"/>
      <c r="Q66" s="202"/>
      <c r="R66" s="202"/>
      <c r="S66" s="202"/>
      <c r="T66" s="106"/>
      <c r="U66" s="206"/>
      <c r="V66" s="106"/>
      <c r="W66" s="106"/>
      <c r="X66" s="49"/>
      <c r="Y66" s="49"/>
      <c r="Z66" s="174"/>
      <c r="AA66" s="174"/>
      <c r="AB66" s="81"/>
    </row>
    <row r="67" s="1" customFormat="1" ht="47" customHeight="1" spans="1:28">
      <c r="A67" s="48"/>
      <c r="B67" s="48"/>
      <c r="C67" s="48"/>
      <c r="D67" s="48"/>
      <c r="E67" s="49"/>
      <c r="F67" s="106"/>
      <c r="G67" s="53"/>
      <c r="H67" s="151"/>
      <c r="I67" s="202"/>
      <c r="J67" s="202"/>
      <c r="K67" s="202"/>
      <c r="L67" s="202"/>
      <c r="M67" s="202"/>
      <c r="N67" s="202"/>
      <c r="O67" s="202"/>
      <c r="P67" s="202"/>
      <c r="Q67" s="202"/>
      <c r="R67" s="202"/>
      <c r="S67" s="202"/>
      <c r="T67" s="106"/>
      <c r="U67" s="206"/>
      <c r="V67" s="106"/>
      <c r="W67" s="106"/>
      <c r="X67" s="49"/>
      <c r="Y67" s="49"/>
      <c r="Z67" s="174"/>
      <c r="AA67" s="174"/>
      <c r="AB67" s="81"/>
    </row>
    <row r="68" s="1" customFormat="1" ht="39" customHeight="1" spans="1:28">
      <c r="A68" s="48"/>
      <c r="B68" s="48"/>
      <c r="C68" s="48"/>
      <c r="D68" s="48"/>
      <c r="E68" s="49"/>
      <c r="F68" s="58" t="s">
        <v>326</v>
      </c>
      <c r="G68" s="59"/>
      <c r="H68" s="60"/>
      <c r="I68" s="108">
        <f>SUM(I60:I63)</f>
        <v>70003539.82</v>
      </c>
      <c r="J68" s="108">
        <f t="shared" ref="I68:O68" si="17">SUM(J60:J63)</f>
        <v>9100460.18</v>
      </c>
      <c r="K68" s="108">
        <f t="shared" si="17"/>
        <v>79104000</v>
      </c>
      <c r="L68" s="108">
        <f t="shared" si="17"/>
        <v>0</v>
      </c>
      <c r="M68" s="108">
        <f t="shared" si="17"/>
        <v>0</v>
      </c>
      <c r="N68" s="108">
        <f t="shared" si="17"/>
        <v>0</v>
      </c>
      <c r="O68" s="108">
        <f t="shared" si="17"/>
        <v>0</v>
      </c>
      <c r="P68" s="108"/>
      <c r="Q68" s="108">
        <f t="shared" ref="Q68:U68" si="18">SUM(Q60:Q63)</f>
        <v>0</v>
      </c>
      <c r="R68" s="108">
        <f t="shared" si="18"/>
        <v>0</v>
      </c>
      <c r="S68" s="108">
        <f t="shared" si="18"/>
        <v>79104000</v>
      </c>
      <c r="T68" s="108">
        <f t="shared" si="18"/>
        <v>0</v>
      </c>
      <c r="U68" s="108">
        <f t="shared" si="18"/>
        <v>79104000</v>
      </c>
      <c r="V68" s="108"/>
      <c r="W68" s="108">
        <f t="shared" ref="W68:W93" si="19">S68+T68-U68-V68</f>
        <v>0</v>
      </c>
      <c r="X68" s="81"/>
      <c r="Y68" s="81"/>
      <c r="Z68" s="188">
        <f>SUM(Z60:Z61)</f>
        <v>0</v>
      </c>
      <c r="AA68" s="188">
        <f>SUM(AA60:AA61)</f>
        <v>0</v>
      </c>
      <c r="AB68" s="188"/>
    </row>
    <row r="69" s="1" customFormat="1" ht="39" customHeight="1" spans="1:28">
      <c r="A69" s="48"/>
      <c r="B69" s="48"/>
      <c r="C69" s="48"/>
      <c r="D69" s="48"/>
      <c r="E69" s="49"/>
      <c r="F69" s="61" t="s">
        <v>327</v>
      </c>
      <c r="G69" s="61"/>
      <c r="H69" s="61"/>
      <c r="I69" s="109">
        <f>SUM(I64:I67)</f>
        <v>17500884.96</v>
      </c>
      <c r="J69" s="109">
        <f t="shared" ref="I69:AA69" si="20">SUM(J64:J67)</f>
        <v>2275115.04</v>
      </c>
      <c r="K69" s="109">
        <f t="shared" si="20"/>
        <v>19776000</v>
      </c>
      <c r="L69" s="109">
        <f t="shared" si="20"/>
        <v>0</v>
      </c>
      <c r="M69" s="109">
        <f t="shared" si="20"/>
        <v>0</v>
      </c>
      <c r="N69" s="109">
        <f t="shared" si="20"/>
        <v>0</v>
      </c>
      <c r="O69" s="109">
        <f t="shared" si="20"/>
        <v>0</v>
      </c>
      <c r="P69" s="109">
        <f t="shared" si="20"/>
        <v>0</v>
      </c>
      <c r="Q69" s="109">
        <f t="shared" si="20"/>
        <v>0</v>
      </c>
      <c r="R69" s="109">
        <f t="shared" si="20"/>
        <v>0</v>
      </c>
      <c r="S69" s="109">
        <f t="shared" si="20"/>
        <v>19776000</v>
      </c>
      <c r="T69" s="109">
        <f t="shared" si="20"/>
        <v>0</v>
      </c>
      <c r="U69" s="109">
        <f t="shared" si="20"/>
        <v>2432415.3</v>
      </c>
      <c r="V69" s="109">
        <f t="shared" si="20"/>
        <v>0</v>
      </c>
      <c r="W69" s="109">
        <f t="shared" si="20"/>
        <v>17343584.7</v>
      </c>
      <c r="X69" s="109">
        <f t="shared" si="20"/>
        <v>0</v>
      </c>
      <c r="Y69" s="109">
        <f t="shared" si="20"/>
        <v>0</v>
      </c>
      <c r="Z69" s="109">
        <f t="shared" si="20"/>
        <v>0</v>
      </c>
      <c r="AA69" s="109">
        <f t="shared" si="20"/>
        <v>0</v>
      </c>
      <c r="AB69" s="188"/>
    </row>
    <row r="70" s="1" customFormat="1" ht="39" customHeight="1" spans="1:28">
      <c r="A70" s="43">
        <v>6</v>
      </c>
      <c r="B70" s="44" t="s">
        <v>87</v>
      </c>
      <c r="C70" s="43" t="s">
        <v>88</v>
      </c>
      <c r="D70" s="44" t="s">
        <v>35</v>
      </c>
      <c r="E70" s="45">
        <v>950000</v>
      </c>
      <c r="F70" s="46">
        <v>285000</v>
      </c>
      <c r="G70" s="152" t="s">
        <v>89</v>
      </c>
      <c r="H70" s="66" t="s">
        <v>90</v>
      </c>
      <c r="I70" s="94">
        <v>627358.49</v>
      </c>
      <c r="J70" s="94">
        <v>37641.51</v>
      </c>
      <c r="K70" s="94">
        <f t="shared" ref="K70:K82" si="21">I70+J70</f>
        <v>665000</v>
      </c>
      <c r="L70" s="94"/>
      <c r="M70" s="94"/>
      <c r="N70" s="94"/>
      <c r="O70" s="94"/>
      <c r="P70" s="94"/>
      <c r="Q70" s="94"/>
      <c r="R70" s="94"/>
      <c r="S70" s="94">
        <f t="shared" ref="S70:S93" si="22">K70-L70-M70-N70-O70+R70</f>
        <v>665000</v>
      </c>
      <c r="T70" s="94"/>
      <c r="U70" s="94">
        <v>665000</v>
      </c>
      <c r="V70" s="94"/>
      <c r="W70" s="94">
        <f t="shared" si="19"/>
        <v>0</v>
      </c>
      <c r="X70" s="45">
        <f>K71+F70</f>
        <v>950000</v>
      </c>
      <c r="Y70" s="45">
        <f>U71+F70</f>
        <v>950000</v>
      </c>
      <c r="Z70" s="145"/>
      <c r="AA70" s="145"/>
      <c r="AB70" s="145"/>
    </row>
    <row r="71" s="1" customFormat="1" ht="20" customHeight="1" spans="1:28">
      <c r="A71" s="153"/>
      <c r="B71" s="153"/>
      <c r="C71" s="153"/>
      <c r="D71" s="153"/>
      <c r="E71" s="81"/>
      <c r="F71" s="46"/>
      <c r="G71" s="154" t="s">
        <v>46</v>
      </c>
      <c r="H71" s="155"/>
      <c r="I71" s="108">
        <f>SUM(I70)</f>
        <v>627358.49</v>
      </c>
      <c r="J71" s="111">
        <f t="shared" ref="I71:K71" si="23">SUM(J70)</f>
        <v>37641.51</v>
      </c>
      <c r="K71" s="111">
        <f t="shared" si="23"/>
        <v>665000</v>
      </c>
      <c r="L71" s="111"/>
      <c r="M71" s="111"/>
      <c r="N71" s="111"/>
      <c r="O71" s="111"/>
      <c r="P71" s="111"/>
      <c r="Q71" s="111"/>
      <c r="R71" s="111">
        <f t="shared" ref="R71:W71" si="24">SUM(R70)</f>
        <v>0</v>
      </c>
      <c r="S71" s="147">
        <f t="shared" si="22"/>
        <v>665000</v>
      </c>
      <c r="T71" s="147"/>
      <c r="U71" s="111">
        <f t="shared" si="24"/>
        <v>665000</v>
      </c>
      <c r="V71" s="111">
        <f t="shared" si="24"/>
        <v>0</v>
      </c>
      <c r="W71" s="111">
        <f t="shared" si="24"/>
        <v>0</v>
      </c>
      <c r="X71" s="81"/>
      <c r="Y71" s="81"/>
      <c r="Z71" s="188">
        <f>SUM(Z70)</f>
        <v>0</v>
      </c>
      <c r="AA71" s="188">
        <f>SUM(AA70)</f>
        <v>0</v>
      </c>
      <c r="AB71" s="146"/>
    </row>
    <row r="72" s="1" customFormat="1" ht="84" customHeight="1" spans="1:28">
      <c r="A72" s="156">
        <v>7</v>
      </c>
      <c r="B72" s="157" t="s">
        <v>91</v>
      </c>
      <c r="C72" s="158" t="s">
        <v>92</v>
      </c>
      <c r="D72" s="157" t="s">
        <v>93</v>
      </c>
      <c r="E72" s="145">
        <v>299000</v>
      </c>
      <c r="F72" s="145">
        <v>89700</v>
      </c>
      <c r="G72" s="66" t="s">
        <v>94</v>
      </c>
      <c r="H72" s="66" t="s">
        <v>95</v>
      </c>
      <c r="I72" s="94">
        <v>197452.83</v>
      </c>
      <c r="J72" s="94">
        <v>11847.17</v>
      </c>
      <c r="K72" s="94">
        <f t="shared" si="21"/>
        <v>209300</v>
      </c>
      <c r="L72" s="94"/>
      <c r="M72" s="94"/>
      <c r="N72" s="94"/>
      <c r="O72" s="94"/>
      <c r="P72" s="94"/>
      <c r="Q72" s="94"/>
      <c r="R72" s="94"/>
      <c r="S72" s="94">
        <f t="shared" si="22"/>
        <v>209300</v>
      </c>
      <c r="T72" s="94"/>
      <c r="U72" s="94">
        <v>209300</v>
      </c>
      <c r="V72" s="94"/>
      <c r="W72" s="94">
        <f t="shared" si="19"/>
        <v>0</v>
      </c>
      <c r="X72" s="145">
        <f t="shared" ref="X72:X90" si="25">K72+F72</f>
        <v>299000</v>
      </c>
      <c r="Y72" s="145">
        <f t="shared" ref="Y72:Y90" si="26">U72+F72</f>
        <v>299000</v>
      </c>
      <c r="Z72" s="145"/>
      <c r="AA72" s="145"/>
      <c r="AB72" s="145"/>
    </row>
    <row r="73" s="1" customFormat="1" ht="36" customHeight="1" spans="1:28">
      <c r="A73" s="156">
        <v>8</v>
      </c>
      <c r="B73" s="157" t="s">
        <v>96</v>
      </c>
      <c r="C73" s="158" t="s">
        <v>97</v>
      </c>
      <c r="D73" s="157" t="s">
        <v>98</v>
      </c>
      <c r="E73" s="145">
        <v>75800</v>
      </c>
      <c r="F73" s="145">
        <v>37900</v>
      </c>
      <c r="G73" s="66" t="s">
        <v>99</v>
      </c>
      <c r="H73" s="66" t="s">
        <v>100</v>
      </c>
      <c r="I73" s="94">
        <v>35754.72</v>
      </c>
      <c r="J73" s="94">
        <v>2145.28</v>
      </c>
      <c r="K73" s="94">
        <f t="shared" si="21"/>
        <v>37900</v>
      </c>
      <c r="L73" s="94"/>
      <c r="M73" s="94"/>
      <c r="N73" s="94"/>
      <c r="O73" s="94"/>
      <c r="P73" s="94"/>
      <c r="Q73" s="94"/>
      <c r="R73" s="94"/>
      <c r="S73" s="94">
        <f t="shared" si="22"/>
        <v>37900</v>
      </c>
      <c r="T73" s="94"/>
      <c r="U73" s="94">
        <f t="shared" ref="U73:U79" si="27">K73+R73</f>
        <v>37900</v>
      </c>
      <c r="V73" s="94"/>
      <c r="W73" s="94">
        <f t="shared" si="19"/>
        <v>0</v>
      </c>
      <c r="X73" s="145">
        <f t="shared" si="25"/>
        <v>75800</v>
      </c>
      <c r="Y73" s="145">
        <f t="shared" si="26"/>
        <v>75800</v>
      </c>
      <c r="Z73" s="145"/>
      <c r="AA73" s="145"/>
      <c r="AB73" s="145"/>
    </row>
    <row r="74" s="1" customFormat="1" ht="45" customHeight="1" spans="1:28">
      <c r="A74" s="156">
        <v>9</v>
      </c>
      <c r="B74" s="157" t="s">
        <v>101</v>
      </c>
      <c r="C74" s="158" t="s">
        <v>102</v>
      </c>
      <c r="D74" s="157" t="s">
        <v>103</v>
      </c>
      <c r="E74" s="145">
        <v>139000</v>
      </c>
      <c r="F74" s="145">
        <v>0</v>
      </c>
      <c r="G74" s="66" t="s">
        <v>104</v>
      </c>
      <c r="H74" s="66" t="s">
        <v>105</v>
      </c>
      <c r="I74" s="94">
        <v>131132.08</v>
      </c>
      <c r="J74" s="94">
        <v>7867.92000000001</v>
      </c>
      <c r="K74" s="94">
        <f t="shared" si="21"/>
        <v>139000</v>
      </c>
      <c r="L74" s="94"/>
      <c r="M74" s="94"/>
      <c r="N74" s="94"/>
      <c r="O74" s="94"/>
      <c r="P74" s="94"/>
      <c r="Q74" s="94"/>
      <c r="R74" s="94"/>
      <c r="S74" s="94">
        <f t="shared" si="22"/>
        <v>139000</v>
      </c>
      <c r="T74" s="94"/>
      <c r="U74" s="94">
        <f t="shared" si="27"/>
        <v>139000</v>
      </c>
      <c r="V74" s="94"/>
      <c r="W74" s="94">
        <f t="shared" si="19"/>
        <v>0</v>
      </c>
      <c r="X74" s="145">
        <f t="shared" si="25"/>
        <v>139000</v>
      </c>
      <c r="Y74" s="145">
        <f t="shared" si="26"/>
        <v>139000</v>
      </c>
      <c r="Z74" s="145"/>
      <c r="AA74" s="145"/>
      <c r="AB74" s="145"/>
    </row>
    <row r="75" s="1" customFormat="1" ht="36" customHeight="1" spans="1:28">
      <c r="A75" s="156">
        <v>10</v>
      </c>
      <c r="B75" s="157" t="s">
        <v>106</v>
      </c>
      <c r="C75" s="158" t="s">
        <v>107</v>
      </c>
      <c r="D75" s="157" t="s">
        <v>108</v>
      </c>
      <c r="E75" s="145">
        <v>147000</v>
      </c>
      <c r="F75" s="145">
        <v>58800</v>
      </c>
      <c r="G75" s="66" t="s">
        <v>109</v>
      </c>
      <c r="H75" s="66" t="s">
        <v>110</v>
      </c>
      <c r="I75" s="94">
        <v>83207.55</v>
      </c>
      <c r="J75" s="94">
        <v>4992.45</v>
      </c>
      <c r="K75" s="94">
        <f t="shared" si="21"/>
        <v>88200</v>
      </c>
      <c r="L75" s="94"/>
      <c r="M75" s="94"/>
      <c r="N75" s="94"/>
      <c r="O75" s="94"/>
      <c r="P75" s="94"/>
      <c r="Q75" s="94"/>
      <c r="R75" s="94"/>
      <c r="S75" s="94">
        <f t="shared" si="22"/>
        <v>88200</v>
      </c>
      <c r="T75" s="94"/>
      <c r="U75" s="94">
        <f t="shared" si="27"/>
        <v>88200</v>
      </c>
      <c r="V75" s="94"/>
      <c r="W75" s="94">
        <f t="shared" si="19"/>
        <v>0</v>
      </c>
      <c r="X75" s="145">
        <f t="shared" si="25"/>
        <v>147000</v>
      </c>
      <c r="Y75" s="145">
        <f t="shared" si="26"/>
        <v>147000</v>
      </c>
      <c r="Z75" s="145"/>
      <c r="AA75" s="145"/>
      <c r="AB75" s="145"/>
    </row>
    <row r="76" s="1" customFormat="1" ht="36" customHeight="1" spans="1:28">
      <c r="A76" s="156">
        <v>11</v>
      </c>
      <c r="B76" s="157" t="s">
        <v>111</v>
      </c>
      <c r="C76" s="158" t="s">
        <v>112</v>
      </c>
      <c r="D76" s="157" t="s">
        <v>113</v>
      </c>
      <c r="E76" s="145">
        <v>350000</v>
      </c>
      <c r="F76" s="145">
        <v>175000</v>
      </c>
      <c r="G76" s="66" t="s">
        <v>114</v>
      </c>
      <c r="H76" s="66" t="s">
        <v>115</v>
      </c>
      <c r="I76" s="94">
        <v>165094.34</v>
      </c>
      <c r="J76" s="94">
        <v>9905.66</v>
      </c>
      <c r="K76" s="94">
        <f t="shared" si="21"/>
        <v>175000</v>
      </c>
      <c r="L76" s="94"/>
      <c r="M76" s="94"/>
      <c r="N76" s="94"/>
      <c r="O76" s="94"/>
      <c r="P76" s="94"/>
      <c r="Q76" s="94"/>
      <c r="R76" s="94"/>
      <c r="S76" s="94">
        <f t="shared" si="22"/>
        <v>175000</v>
      </c>
      <c r="T76" s="94"/>
      <c r="U76" s="94">
        <f t="shared" si="27"/>
        <v>175000</v>
      </c>
      <c r="V76" s="94"/>
      <c r="W76" s="94">
        <f t="shared" si="19"/>
        <v>0</v>
      </c>
      <c r="X76" s="145">
        <f t="shared" si="25"/>
        <v>350000</v>
      </c>
      <c r="Y76" s="145">
        <f t="shared" si="26"/>
        <v>350000</v>
      </c>
      <c r="Z76" s="145"/>
      <c r="AA76" s="145"/>
      <c r="AB76" s="145"/>
    </row>
    <row r="77" s="1" customFormat="1" ht="71" customHeight="1" spans="1:28">
      <c r="A77" s="156">
        <v>12</v>
      </c>
      <c r="B77" s="157" t="s">
        <v>116</v>
      </c>
      <c r="C77" s="158" t="s">
        <v>117</v>
      </c>
      <c r="D77" s="157" t="s">
        <v>113</v>
      </c>
      <c r="E77" s="145">
        <v>372000</v>
      </c>
      <c r="F77" s="145"/>
      <c r="G77" s="66" t="s">
        <v>118</v>
      </c>
      <c r="H77" s="66" t="s">
        <v>119</v>
      </c>
      <c r="I77" s="94">
        <v>350943.4</v>
      </c>
      <c r="J77" s="94">
        <v>21056.6</v>
      </c>
      <c r="K77" s="94">
        <f t="shared" si="21"/>
        <v>372000</v>
      </c>
      <c r="L77" s="94"/>
      <c r="M77" s="94"/>
      <c r="N77" s="94"/>
      <c r="O77" s="94"/>
      <c r="P77" s="94"/>
      <c r="Q77" s="94"/>
      <c r="R77" s="94"/>
      <c r="S77" s="94">
        <f t="shared" si="22"/>
        <v>372000</v>
      </c>
      <c r="T77" s="94"/>
      <c r="U77" s="94">
        <f t="shared" si="27"/>
        <v>372000</v>
      </c>
      <c r="V77" s="94"/>
      <c r="W77" s="94">
        <f t="shared" si="19"/>
        <v>0</v>
      </c>
      <c r="X77" s="145">
        <f t="shared" si="25"/>
        <v>372000</v>
      </c>
      <c r="Y77" s="145">
        <f t="shared" si="26"/>
        <v>372000</v>
      </c>
      <c r="Z77" s="145"/>
      <c r="AA77" s="145">
        <v>0</v>
      </c>
      <c r="AB77" s="145"/>
    </row>
    <row r="78" s="1" customFormat="1" ht="59" customHeight="1" spans="1:28">
      <c r="A78" s="156">
        <v>13</v>
      </c>
      <c r="B78" s="157" t="s">
        <v>120</v>
      </c>
      <c r="C78" s="157" t="s">
        <v>121</v>
      </c>
      <c r="D78" s="157" t="s">
        <v>122</v>
      </c>
      <c r="E78" s="145">
        <v>472680</v>
      </c>
      <c r="F78" s="145"/>
      <c r="G78" s="66" t="s">
        <v>123</v>
      </c>
      <c r="H78" s="66" t="s">
        <v>124</v>
      </c>
      <c r="I78" s="94">
        <v>472680</v>
      </c>
      <c r="J78" s="94">
        <v>0</v>
      </c>
      <c r="K78" s="94">
        <f t="shared" si="21"/>
        <v>472680</v>
      </c>
      <c r="L78" s="94"/>
      <c r="M78" s="94"/>
      <c r="N78" s="94"/>
      <c r="O78" s="94"/>
      <c r="P78" s="94"/>
      <c r="Q78" s="94"/>
      <c r="R78" s="94"/>
      <c r="S78" s="94">
        <f t="shared" si="22"/>
        <v>472680</v>
      </c>
      <c r="T78" s="94"/>
      <c r="U78" s="94">
        <f t="shared" si="27"/>
        <v>472680</v>
      </c>
      <c r="V78" s="94"/>
      <c r="W78" s="94">
        <f t="shared" si="19"/>
        <v>0</v>
      </c>
      <c r="X78" s="145">
        <f t="shared" si="25"/>
        <v>472680</v>
      </c>
      <c r="Y78" s="145">
        <f t="shared" si="26"/>
        <v>472680</v>
      </c>
      <c r="Z78" s="145"/>
      <c r="AA78" s="145">
        <v>0</v>
      </c>
      <c r="AB78" s="145"/>
    </row>
    <row r="79" s="1" customFormat="1" ht="36" customHeight="1" spans="1:28">
      <c r="A79" s="43">
        <v>14</v>
      </c>
      <c r="B79" s="44" t="s">
        <v>125</v>
      </c>
      <c r="C79" s="43" t="s">
        <v>126</v>
      </c>
      <c r="D79" s="44" t="s">
        <v>127</v>
      </c>
      <c r="E79" s="43">
        <v>20718782.9686351</v>
      </c>
      <c r="F79" s="43"/>
      <c r="G79" s="159" t="s">
        <v>128</v>
      </c>
      <c r="H79" s="160" t="s">
        <v>129</v>
      </c>
      <c r="I79" s="94">
        <v>10000000</v>
      </c>
      <c r="J79" s="94">
        <v>0</v>
      </c>
      <c r="K79" s="94">
        <f t="shared" si="21"/>
        <v>10000000</v>
      </c>
      <c r="L79" s="94">
        <v>0</v>
      </c>
      <c r="M79" s="94">
        <v>0</v>
      </c>
      <c r="N79" s="94">
        <v>0</v>
      </c>
      <c r="O79" s="94">
        <v>0</v>
      </c>
      <c r="P79" s="94"/>
      <c r="Q79" s="94"/>
      <c r="R79" s="94">
        <v>0</v>
      </c>
      <c r="S79" s="94">
        <f t="shared" si="22"/>
        <v>10000000</v>
      </c>
      <c r="T79" s="94"/>
      <c r="U79" s="94">
        <f t="shared" si="27"/>
        <v>10000000</v>
      </c>
      <c r="V79" s="94"/>
      <c r="W79" s="94">
        <f t="shared" si="19"/>
        <v>0</v>
      </c>
      <c r="X79" s="145">
        <f t="shared" si="25"/>
        <v>10000000</v>
      </c>
      <c r="Y79" s="145">
        <f t="shared" si="26"/>
        <v>10000000</v>
      </c>
      <c r="Z79" s="145"/>
      <c r="AA79" s="145"/>
      <c r="AB79" s="145"/>
    </row>
    <row r="80" s="17" customFormat="1" ht="36" customHeight="1" spans="1:28">
      <c r="A80" s="153"/>
      <c r="B80" s="153"/>
      <c r="C80" s="153"/>
      <c r="D80" s="153"/>
      <c r="E80" s="153"/>
      <c r="F80" s="153"/>
      <c r="G80" s="159" t="s">
        <v>130</v>
      </c>
      <c r="H80" s="161" t="s">
        <v>131</v>
      </c>
      <c r="I80" s="94">
        <v>8350000</v>
      </c>
      <c r="J80" s="94">
        <v>0</v>
      </c>
      <c r="K80" s="94">
        <f t="shared" si="21"/>
        <v>8350000</v>
      </c>
      <c r="L80" s="94">
        <v>0</v>
      </c>
      <c r="M80" s="94">
        <v>0</v>
      </c>
      <c r="N80" s="94">
        <v>0</v>
      </c>
      <c r="O80" s="94">
        <v>0</v>
      </c>
      <c r="P80" s="94"/>
      <c r="Q80" s="94"/>
      <c r="R80" s="94">
        <v>0</v>
      </c>
      <c r="S80" s="94">
        <f t="shared" si="22"/>
        <v>8350000</v>
      </c>
      <c r="T80" s="94"/>
      <c r="U80" s="94">
        <v>8350000</v>
      </c>
      <c r="V80" s="94"/>
      <c r="W80" s="94">
        <f t="shared" si="19"/>
        <v>0</v>
      </c>
      <c r="X80" s="145">
        <f t="shared" si="25"/>
        <v>8350000</v>
      </c>
      <c r="Y80" s="145">
        <f t="shared" si="26"/>
        <v>8350000</v>
      </c>
      <c r="Z80" s="145"/>
      <c r="AA80" s="145"/>
      <c r="AB80" s="145"/>
    </row>
    <row r="81" s="1" customFormat="1" ht="97" customHeight="1" spans="1:28">
      <c r="A81" s="156">
        <v>15</v>
      </c>
      <c r="B81" s="157" t="s">
        <v>132</v>
      </c>
      <c r="C81" s="157" t="s">
        <v>133</v>
      </c>
      <c r="D81" s="157" t="s">
        <v>134</v>
      </c>
      <c r="E81" s="145">
        <v>125290</v>
      </c>
      <c r="F81" s="145"/>
      <c r="G81" s="66" t="s">
        <v>135</v>
      </c>
      <c r="H81" s="66" t="s">
        <v>136</v>
      </c>
      <c r="I81" s="94">
        <v>125290</v>
      </c>
      <c r="J81" s="94"/>
      <c r="K81" s="94">
        <f t="shared" si="21"/>
        <v>125290</v>
      </c>
      <c r="L81" s="94"/>
      <c r="M81" s="94"/>
      <c r="N81" s="94"/>
      <c r="O81" s="94"/>
      <c r="P81" s="94"/>
      <c r="Q81" s="94"/>
      <c r="R81" s="94"/>
      <c r="S81" s="94">
        <f t="shared" si="22"/>
        <v>125290</v>
      </c>
      <c r="T81" s="94"/>
      <c r="U81" s="94">
        <f t="shared" ref="U81:U90" si="28">K81+R81</f>
        <v>125290</v>
      </c>
      <c r="V81" s="94"/>
      <c r="W81" s="94">
        <f t="shared" si="19"/>
        <v>0</v>
      </c>
      <c r="X81" s="145">
        <f t="shared" si="25"/>
        <v>125290</v>
      </c>
      <c r="Y81" s="145">
        <f t="shared" si="26"/>
        <v>125290</v>
      </c>
      <c r="Z81" s="145"/>
      <c r="AA81" s="145">
        <v>0</v>
      </c>
      <c r="AB81" s="145"/>
    </row>
    <row r="82" s="1" customFormat="1" ht="36" customHeight="1" spans="1:28">
      <c r="A82" s="156">
        <v>16</v>
      </c>
      <c r="B82" s="157" t="s">
        <v>137</v>
      </c>
      <c r="C82" s="158" t="s">
        <v>138</v>
      </c>
      <c r="D82" s="157" t="s">
        <v>139</v>
      </c>
      <c r="E82" s="145">
        <v>750000</v>
      </c>
      <c r="F82" s="145">
        <v>300000</v>
      </c>
      <c r="G82" s="66" t="s">
        <v>140</v>
      </c>
      <c r="H82" s="66" t="s">
        <v>141</v>
      </c>
      <c r="I82" s="94">
        <v>424528.3</v>
      </c>
      <c r="J82" s="94">
        <v>25471.7</v>
      </c>
      <c r="K82" s="94">
        <f t="shared" si="21"/>
        <v>450000</v>
      </c>
      <c r="L82" s="94"/>
      <c r="M82" s="94"/>
      <c r="N82" s="94"/>
      <c r="O82" s="94"/>
      <c r="P82" s="94"/>
      <c r="Q82" s="94"/>
      <c r="R82" s="94"/>
      <c r="S82" s="94">
        <f t="shared" si="22"/>
        <v>450000</v>
      </c>
      <c r="T82" s="94"/>
      <c r="U82" s="94">
        <f t="shared" si="28"/>
        <v>450000</v>
      </c>
      <c r="V82" s="94"/>
      <c r="W82" s="94">
        <f t="shared" si="19"/>
        <v>0</v>
      </c>
      <c r="X82" s="145">
        <f t="shared" si="25"/>
        <v>750000</v>
      </c>
      <c r="Y82" s="145">
        <f t="shared" si="26"/>
        <v>750000</v>
      </c>
      <c r="Z82" s="145"/>
      <c r="AA82" s="145"/>
      <c r="AB82" s="145"/>
    </row>
    <row r="83" s="17" customFormat="1" ht="36" customHeight="1" spans="1:28">
      <c r="A83" s="156">
        <v>17</v>
      </c>
      <c r="B83" s="157" t="s">
        <v>142</v>
      </c>
      <c r="C83" s="158" t="s">
        <v>143</v>
      </c>
      <c r="D83" s="157" t="s">
        <v>144</v>
      </c>
      <c r="E83" s="145">
        <v>95000</v>
      </c>
      <c r="F83" s="145"/>
      <c r="G83" s="74" t="s">
        <v>145</v>
      </c>
      <c r="H83" s="74" t="s">
        <v>146</v>
      </c>
      <c r="I83" s="94">
        <f>K83-J83</f>
        <v>89622.64</v>
      </c>
      <c r="J83" s="94">
        <v>5377.36</v>
      </c>
      <c r="K83" s="94">
        <v>95000</v>
      </c>
      <c r="L83" s="94">
        <v>0</v>
      </c>
      <c r="M83" s="94">
        <v>0</v>
      </c>
      <c r="N83" s="94">
        <v>0</v>
      </c>
      <c r="O83" s="94">
        <v>0</v>
      </c>
      <c r="P83" s="94"/>
      <c r="Q83" s="94"/>
      <c r="R83" s="94">
        <v>0</v>
      </c>
      <c r="S83" s="94">
        <f t="shared" si="22"/>
        <v>95000</v>
      </c>
      <c r="T83" s="94"/>
      <c r="U83" s="94">
        <f t="shared" si="28"/>
        <v>95000</v>
      </c>
      <c r="V83" s="94"/>
      <c r="W83" s="94">
        <f t="shared" si="19"/>
        <v>0</v>
      </c>
      <c r="X83" s="145">
        <f t="shared" si="25"/>
        <v>95000</v>
      </c>
      <c r="Y83" s="145">
        <f t="shared" si="26"/>
        <v>95000</v>
      </c>
      <c r="Z83" s="145"/>
      <c r="AA83" s="145"/>
      <c r="AB83" s="145"/>
    </row>
    <row r="84" s="17" customFormat="1" ht="36" customHeight="1" spans="1:28">
      <c r="A84" s="156">
        <v>18</v>
      </c>
      <c r="B84" s="157" t="s">
        <v>147</v>
      </c>
      <c r="C84" s="157" t="s">
        <v>148</v>
      </c>
      <c r="D84" s="157" t="s">
        <v>149</v>
      </c>
      <c r="E84" s="145">
        <v>680000</v>
      </c>
      <c r="F84" s="145"/>
      <c r="G84" s="50" t="s">
        <v>150</v>
      </c>
      <c r="H84" s="66" t="s">
        <v>151</v>
      </c>
      <c r="I84" s="94">
        <f>K84-J84</f>
        <v>641509.43</v>
      </c>
      <c r="J84" s="94">
        <v>38490.57</v>
      </c>
      <c r="K84" s="94">
        <v>680000</v>
      </c>
      <c r="L84" s="94">
        <v>0</v>
      </c>
      <c r="M84" s="94">
        <v>0</v>
      </c>
      <c r="N84" s="94">
        <v>0</v>
      </c>
      <c r="O84" s="94">
        <v>0</v>
      </c>
      <c r="P84" s="94"/>
      <c r="Q84" s="94"/>
      <c r="R84" s="94">
        <v>0</v>
      </c>
      <c r="S84" s="94">
        <f t="shared" si="22"/>
        <v>680000</v>
      </c>
      <c r="T84" s="94"/>
      <c r="U84" s="94">
        <f t="shared" si="28"/>
        <v>680000</v>
      </c>
      <c r="V84" s="94"/>
      <c r="W84" s="94">
        <f t="shared" si="19"/>
        <v>0</v>
      </c>
      <c r="X84" s="145">
        <f t="shared" si="25"/>
        <v>680000</v>
      </c>
      <c r="Y84" s="145">
        <f t="shared" si="26"/>
        <v>680000</v>
      </c>
      <c r="Z84" s="145"/>
      <c r="AA84" s="145"/>
      <c r="AB84" s="145"/>
    </row>
    <row r="85" s="1" customFormat="1" ht="46" customHeight="1" spans="1:28">
      <c r="A85" s="156">
        <v>19</v>
      </c>
      <c r="B85" s="157" t="s">
        <v>152</v>
      </c>
      <c r="C85" s="158" t="s">
        <v>153</v>
      </c>
      <c r="D85" s="165" t="s">
        <v>154</v>
      </c>
      <c r="E85" s="145">
        <v>150000</v>
      </c>
      <c r="F85" s="145"/>
      <c r="G85" s="66" t="s">
        <v>155</v>
      </c>
      <c r="H85" s="66" t="s">
        <v>156</v>
      </c>
      <c r="I85" s="94">
        <v>141509.43</v>
      </c>
      <c r="J85" s="94">
        <v>8490.57000000001</v>
      </c>
      <c r="K85" s="94">
        <f t="shared" ref="K85:K88" si="29">I85+J85</f>
        <v>150000</v>
      </c>
      <c r="L85" s="94"/>
      <c r="M85" s="94"/>
      <c r="N85" s="94"/>
      <c r="O85" s="94"/>
      <c r="P85" s="94"/>
      <c r="Q85" s="94"/>
      <c r="R85" s="94"/>
      <c r="S85" s="94">
        <f t="shared" si="22"/>
        <v>150000</v>
      </c>
      <c r="T85" s="94"/>
      <c r="U85" s="94">
        <f t="shared" si="28"/>
        <v>150000</v>
      </c>
      <c r="V85" s="94"/>
      <c r="W85" s="94">
        <f t="shared" si="19"/>
        <v>0</v>
      </c>
      <c r="X85" s="145">
        <f t="shared" si="25"/>
        <v>150000</v>
      </c>
      <c r="Y85" s="145">
        <f t="shared" si="26"/>
        <v>150000</v>
      </c>
      <c r="Z85" s="145"/>
      <c r="AA85" s="145">
        <v>0</v>
      </c>
      <c r="AB85" s="145"/>
    </row>
    <row r="86" s="1" customFormat="1" ht="69" customHeight="1" spans="1:28">
      <c r="A86" s="156">
        <v>20</v>
      </c>
      <c r="B86" s="157" t="s">
        <v>157</v>
      </c>
      <c r="C86" s="158" t="s">
        <v>158</v>
      </c>
      <c r="D86" s="157" t="s">
        <v>159</v>
      </c>
      <c r="E86" s="145">
        <v>238000</v>
      </c>
      <c r="F86" s="145"/>
      <c r="G86" s="66" t="s">
        <v>160</v>
      </c>
      <c r="H86" s="66" t="s">
        <v>161</v>
      </c>
      <c r="I86" s="94">
        <v>231067.96</v>
      </c>
      <c r="J86" s="94">
        <v>6932.04000000001</v>
      </c>
      <c r="K86" s="94">
        <f t="shared" si="29"/>
        <v>238000</v>
      </c>
      <c r="L86" s="94"/>
      <c r="M86" s="94"/>
      <c r="N86" s="94"/>
      <c r="O86" s="94"/>
      <c r="P86" s="94"/>
      <c r="Q86" s="94"/>
      <c r="R86" s="94"/>
      <c r="S86" s="94">
        <f t="shared" si="22"/>
        <v>238000</v>
      </c>
      <c r="T86" s="94"/>
      <c r="U86" s="94">
        <f t="shared" si="28"/>
        <v>238000</v>
      </c>
      <c r="V86" s="94"/>
      <c r="W86" s="94">
        <f t="shared" si="19"/>
        <v>0</v>
      </c>
      <c r="X86" s="145">
        <f t="shared" si="25"/>
        <v>238000</v>
      </c>
      <c r="Y86" s="145">
        <f t="shared" si="26"/>
        <v>238000</v>
      </c>
      <c r="Z86" s="145"/>
      <c r="AA86" s="145">
        <v>0</v>
      </c>
      <c r="AB86" s="145"/>
    </row>
    <row r="87" s="1" customFormat="1" ht="60" customHeight="1" spans="1:28">
      <c r="A87" s="156">
        <v>21</v>
      </c>
      <c r="B87" s="157" t="s">
        <v>162</v>
      </c>
      <c r="C87" s="158" t="s">
        <v>163</v>
      </c>
      <c r="D87" s="157" t="s">
        <v>159</v>
      </c>
      <c r="E87" s="145">
        <v>180000</v>
      </c>
      <c r="F87" s="145"/>
      <c r="G87" s="66" t="s">
        <v>164</v>
      </c>
      <c r="H87" s="66" t="s">
        <v>165</v>
      </c>
      <c r="I87" s="94">
        <v>174757.28</v>
      </c>
      <c r="J87" s="94">
        <v>5242.72</v>
      </c>
      <c r="K87" s="94">
        <f t="shared" si="29"/>
        <v>180000</v>
      </c>
      <c r="L87" s="94"/>
      <c r="M87" s="94"/>
      <c r="N87" s="94"/>
      <c r="O87" s="94"/>
      <c r="P87" s="94"/>
      <c r="Q87" s="94"/>
      <c r="R87" s="94"/>
      <c r="S87" s="94">
        <f t="shared" si="22"/>
        <v>180000</v>
      </c>
      <c r="T87" s="94"/>
      <c r="U87" s="94">
        <f t="shared" si="28"/>
        <v>180000</v>
      </c>
      <c r="V87" s="94"/>
      <c r="W87" s="94">
        <f t="shared" si="19"/>
        <v>0</v>
      </c>
      <c r="X87" s="145">
        <f t="shared" si="25"/>
        <v>180000</v>
      </c>
      <c r="Y87" s="145">
        <f t="shared" si="26"/>
        <v>180000</v>
      </c>
      <c r="Z87" s="145"/>
      <c r="AA87" s="145">
        <v>0</v>
      </c>
      <c r="AB87" s="145"/>
    </row>
    <row r="88" s="1" customFormat="1" ht="53" customHeight="1" spans="1:28">
      <c r="A88" s="156">
        <v>22</v>
      </c>
      <c r="B88" s="157" t="s">
        <v>166</v>
      </c>
      <c r="C88" s="496" t="s">
        <v>167</v>
      </c>
      <c r="D88" s="157" t="s">
        <v>168</v>
      </c>
      <c r="E88" s="145">
        <v>168838.18</v>
      </c>
      <c r="F88" s="145"/>
      <c r="G88" s="66" t="s">
        <v>169</v>
      </c>
      <c r="H88" s="66" t="s">
        <v>170</v>
      </c>
      <c r="I88" s="94">
        <v>159281.3</v>
      </c>
      <c r="J88" s="94">
        <v>9556.88</v>
      </c>
      <c r="K88" s="94">
        <f t="shared" si="29"/>
        <v>168838.18</v>
      </c>
      <c r="L88" s="94"/>
      <c r="M88" s="94"/>
      <c r="N88" s="94"/>
      <c r="O88" s="94"/>
      <c r="P88" s="94"/>
      <c r="Q88" s="94"/>
      <c r="R88" s="94"/>
      <c r="S88" s="94">
        <f t="shared" si="22"/>
        <v>168838.18</v>
      </c>
      <c r="T88" s="94"/>
      <c r="U88" s="94">
        <f t="shared" si="28"/>
        <v>168838.18</v>
      </c>
      <c r="V88" s="94"/>
      <c r="W88" s="94">
        <f t="shared" si="19"/>
        <v>0</v>
      </c>
      <c r="X88" s="145">
        <f t="shared" si="25"/>
        <v>168838.18</v>
      </c>
      <c r="Y88" s="145">
        <f t="shared" si="26"/>
        <v>168838.18</v>
      </c>
      <c r="Z88" s="145"/>
      <c r="AA88" s="145">
        <v>0</v>
      </c>
      <c r="AB88" s="145"/>
    </row>
    <row r="89" s="17" customFormat="1" ht="47" customHeight="1" spans="1:28">
      <c r="A89" s="156">
        <v>23</v>
      </c>
      <c r="B89" s="157" t="s">
        <v>171</v>
      </c>
      <c r="C89" s="158" t="s">
        <v>172</v>
      </c>
      <c r="D89" s="157" t="s">
        <v>173</v>
      </c>
      <c r="E89" s="145">
        <v>533200</v>
      </c>
      <c r="F89" s="145"/>
      <c r="G89" s="50" t="s">
        <v>174</v>
      </c>
      <c r="H89" s="66" t="s">
        <v>175</v>
      </c>
      <c r="I89" s="94">
        <v>471858.4</v>
      </c>
      <c r="J89" s="94">
        <f>K89-I89</f>
        <v>61341.6</v>
      </c>
      <c r="K89" s="94">
        <v>533200</v>
      </c>
      <c r="L89" s="94">
        <v>0</v>
      </c>
      <c r="M89" s="94">
        <v>0</v>
      </c>
      <c r="N89" s="94">
        <v>0</v>
      </c>
      <c r="O89" s="94">
        <v>0</v>
      </c>
      <c r="P89" s="94"/>
      <c r="Q89" s="94"/>
      <c r="R89" s="94">
        <v>0</v>
      </c>
      <c r="S89" s="94">
        <f t="shared" si="22"/>
        <v>533200</v>
      </c>
      <c r="T89" s="94"/>
      <c r="U89" s="94">
        <f t="shared" si="28"/>
        <v>533200</v>
      </c>
      <c r="V89" s="94"/>
      <c r="W89" s="94">
        <f t="shared" si="19"/>
        <v>0</v>
      </c>
      <c r="X89" s="145">
        <f t="shared" si="25"/>
        <v>533200</v>
      </c>
      <c r="Y89" s="145">
        <f t="shared" si="26"/>
        <v>533200</v>
      </c>
      <c r="Z89" s="145"/>
      <c r="AA89" s="145"/>
      <c r="AB89" s="145"/>
    </row>
    <row r="90" s="1" customFormat="1" ht="59" customHeight="1" spans="1:28">
      <c r="A90" s="156">
        <v>24</v>
      </c>
      <c r="B90" s="166" t="s">
        <v>176</v>
      </c>
      <c r="C90" s="167" t="s">
        <v>177</v>
      </c>
      <c r="D90" s="166" t="s">
        <v>178</v>
      </c>
      <c r="E90" s="145">
        <v>87000</v>
      </c>
      <c r="F90" s="145">
        <v>87000</v>
      </c>
      <c r="G90" s="145"/>
      <c r="H90" s="145"/>
      <c r="I90" s="94"/>
      <c r="J90" s="94"/>
      <c r="K90" s="94"/>
      <c r="L90" s="94"/>
      <c r="M90" s="94"/>
      <c r="N90" s="94"/>
      <c r="O90" s="94"/>
      <c r="P90" s="94"/>
      <c r="Q90" s="94"/>
      <c r="R90" s="94"/>
      <c r="S90" s="94">
        <f t="shared" si="22"/>
        <v>0</v>
      </c>
      <c r="T90" s="94"/>
      <c r="U90" s="94">
        <f t="shared" si="28"/>
        <v>0</v>
      </c>
      <c r="V90" s="94"/>
      <c r="W90" s="94">
        <f t="shared" si="19"/>
        <v>0</v>
      </c>
      <c r="X90" s="145">
        <f t="shared" si="25"/>
        <v>87000</v>
      </c>
      <c r="Y90" s="145">
        <f t="shared" si="26"/>
        <v>87000</v>
      </c>
      <c r="Z90" s="145">
        <v>0</v>
      </c>
      <c r="AA90" s="145">
        <v>0</v>
      </c>
      <c r="AB90" s="145"/>
    </row>
    <row r="91" s="1" customFormat="1" ht="59" customHeight="1" spans="1:28">
      <c r="A91" s="156">
        <v>25</v>
      </c>
      <c r="B91" s="166" t="s">
        <v>179</v>
      </c>
      <c r="C91" s="167"/>
      <c r="D91" s="168" t="s">
        <v>180</v>
      </c>
      <c r="E91" s="145">
        <v>79600</v>
      </c>
      <c r="F91" s="145"/>
      <c r="G91" s="74" t="s">
        <v>181</v>
      </c>
      <c r="H91" s="161" t="s">
        <v>182</v>
      </c>
      <c r="I91" s="94">
        <v>22528.3</v>
      </c>
      <c r="J91" s="94">
        <v>1351.7</v>
      </c>
      <c r="K91" s="94">
        <f>J91+I91</f>
        <v>23880</v>
      </c>
      <c r="L91" s="94">
        <v>0</v>
      </c>
      <c r="M91" s="94">
        <v>0</v>
      </c>
      <c r="N91" s="94">
        <v>0</v>
      </c>
      <c r="O91" s="94">
        <v>0</v>
      </c>
      <c r="P91" s="94"/>
      <c r="Q91" s="94"/>
      <c r="R91" s="94">
        <v>0</v>
      </c>
      <c r="S91" s="94">
        <f t="shared" si="22"/>
        <v>23880</v>
      </c>
      <c r="T91" s="94"/>
      <c r="U91" s="94">
        <f>S91</f>
        <v>23880</v>
      </c>
      <c r="V91" s="94"/>
      <c r="W91" s="94">
        <f t="shared" si="19"/>
        <v>0</v>
      </c>
      <c r="X91" s="145">
        <f>K91</f>
        <v>23880</v>
      </c>
      <c r="Y91" s="145">
        <f t="shared" ref="Y91:Y93" si="30">U91</f>
        <v>23880</v>
      </c>
      <c r="Z91" s="145"/>
      <c r="AA91" s="145"/>
      <c r="AB91" s="145"/>
    </row>
    <row r="92" s="1" customFormat="1" ht="59" customHeight="1" spans="1:28">
      <c r="A92" s="169">
        <v>26</v>
      </c>
      <c r="B92" s="166" t="s">
        <v>183</v>
      </c>
      <c r="C92" s="167"/>
      <c r="D92" s="166" t="s">
        <v>122</v>
      </c>
      <c r="E92" s="145"/>
      <c r="F92" s="145"/>
      <c r="G92" s="47" t="s">
        <v>184</v>
      </c>
      <c r="H92" s="47" t="s">
        <v>185</v>
      </c>
      <c r="I92" s="94">
        <v>48750</v>
      </c>
      <c r="J92" s="94">
        <v>0</v>
      </c>
      <c r="K92" s="94">
        <f>I92+J92</f>
        <v>48750</v>
      </c>
      <c r="L92" s="94">
        <v>0</v>
      </c>
      <c r="M92" s="94">
        <v>0</v>
      </c>
      <c r="N92" s="94">
        <v>0</v>
      </c>
      <c r="O92" s="94">
        <v>0</v>
      </c>
      <c r="P92" s="94"/>
      <c r="Q92" s="94"/>
      <c r="R92" s="94">
        <v>0</v>
      </c>
      <c r="S92" s="94">
        <f t="shared" si="22"/>
        <v>48750</v>
      </c>
      <c r="T92" s="94">
        <v>0</v>
      </c>
      <c r="U92" s="94">
        <v>48750</v>
      </c>
      <c r="V92" s="405">
        <v>0</v>
      </c>
      <c r="W92" s="94">
        <f t="shared" si="19"/>
        <v>0</v>
      </c>
      <c r="X92" s="145">
        <f>K92</f>
        <v>48750</v>
      </c>
      <c r="Y92" s="145">
        <f t="shared" si="30"/>
        <v>48750</v>
      </c>
      <c r="Z92" s="145"/>
      <c r="AA92" s="145"/>
      <c r="AB92" s="145"/>
    </row>
    <row r="93" s="1" customFormat="1" ht="59" customHeight="1" spans="1:28">
      <c r="A93" s="170">
        <v>27</v>
      </c>
      <c r="B93" s="44" t="s">
        <v>186</v>
      </c>
      <c r="C93" s="43"/>
      <c r="D93" s="44" t="s">
        <v>187</v>
      </c>
      <c r="E93" s="145"/>
      <c r="F93" s="145"/>
      <c r="G93" s="47" t="s">
        <v>188</v>
      </c>
      <c r="H93" s="47" t="s">
        <v>189</v>
      </c>
      <c r="I93" s="99"/>
      <c r="J93" s="94"/>
      <c r="K93" s="94"/>
      <c r="L93" s="94">
        <v>0</v>
      </c>
      <c r="M93" s="94">
        <v>0</v>
      </c>
      <c r="N93" s="94">
        <v>0</v>
      </c>
      <c r="O93" s="94">
        <v>0</v>
      </c>
      <c r="P93" s="94"/>
      <c r="Q93" s="94"/>
      <c r="R93" s="207">
        <v>755500</v>
      </c>
      <c r="S93" s="112">
        <f t="shared" si="22"/>
        <v>755500</v>
      </c>
      <c r="T93" s="112">
        <v>0</v>
      </c>
      <c r="U93" s="112">
        <f>S93</f>
        <v>755500</v>
      </c>
      <c r="V93" s="401">
        <v>0</v>
      </c>
      <c r="W93" s="45">
        <f t="shared" si="19"/>
        <v>0</v>
      </c>
      <c r="X93" s="45">
        <f>K94</f>
        <v>755500</v>
      </c>
      <c r="Y93" s="45">
        <f t="shared" si="30"/>
        <v>755500</v>
      </c>
      <c r="Z93" s="314"/>
      <c r="AA93" s="145"/>
      <c r="AB93" s="45"/>
    </row>
    <row r="94" s="1" customFormat="1" ht="59" customHeight="1" spans="1:28">
      <c r="A94" s="171"/>
      <c r="B94" s="153"/>
      <c r="C94" s="153"/>
      <c r="D94" s="153"/>
      <c r="E94" s="145"/>
      <c r="F94" s="145"/>
      <c r="G94" s="74" t="s">
        <v>190</v>
      </c>
      <c r="H94" s="47" t="s">
        <v>191</v>
      </c>
      <c r="I94" s="99">
        <v>755500</v>
      </c>
      <c r="J94" s="94"/>
      <c r="K94" s="94">
        <f>I94+J94</f>
        <v>755500</v>
      </c>
      <c r="L94" s="94"/>
      <c r="M94" s="94"/>
      <c r="N94" s="94"/>
      <c r="O94" s="94"/>
      <c r="P94" s="94"/>
      <c r="Q94" s="94"/>
      <c r="R94" s="208">
        <f>-R93</f>
        <v>-755500</v>
      </c>
      <c r="S94" s="114"/>
      <c r="T94" s="114"/>
      <c r="U94" s="114"/>
      <c r="V94" s="416"/>
      <c r="W94" s="81"/>
      <c r="X94" s="81"/>
      <c r="Y94" s="81"/>
      <c r="Z94" s="314"/>
      <c r="AA94" s="145"/>
      <c r="AB94" s="81"/>
    </row>
    <row r="95" s="1" customFormat="1" ht="59" customHeight="1" spans="1:28">
      <c r="A95" s="48">
        <v>28</v>
      </c>
      <c r="B95" s="172" t="s">
        <v>192</v>
      </c>
      <c r="C95" s="48"/>
      <c r="D95" s="65" t="s">
        <v>193</v>
      </c>
      <c r="E95" s="45">
        <v>488544.07</v>
      </c>
      <c r="F95" s="145"/>
      <c r="G95" s="73"/>
      <c r="H95" s="47" t="s">
        <v>194</v>
      </c>
      <c r="I95" s="203">
        <v>460890.63</v>
      </c>
      <c r="J95" s="94">
        <v>27653.44</v>
      </c>
      <c r="K95" s="94">
        <f>J95+I95</f>
        <v>488544.07</v>
      </c>
      <c r="L95" s="94"/>
      <c r="M95" s="94"/>
      <c r="N95" s="94"/>
      <c r="O95" s="94"/>
      <c r="P95" s="94"/>
      <c r="Q95" s="94"/>
      <c r="R95" s="208"/>
      <c r="S95" s="45">
        <f>K95-L95-M95-N95-O95+R95-Q95</f>
        <v>488544.07</v>
      </c>
      <c r="T95" s="45"/>
      <c r="U95" s="114"/>
      <c r="V95" s="45"/>
      <c r="W95" s="94">
        <f>S95+T95-U95-V95</f>
        <v>488544.07</v>
      </c>
      <c r="X95" s="145">
        <f>K95+F95</f>
        <v>488544.07</v>
      </c>
      <c r="Y95" s="145">
        <f>U95+V95</f>
        <v>0</v>
      </c>
      <c r="Z95" s="314"/>
      <c r="AA95" s="145">
        <v>488544.07</v>
      </c>
      <c r="AB95" s="145"/>
    </row>
    <row r="96" s="1" customFormat="1" ht="59" customHeight="1" spans="1:28">
      <c r="A96" s="153"/>
      <c r="B96" s="153"/>
      <c r="C96" s="153"/>
      <c r="D96" s="173"/>
      <c r="E96" s="81"/>
      <c r="F96" s="174" t="s">
        <v>319</v>
      </c>
      <c r="G96" s="76" t="s">
        <v>332</v>
      </c>
      <c r="H96" s="68" t="s">
        <v>333</v>
      </c>
      <c r="I96" s="118"/>
      <c r="J96" s="101"/>
      <c r="K96" s="101"/>
      <c r="L96" s="101"/>
      <c r="M96" s="101"/>
      <c r="N96" s="101"/>
      <c r="O96" s="101"/>
      <c r="P96" s="101"/>
      <c r="Q96" s="101"/>
      <c r="R96" s="209"/>
      <c r="S96" s="81"/>
      <c r="T96" s="81"/>
      <c r="U96" s="202">
        <v>488544.07</v>
      </c>
      <c r="V96" s="81"/>
      <c r="W96" s="101">
        <f>-U96</f>
        <v>-488544.07</v>
      </c>
      <c r="X96" s="174"/>
      <c r="Y96" s="174"/>
      <c r="Z96" s="418"/>
      <c r="AA96" s="174"/>
      <c r="AB96" s="145"/>
    </row>
    <row r="97" s="1" customFormat="1" ht="59" customHeight="1" spans="1:28">
      <c r="A97" s="48">
        <v>29</v>
      </c>
      <c r="B97" s="172" t="s">
        <v>192</v>
      </c>
      <c r="C97" s="48"/>
      <c r="D97" s="65" t="s">
        <v>195</v>
      </c>
      <c r="E97" s="45">
        <v>1990753.91</v>
      </c>
      <c r="F97" s="145"/>
      <c r="G97" s="73"/>
      <c r="H97" s="47" t="s">
        <v>194</v>
      </c>
      <c r="I97" s="203">
        <v>1878069.73</v>
      </c>
      <c r="J97" s="94">
        <v>112684.18</v>
      </c>
      <c r="K97" s="94">
        <f>J97+I97</f>
        <v>1990753.91</v>
      </c>
      <c r="L97" s="94"/>
      <c r="M97" s="94"/>
      <c r="N97" s="94"/>
      <c r="O97" s="94"/>
      <c r="P97" s="94"/>
      <c r="Q97" s="94"/>
      <c r="R97" s="208"/>
      <c r="S97" s="45">
        <f>K97-L97-M97-N97-O97+R97-Q97</f>
        <v>1990753.91</v>
      </c>
      <c r="T97" s="45"/>
      <c r="U97" s="114"/>
      <c r="V97" s="45"/>
      <c r="W97" s="94">
        <f>S97+T97-U97-V97</f>
        <v>1990753.91</v>
      </c>
      <c r="X97" s="145">
        <f>K97+F97</f>
        <v>1990753.91</v>
      </c>
      <c r="Y97" s="145">
        <f>U97+V97</f>
        <v>0</v>
      </c>
      <c r="Z97" s="314"/>
      <c r="AA97" s="145">
        <v>1990753.91</v>
      </c>
      <c r="AB97" s="145"/>
    </row>
    <row r="98" s="1" customFormat="1" ht="59" customHeight="1" spans="1:28">
      <c r="A98" s="153"/>
      <c r="B98" s="153"/>
      <c r="C98" s="153"/>
      <c r="D98" s="173"/>
      <c r="E98" s="81"/>
      <c r="F98" s="174" t="s">
        <v>319</v>
      </c>
      <c r="G98" s="76" t="s">
        <v>334</v>
      </c>
      <c r="H98" s="68" t="s">
        <v>335</v>
      </c>
      <c r="I98" s="118"/>
      <c r="J98" s="101"/>
      <c r="K98" s="101"/>
      <c r="L98" s="101"/>
      <c r="M98" s="101"/>
      <c r="N98" s="101"/>
      <c r="O98" s="101"/>
      <c r="P98" s="101"/>
      <c r="Q98" s="101"/>
      <c r="R98" s="209"/>
      <c r="S98" s="81"/>
      <c r="T98" s="81"/>
      <c r="U98" s="202">
        <v>1990753.91</v>
      </c>
      <c r="V98" s="81"/>
      <c r="W98" s="101">
        <f>-U98</f>
        <v>-1990753.91</v>
      </c>
      <c r="X98" s="174"/>
      <c r="Y98" s="174"/>
      <c r="Z98" s="174"/>
      <c r="AA98" s="174"/>
      <c r="AB98" s="145"/>
    </row>
    <row r="99" s="1" customFormat="1" ht="59" customHeight="1" spans="1:28">
      <c r="A99" s="171">
        <v>30</v>
      </c>
      <c r="B99" s="159" t="s">
        <v>302</v>
      </c>
      <c r="C99" s="175"/>
      <c r="D99" s="159" t="s">
        <v>303</v>
      </c>
      <c r="E99" s="145">
        <v>100000</v>
      </c>
      <c r="F99" s="174" t="s">
        <v>319</v>
      </c>
      <c r="G99" s="76" t="s">
        <v>360</v>
      </c>
      <c r="H99" s="68" t="s">
        <v>361</v>
      </c>
      <c r="I99" s="118">
        <v>94339.62</v>
      </c>
      <c r="J99" s="101">
        <v>5660.38</v>
      </c>
      <c r="K99" s="101">
        <f>J99+I99</f>
        <v>100000</v>
      </c>
      <c r="L99" s="101"/>
      <c r="M99" s="101"/>
      <c r="N99" s="101"/>
      <c r="O99" s="101"/>
      <c r="P99" s="101"/>
      <c r="Q99" s="101"/>
      <c r="R99" s="209"/>
      <c r="S99" s="94">
        <f>K99</f>
        <v>100000</v>
      </c>
      <c r="T99" s="114"/>
      <c r="U99" s="114"/>
      <c r="V99" s="416"/>
      <c r="W99" s="94"/>
      <c r="X99" s="145"/>
      <c r="Y99" s="145"/>
      <c r="Z99" s="145">
        <v>100000</v>
      </c>
      <c r="AA99" s="145">
        <v>100000</v>
      </c>
      <c r="AB99" s="145"/>
    </row>
    <row r="100" s="1" customFormat="1" ht="59" customHeight="1" spans="1:28">
      <c r="A100" s="171">
        <v>31</v>
      </c>
      <c r="B100" s="159" t="s">
        <v>304</v>
      </c>
      <c r="C100" s="175"/>
      <c r="D100" s="159" t="s">
        <v>305</v>
      </c>
      <c r="E100" s="145">
        <v>232250</v>
      </c>
      <c r="F100" s="145"/>
      <c r="G100" s="73"/>
      <c r="H100" s="47"/>
      <c r="I100" s="203"/>
      <c r="J100" s="94"/>
      <c r="K100" s="94"/>
      <c r="L100" s="94"/>
      <c r="M100" s="94"/>
      <c r="N100" s="94"/>
      <c r="O100" s="94"/>
      <c r="P100" s="94"/>
      <c r="Q100" s="94"/>
      <c r="R100" s="208"/>
      <c r="S100" s="94"/>
      <c r="T100" s="114"/>
      <c r="U100" s="114"/>
      <c r="V100" s="416"/>
      <c r="W100" s="94"/>
      <c r="X100" s="145"/>
      <c r="Y100" s="145"/>
      <c r="Z100" s="145">
        <v>232250</v>
      </c>
      <c r="AA100" s="145">
        <v>0</v>
      </c>
      <c r="AB100" s="145"/>
    </row>
    <row r="101" s="1" customFormat="1" ht="59" customHeight="1" spans="1:28">
      <c r="A101" s="171">
        <v>32</v>
      </c>
      <c r="B101" s="159" t="s">
        <v>306</v>
      </c>
      <c r="C101" s="176"/>
      <c r="D101" s="177" t="s">
        <v>307</v>
      </c>
      <c r="E101" s="145">
        <v>34915.3</v>
      </c>
      <c r="F101" s="145"/>
      <c r="G101" s="73"/>
      <c r="H101" s="47"/>
      <c r="I101" s="203"/>
      <c r="J101" s="94"/>
      <c r="K101" s="94"/>
      <c r="L101" s="94"/>
      <c r="M101" s="94"/>
      <c r="N101" s="94"/>
      <c r="O101" s="94"/>
      <c r="P101" s="94"/>
      <c r="Q101" s="94"/>
      <c r="R101" s="208"/>
      <c r="S101" s="94"/>
      <c r="T101" s="114"/>
      <c r="U101" s="114"/>
      <c r="V101" s="416"/>
      <c r="W101" s="94"/>
      <c r="X101" s="145"/>
      <c r="Y101" s="145"/>
      <c r="Z101" s="145">
        <v>34915.3</v>
      </c>
      <c r="AA101" s="145">
        <v>34915.3</v>
      </c>
      <c r="AB101" s="145"/>
    </row>
    <row r="102" s="1" customFormat="1" ht="59" customHeight="1" spans="1:28">
      <c r="A102" s="171">
        <v>33</v>
      </c>
      <c r="B102" s="159" t="s">
        <v>308</v>
      </c>
      <c r="C102" s="176"/>
      <c r="D102" s="177" t="s">
        <v>307</v>
      </c>
      <c r="E102" s="145">
        <v>47000</v>
      </c>
      <c r="F102" s="145"/>
      <c r="G102" s="73"/>
      <c r="H102" s="47"/>
      <c r="I102" s="203"/>
      <c r="J102" s="94"/>
      <c r="K102" s="94"/>
      <c r="L102" s="94"/>
      <c r="M102" s="94"/>
      <c r="N102" s="94"/>
      <c r="O102" s="94"/>
      <c r="P102" s="94"/>
      <c r="Q102" s="94"/>
      <c r="R102" s="208"/>
      <c r="S102" s="94"/>
      <c r="T102" s="114"/>
      <c r="U102" s="114"/>
      <c r="V102" s="416"/>
      <c r="W102" s="94"/>
      <c r="X102" s="145"/>
      <c r="Y102" s="145"/>
      <c r="Z102" s="145">
        <v>47000</v>
      </c>
      <c r="AA102" s="145">
        <v>47000</v>
      </c>
      <c r="AB102" s="145"/>
    </row>
    <row r="103" s="1" customFormat="1" ht="36" customHeight="1" spans="1:28">
      <c r="A103" s="178">
        <v>34</v>
      </c>
      <c r="B103" s="185" t="s">
        <v>196</v>
      </c>
      <c r="C103" s="186"/>
      <c r="D103" s="187"/>
      <c r="E103" s="283">
        <v>98000</v>
      </c>
      <c r="F103" s="188" t="s">
        <v>309</v>
      </c>
      <c r="G103" s="50" t="s">
        <v>197</v>
      </c>
      <c r="H103" s="51" t="s">
        <v>198</v>
      </c>
      <c r="I103" s="108">
        <v>61468.44</v>
      </c>
      <c r="J103" s="108">
        <v>0</v>
      </c>
      <c r="K103" s="108">
        <f t="shared" ref="K103:K106" si="31">I103+J103</f>
        <v>61468.44</v>
      </c>
      <c r="L103" s="108"/>
      <c r="M103" s="108"/>
      <c r="N103" s="108"/>
      <c r="O103" s="108"/>
      <c r="P103" s="108"/>
      <c r="Q103" s="108">
        <f>M103-O103</f>
        <v>0</v>
      </c>
      <c r="R103" s="108"/>
      <c r="S103" s="94">
        <f>K103-L103-M103-N103-O103+R103-Q103</f>
        <v>61468.44</v>
      </c>
      <c r="T103" s="94">
        <v>0</v>
      </c>
      <c r="U103" s="94">
        <f>S103</f>
        <v>61468.44</v>
      </c>
      <c r="V103" s="405">
        <v>0</v>
      </c>
      <c r="W103" s="94">
        <f>S103+T103-U103-V103</f>
        <v>0</v>
      </c>
      <c r="X103" s="145" t="e">
        <f t="shared" ref="X103:X108" si="32">K103+F103</f>
        <v>#VALUE!</v>
      </c>
      <c r="Y103" s="145" t="e">
        <f>U103+F103</f>
        <v>#VALUE!</v>
      </c>
      <c r="Z103" s="145"/>
      <c r="AA103" s="145"/>
      <c r="AB103" s="145"/>
    </row>
    <row r="104" s="1" customFormat="1" ht="36" customHeight="1" spans="1:28">
      <c r="A104" s="178"/>
      <c r="B104" s="189"/>
      <c r="C104" s="190"/>
      <c r="D104" s="191"/>
      <c r="E104" s="399"/>
      <c r="F104" s="193" t="s">
        <v>310</v>
      </c>
      <c r="G104" s="53"/>
      <c r="H104" s="194"/>
      <c r="I104" s="109"/>
      <c r="J104" s="109"/>
      <c r="K104" s="109">
        <f t="shared" si="31"/>
        <v>0</v>
      </c>
      <c r="L104" s="109"/>
      <c r="M104" s="109"/>
      <c r="N104" s="109"/>
      <c r="O104" s="109"/>
      <c r="P104" s="109"/>
      <c r="Q104" s="109"/>
      <c r="R104" s="109"/>
      <c r="S104" s="101"/>
      <c r="T104" s="101"/>
      <c r="U104" s="210"/>
      <c r="V104" s="417"/>
      <c r="W104" s="101"/>
      <c r="X104" s="174"/>
      <c r="Y104" s="174"/>
      <c r="Z104" s="174"/>
      <c r="AA104" s="174"/>
      <c r="AB104" s="145"/>
    </row>
    <row r="105" s="1" customFormat="1" ht="36" customHeight="1" spans="1:28">
      <c r="A105" s="178"/>
      <c r="B105" s="189"/>
      <c r="C105" s="190"/>
      <c r="D105" s="191"/>
      <c r="E105" s="399"/>
      <c r="F105" s="195"/>
      <c r="G105" s="53"/>
      <c r="H105" s="194"/>
      <c r="I105" s="109"/>
      <c r="J105" s="109"/>
      <c r="K105" s="109">
        <f t="shared" si="31"/>
        <v>0</v>
      </c>
      <c r="L105" s="109"/>
      <c r="M105" s="109"/>
      <c r="N105" s="109"/>
      <c r="O105" s="109"/>
      <c r="P105" s="109"/>
      <c r="Q105" s="109"/>
      <c r="R105" s="109"/>
      <c r="S105" s="101"/>
      <c r="T105" s="101"/>
      <c r="U105" s="210"/>
      <c r="V105" s="417"/>
      <c r="W105" s="101"/>
      <c r="X105" s="174"/>
      <c r="Y105" s="174"/>
      <c r="Z105" s="174"/>
      <c r="AA105" s="174"/>
      <c r="AB105" s="145"/>
    </row>
    <row r="106" s="1" customFormat="1" ht="36" customHeight="1" spans="1:28">
      <c r="A106" s="178"/>
      <c r="B106" s="189"/>
      <c r="C106" s="190"/>
      <c r="D106" s="191"/>
      <c r="E106" s="399"/>
      <c r="F106" s="195"/>
      <c r="G106" s="53"/>
      <c r="H106" s="194"/>
      <c r="I106" s="109"/>
      <c r="J106" s="109"/>
      <c r="K106" s="109">
        <f t="shared" si="31"/>
        <v>0</v>
      </c>
      <c r="L106" s="109"/>
      <c r="M106" s="109"/>
      <c r="N106" s="109"/>
      <c r="O106" s="109"/>
      <c r="P106" s="109"/>
      <c r="Q106" s="109"/>
      <c r="R106" s="109"/>
      <c r="S106" s="101"/>
      <c r="T106" s="101"/>
      <c r="U106" s="210"/>
      <c r="V106" s="417"/>
      <c r="W106" s="101"/>
      <c r="X106" s="174"/>
      <c r="Y106" s="174"/>
      <c r="Z106" s="174"/>
      <c r="AA106" s="174"/>
      <c r="AB106" s="145"/>
    </row>
    <row r="107" s="1" customFormat="1" ht="36" customHeight="1" spans="1:28">
      <c r="A107" s="43">
        <v>35</v>
      </c>
      <c r="B107" s="185" t="s">
        <v>199</v>
      </c>
      <c r="C107" s="186"/>
      <c r="D107" s="187"/>
      <c r="E107" s="399"/>
      <c r="F107" s="192" t="s">
        <v>309</v>
      </c>
      <c r="G107" s="196" t="s">
        <v>248</v>
      </c>
      <c r="H107" s="197" t="s">
        <v>200</v>
      </c>
      <c r="I107" s="188">
        <f>630506.8-220</f>
        <v>630286.8</v>
      </c>
      <c r="J107" s="108"/>
      <c r="K107" s="108">
        <f t="shared" ref="K107:K111" si="33">J107+I107</f>
        <v>630286.8</v>
      </c>
      <c r="L107" s="108"/>
      <c r="M107" s="108"/>
      <c r="N107" s="108"/>
      <c r="O107" s="108"/>
      <c r="P107" s="108"/>
      <c r="Q107" s="108"/>
      <c r="R107" s="108"/>
      <c r="S107" s="94">
        <v>630286.8</v>
      </c>
      <c r="T107" s="94"/>
      <c r="U107" s="211">
        <f>S107</f>
        <v>630286.8</v>
      </c>
      <c r="V107" s="211"/>
      <c r="W107" s="101">
        <f>S107+T107-U107-V107+S108-U108</f>
        <v>0</v>
      </c>
      <c r="X107" s="145" t="e">
        <f t="shared" si="32"/>
        <v>#VALUE!</v>
      </c>
      <c r="Y107" s="145">
        <v>342578.483333333</v>
      </c>
      <c r="Z107" s="145"/>
      <c r="AA107" s="145"/>
      <c r="AB107" s="174"/>
    </row>
    <row r="108" s="1" customFormat="1" ht="36" customHeight="1" spans="1:28">
      <c r="A108" s="48"/>
      <c r="B108" s="189"/>
      <c r="C108" s="190"/>
      <c r="D108" s="191"/>
      <c r="E108" s="412"/>
      <c r="F108" s="198"/>
      <c r="G108" s="196"/>
      <c r="H108" s="197" t="s">
        <v>201</v>
      </c>
      <c r="I108" s="188">
        <v>-6746.65</v>
      </c>
      <c r="J108" s="108"/>
      <c r="K108" s="108">
        <f t="shared" ref="K108:K113" si="34">I108+J108</f>
        <v>-6746.65</v>
      </c>
      <c r="L108" s="108"/>
      <c r="M108" s="108"/>
      <c r="N108" s="108"/>
      <c r="O108" s="108"/>
      <c r="P108" s="108"/>
      <c r="Q108" s="108"/>
      <c r="R108" s="108"/>
      <c r="S108" s="94">
        <v>-6746.65</v>
      </c>
      <c r="T108" s="94"/>
      <c r="U108" s="211">
        <v>-6746.65</v>
      </c>
      <c r="V108" s="211"/>
      <c r="W108" s="94">
        <f t="shared" ref="W108:W113" si="35">S108+T108-U108-V108</f>
        <v>0</v>
      </c>
      <c r="X108" s="145">
        <f t="shared" si="32"/>
        <v>-6746.65</v>
      </c>
      <c r="Y108" s="145">
        <f>X108</f>
        <v>-6746.65</v>
      </c>
      <c r="Z108" s="145"/>
      <c r="AA108" s="145"/>
      <c r="AB108" s="145"/>
    </row>
    <row r="109" s="1" customFormat="1" ht="36" customHeight="1" spans="1:28">
      <c r="A109" s="48"/>
      <c r="B109" s="189"/>
      <c r="C109" s="190"/>
      <c r="D109" s="191"/>
      <c r="E109" s="412"/>
      <c r="F109" s="199"/>
      <c r="G109" s="196"/>
      <c r="H109" s="197" t="s">
        <v>202</v>
      </c>
      <c r="I109" s="204">
        <f>1133+220</f>
        <v>1353</v>
      </c>
      <c r="J109" s="108"/>
      <c r="K109" s="108">
        <f t="shared" si="34"/>
        <v>1353</v>
      </c>
      <c r="L109" s="108"/>
      <c r="M109" s="108"/>
      <c r="N109" s="108"/>
      <c r="O109" s="108"/>
      <c r="P109" s="108"/>
      <c r="Q109" s="108"/>
      <c r="R109" s="108"/>
      <c r="S109" s="94">
        <v>1353</v>
      </c>
      <c r="T109" s="94"/>
      <c r="U109" s="211">
        <f>S109</f>
        <v>1353</v>
      </c>
      <c r="V109" s="211"/>
      <c r="W109" s="94">
        <f t="shared" si="35"/>
        <v>0</v>
      </c>
      <c r="X109" s="145"/>
      <c r="Y109" s="145"/>
      <c r="Z109" s="145"/>
      <c r="AA109" s="145"/>
      <c r="AB109" s="145"/>
    </row>
    <row r="110" s="1" customFormat="1" ht="36" customHeight="1" spans="1:28">
      <c r="A110" s="48"/>
      <c r="B110" s="189"/>
      <c r="C110" s="190"/>
      <c r="D110" s="191"/>
      <c r="E110" s="412"/>
      <c r="F110" s="193" t="s">
        <v>310</v>
      </c>
      <c r="G110" s="193" t="s">
        <v>311</v>
      </c>
      <c r="H110" s="200" t="s">
        <v>200</v>
      </c>
      <c r="I110" s="205">
        <v>476200.01</v>
      </c>
      <c r="J110" s="109"/>
      <c r="K110" s="109">
        <f t="shared" si="33"/>
        <v>476200.01</v>
      </c>
      <c r="L110" s="109"/>
      <c r="M110" s="109"/>
      <c r="N110" s="109"/>
      <c r="O110" s="109"/>
      <c r="P110" s="109"/>
      <c r="Q110" s="109"/>
      <c r="R110" s="109"/>
      <c r="S110" s="101">
        <v>476200.01</v>
      </c>
      <c r="T110" s="101"/>
      <c r="U110" s="102">
        <f>S110</f>
        <v>476200.01</v>
      </c>
      <c r="V110" s="102"/>
      <c r="W110" s="101">
        <f t="shared" si="35"/>
        <v>0</v>
      </c>
      <c r="X110" s="174"/>
      <c r="Y110" s="174"/>
      <c r="Z110" s="174"/>
      <c r="AA110" s="174"/>
      <c r="AB110" s="174"/>
    </row>
    <row r="111" s="1" customFormat="1" ht="36" customHeight="1" spans="1:28">
      <c r="A111" s="153"/>
      <c r="B111" s="189"/>
      <c r="C111" s="190"/>
      <c r="D111" s="191"/>
      <c r="E111" s="412"/>
      <c r="F111" s="195"/>
      <c r="G111" s="201"/>
      <c r="H111" s="200" t="s">
        <v>202</v>
      </c>
      <c r="I111" s="205">
        <v>832.96</v>
      </c>
      <c r="J111" s="109"/>
      <c r="K111" s="109">
        <f t="shared" si="33"/>
        <v>832.96</v>
      </c>
      <c r="L111" s="109"/>
      <c r="M111" s="109"/>
      <c r="N111" s="109"/>
      <c r="O111" s="109"/>
      <c r="P111" s="109"/>
      <c r="Q111" s="109"/>
      <c r="R111" s="109"/>
      <c r="S111" s="101">
        <v>832.96</v>
      </c>
      <c r="T111" s="101"/>
      <c r="U111" s="102">
        <v>832.96</v>
      </c>
      <c r="V111" s="102"/>
      <c r="W111" s="102">
        <f t="shared" si="35"/>
        <v>0</v>
      </c>
      <c r="X111" s="174"/>
      <c r="Y111" s="174"/>
      <c r="Z111" s="174"/>
      <c r="AA111" s="174"/>
      <c r="AB111" s="145"/>
    </row>
    <row r="112" s="1" customFormat="1" ht="36" customHeight="1" spans="1:28">
      <c r="A112" s="153"/>
      <c r="B112" s="189"/>
      <c r="C112" s="190"/>
      <c r="D112" s="191"/>
      <c r="E112" s="412"/>
      <c r="F112" s="195"/>
      <c r="G112" s="193" t="s">
        <v>336</v>
      </c>
      <c r="H112" s="200" t="s">
        <v>200</v>
      </c>
      <c r="I112" s="205">
        <v>446922.22</v>
      </c>
      <c r="J112" s="109"/>
      <c r="K112" s="109">
        <f t="shared" si="34"/>
        <v>446922.22</v>
      </c>
      <c r="L112" s="109"/>
      <c r="M112" s="109"/>
      <c r="N112" s="109"/>
      <c r="O112" s="109"/>
      <c r="P112" s="109"/>
      <c r="Q112" s="109"/>
      <c r="R112" s="109"/>
      <c r="S112" s="101">
        <f>K112</f>
        <v>446922.22</v>
      </c>
      <c r="T112" s="101"/>
      <c r="U112" s="102">
        <f>S112</f>
        <v>446922.22</v>
      </c>
      <c r="V112" s="102"/>
      <c r="W112" s="102">
        <f t="shared" si="35"/>
        <v>0</v>
      </c>
      <c r="X112" s="174"/>
      <c r="Y112" s="174"/>
      <c r="Z112" s="174"/>
      <c r="AA112" s="174"/>
      <c r="AB112" s="145"/>
    </row>
    <row r="113" s="1" customFormat="1" ht="36" customHeight="1" spans="1:28">
      <c r="A113" s="153"/>
      <c r="B113" s="189"/>
      <c r="C113" s="190"/>
      <c r="D113" s="191"/>
      <c r="E113" s="413"/>
      <c r="F113" s="195"/>
      <c r="G113" s="201"/>
      <c r="H113" s="200" t="s">
        <v>202</v>
      </c>
      <c r="I113" s="205">
        <v>200</v>
      </c>
      <c r="J113" s="109"/>
      <c r="K113" s="109">
        <f t="shared" si="34"/>
        <v>200</v>
      </c>
      <c r="L113" s="109"/>
      <c r="M113" s="109"/>
      <c r="N113" s="109"/>
      <c r="O113" s="109"/>
      <c r="P113" s="109"/>
      <c r="Q113" s="109"/>
      <c r="R113" s="109"/>
      <c r="S113" s="101">
        <f>K113</f>
        <v>200</v>
      </c>
      <c r="T113" s="101"/>
      <c r="U113" s="102">
        <v>200</v>
      </c>
      <c r="V113" s="102"/>
      <c r="W113" s="102">
        <f t="shared" si="35"/>
        <v>0</v>
      </c>
      <c r="X113" s="174"/>
      <c r="Y113" s="174"/>
      <c r="Z113" s="174"/>
      <c r="AA113" s="174"/>
      <c r="AB113" s="145"/>
    </row>
    <row r="114" s="1" customFormat="1" ht="36" customHeight="1" spans="1:28">
      <c r="A114" s="153"/>
      <c r="B114" s="189"/>
      <c r="C114" s="190"/>
      <c r="D114" s="191"/>
      <c r="E114" s="413"/>
      <c r="F114" s="195"/>
      <c r="G114" s="193" t="s">
        <v>362</v>
      </c>
      <c r="H114" s="200" t="s">
        <v>200</v>
      </c>
      <c r="I114" s="205">
        <v>480822.22</v>
      </c>
      <c r="J114" s="109"/>
      <c r="K114" s="109">
        <f>J114+I114</f>
        <v>480822.22</v>
      </c>
      <c r="L114" s="109"/>
      <c r="M114" s="109"/>
      <c r="N114" s="109"/>
      <c r="O114" s="109"/>
      <c r="P114" s="109"/>
      <c r="Q114" s="109"/>
      <c r="R114" s="109"/>
      <c r="S114" s="101">
        <f>K114</f>
        <v>480822.22</v>
      </c>
      <c r="T114" s="101"/>
      <c r="U114" s="102"/>
      <c r="V114" s="102"/>
      <c r="W114" s="102">
        <v>172600</v>
      </c>
      <c r="X114" s="174"/>
      <c r="Y114" s="174"/>
      <c r="Z114" s="174"/>
      <c r="AA114" s="174"/>
      <c r="AB114" s="145"/>
    </row>
    <row r="115" s="1" customFormat="1" ht="36" customHeight="1" spans="1:28">
      <c r="A115" s="153"/>
      <c r="B115" s="189"/>
      <c r="C115" s="190"/>
      <c r="D115" s="191"/>
      <c r="E115" s="413"/>
      <c r="F115" s="195"/>
      <c r="G115" s="201"/>
      <c r="H115" s="200" t="s">
        <v>201</v>
      </c>
      <c r="I115" s="205">
        <f>-4185.98</f>
        <v>-4185.98</v>
      </c>
      <c r="J115" s="109"/>
      <c r="K115" s="109">
        <f>I115</f>
        <v>-4185.98</v>
      </c>
      <c r="L115" s="109"/>
      <c r="M115" s="109"/>
      <c r="N115" s="109"/>
      <c r="O115" s="109"/>
      <c r="P115" s="109"/>
      <c r="Q115" s="109"/>
      <c r="R115" s="109"/>
      <c r="S115" s="101">
        <f>K115</f>
        <v>-4185.98</v>
      </c>
      <c r="T115" s="101"/>
      <c r="U115" s="102"/>
      <c r="V115" s="102"/>
      <c r="W115" s="102"/>
      <c r="X115" s="174"/>
      <c r="Y115" s="174"/>
      <c r="Z115" s="174"/>
      <c r="AA115" s="174"/>
      <c r="AB115" s="145"/>
    </row>
    <row r="116" s="1" customFormat="1" ht="36" customHeight="1" spans="1:28">
      <c r="A116" s="153"/>
      <c r="B116" s="189"/>
      <c r="C116" s="190"/>
      <c r="D116" s="191"/>
      <c r="E116" s="413"/>
      <c r="F116" s="195"/>
      <c r="G116" s="201"/>
      <c r="H116" s="200"/>
      <c r="I116" s="205"/>
      <c r="J116" s="109"/>
      <c r="K116" s="109"/>
      <c r="L116" s="109"/>
      <c r="M116" s="109"/>
      <c r="N116" s="109"/>
      <c r="O116" s="109"/>
      <c r="P116" s="109"/>
      <c r="Q116" s="109"/>
      <c r="R116" s="109"/>
      <c r="S116" s="101"/>
      <c r="T116" s="101"/>
      <c r="U116" s="102"/>
      <c r="V116" s="102"/>
      <c r="W116" s="102"/>
      <c r="X116" s="174"/>
      <c r="Y116" s="174"/>
      <c r="Z116" s="174"/>
      <c r="AA116" s="174"/>
      <c r="AB116" s="145"/>
    </row>
    <row r="117" s="1" customFormat="1" ht="36" customHeight="1" spans="1:28">
      <c r="A117" s="153"/>
      <c r="B117" s="189"/>
      <c r="C117" s="190"/>
      <c r="D117" s="191"/>
      <c r="E117" s="413"/>
      <c r="F117" s="195"/>
      <c r="G117" s="201"/>
      <c r="H117" s="200"/>
      <c r="I117" s="205"/>
      <c r="J117" s="109"/>
      <c r="K117" s="109"/>
      <c r="L117" s="109"/>
      <c r="M117" s="109"/>
      <c r="N117" s="109"/>
      <c r="O117" s="109"/>
      <c r="P117" s="109"/>
      <c r="Q117" s="109"/>
      <c r="R117" s="109"/>
      <c r="S117" s="101"/>
      <c r="T117" s="101"/>
      <c r="U117" s="102"/>
      <c r="V117" s="102"/>
      <c r="W117" s="102"/>
      <c r="X117" s="174"/>
      <c r="Y117" s="174"/>
      <c r="Z117" s="174"/>
      <c r="AA117" s="174"/>
      <c r="AB117" s="145"/>
    </row>
    <row r="118" s="1" customFormat="1" ht="36" customHeight="1" spans="1:28">
      <c r="A118" s="153"/>
      <c r="B118" s="189"/>
      <c r="C118" s="190"/>
      <c r="D118" s="191"/>
      <c r="E118" s="413"/>
      <c r="F118" s="195"/>
      <c r="G118" s="201"/>
      <c r="H118" s="200"/>
      <c r="I118" s="205"/>
      <c r="J118" s="109"/>
      <c r="K118" s="109"/>
      <c r="L118" s="109"/>
      <c r="M118" s="109"/>
      <c r="N118" s="109"/>
      <c r="O118" s="109"/>
      <c r="P118" s="109"/>
      <c r="Q118" s="109"/>
      <c r="R118" s="109"/>
      <c r="S118" s="101"/>
      <c r="T118" s="101"/>
      <c r="U118" s="102"/>
      <c r="V118" s="102"/>
      <c r="W118" s="102"/>
      <c r="X118" s="174"/>
      <c r="Y118" s="174"/>
      <c r="Z118" s="174"/>
      <c r="AA118" s="174"/>
      <c r="AB118" s="145"/>
    </row>
    <row r="119" s="1" customFormat="1" ht="36" customHeight="1" spans="1:28">
      <c r="A119" s="153"/>
      <c r="B119" s="189"/>
      <c r="C119" s="190"/>
      <c r="D119" s="191"/>
      <c r="E119" s="413"/>
      <c r="F119" s="195"/>
      <c r="G119" s="201"/>
      <c r="H119" s="200"/>
      <c r="I119" s="205"/>
      <c r="J119" s="109"/>
      <c r="K119" s="109"/>
      <c r="L119" s="109"/>
      <c r="M119" s="109"/>
      <c r="N119" s="109"/>
      <c r="O119" s="109"/>
      <c r="P119" s="109"/>
      <c r="Q119" s="109"/>
      <c r="R119" s="109"/>
      <c r="S119" s="101"/>
      <c r="T119" s="101"/>
      <c r="U119" s="102"/>
      <c r="V119" s="102"/>
      <c r="W119" s="102"/>
      <c r="X119" s="174"/>
      <c r="Y119" s="174"/>
      <c r="Z119" s="174"/>
      <c r="AA119" s="174"/>
      <c r="AB119" s="145"/>
    </row>
    <row r="120" s="1" customFormat="1" ht="36" customHeight="1" spans="1:28">
      <c r="A120" s="153"/>
      <c r="B120" s="189"/>
      <c r="C120" s="190"/>
      <c r="D120" s="191"/>
      <c r="E120" s="413"/>
      <c r="F120" s="195"/>
      <c r="G120" s="201"/>
      <c r="H120" s="200"/>
      <c r="I120" s="205"/>
      <c r="J120" s="109"/>
      <c r="K120" s="109"/>
      <c r="L120" s="109"/>
      <c r="M120" s="109"/>
      <c r="N120" s="109"/>
      <c r="O120" s="109"/>
      <c r="P120" s="109"/>
      <c r="Q120" s="109"/>
      <c r="R120" s="109"/>
      <c r="S120" s="101"/>
      <c r="T120" s="101"/>
      <c r="U120" s="102"/>
      <c r="V120" s="102"/>
      <c r="W120" s="102"/>
      <c r="X120" s="174"/>
      <c r="Y120" s="174"/>
      <c r="Z120" s="174"/>
      <c r="AA120" s="174"/>
      <c r="AB120" s="145"/>
    </row>
    <row r="121" s="1" customFormat="1" ht="36" customHeight="1" spans="1:28">
      <c r="A121" s="153"/>
      <c r="B121" s="213"/>
      <c r="C121" s="214"/>
      <c r="D121" s="215"/>
      <c r="E121" s="413"/>
      <c r="F121" s="201"/>
      <c r="G121" s="201"/>
      <c r="H121" s="200"/>
      <c r="I121" s="205"/>
      <c r="J121" s="109"/>
      <c r="K121" s="109"/>
      <c r="L121" s="109"/>
      <c r="M121" s="109"/>
      <c r="N121" s="109"/>
      <c r="O121" s="109"/>
      <c r="P121" s="109"/>
      <c r="Q121" s="109"/>
      <c r="R121" s="109"/>
      <c r="S121" s="101"/>
      <c r="T121" s="101"/>
      <c r="U121" s="102"/>
      <c r="V121" s="102"/>
      <c r="W121" s="102"/>
      <c r="X121" s="174"/>
      <c r="Y121" s="174"/>
      <c r="Z121" s="174"/>
      <c r="AA121" s="174"/>
      <c r="AB121" s="145"/>
    </row>
    <row r="122" s="1" customFormat="1" ht="36" customHeight="1" spans="1:28">
      <c r="A122" s="156">
        <v>36</v>
      </c>
      <c r="B122" s="216" t="s">
        <v>312</v>
      </c>
      <c r="C122" s="217"/>
      <c r="D122" s="218"/>
      <c r="E122" s="283"/>
      <c r="F122" s="188"/>
      <c r="G122" s="219"/>
      <c r="H122" s="188"/>
      <c r="I122" s="108">
        <f>SUM(I123:I153)</f>
        <v>843139.32</v>
      </c>
      <c r="J122" s="108">
        <f>SUM(J123:J153)</f>
        <v>55613.7000000006</v>
      </c>
      <c r="K122" s="108">
        <f>SUM(K123:K153)</f>
        <v>898753.020000001</v>
      </c>
      <c r="L122" s="108">
        <f t="shared" ref="L122:O122" si="36">L123+L130+L135+L136+L142</f>
        <v>0</v>
      </c>
      <c r="M122" s="108">
        <f t="shared" si="36"/>
        <v>0</v>
      </c>
      <c r="N122" s="108">
        <f t="shared" si="36"/>
        <v>0</v>
      </c>
      <c r="O122" s="108">
        <f t="shared" si="36"/>
        <v>0</v>
      </c>
      <c r="P122" s="108"/>
      <c r="Q122" s="108"/>
      <c r="R122" s="108">
        <f>R123+R130+R135+R136+R142</f>
        <v>0</v>
      </c>
      <c r="S122" s="108">
        <f t="shared" ref="S122:S124" si="37">K122-L122-M122-N122-O122+R122-Q122</f>
        <v>898753.020000001</v>
      </c>
      <c r="T122" s="108"/>
      <c r="U122" s="108">
        <f t="shared" ref="U122:U127" si="38">S122</f>
        <v>898753.020000001</v>
      </c>
      <c r="V122" s="108"/>
      <c r="W122" s="108">
        <f t="shared" ref="W122:W131" si="39">S122+T122-U122-V122</f>
        <v>0</v>
      </c>
      <c r="X122" s="145">
        <f t="shared" ref="X122:X124" si="40">K122+F122</f>
        <v>898753.020000001</v>
      </c>
      <c r="Y122" s="145">
        <f t="shared" ref="Y122:Y124" si="41">U122+F122</f>
        <v>898753.020000001</v>
      </c>
      <c r="Z122" s="145"/>
      <c r="AA122" s="145"/>
      <c r="AB122" s="145"/>
    </row>
    <row r="123" s="19" customFormat="1" ht="36" customHeight="1" spans="1:28">
      <c r="A123" s="175"/>
      <c r="B123" s="220" t="s">
        <v>205</v>
      </c>
      <c r="C123" s="221"/>
      <c r="D123" s="222"/>
      <c r="E123" s="414"/>
      <c r="F123" s="167" t="s">
        <v>295</v>
      </c>
      <c r="G123" s="145" t="s">
        <v>206</v>
      </c>
      <c r="H123" s="94"/>
      <c r="I123" s="94">
        <v>46517</v>
      </c>
      <c r="J123" s="94">
        <v>0</v>
      </c>
      <c r="K123" s="94">
        <f t="shared" ref="K123:K127" si="42">J123+I123</f>
        <v>46517</v>
      </c>
      <c r="L123" s="235"/>
      <c r="M123" s="235"/>
      <c r="N123" s="235"/>
      <c r="O123" s="237"/>
      <c r="P123" s="237"/>
      <c r="Q123" s="237"/>
      <c r="R123" s="94"/>
      <c r="S123" s="94">
        <f t="shared" si="37"/>
        <v>46517</v>
      </c>
      <c r="T123" s="94"/>
      <c r="U123" s="94">
        <f t="shared" si="38"/>
        <v>46517</v>
      </c>
      <c r="V123" s="94"/>
      <c r="W123" s="94">
        <f t="shared" si="39"/>
        <v>0</v>
      </c>
      <c r="X123" s="145" t="e">
        <f t="shared" si="40"/>
        <v>#VALUE!</v>
      </c>
      <c r="Y123" s="145" t="e">
        <f t="shared" si="41"/>
        <v>#VALUE!</v>
      </c>
      <c r="Z123" s="145"/>
      <c r="AA123" s="145"/>
      <c r="AB123" s="145"/>
    </row>
    <row r="124" s="19" customFormat="1" ht="36" customHeight="1" spans="1:28">
      <c r="A124" s="175"/>
      <c r="B124" s="223"/>
      <c r="C124" s="224"/>
      <c r="D124" s="225"/>
      <c r="E124" s="415"/>
      <c r="F124" s="167"/>
      <c r="G124" s="145" t="s">
        <v>207</v>
      </c>
      <c r="H124" s="94"/>
      <c r="I124" s="94">
        <v>30516</v>
      </c>
      <c r="J124" s="94">
        <v>0</v>
      </c>
      <c r="K124" s="94">
        <f t="shared" si="42"/>
        <v>30516</v>
      </c>
      <c r="L124" s="235"/>
      <c r="M124" s="235"/>
      <c r="N124" s="235"/>
      <c r="O124" s="237"/>
      <c r="P124" s="237"/>
      <c r="Q124" s="237"/>
      <c r="R124" s="94"/>
      <c r="S124" s="94">
        <f t="shared" si="37"/>
        <v>30516</v>
      </c>
      <c r="T124" s="94"/>
      <c r="U124" s="94">
        <f t="shared" si="38"/>
        <v>30516</v>
      </c>
      <c r="V124" s="94"/>
      <c r="W124" s="94">
        <f t="shared" si="39"/>
        <v>0</v>
      </c>
      <c r="X124" s="145">
        <f t="shared" si="40"/>
        <v>30516</v>
      </c>
      <c r="Y124" s="145">
        <f t="shared" si="41"/>
        <v>30516</v>
      </c>
      <c r="Z124" s="145"/>
      <c r="AA124" s="145"/>
      <c r="AB124" s="145"/>
    </row>
    <row r="125" s="19" customFormat="1" ht="36" customHeight="1" spans="1:28">
      <c r="A125" s="175"/>
      <c r="B125" s="223"/>
      <c r="C125" s="224"/>
      <c r="D125" s="225"/>
      <c r="E125" s="415"/>
      <c r="F125" s="387" t="s">
        <v>296</v>
      </c>
      <c r="G125" s="174" t="s">
        <v>313</v>
      </c>
      <c r="H125" s="101"/>
      <c r="I125" s="101">
        <v>13017</v>
      </c>
      <c r="J125" s="101"/>
      <c r="K125" s="101">
        <f t="shared" si="42"/>
        <v>13017</v>
      </c>
      <c r="L125" s="238"/>
      <c r="M125" s="238"/>
      <c r="N125" s="238"/>
      <c r="O125" s="239"/>
      <c r="P125" s="239"/>
      <c r="Q125" s="239"/>
      <c r="R125" s="101"/>
      <c r="S125" s="101">
        <f>K125</f>
        <v>13017</v>
      </c>
      <c r="T125" s="101"/>
      <c r="U125" s="101">
        <f t="shared" si="38"/>
        <v>13017</v>
      </c>
      <c r="V125" s="101"/>
      <c r="W125" s="101">
        <f t="shared" si="39"/>
        <v>0</v>
      </c>
      <c r="X125" s="174"/>
      <c r="Y125" s="174"/>
      <c r="Z125" s="174"/>
      <c r="AA125" s="174"/>
      <c r="AB125" s="145"/>
    </row>
    <row r="126" s="19" customFormat="1" ht="36" customHeight="1" spans="1:28">
      <c r="A126" s="175"/>
      <c r="B126" s="223"/>
      <c r="C126" s="224"/>
      <c r="D126" s="225"/>
      <c r="E126" s="415"/>
      <c r="F126" s="387"/>
      <c r="G126" s="174" t="s">
        <v>337</v>
      </c>
      <c r="H126" s="101"/>
      <c r="I126" s="101">
        <v>1700</v>
      </c>
      <c r="J126" s="101"/>
      <c r="K126" s="101">
        <f t="shared" si="42"/>
        <v>1700</v>
      </c>
      <c r="L126" s="238"/>
      <c r="M126" s="238"/>
      <c r="N126" s="238"/>
      <c r="O126" s="239"/>
      <c r="P126" s="239"/>
      <c r="Q126" s="239"/>
      <c r="R126" s="101"/>
      <c r="S126" s="101">
        <f>K126</f>
        <v>1700</v>
      </c>
      <c r="T126" s="101"/>
      <c r="U126" s="101">
        <f t="shared" si="38"/>
        <v>1700</v>
      </c>
      <c r="V126" s="101"/>
      <c r="W126" s="101">
        <f t="shared" si="39"/>
        <v>0</v>
      </c>
      <c r="X126" s="174"/>
      <c r="Y126" s="174"/>
      <c r="Z126" s="174"/>
      <c r="AA126" s="174"/>
      <c r="AB126" s="145"/>
    </row>
    <row r="127" s="19" customFormat="1" ht="36" customHeight="1" spans="1:28">
      <c r="A127" s="175"/>
      <c r="B127" s="223"/>
      <c r="C127" s="224"/>
      <c r="D127" s="225"/>
      <c r="E127" s="415"/>
      <c r="F127" s="387"/>
      <c r="G127" s="174" t="s">
        <v>363</v>
      </c>
      <c r="H127" s="101"/>
      <c r="I127" s="101">
        <v>10747</v>
      </c>
      <c r="J127" s="101"/>
      <c r="K127" s="101">
        <f t="shared" si="42"/>
        <v>10747</v>
      </c>
      <c r="L127" s="238"/>
      <c r="M127" s="238"/>
      <c r="N127" s="238"/>
      <c r="O127" s="239"/>
      <c r="P127" s="239"/>
      <c r="Q127" s="239"/>
      <c r="R127" s="101"/>
      <c r="S127" s="101">
        <f>K127</f>
        <v>10747</v>
      </c>
      <c r="T127" s="101"/>
      <c r="U127" s="101">
        <f t="shared" si="38"/>
        <v>10747</v>
      </c>
      <c r="V127" s="101"/>
      <c r="W127" s="101">
        <f t="shared" si="39"/>
        <v>0</v>
      </c>
      <c r="X127" s="174"/>
      <c r="Y127" s="174"/>
      <c r="Z127" s="174"/>
      <c r="AA127" s="174"/>
      <c r="AB127" s="145"/>
    </row>
    <row r="128" s="19" customFormat="1" ht="36" customHeight="1" spans="1:28">
      <c r="A128" s="175"/>
      <c r="B128" s="223"/>
      <c r="C128" s="224"/>
      <c r="D128" s="225"/>
      <c r="E128" s="415"/>
      <c r="F128" s="387"/>
      <c r="G128" s="174"/>
      <c r="H128" s="101"/>
      <c r="I128" s="101"/>
      <c r="J128" s="101"/>
      <c r="K128" s="101"/>
      <c r="L128" s="238"/>
      <c r="M128" s="238"/>
      <c r="N128" s="238"/>
      <c r="O128" s="239"/>
      <c r="P128" s="239"/>
      <c r="Q128" s="239"/>
      <c r="R128" s="101"/>
      <c r="S128" s="101"/>
      <c r="T128" s="101"/>
      <c r="U128" s="101"/>
      <c r="V128" s="101"/>
      <c r="W128" s="101">
        <f t="shared" si="39"/>
        <v>0</v>
      </c>
      <c r="X128" s="174"/>
      <c r="Y128" s="174"/>
      <c r="Z128" s="174"/>
      <c r="AA128" s="174"/>
      <c r="AB128" s="145"/>
    </row>
    <row r="129" s="19" customFormat="1" ht="36" customHeight="1" spans="1:28">
      <c r="A129" s="175"/>
      <c r="B129" s="223"/>
      <c r="C129" s="224"/>
      <c r="D129" s="225"/>
      <c r="E129" s="415"/>
      <c r="F129" s="387"/>
      <c r="G129" s="174"/>
      <c r="H129" s="101"/>
      <c r="I129" s="101"/>
      <c r="J129" s="101"/>
      <c r="K129" s="101"/>
      <c r="L129" s="238"/>
      <c r="M129" s="238"/>
      <c r="N129" s="238"/>
      <c r="O129" s="239"/>
      <c r="P129" s="239"/>
      <c r="Q129" s="239"/>
      <c r="R129" s="101"/>
      <c r="S129" s="101"/>
      <c r="T129" s="101"/>
      <c r="U129" s="101"/>
      <c r="V129" s="101"/>
      <c r="W129" s="101">
        <f t="shared" si="39"/>
        <v>0</v>
      </c>
      <c r="X129" s="174"/>
      <c r="Y129" s="174"/>
      <c r="Z129" s="174"/>
      <c r="AA129" s="174"/>
      <c r="AB129" s="145"/>
    </row>
    <row r="130" s="19" customFormat="1" ht="36" customHeight="1" spans="1:28">
      <c r="A130" s="175"/>
      <c r="B130" s="220" t="s">
        <v>208</v>
      </c>
      <c r="C130" s="221"/>
      <c r="D130" s="222"/>
      <c r="E130" s="414"/>
      <c r="F130" s="46" t="s">
        <v>295</v>
      </c>
      <c r="G130" s="145" t="s">
        <v>206</v>
      </c>
      <c r="H130" s="94"/>
      <c r="I130" s="94">
        <f>287.12</f>
        <v>287.12</v>
      </c>
      <c r="J130" s="94">
        <v>2.88</v>
      </c>
      <c r="K130" s="94">
        <f t="shared" ref="K130:K135" si="43">J130+I130</f>
        <v>290</v>
      </c>
      <c r="L130" s="94"/>
      <c r="M130" s="94"/>
      <c r="N130" s="94"/>
      <c r="O130" s="94"/>
      <c r="P130" s="94"/>
      <c r="Q130" s="94"/>
      <c r="R130" s="94"/>
      <c r="S130" s="94">
        <f>K130-L130-M130-N130-O130+R130-Q130</f>
        <v>290</v>
      </c>
      <c r="T130" s="94"/>
      <c r="U130" s="94">
        <f t="shared" ref="U130:U140" si="44">S130</f>
        <v>290</v>
      </c>
      <c r="V130" s="94"/>
      <c r="W130" s="94">
        <f t="shared" si="39"/>
        <v>0</v>
      </c>
      <c r="X130" s="145" t="e">
        <f>K130+F130</f>
        <v>#VALUE!</v>
      </c>
      <c r="Y130" s="145" t="e">
        <f>U130+F130</f>
        <v>#VALUE!</v>
      </c>
      <c r="Z130" s="188"/>
      <c r="AA130" s="188"/>
      <c r="AB130" s="145"/>
    </row>
    <row r="131" s="19" customFormat="1" ht="36" customHeight="1" spans="1:28">
      <c r="A131" s="175"/>
      <c r="B131" s="223"/>
      <c r="C131" s="224"/>
      <c r="D131" s="225"/>
      <c r="E131" s="415"/>
      <c r="F131" s="52" t="s">
        <v>296</v>
      </c>
      <c r="G131" s="174" t="s">
        <v>337</v>
      </c>
      <c r="H131" s="226"/>
      <c r="I131" s="109"/>
      <c r="J131" s="109"/>
      <c r="K131" s="101">
        <f t="shared" si="43"/>
        <v>0</v>
      </c>
      <c r="L131" s="101"/>
      <c r="M131" s="101"/>
      <c r="N131" s="101"/>
      <c r="O131" s="101"/>
      <c r="P131" s="101"/>
      <c r="Q131" s="101"/>
      <c r="R131" s="101"/>
      <c r="S131" s="101">
        <f>K131</f>
        <v>0</v>
      </c>
      <c r="T131" s="101"/>
      <c r="U131" s="101">
        <f t="shared" si="44"/>
        <v>0</v>
      </c>
      <c r="V131" s="101"/>
      <c r="W131" s="101">
        <f t="shared" si="39"/>
        <v>0</v>
      </c>
      <c r="X131" s="174"/>
      <c r="Y131" s="174"/>
      <c r="Z131" s="269"/>
      <c r="AA131" s="269"/>
      <c r="AB131" s="145"/>
    </row>
    <row r="132" s="19" customFormat="1" ht="36" customHeight="1" spans="1:28">
      <c r="A132" s="175"/>
      <c r="B132" s="223"/>
      <c r="C132" s="224"/>
      <c r="D132" s="225"/>
      <c r="E132" s="415"/>
      <c r="F132" s="52"/>
      <c r="G132" s="174"/>
      <c r="H132" s="101"/>
      <c r="I132" s="101"/>
      <c r="J132" s="101"/>
      <c r="K132" s="101"/>
      <c r="L132" s="101"/>
      <c r="M132" s="101"/>
      <c r="N132" s="101"/>
      <c r="O132" s="101"/>
      <c r="P132" s="101"/>
      <c r="Q132" s="101"/>
      <c r="R132" s="101"/>
      <c r="S132" s="101"/>
      <c r="T132" s="101"/>
      <c r="U132" s="101"/>
      <c r="V132" s="101"/>
      <c r="W132" s="101"/>
      <c r="X132" s="174"/>
      <c r="Y132" s="174"/>
      <c r="Z132" s="269"/>
      <c r="AA132" s="269"/>
      <c r="AB132" s="145"/>
    </row>
    <row r="133" s="19" customFormat="1" ht="36" customHeight="1" spans="1:28">
      <c r="A133" s="175"/>
      <c r="B133" s="223"/>
      <c r="C133" s="224"/>
      <c r="D133" s="225"/>
      <c r="E133" s="415"/>
      <c r="F133" s="52"/>
      <c r="G133" s="174"/>
      <c r="H133" s="101"/>
      <c r="I133" s="101"/>
      <c r="J133" s="101"/>
      <c r="K133" s="101"/>
      <c r="L133" s="101"/>
      <c r="M133" s="101"/>
      <c r="N133" s="101"/>
      <c r="O133" s="101"/>
      <c r="P133" s="101"/>
      <c r="Q133" s="101"/>
      <c r="R133" s="101"/>
      <c r="S133" s="101"/>
      <c r="T133" s="101"/>
      <c r="U133" s="101"/>
      <c r="V133" s="101"/>
      <c r="W133" s="101"/>
      <c r="X133" s="174"/>
      <c r="Y133" s="174"/>
      <c r="Z133" s="269"/>
      <c r="AA133" s="269"/>
      <c r="AB133" s="145"/>
    </row>
    <row r="134" s="19" customFormat="1" ht="36" customHeight="1" spans="1:28">
      <c r="A134" s="175"/>
      <c r="B134" s="223"/>
      <c r="C134" s="224"/>
      <c r="D134" s="225"/>
      <c r="E134" s="415"/>
      <c r="F134" s="52"/>
      <c r="G134" s="174"/>
      <c r="H134" s="101"/>
      <c r="I134" s="101"/>
      <c r="J134" s="101"/>
      <c r="K134" s="101"/>
      <c r="L134" s="101"/>
      <c r="M134" s="101"/>
      <c r="N134" s="101"/>
      <c r="O134" s="101"/>
      <c r="P134" s="101"/>
      <c r="Q134" s="101"/>
      <c r="R134" s="101"/>
      <c r="S134" s="101"/>
      <c r="T134" s="101"/>
      <c r="U134" s="101"/>
      <c r="V134" s="101"/>
      <c r="W134" s="102"/>
      <c r="X134" s="174"/>
      <c r="Y134" s="174"/>
      <c r="Z134" s="269"/>
      <c r="AA134" s="269"/>
      <c r="AB134" s="145"/>
    </row>
    <row r="135" s="19" customFormat="1" ht="36" customHeight="1" spans="1:28">
      <c r="A135" s="175"/>
      <c r="B135" s="220" t="s">
        <v>209</v>
      </c>
      <c r="C135" s="221"/>
      <c r="D135" s="222"/>
      <c r="E135" s="414"/>
      <c r="F135" s="45" t="s">
        <v>295</v>
      </c>
      <c r="G135" s="145" t="s">
        <v>206</v>
      </c>
      <c r="H135" s="94"/>
      <c r="I135" s="94">
        <v>116605.74</v>
      </c>
      <c r="J135" s="94">
        <v>3317.86000000048</v>
      </c>
      <c r="K135" s="94">
        <f t="shared" si="43"/>
        <v>119923.6</v>
      </c>
      <c r="L135" s="94"/>
      <c r="M135" s="94"/>
      <c r="N135" s="94"/>
      <c r="O135" s="94"/>
      <c r="P135" s="94"/>
      <c r="Q135" s="94"/>
      <c r="R135" s="94"/>
      <c r="S135" s="94">
        <f t="shared" ref="S135:S137" si="45">K135-L135-M135-N135-O135+R135-Q135</f>
        <v>119923.6</v>
      </c>
      <c r="T135" s="94"/>
      <c r="U135" s="94">
        <f t="shared" si="44"/>
        <v>119923.6</v>
      </c>
      <c r="V135" s="94"/>
      <c r="W135" s="94">
        <f t="shared" ref="W135:W138" si="46">S135+T135-U135-V135</f>
        <v>0</v>
      </c>
      <c r="X135" s="145" t="e">
        <f t="shared" ref="X135:X137" si="47">K135+F135</f>
        <v>#VALUE!</v>
      </c>
      <c r="Y135" s="145" t="e">
        <f t="shared" ref="Y135:Y137" si="48">U135+F135</f>
        <v>#VALUE!</v>
      </c>
      <c r="Z135" s="188"/>
      <c r="AA135" s="188"/>
      <c r="AB135" s="145"/>
    </row>
    <row r="136" s="19" customFormat="1" ht="36" customHeight="1" spans="1:28">
      <c r="A136" s="175"/>
      <c r="B136" s="223"/>
      <c r="C136" s="224"/>
      <c r="D136" s="225"/>
      <c r="E136" s="415"/>
      <c r="F136" s="49"/>
      <c r="G136" s="45" t="s">
        <v>207</v>
      </c>
      <c r="H136" s="94"/>
      <c r="I136" s="108">
        <v>89025.62</v>
      </c>
      <c r="J136" s="108">
        <f>2148.43-100.78-401.06</f>
        <v>1646.59</v>
      </c>
      <c r="K136" s="94">
        <f>I136+J136</f>
        <v>90672.21</v>
      </c>
      <c r="L136" s="94"/>
      <c r="M136" s="94"/>
      <c r="N136" s="94"/>
      <c r="O136" s="94"/>
      <c r="P136" s="94"/>
      <c r="Q136" s="94"/>
      <c r="R136" s="94"/>
      <c r="S136" s="94">
        <f t="shared" si="45"/>
        <v>90672.21</v>
      </c>
      <c r="T136" s="94"/>
      <c r="U136" s="94">
        <f t="shared" si="44"/>
        <v>90672.21</v>
      </c>
      <c r="V136" s="94"/>
      <c r="W136" s="94">
        <f t="shared" si="46"/>
        <v>0</v>
      </c>
      <c r="X136" s="145">
        <f t="shared" si="47"/>
        <v>90672.21</v>
      </c>
      <c r="Y136" s="145">
        <f t="shared" si="48"/>
        <v>90672.21</v>
      </c>
      <c r="Z136" s="188"/>
      <c r="AA136" s="188"/>
      <c r="AB136" s="145"/>
    </row>
    <row r="137" s="19" customFormat="1" ht="36" customHeight="1" spans="1:28">
      <c r="A137" s="175"/>
      <c r="B137" s="223"/>
      <c r="C137" s="224"/>
      <c r="D137" s="225"/>
      <c r="E137" s="415"/>
      <c r="F137" s="49"/>
      <c r="G137" s="81"/>
      <c r="H137" s="233" t="s">
        <v>210</v>
      </c>
      <c r="I137" s="108">
        <v>6579.94</v>
      </c>
      <c r="J137" s="108">
        <f>3620-3408.78+3361-3171.16</f>
        <v>401.06</v>
      </c>
      <c r="K137" s="94">
        <f t="shared" ref="K137:K140" si="49">J137+I137</f>
        <v>6981</v>
      </c>
      <c r="L137" s="94"/>
      <c r="M137" s="94"/>
      <c r="N137" s="94"/>
      <c r="O137" s="94"/>
      <c r="P137" s="94"/>
      <c r="Q137" s="94"/>
      <c r="R137" s="94"/>
      <c r="S137" s="94">
        <f t="shared" si="45"/>
        <v>6981</v>
      </c>
      <c r="T137" s="94"/>
      <c r="U137" s="94">
        <f t="shared" si="44"/>
        <v>6981</v>
      </c>
      <c r="V137" s="94"/>
      <c r="W137" s="94">
        <f t="shared" si="46"/>
        <v>0</v>
      </c>
      <c r="X137" s="145">
        <f t="shared" si="47"/>
        <v>6981</v>
      </c>
      <c r="Y137" s="145">
        <f t="shared" si="48"/>
        <v>6981</v>
      </c>
      <c r="Z137" s="188"/>
      <c r="AA137" s="188"/>
      <c r="AB137" s="145"/>
    </row>
    <row r="138" s="19" customFormat="1" ht="36" customHeight="1" spans="1:28">
      <c r="A138" s="175"/>
      <c r="B138" s="223"/>
      <c r="C138" s="224"/>
      <c r="D138" s="225"/>
      <c r="E138" s="415"/>
      <c r="F138" s="52" t="s">
        <v>296</v>
      </c>
      <c r="G138" s="174" t="s">
        <v>313</v>
      </c>
      <c r="H138" s="226"/>
      <c r="I138" s="109">
        <v>65309.79</v>
      </c>
      <c r="J138" s="109">
        <v>909.39</v>
      </c>
      <c r="K138" s="101">
        <f t="shared" si="49"/>
        <v>66219.18</v>
      </c>
      <c r="L138" s="101"/>
      <c r="M138" s="101"/>
      <c r="N138" s="101"/>
      <c r="O138" s="101"/>
      <c r="P138" s="101"/>
      <c r="Q138" s="101"/>
      <c r="R138" s="101"/>
      <c r="S138" s="101">
        <f>K138</f>
        <v>66219.18</v>
      </c>
      <c r="T138" s="101"/>
      <c r="U138" s="101">
        <f t="shared" si="44"/>
        <v>66219.18</v>
      </c>
      <c r="V138" s="101"/>
      <c r="W138" s="101">
        <f t="shared" si="46"/>
        <v>0</v>
      </c>
      <c r="X138" s="174"/>
      <c r="Y138" s="174"/>
      <c r="Z138" s="269"/>
      <c r="AA138" s="269"/>
      <c r="AB138" s="145"/>
    </row>
    <row r="139" s="19" customFormat="1" ht="36" customHeight="1" spans="1:28">
      <c r="A139" s="175"/>
      <c r="B139" s="223"/>
      <c r="C139" s="224"/>
      <c r="D139" s="225"/>
      <c r="E139" s="415"/>
      <c r="F139" s="52"/>
      <c r="G139" s="174" t="s">
        <v>337</v>
      </c>
      <c r="H139" s="226"/>
      <c r="I139" s="109">
        <v>9521.42</v>
      </c>
      <c r="J139" s="109">
        <f>810.89-771.11+7.68+790-750.83+15.37+30.37+758.4-721.26+2052-2036.63+591.63</f>
        <v>776.51</v>
      </c>
      <c r="K139" s="101">
        <f t="shared" si="49"/>
        <v>10297.93</v>
      </c>
      <c r="L139" s="101"/>
      <c r="M139" s="101"/>
      <c r="N139" s="101"/>
      <c r="O139" s="101"/>
      <c r="P139" s="101"/>
      <c r="Q139" s="101"/>
      <c r="R139" s="101"/>
      <c r="S139" s="101">
        <f>K139</f>
        <v>10297.93</v>
      </c>
      <c r="T139" s="101"/>
      <c r="U139" s="101">
        <f t="shared" si="44"/>
        <v>10297.93</v>
      </c>
      <c r="V139" s="101"/>
      <c r="W139" s="101"/>
      <c r="X139" s="174"/>
      <c r="Y139" s="174"/>
      <c r="Z139" s="269"/>
      <c r="AA139" s="269"/>
      <c r="AB139" s="145"/>
    </row>
    <row r="140" s="19" customFormat="1" ht="36" customHeight="1" spans="1:28">
      <c r="A140" s="175"/>
      <c r="B140" s="223"/>
      <c r="C140" s="224"/>
      <c r="D140" s="225"/>
      <c r="E140" s="415"/>
      <c r="F140" s="52"/>
      <c r="G140" s="174" t="s">
        <v>338</v>
      </c>
      <c r="H140" s="226"/>
      <c r="I140" s="109">
        <v>26021.1</v>
      </c>
      <c r="J140" s="109">
        <v>430.410000000149</v>
      </c>
      <c r="K140" s="101">
        <f t="shared" si="49"/>
        <v>26451.5100000001</v>
      </c>
      <c r="L140" s="101"/>
      <c r="M140" s="101"/>
      <c r="N140" s="101"/>
      <c r="O140" s="101"/>
      <c r="P140" s="101"/>
      <c r="Q140" s="101"/>
      <c r="R140" s="101"/>
      <c r="S140" s="101">
        <f>K140</f>
        <v>26451.5100000001</v>
      </c>
      <c r="T140" s="101"/>
      <c r="U140" s="101">
        <f t="shared" si="44"/>
        <v>26451.5100000001</v>
      </c>
      <c r="V140" s="101"/>
      <c r="W140" s="101"/>
      <c r="X140" s="174"/>
      <c r="Y140" s="174"/>
      <c r="Z140" s="269"/>
      <c r="AA140" s="269"/>
      <c r="AB140" s="145"/>
    </row>
    <row r="141" s="19" customFormat="1" ht="36" customHeight="1" spans="1:28">
      <c r="A141" s="175"/>
      <c r="B141" s="223"/>
      <c r="C141" s="224"/>
      <c r="D141" s="225"/>
      <c r="E141" s="415"/>
      <c r="F141" s="52"/>
      <c r="G141" s="174" t="s">
        <v>339</v>
      </c>
      <c r="H141" s="226"/>
      <c r="I141" s="109"/>
      <c r="J141" s="109"/>
      <c r="K141" s="101"/>
      <c r="L141" s="101"/>
      <c r="M141" s="101"/>
      <c r="N141" s="101"/>
      <c r="O141" s="101"/>
      <c r="P141" s="101"/>
      <c r="Q141" s="101"/>
      <c r="R141" s="101"/>
      <c r="S141" s="101"/>
      <c r="T141" s="101"/>
      <c r="U141" s="101"/>
      <c r="V141" s="101"/>
      <c r="W141" s="101"/>
      <c r="X141" s="174"/>
      <c r="Y141" s="174"/>
      <c r="Z141" s="269"/>
      <c r="AA141" s="269"/>
      <c r="AB141" s="145"/>
    </row>
    <row r="142" s="19" customFormat="1" ht="36" customHeight="1" spans="1:28">
      <c r="A142" s="175"/>
      <c r="B142" s="220" t="s">
        <v>211</v>
      </c>
      <c r="C142" s="221"/>
      <c r="D142" s="222"/>
      <c r="E142" s="414"/>
      <c r="F142" s="211" t="s">
        <v>295</v>
      </c>
      <c r="G142" s="145" t="s">
        <v>207</v>
      </c>
      <c r="H142" s="94"/>
      <c r="I142" s="108">
        <f>22857.94+11.28</f>
        <v>22869.22</v>
      </c>
      <c r="J142" s="108">
        <f>11.28+29.7+24.26*2</f>
        <v>89.5</v>
      </c>
      <c r="K142" s="94">
        <f>I142+J142</f>
        <v>22958.72</v>
      </c>
      <c r="L142" s="94"/>
      <c r="M142" s="94"/>
      <c r="N142" s="94"/>
      <c r="O142" s="94"/>
      <c r="P142" s="94"/>
      <c r="Q142" s="94"/>
      <c r="R142" s="94"/>
      <c r="S142" s="94">
        <f>K142-L142-M142-N142-O142+R142-Q142</f>
        <v>22958.72</v>
      </c>
      <c r="T142" s="108"/>
      <c r="U142" s="94">
        <f>S142</f>
        <v>22958.72</v>
      </c>
      <c r="V142" s="94"/>
      <c r="W142" s="94">
        <f>S142+T142-U142-V142</f>
        <v>0</v>
      </c>
      <c r="X142" s="145" t="e">
        <f>K142+F142</f>
        <v>#VALUE!</v>
      </c>
      <c r="Y142" s="145" t="e">
        <f>U142+F142</f>
        <v>#VALUE!</v>
      </c>
      <c r="Z142" s="188"/>
      <c r="AA142" s="188"/>
      <c r="AB142" s="145"/>
    </row>
    <row r="143" s="19" customFormat="1" ht="36" customHeight="1" spans="1:28">
      <c r="A143" s="175"/>
      <c r="B143" s="223"/>
      <c r="C143" s="224"/>
      <c r="D143" s="225"/>
      <c r="E143" s="419"/>
      <c r="F143" s="103" t="s">
        <v>296</v>
      </c>
      <c r="G143" s="174" t="s">
        <v>313</v>
      </c>
      <c r="H143" s="234" t="s">
        <v>314</v>
      </c>
      <c r="I143" s="109">
        <v>11785.05</v>
      </c>
      <c r="J143" s="109">
        <v>38.9500000000007</v>
      </c>
      <c r="K143" s="101">
        <f>I143+J143</f>
        <v>11824</v>
      </c>
      <c r="L143" s="101"/>
      <c r="M143" s="101"/>
      <c r="N143" s="101"/>
      <c r="O143" s="101"/>
      <c r="P143" s="101"/>
      <c r="Q143" s="101"/>
      <c r="R143" s="101"/>
      <c r="S143" s="101">
        <v>11824</v>
      </c>
      <c r="T143" s="109"/>
      <c r="U143" s="101">
        <v>11824</v>
      </c>
      <c r="V143" s="101"/>
      <c r="W143" s="101">
        <f>S143+T143-U143-V143</f>
        <v>0</v>
      </c>
      <c r="X143" s="174"/>
      <c r="Y143" s="174"/>
      <c r="Z143" s="269"/>
      <c r="AA143" s="269"/>
      <c r="AB143" s="145"/>
    </row>
    <row r="144" s="19" customFormat="1" ht="36" customHeight="1" spans="1:28">
      <c r="A144" s="175"/>
      <c r="B144" s="223"/>
      <c r="C144" s="224"/>
      <c r="D144" s="225"/>
      <c r="E144" s="419"/>
      <c r="F144" s="105"/>
      <c r="G144" s="174"/>
      <c r="H144" s="234"/>
      <c r="I144" s="109"/>
      <c r="J144" s="109"/>
      <c r="K144" s="101"/>
      <c r="L144" s="101"/>
      <c r="M144" s="101"/>
      <c r="N144" s="101"/>
      <c r="O144" s="101"/>
      <c r="P144" s="101"/>
      <c r="Q144" s="101"/>
      <c r="R144" s="101"/>
      <c r="S144" s="101"/>
      <c r="T144" s="109"/>
      <c r="U144" s="101"/>
      <c r="V144" s="101"/>
      <c r="W144" s="101"/>
      <c r="X144" s="174"/>
      <c r="Y144" s="174"/>
      <c r="Z144" s="269"/>
      <c r="AA144" s="269"/>
      <c r="AB144" s="145"/>
    </row>
    <row r="145" s="19" customFormat="1" ht="36" customHeight="1" spans="1:28">
      <c r="A145" s="175"/>
      <c r="B145" s="223"/>
      <c r="C145" s="224"/>
      <c r="D145" s="225"/>
      <c r="E145" s="419"/>
      <c r="F145" s="105"/>
      <c r="G145" s="174"/>
      <c r="H145" s="234"/>
      <c r="I145" s="109"/>
      <c r="J145" s="109"/>
      <c r="K145" s="101"/>
      <c r="L145" s="101"/>
      <c r="M145" s="101"/>
      <c r="N145" s="101"/>
      <c r="O145" s="101"/>
      <c r="P145" s="101"/>
      <c r="Q145" s="101"/>
      <c r="R145" s="101"/>
      <c r="S145" s="101"/>
      <c r="T145" s="109"/>
      <c r="U145" s="101"/>
      <c r="V145" s="101"/>
      <c r="W145" s="101"/>
      <c r="X145" s="174"/>
      <c r="Y145" s="174"/>
      <c r="Z145" s="269"/>
      <c r="AA145" s="269"/>
      <c r="AB145" s="145"/>
    </row>
    <row r="146" s="19" customFormat="1" ht="36" customHeight="1" spans="1:28">
      <c r="A146" s="175"/>
      <c r="B146" s="223"/>
      <c r="C146" s="224"/>
      <c r="D146" s="225"/>
      <c r="E146" s="419"/>
      <c r="F146" s="105"/>
      <c r="G146" s="174"/>
      <c r="H146" s="234"/>
      <c r="I146" s="109"/>
      <c r="J146" s="109"/>
      <c r="K146" s="101"/>
      <c r="L146" s="101"/>
      <c r="M146" s="101"/>
      <c r="N146" s="101"/>
      <c r="O146" s="101"/>
      <c r="P146" s="101"/>
      <c r="Q146" s="101"/>
      <c r="R146" s="101"/>
      <c r="S146" s="101"/>
      <c r="T146" s="109"/>
      <c r="U146" s="101"/>
      <c r="V146" s="101"/>
      <c r="W146" s="101"/>
      <c r="X146" s="174"/>
      <c r="Y146" s="174"/>
      <c r="Z146" s="269"/>
      <c r="AA146" s="269"/>
      <c r="AB146" s="145"/>
    </row>
    <row r="147" s="19" customFormat="1" ht="36" customHeight="1" spans="1:28">
      <c r="A147" s="175"/>
      <c r="B147" s="185" t="s">
        <v>210</v>
      </c>
      <c r="C147" s="186"/>
      <c r="D147" s="187"/>
      <c r="E147" s="237"/>
      <c r="F147" s="103" t="s">
        <v>296</v>
      </c>
      <c r="G147" s="174" t="s">
        <v>313</v>
      </c>
      <c r="H147" s="327" t="s">
        <v>315</v>
      </c>
      <c r="I147" s="109">
        <v>84328.41</v>
      </c>
      <c r="J147" s="109">
        <v>10962.71</v>
      </c>
      <c r="K147" s="101">
        <f t="shared" ref="K147:K150" si="50">J147+I147</f>
        <v>95291.12</v>
      </c>
      <c r="L147" s="101"/>
      <c r="M147" s="101"/>
      <c r="N147" s="101"/>
      <c r="O147" s="101"/>
      <c r="P147" s="101"/>
      <c r="Q147" s="101"/>
      <c r="R147" s="101"/>
      <c r="S147" s="101">
        <f t="shared" ref="S147:S150" si="51">K147</f>
        <v>95291.12</v>
      </c>
      <c r="T147" s="101"/>
      <c r="U147" s="101">
        <f>S147</f>
        <v>95291.12</v>
      </c>
      <c r="V147" s="101"/>
      <c r="W147" s="101">
        <f>S147+T147-U147-V147</f>
        <v>0</v>
      </c>
      <c r="X147" s="174"/>
      <c r="Y147" s="174"/>
      <c r="Z147" s="269"/>
      <c r="AA147" s="269">
        <v>95291.12</v>
      </c>
      <c r="AB147" s="145"/>
    </row>
    <row r="148" s="19" customFormat="1" ht="36" customHeight="1" spans="1:28">
      <c r="A148" s="175"/>
      <c r="B148" s="189"/>
      <c r="C148" s="190"/>
      <c r="D148" s="191"/>
      <c r="E148" s="237"/>
      <c r="F148" s="105"/>
      <c r="G148" s="174" t="s">
        <v>337</v>
      </c>
      <c r="H148" s="327" t="s">
        <v>340</v>
      </c>
      <c r="I148" s="109">
        <v>31416.34</v>
      </c>
      <c r="J148" s="109">
        <f>1041.5</f>
        <v>1041.5</v>
      </c>
      <c r="K148" s="101">
        <f t="shared" si="50"/>
        <v>32457.84</v>
      </c>
      <c r="L148" s="101"/>
      <c r="M148" s="101"/>
      <c r="N148" s="101"/>
      <c r="O148" s="101"/>
      <c r="P148" s="101"/>
      <c r="Q148" s="101"/>
      <c r="R148" s="101"/>
      <c r="S148" s="101">
        <f t="shared" si="51"/>
        <v>32457.84</v>
      </c>
      <c r="T148" s="101"/>
      <c r="U148" s="101">
        <f>S148</f>
        <v>32457.84</v>
      </c>
      <c r="V148" s="101"/>
      <c r="W148" s="101">
        <f>S148+T148-U148-V148</f>
        <v>0</v>
      </c>
      <c r="X148" s="174"/>
      <c r="Y148" s="174"/>
      <c r="Z148" s="269"/>
      <c r="AA148" s="269"/>
      <c r="AB148" s="145"/>
    </row>
    <row r="149" s="19" customFormat="1" ht="36" customHeight="1" spans="1:28">
      <c r="A149" s="175"/>
      <c r="B149" s="189"/>
      <c r="C149" s="190"/>
      <c r="D149" s="191"/>
      <c r="E149" s="237"/>
      <c r="F149" s="105"/>
      <c r="G149" s="174" t="s">
        <v>337</v>
      </c>
      <c r="H149" s="285"/>
      <c r="I149" s="109">
        <v>3345.19</v>
      </c>
      <c r="J149" s="109">
        <v>434.87</v>
      </c>
      <c r="K149" s="101">
        <f t="shared" si="50"/>
        <v>3780.06</v>
      </c>
      <c r="L149" s="101"/>
      <c r="M149" s="101"/>
      <c r="N149" s="101"/>
      <c r="O149" s="101"/>
      <c r="P149" s="101"/>
      <c r="Q149" s="101"/>
      <c r="R149" s="101"/>
      <c r="S149" s="101">
        <f t="shared" si="51"/>
        <v>3780.06</v>
      </c>
      <c r="T149" s="101"/>
      <c r="U149" s="101">
        <f>S149</f>
        <v>3780.06</v>
      </c>
      <c r="V149" s="101"/>
      <c r="W149" s="101">
        <f>S149+T149-U149-V149</f>
        <v>0</v>
      </c>
      <c r="X149" s="174"/>
      <c r="Y149" s="174"/>
      <c r="Z149" s="269"/>
      <c r="AA149" s="269"/>
      <c r="AB149" s="145"/>
    </row>
    <row r="150" s="19" customFormat="1" ht="36" customHeight="1" spans="1:28">
      <c r="A150" s="175"/>
      <c r="B150" s="189"/>
      <c r="C150" s="190"/>
      <c r="D150" s="191"/>
      <c r="E150" s="237"/>
      <c r="F150" s="105"/>
      <c r="G150" s="174" t="s">
        <v>338</v>
      </c>
      <c r="H150" s="327" t="s">
        <v>364</v>
      </c>
      <c r="I150" s="109">
        <v>273547.38</v>
      </c>
      <c r="J150" s="109">
        <f>28647.01+1189.56+5407.38+317.52</f>
        <v>35561.47</v>
      </c>
      <c r="K150" s="101">
        <f t="shared" si="50"/>
        <v>309108.85</v>
      </c>
      <c r="L150" s="101"/>
      <c r="M150" s="101"/>
      <c r="N150" s="101"/>
      <c r="O150" s="101"/>
      <c r="P150" s="101"/>
      <c r="Q150" s="101"/>
      <c r="R150" s="101"/>
      <c r="S150" s="101">
        <f t="shared" si="51"/>
        <v>309108.85</v>
      </c>
      <c r="T150" s="101"/>
      <c r="U150" s="101"/>
      <c r="V150" s="101"/>
      <c r="W150" s="101">
        <v>249008.55</v>
      </c>
      <c r="X150" s="174"/>
      <c r="Y150" s="174"/>
      <c r="Z150" s="269"/>
      <c r="AA150" s="269"/>
      <c r="AB150" s="145"/>
    </row>
    <row r="151" s="19" customFormat="1" ht="36" customHeight="1" spans="1:28">
      <c r="A151" s="175"/>
      <c r="B151" s="189"/>
      <c r="C151" s="190"/>
      <c r="D151" s="191"/>
      <c r="E151" s="237"/>
      <c r="F151" s="105"/>
      <c r="G151" s="174"/>
      <c r="H151" s="234"/>
      <c r="I151" s="109"/>
      <c r="J151" s="109"/>
      <c r="K151" s="101"/>
      <c r="L151" s="101"/>
      <c r="M151" s="101"/>
      <c r="N151" s="101"/>
      <c r="O151" s="101"/>
      <c r="P151" s="101"/>
      <c r="Q151" s="101"/>
      <c r="R151" s="101"/>
      <c r="S151" s="101"/>
      <c r="T151" s="101"/>
      <c r="U151" s="101"/>
      <c r="V151" s="101"/>
      <c r="W151" s="101"/>
      <c r="X151" s="174"/>
      <c r="Y151" s="174"/>
      <c r="Z151" s="269"/>
      <c r="AA151" s="269"/>
      <c r="AB151" s="145"/>
    </row>
    <row r="152" s="19" customFormat="1" ht="36" customHeight="1" spans="1:28">
      <c r="A152" s="175"/>
      <c r="B152" s="213"/>
      <c r="C152" s="214"/>
      <c r="D152" s="215"/>
      <c r="E152" s="237"/>
      <c r="F152" s="106"/>
      <c r="G152" s="174"/>
      <c r="H152" s="234"/>
      <c r="I152" s="109"/>
      <c r="J152" s="109"/>
      <c r="K152" s="101"/>
      <c r="L152" s="101"/>
      <c r="M152" s="101"/>
      <c r="N152" s="101"/>
      <c r="O152" s="101"/>
      <c r="P152" s="101"/>
      <c r="Q152" s="101"/>
      <c r="R152" s="101"/>
      <c r="S152" s="101"/>
      <c r="T152" s="101"/>
      <c r="U152" s="101"/>
      <c r="V152" s="101"/>
      <c r="W152" s="101"/>
      <c r="X152" s="174"/>
      <c r="Y152" s="174"/>
      <c r="Z152" s="269"/>
      <c r="AA152" s="269"/>
      <c r="AB152" s="145"/>
    </row>
    <row r="153" s="19" customFormat="1" ht="36" customHeight="1" spans="1:28">
      <c r="A153" s="175"/>
      <c r="B153" s="235"/>
      <c r="C153" s="235"/>
      <c r="D153" s="235"/>
      <c r="E153" s="237"/>
      <c r="F153" s="94"/>
      <c r="G153" s="145"/>
      <c r="H153" s="236"/>
      <c r="I153" s="108"/>
      <c r="J153" s="108"/>
      <c r="K153" s="94"/>
      <c r="L153" s="94"/>
      <c r="M153" s="94"/>
      <c r="N153" s="94"/>
      <c r="O153" s="94"/>
      <c r="P153" s="94"/>
      <c r="Q153" s="94"/>
      <c r="R153" s="94"/>
      <c r="S153" s="94"/>
      <c r="T153" s="108"/>
      <c r="U153" s="94"/>
      <c r="V153" s="94"/>
      <c r="W153" s="94">
        <f>S153+T153-U153-V153</f>
        <v>0</v>
      </c>
      <c r="X153" s="145"/>
      <c r="Y153" s="145"/>
      <c r="Z153" s="188"/>
      <c r="AA153" s="188"/>
      <c r="AB153" s="145"/>
    </row>
    <row r="154" s="20" customFormat="1" ht="36" customHeight="1" spans="1:28">
      <c r="A154" s="240" t="s">
        <v>212</v>
      </c>
      <c r="B154" s="241"/>
      <c r="C154" s="241"/>
      <c r="D154" s="241"/>
      <c r="E154" s="241"/>
      <c r="F154" s="241"/>
      <c r="G154" s="243"/>
      <c r="H154" s="244" t="s">
        <v>316</v>
      </c>
      <c r="I154" s="300">
        <f>I142+I137+I136+I135+I130+I124+I123+I109+I108+I107+I103+I97+I95+I94+I93+I92+I91+I90+I89+I88+I87+I86+I85+I84+I83+I82+I81+I80+I79+I78+I77+I76+I75+I74+I73+I72+I71+I68+I58+I49+I35+I25</f>
        <v>260599572.29</v>
      </c>
      <c r="J154" s="300">
        <f t="shared" ref="I154:W154" si="52">J142+J137+J136+J135+J130+J124+J123+J109+J108+J107+J103+J97+J95+J94+J93+J92+J91+J90+J89+J88+J87+J86+J85+J84+J83+J82+J81+J80+J79+J78+J77+J76+J75+J74+J73+J72+J71+J68+J58+J49+J35+J25</f>
        <v>25791352.63</v>
      </c>
      <c r="K154" s="300">
        <f t="shared" si="52"/>
        <v>286390924.92</v>
      </c>
      <c r="L154" s="300">
        <f t="shared" si="52"/>
        <v>2208694.43</v>
      </c>
      <c r="M154" s="300">
        <f t="shared" si="52"/>
        <v>0</v>
      </c>
      <c r="N154" s="300">
        <f t="shared" si="52"/>
        <v>0</v>
      </c>
      <c r="O154" s="300">
        <f t="shared" si="52"/>
        <v>613920.32</v>
      </c>
      <c r="P154" s="300">
        <f t="shared" si="52"/>
        <v>0</v>
      </c>
      <c r="Q154" s="300">
        <f t="shared" si="52"/>
        <v>3100</v>
      </c>
      <c r="R154" s="300">
        <f t="shared" si="52"/>
        <v>116593.5</v>
      </c>
      <c r="S154" s="300">
        <f t="shared" si="52"/>
        <v>281826803.67</v>
      </c>
      <c r="T154" s="300">
        <f t="shared" si="52"/>
        <v>1855000</v>
      </c>
      <c r="U154" s="300">
        <f t="shared" si="52"/>
        <v>250263880.12</v>
      </c>
      <c r="V154" s="300">
        <f t="shared" si="52"/>
        <v>1855000</v>
      </c>
      <c r="W154" s="300">
        <f t="shared" si="52"/>
        <v>31562923.55</v>
      </c>
      <c r="X154" s="300" t="e">
        <f>SUM(X6:X18,X28:X29,X37:X44,X51:X53,X60:X63,X70,X72:X78,X79:X86,X87:X94,X95:X109,X123:X124,X130:X137,X142)</f>
        <v>#VALUE!</v>
      </c>
      <c r="Y154" s="300" t="e">
        <f>SUM(Y6:Y18,Y28:Y29,Y37:Y44,Y51:Y53,Y60:Y63,Y70,Y72:Y78,Y79:Y86,Y87:Y94,Y95:Y109,Y123:Y124,Y130:Y137,Y142)</f>
        <v>#VALUE!</v>
      </c>
      <c r="Z154" s="307">
        <f>SUM(Z25,Z35,Z49,Z58,Z68,Z71,Z72:Z122)</f>
        <v>6040577.8</v>
      </c>
      <c r="AA154" s="307">
        <f>SUM(AA25,AA35,AA49,AA58,AA68,AA71,AA72:AA122)</f>
        <v>8171032.28</v>
      </c>
      <c r="AB154" s="307"/>
    </row>
    <row r="155" s="21" customFormat="1" ht="36" customHeight="1" spans="1:28">
      <c r="A155" s="245"/>
      <c r="B155" s="246"/>
      <c r="C155" s="246"/>
      <c r="D155" s="246"/>
      <c r="E155" s="246"/>
      <c r="F155" s="246"/>
      <c r="G155" s="212"/>
      <c r="H155" s="205" t="s">
        <v>317</v>
      </c>
      <c r="I155" s="301">
        <f>I26+I36+I50+I59+I69+I96+I98+I104+I105+I106+I110+I111+I112+I113+I125+I126+I127+I128+I129+I131+I132+I133+I134+I138+I139+I140+I141+I143+I144+I145+I146+I147+I148+I149+I150+I114+I115+I99</f>
        <v>20441483.46</v>
      </c>
      <c r="J155" s="301">
        <f t="shared" ref="J155:W155" si="53">J26+J36+J50+J59+J69+J96+J98+J104+J105+J106+J110+J111+J112+J113+J125+J126+J127+J128+J129+J131+J132+J133+J134+J138+J139+J140+J141+J143+J144+J145+J146+J147+J148+J149+J150+J114+J115+J99</f>
        <v>3191731.61</v>
      </c>
      <c r="K155" s="301">
        <f t="shared" si="53"/>
        <v>23633215.07</v>
      </c>
      <c r="L155" s="301">
        <f t="shared" si="53"/>
        <v>0</v>
      </c>
      <c r="M155" s="301">
        <f t="shared" si="53"/>
        <v>0</v>
      </c>
      <c r="N155" s="301">
        <f t="shared" si="53"/>
        <v>0</v>
      </c>
      <c r="O155" s="301">
        <f t="shared" si="53"/>
        <v>201576.1</v>
      </c>
      <c r="P155" s="301">
        <f t="shared" si="53"/>
        <v>0</v>
      </c>
      <c r="Q155" s="301">
        <f t="shared" si="53"/>
        <v>0</v>
      </c>
      <c r="R155" s="301">
        <f t="shared" si="53"/>
        <v>0</v>
      </c>
      <c r="S155" s="301">
        <f t="shared" si="53"/>
        <v>22663602.57</v>
      </c>
      <c r="T155" s="301">
        <f t="shared" si="53"/>
        <v>0</v>
      </c>
      <c r="U155" s="301">
        <f t="shared" si="53"/>
        <v>31927545.37</v>
      </c>
      <c r="V155" s="301">
        <f t="shared" si="53"/>
        <v>2681000</v>
      </c>
      <c r="W155" s="301">
        <f t="shared" si="53"/>
        <v>-12610655.44</v>
      </c>
      <c r="X155" s="301">
        <f>X147+X143+X138+X125+X111+X110+X19</f>
        <v>0</v>
      </c>
      <c r="Y155" s="301">
        <f>Y147+Y143+Y138+Y125+Y111+Y110+Y19</f>
        <v>0</v>
      </c>
      <c r="Z155" s="308"/>
      <c r="AA155" s="308"/>
      <c r="AB155" s="308"/>
    </row>
    <row r="156" s="21" customFormat="1" ht="36" customHeight="1" spans="1:28">
      <c r="A156" s="245"/>
      <c r="B156" s="246"/>
      <c r="C156" s="246"/>
      <c r="D156" s="246"/>
      <c r="E156" s="246"/>
      <c r="F156" s="246"/>
      <c r="G156" s="248"/>
      <c r="H156" s="249"/>
      <c r="I156" s="301"/>
      <c r="J156" s="301"/>
      <c r="K156" s="301"/>
      <c r="L156" s="301"/>
      <c r="M156" s="301"/>
      <c r="N156" s="301"/>
      <c r="O156" s="301"/>
      <c r="P156" s="301"/>
      <c r="Q156" s="301"/>
      <c r="R156" s="301"/>
      <c r="S156" s="301"/>
      <c r="T156" s="301"/>
      <c r="U156" s="301"/>
      <c r="V156" s="301"/>
      <c r="W156" s="301"/>
      <c r="X156" s="424"/>
      <c r="Y156" s="424"/>
      <c r="Z156" s="308"/>
      <c r="AA156" s="308"/>
      <c r="AB156" s="308"/>
    </row>
    <row r="157" s="21" customFormat="1" ht="36" customHeight="1" spans="1:28">
      <c r="A157" s="245"/>
      <c r="B157" s="246"/>
      <c r="C157" s="246"/>
      <c r="D157" s="246"/>
      <c r="E157" s="246"/>
      <c r="F157" s="246"/>
      <c r="G157" s="248"/>
      <c r="H157" s="249"/>
      <c r="I157" s="301">
        <f>I155+I154</f>
        <v>281041055.75</v>
      </c>
      <c r="J157" s="301">
        <f>J155+J154</f>
        <v>28983084.24</v>
      </c>
      <c r="K157" s="301">
        <f>K155+K154</f>
        <v>310024139.99</v>
      </c>
      <c r="L157" s="301"/>
      <c r="M157" s="301"/>
      <c r="N157" s="301"/>
      <c r="O157" s="301"/>
      <c r="P157" s="301"/>
      <c r="Q157" s="301"/>
      <c r="R157" s="301"/>
      <c r="S157" s="301"/>
      <c r="T157" s="301"/>
      <c r="U157" s="301"/>
      <c r="V157" s="301"/>
      <c r="W157" s="301"/>
      <c r="X157" s="424"/>
      <c r="Y157" s="424"/>
      <c r="Z157" s="308"/>
      <c r="AA157" s="308"/>
      <c r="AB157" s="308"/>
    </row>
    <row r="158" s="1" customFormat="1" ht="36" customHeight="1" spans="1:28">
      <c r="A158" s="250" t="s">
        <v>213</v>
      </c>
      <c r="B158" s="251" t="s">
        <v>214</v>
      </c>
      <c r="C158" s="252"/>
      <c r="D158" s="252"/>
      <c r="E158" s="217"/>
      <c r="F158" s="217"/>
      <c r="G158" s="217"/>
      <c r="H158" s="218"/>
      <c r="I158" s="94"/>
      <c r="J158" s="94"/>
      <c r="K158" s="94"/>
      <c r="L158" s="94"/>
      <c r="M158" s="94"/>
      <c r="N158" s="94"/>
      <c r="O158" s="94"/>
      <c r="P158" s="94"/>
      <c r="Q158" s="94"/>
      <c r="R158" s="94"/>
      <c r="S158" s="94">
        <f>K158-L158-M158-N158-O158+R158</f>
        <v>0</v>
      </c>
      <c r="T158" s="94"/>
      <c r="U158" s="94"/>
      <c r="V158" s="94"/>
      <c r="W158" s="94"/>
      <c r="X158" s="45"/>
      <c r="Y158" s="45"/>
      <c r="Z158" s="145"/>
      <c r="AA158" s="145"/>
      <c r="AB158" s="145"/>
    </row>
    <row r="159" s="22" customFormat="1" ht="42" customHeight="1" spans="1:239">
      <c r="A159" s="43">
        <v>22</v>
      </c>
      <c r="B159" s="44" t="s">
        <v>215</v>
      </c>
      <c r="C159" s="43" t="s">
        <v>216</v>
      </c>
      <c r="D159" s="43" t="s">
        <v>217</v>
      </c>
      <c r="E159" s="43">
        <v>9968383.94</v>
      </c>
      <c r="F159" s="45"/>
      <c r="G159" s="66" t="s">
        <v>218</v>
      </c>
      <c r="H159" s="66" t="s">
        <v>219</v>
      </c>
      <c r="I159" s="94"/>
      <c r="J159" s="94"/>
      <c r="K159" s="94">
        <f>I159+J159</f>
        <v>0</v>
      </c>
      <c r="L159" s="94"/>
      <c r="M159" s="94"/>
      <c r="N159" s="94"/>
      <c r="O159" s="94"/>
      <c r="P159" s="94"/>
      <c r="Q159" s="94"/>
      <c r="R159" s="94">
        <v>2990515.18</v>
      </c>
      <c r="S159" s="94">
        <f>K159-L159-M159-N159-O159+R159</f>
        <v>2990515.18</v>
      </c>
      <c r="T159" s="94"/>
      <c r="U159" s="94">
        <v>2990515.18</v>
      </c>
      <c r="V159" s="94"/>
      <c r="W159" s="94">
        <f t="shared" ref="W159:W169" si="54">S159+T159-U159-V159</f>
        <v>0</v>
      </c>
      <c r="X159" s="145">
        <f>K159+F159</f>
        <v>0</v>
      </c>
      <c r="Y159" s="145">
        <f t="shared" ref="Y159:Y168" si="55">U159+F159</f>
        <v>2990515.18</v>
      </c>
      <c r="Z159" s="426"/>
      <c r="AA159" s="145"/>
      <c r="AB159" s="145"/>
      <c r="AC159" s="311"/>
      <c r="AD159" s="311"/>
      <c r="AE159" s="311"/>
      <c r="AF159" s="311"/>
      <c r="AG159" s="311"/>
      <c r="AH159" s="311"/>
      <c r="AI159" s="311"/>
      <c r="AJ159" s="311"/>
      <c r="AK159" s="311"/>
      <c r="AL159" s="311"/>
      <c r="AM159" s="311"/>
      <c r="AN159" s="311"/>
      <c r="AO159" s="311"/>
      <c r="AP159" s="311"/>
      <c r="AQ159" s="311"/>
      <c r="AR159" s="311"/>
      <c r="AS159" s="311"/>
      <c r="AT159" s="311"/>
      <c r="AU159" s="311"/>
      <c r="AV159" s="311"/>
      <c r="AW159" s="311"/>
      <c r="AX159" s="311"/>
      <c r="AY159" s="311"/>
      <c r="AZ159" s="311"/>
      <c r="BA159" s="311"/>
      <c r="BB159" s="311"/>
      <c r="BC159" s="311"/>
      <c r="BD159" s="311"/>
      <c r="BE159" s="311"/>
      <c r="BF159" s="311"/>
      <c r="BG159" s="311"/>
      <c r="BH159" s="311"/>
      <c r="BI159" s="311"/>
      <c r="BJ159" s="311"/>
      <c r="BK159" s="311"/>
      <c r="BL159" s="311"/>
      <c r="BM159" s="311"/>
      <c r="BN159" s="311"/>
      <c r="BO159" s="311"/>
      <c r="BP159" s="311"/>
      <c r="BQ159" s="311"/>
      <c r="BR159" s="311"/>
      <c r="BS159" s="311"/>
      <c r="BT159" s="311"/>
      <c r="BU159" s="311"/>
      <c r="BV159" s="311"/>
      <c r="BW159" s="311"/>
      <c r="BX159" s="311"/>
      <c r="BY159" s="311"/>
      <c r="BZ159" s="311"/>
      <c r="CA159" s="311"/>
      <c r="CB159" s="311"/>
      <c r="CC159" s="311"/>
      <c r="CD159" s="311"/>
      <c r="CE159" s="311"/>
      <c r="CF159" s="311"/>
      <c r="CG159" s="311"/>
      <c r="CH159" s="311"/>
      <c r="CI159" s="311"/>
      <c r="CJ159" s="311"/>
      <c r="CK159" s="311"/>
      <c r="CL159" s="311"/>
      <c r="CM159" s="311"/>
      <c r="CN159" s="311"/>
      <c r="CO159" s="311"/>
      <c r="CP159" s="311"/>
      <c r="CQ159" s="311"/>
      <c r="CR159" s="311"/>
      <c r="CS159" s="311"/>
      <c r="CT159" s="311"/>
      <c r="CU159" s="311"/>
      <c r="CV159" s="311"/>
      <c r="CW159" s="311"/>
      <c r="CX159" s="311"/>
      <c r="CY159" s="311"/>
      <c r="CZ159" s="311"/>
      <c r="DA159" s="311"/>
      <c r="DB159" s="311"/>
      <c r="DC159" s="311"/>
      <c r="DD159" s="311"/>
      <c r="DE159" s="311"/>
      <c r="DF159" s="311"/>
      <c r="DG159" s="311"/>
      <c r="DH159" s="311"/>
      <c r="DI159" s="311"/>
      <c r="DJ159" s="311"/>
      <c r="DK159" s="311"/>
      <c r="DL159" s="311"/>
      <c r="DM159" s="311"/>
      <c r="DN159" s="311"/>
      <c r="DO159" s="311"/>
      <c r="DP159" s="311"/>
      <c r="DQ159" s="311"/>
      <c r="DR159" s="311"/>
      <c r="DS159" s="311"/>
      <c r="DT159" s="311"/>
      <c r="DU159" s="311"/>
      <c r="DV159" s="311"/>
      <c r="DW159" s="311"/>
      <c r="DX159" s="311"/>
      <c r="DY159" s="311"/>
      <c r="DZ159" s="311"/>
      <c r="EA159" s="311"/>
      <c r="EB159" s="311"/>
      <c r="EC159" s="311"/>
      <c r="ED159" s="311"/>
      <c r="EE159" s="311"/>
      <c r="EF159" s="311"/>
      <c r="EG159" s="311"/>
      <c r="EH159" s="311"/>
      <c r="EI159" s="311"/>
      <c r="EJ159" s="311"/>
      <c r="EK159" s="311"/>
      <c r="EL159" s="311"/>
      <c r="EM159" s="311"/>
      <c r="EN159" s="311"/>
      <c r="EO159" s="311"/>
      <c r="EP159" s="311"/>
      <c r="EQ159" s="311"/>
      <c r="ER159" s="311"/>
      <c r="ES159" s="311"/>
      <c r="ET159" s="311"/>
      <c r="EU159" s="311"/>
      <c r="EV159" s="311"/>
      <c r="EW159" s="311"/>
      <c r="EX159" s="311"/>
      <c r="EY159" s="311"/>
      <c r="EZ159" s="311"/>
      <c r="FA159" s="311"/>
      <c r="FB159" s="311"/>
      <c r="FC159" s="311"/>
      <c r="FD159" s="311"/>
      <c r="FE159" s="311"/>
      <c r="FF159" s="311"/>
      <c r="FG159" s="311"/>
      <c r="FH159" s="311"/>
      <c r="FI159" s="311"/>
      <c r="FJ159" s="311"/>
      <c r="FK159" s="311"/>
      <c r="FL159" s="311"/>
      <c r="FM159" s="311"/>
      <c r="FN159" s="311"/>
      <c r="FO159" s="311"/>
      <c r="FP159" s="311"/>
      <c r="FQ159" s="311"/>
      <c r="FR159" s="311"/>
      <c r="FS159" s="311"/>
      <c r="FT159" s="311"/>
      <c r="FU159" s="311"/>
      <c r="FV159" s="311"/>
      <c r="FW159" s="311"/>
      <c r="FX159" s="311"/>
      <c r="FY159" s="311"/>
      <c r="FZ159" s="311"/>
      <c r="GA159" s="311"/>
      <c r="GB159" s="311"/>
      <c r="GC159" s="311"/>
      <c r="GD159" s="311"/>
      <c r="GE159" s="311"/>
      <c r="GF159" s="311"/>
      <c r="GG159" s="311"/>
      <c r="GH159" s="311"/>
      <c r="GI159" s="311"/>
      <c r="GJ159" s="311"/>
      <c r="GK159" s="311"/>
      <c r="GL159" s="311"/>
      <c r="GM159" s="311"/>
      <c r="GN159" s="311"/>
      <c r="GO159" s="311"/>
      <c r="GP159" s="311"/>
      <c r="GQ159" s="311"/>
      <c r="GR159" s="311"/>
      <c r="GS159" s="311"/>
      <c r="GT159" s="311"/>
      <c r="GU159" s="311"/>
      <c r="GV159" s="311"/>
      <c r="GW159" s="311"/>
      <c r="GX159" s="311"/>
      <c r="GY159" s="311"/>
      <c r="GZ159" s="311"/>
      <c r="HA159" s="311"/>
      <c r="HB159" s="311"/>
      <c r="HC159" s="311"/>
      <c r="HD159" s="311"/>
      <c r="HE159" s="311"/>
      <c r="HF159" s="311"/>
      <c r="HG159" s="311"/>
      <c r="HH159" s="311"/>
      <c r="HI159" s="311"/>
      <c r="HJ159" s="311"/>
      <c r="HK159" s="311"/>
      <c r="HL159" s="311"/>
      <c r="HM159" s="311"/>
      <c r="HN159" s="311"/>
      <c r="HO159" s="311"/>
      <c r="HP159" s="311"/>
      <c r="HQ159" s="311"/>
      <c r="HR159" s="311"/>
      <c r="HS159" s="311"/>
      <c r="HT159" s="311"/>
      <c r="HU159" s="311"/>
      <c r="HV159" s="311"/>
      <c r="HW159" s="311"/>
      <c r="HX159" s="311"/>
      <c r="HY159" s="311"/>
      <c r="HZ159" s="311"/>
      <c r="IA159" s="311"/>
      <c r="IB159" s="311"/>
      <c r="IC159" s="311"/>
      <c r="ID159" s="311"/>
      <c r="IE159" s="311"/>
    </row>
    <row r="160" s="22" customFormat="1" ht="42" customHeight="1" spans="1:239">
      <c r="A160" s="48"/>
      <c r="B160" s="48"/>
      <c r="C160" s="48"/>
      <c r="D160" s="48"/>
      <c r="E160" s="153"/>
      <c r="F160" s="81"/>
      <c r="G160" s="159" t="s">
        <v>220</v>
      </c>
      <c r="H160" s="73" t="s">
        <v>221</v>
      </c>
      <c r="I160" s="99">
        <v>3814289</v>
      </c>
      <c r="J160" s="421">
        <v>495857.57</v>
      </c>
      <c r="K160" s="94">
        <f t="shared" ref="K160:K163" si="56">J160+I160</f>
        <v>4310146.57</v>
      </c>
      <c r="L160" s="112"/>
      <c r="M160" s="112"/>
      <c r="N160" s="112"/>
      <c r="O160" s="112"/>
      <c r="P160" s="45"/>
      <c r="Q160" s="112"/>
      <c r="R160" s="112">
        <v>-2990515.18</v>
      </c>
      <c r="S160" s="112">
        <f>K160-L160-M160-N160-O160+R160+K161+K162+K163</f>
        <v>4984191.97</v>
      </c>
      <c r="T160" s="112">
        <v>0</v>
      </c>
      <c r="U160" s="112">
        <v>4984191.97</v>
      </c>
      <c r="V160" s="401">
        <v>0</v>
      </c>
      <c r="W160" s="401">
        <f t="shared" si="54"/>
        <v>0</v>
      </c>
      <c r="X160" s="45">
        <f>K160+F160+K161+K162+K163</f>
        <v>7974707.15</v>
      </c>
      <c r="Y160" s="145">
        <f t="shared" si="55"/>
        <v>4984191.97</v>
      </c>
      <c r="Z160" s="314"/>
      <c r="AA160" s="145"/>
      <c r="AB160" s="410"/>
      <c r="AC160" s="311"/>
      <c r="AD160" s="311"/>
      <c r="AE160" s="311"/>
      <c r="AF160" s="311"/>
      <c r="AG160" s="311"/>
      <c r="AH160" s="311"/>
      <c r="AI160" s="311"/>
      <c r="AJ160" s="311"/>
      <c r="AK160" s="311"/>
      <c r="AL160" s="311"/>
      <c r="AM160" s="311"/>
      <c r="AN160" s="311"/>
      <c r="AO160" s="311"/>
      <c r="AP160" s="311"/>
      <c r="AQ160" s="311"/>
      <c r="AR160" s="311"/>
      <c r="AS160" s="311"/>
      <c r="AT160" s="311"/>
      <c r="AU160" s="311"/>
      <c r="AV160" s="311"/>
      <c r="AW160" s="311"/>
      <c r="AX160" s="311"/>
      <c r="AY160" s="311"/>
      <c r="AZ160" s="311"/>
      <c r="BA160" s="311"/>
      <c r="BB160" s="311"/>
      <c r="BC160" s="311"/>
      <c r="BD160" s="311"/>
      <c r="BE160" s="311"/>
      <c r="BF160" s="311"/>
      <c r="BG160" s="311"/>
      <c r="BH160" s="311"/>
      <c r="BI160" s="311"/>
      <c r="BJ160" s="311"/>
      <c r="BK160" s="311"/>
      <c r="BL160" s="311"/>
      <c r="BM160" s="311"/>
      <c r="BN160" s="311"/>
      <c r="BO160" s="311"/>
      <c r="BP160" s="311"/>
      <c r="BQ160" s="311"/>
      <c r="BR160" s="311"/>
      <c r="BS160" s="311"/>
      <c r="BT160" s="311"/>
      <c r="BU160" s="311"/>
      <c r="BV160" s="311"/>
      <c r="BW160" s="311"/>
      <c r="BX160" s="311"/>
      <c r="BY160" s="311"/>
      <c r="BZ160" s="311"/>
      <c r="CA160" s="311"/>
      <c r="CB160" s="311"/>
      <c r="CC160" s="311"/>
      <c r="CD160" s="311"/>
      <c r="CE160" s="311"/>
      <c r="CF160" s="311"/>
      <c r="CG160" s="311"/>
      <c r="CH160" s="311"/>
      <c r="CI160" s="311"/>
      <c r="CJ160" s="311"/>
      <c r="CK160" s="311"/>
      <c r="CL160" s="311"/>
      <c r="CM160" s="311"/>
      <c r="CN160" s="311"/>
      <c r="CO160" s="311"/>
      <c r="CP160" s="311"/>
      <c r="CQ160" s="311"/>
      <c r="CR160" s="311"/>
      <c r="CS160" s="311"/>
      <c r="CT160" s="311"/>
      <c r="CU160" s="311"/>
      <c r="CV160" s="311"/>
      <c r="CW160" s="311"/>
      <c r="CX160" s="311"/>
      <c r="CY160" s="311"/>
      <c r="CZ160" s="311"/>
      <c r="DA160" s="311"/>
      <c r="DB160" s="311"/>
      <c r="DC160" s="311"/>
      <c r="DD160" s="311"/>
      <c r="DE160" s="311"/>
      <c r="DF160" s="311"/>
      <c r="DG160" s="311"/>
      <c r="DH160" s="311"/>
      <c r="DI160" s="311"/>
      <c r="DJ160" s="311"/>
      <c r="DK160" s="311"/>
      <c r="DL160" s="311"/>
      <c r="DM160" s="311"/>
      <c r="DN160" s="311"/>
      <c r="DO160" s="311"/>
      <c r="DP160" s="311"/>
      <c r="DQ160" s="311"/>
      <c r="DR160" s="311"/>
      <c r="DS160" s="311"/>
      <c r="DT160" s="311"/>
      <c r="DU160" s="311"/>
      <c r="DV160" s="311"/>
      <c r="DW160" s="311"/>
      <c r="DX160" s="311"/>
      <c r="DY160" s="311"/>
      <c r="DZ160" s="311"/>
      <c r="EA160" s="311"/>
      <c r="EB160" s="311"/>
      <c r="EC160" s="311"/>
      <c r="ED160" s="311"/>
      <c r="EE160" s="311"/>
      <c r="EF160" s="311"/>
      <c r="EG160" s="311"/>
      <c r="EH160" s="311"/>
      <c r="EI160" s="311"/>
      <c r="EJ160" s="311"/>
      <c r="EK160" s="311"/>
      <c r="EL160" s="311"/>
      <c r="EM160" s="311"/>
      <c r="EN160" s="311"/>
      <c r="EO160" s="311"/>
      <c r="EP160" s="311"/>
      <c r="EQ160" s="311"/>
      <c r="ER160" s="311"/>
      <c r="ES160" s="311"/>
      <c r="ET160" s="311"/>
      <c r="EU160" s="311"/>
      <c r="EV160" s="311"/>
      <c r="EW160" s="311"/>
      <c r="EX160" s="311"/>
      <c r="EY160" s="311"/>
      <c r="EZ160" s="311"/>
      <c r="FA160" s="311"/>
      <c r="FB160" s="311"/>
      <c r="FC160" s="311"/>
      <c r="FD160" s="311"/>
      <c r="FE160" s="311"/>
      <c r="FF160" s="311"/>
      <c r="FG160" s="311"/>
      <c r="FH160" s="311"/>
      <c r="FI160" s="311"/>
      <c r="FJ160" s="311"/>
      <c r="FK160" s="311"/>
      <c r="FL160" s="311"/>
      <c r="FM160" s="311"/>
      <c r="FN160" s="311"/>
      <c r="FO160" s="311"/>
      <c r="FP160" s="311"/>
      <c r="FQ160" s="311"/>
      <c r="FR160" s="311"/>
      <c r="FS160" s="311"/>
      <c r="FT160" s="311"/>
      <c r="FU160" s="311"/>
      <c r="FV160" s="311"/>
      <c r="FW160" s="311"/>
      <c r="FX160" s="311"/>
      <c r="FY160" s="311"/>
      <c r="FZ160" s="311"/>
      <c r="GA160" s="311"/>
      <c r="GB160" s="311"/>
      <c r="GC160" s="311"/>
      <c r="GD160" s="311"/>
      <c r="GE160" s="311"/>
      <c r="GF160" s="311"/>
      <c r="GG160" s="311"/>
      <c r="GH160" s="311"/>
      <c r="GI160" s="311"/>
      <c r="GJ160" s="311"/>
      <c r="GK160" s="311"/>
      <c r="GL160" s="311"/>
      <c r="GM160" s="311"/>
      <c r="GN160" s="311"/>
      <c r="GO160" s="311"/>
      <c r="GP160" s="311"/>
      <c r="GQ160" s="311"/>
      <c r="GR160" s="311"/>
      <c r="GS160" s="311"/>
      <c r="GT160" s="311"/>
      <c r="GU160" s="311"/>
      <c r="GV160" s="311"/>
      <c r="GW160" s="311"/>
      <c r="GX160" s="311"/>
      <c r="GY160" s="311"/>
      <c r="GZ160" s="311"/>
      <c r="HA160" s="311"/>
      <c r="HB160" s="311"/>
      <c r="HC160" s="311"/>
      <c r="HD160" s="311"/>
      <c r="HE160" s="311"/>
      <c r="HF160" s="311"/>
      <c r="HG160" s="311"/>
      <c r="HH160" s="311"/>
      <c r="HI160" s="311"/>
      <c r="HJ160" s="311"/>
      <c r="HK160" s="311"/>
      <c r="HL160" s="311"/>
      <c r="HM160" s="311"/>
      <c r="HN160" s="311"/>
      <c r="HO160" s="311"/>
      <c r="HP160" s="311"/>
      <c r="HQ160" s="311"/>
      <c r="HR160" s="311"/>
      <c r="HS160" s="311"/>
      <c r="HT160" s="311"/>
      <c r="HU160" s="311"/>
      <c r="HV160" s="311"/>
      <c r="HW160" s="311"/>
      <c r="HX160" s="311"/>
      <c r="HY160" s="311"/>
      <c r="HZ160" s="311"/>
      <c r="IA160" s="311"/>
      <c r="IB160" s="311"/>
      <c r="IC160" s="311"/>
      <c r="ID160" s="311"/>
      <c r="IE160" s="311"/>
    </row>
    <row r="161" s="23" customFormat="1" ht="42" customHeight="1" spans="1:239">
      <c r="A161" s="48"/>
      <c r="B161" s="48"/>
      <c r="C161" s="48"/>
      <c r="D161" s="48"/>
      <c r="E161" s="153"/>
      <c r="F161" s="81"/>
      <c r="G161" s="175"/>
      <c r="H161" s="73"/>
      <c r="I161" s="99">
        <v>2581578.51</v>
      </c>
      <c r="J161" s="422">
        <v>269332.9</v>
      </c>
      <c r="K161" s="94">
        <f t="shared" si="56"/>
        <v>2850911.41</v>
      </c>
      <c r="L161" s="113"/>
      <c r="M161" s="113"/>
      <c r="N161" s="113"/>
      <c r="O161" s="113"/>
      <c r="P161" s="49"/>
      <c r="Q161" s="113"/>
      <c r="R161" s="113"/>
      <c r="S161" s="113"/>
      <c r="T161" s="113"/>
      <c r="U161" s="113"/>
      <c r="V161" s="402"/>
      <c r="W161" s="402"/>
      <c r="X161" s="49"/>
      <c r="Y161" s="145"/>
      <c r="Z161" s="314"/>
      <c r="AA161" s="145"/>
      <c r="AB161" s="411"/>
      <c r="AC161" s="312"/>
      <c r="AD161" s="312"/>
      <c r="AE161" s="312"/>
      <c r="AF161" s="312"/>
      <c r="AG161" s="312"/>
      <c r="AH161" s="312"/>
      <c r="AI161" s="312"/>
      <c r="AJ161" s="312"/>
      <c r="AK161" s="312"/>
      <c r="AL161" s="312"/>
      <c r="AM161" s="312"/>
      <c r="AN161" s="312"/>
      <c r="AO161" s="312"/>
      <c r="AP161" s="312"/>
      <c r="AQ161" s="312"/>
      <c r="AR161" s="312"/>
      <c r="AS161" s="312"/>
      <c r="AT161" s="312"/>
      <c r="AU161" s="312"/>
      <c r="AV161" s="312"/>
      <c r="AW161" s="312"/>
      <c r="AX161" s="312"/>
      <c r="AY161" s="312"/>
      <c r="AZ161" s="312"/>
      <c r="BA161" s="312"/>
      <c r="BB161" s="312"/>
      <c r="BC161" s="312"/>
      <c r="BD161" s="312"/>
      <c r="BE161" s="312"/>
      <c r="BF161" s="312"/>
      <c r="BG161" s="312"/>
      <c r="BH161" s="312"/>
      <c r="BI161" s="312"/>
      <c r="BJ161" s="312"/>
      <c r="BK161" s="312"/>
      <c r="BL161" s="312"/>
      <c r="BM161" s="312"/>
      <c r="BN161" s="312"/>
      <c r="BO161" s="312"/>
      <c r="BP161" s="312"/>
      <c r="BQ161" s="312"/>
      <c r="BR161" s="312"/>
      <c r="BS161" s="312"/>
      <c r="BT161" s="312"/>
      <c r="BU161" s="312"/>
      <c r="BV161" s="312"/>
      <c r="BW161" s="312"/>
      <c r="BX161" s="312"/>
      <c r="BY161" s="312"/>
      <c r="BZ161" s="312"/>
      <c r="CA161" s="312"/>
      <c r="CB161" s="312"/>
      <c r="CC161" s="312"/>
      <c r="CD161" s="312"/>
      <c r="CE161" s="312"/>
      <c r="CF161" s="312"/>
      <c r="CG161" s="312"/>
      <c r="CH161" s="312"/>
      <c r="CI161" s="312"/>
      <c r="CJ161" s="312"/>
      <c r="CK161" s="312"/>
      <c r="CL161" s="312"/>
      <c r="CM161" s="312"/>
      <c r="CN161" s="312"/>
      <c r="CO161" s="312"/>
      <c r="CP161" s="312"/>
      <c r="CQ161" s="312"/>
      <c r="CR161" s="312"/>
      <c r="CS161" s="312"/>
      <c r="CT161" s="312"/>
      <c r="CU161" s="312"/>
      <c r="CV161" s="312"/>
      <c r="CW161" s="312"/>
      <c r="CX161" s="312"/>
      <c r="CY161" s="312"/>
      <c r="CZ161" s="312"/>
      <c r="DA161" s="312"/>
      <c r="DB161" s="312"/>
      <c r="DC161" s="312"/>
      <c r="DD161" s="312"/>
      <c r="DE161" s="312"/>
      <c r="DF161" s="312"/>
      <c r="DG161" s="312"/>
      <c r="DH161" s="312"/>
      <c r="DI161" s="312"/>
      <c r="DJ161" s="312"/>
      <c r="DK161" s="312"/>
      <c r="DL161" s="312"/>
      <c r="DM161" s="312"/>
      <c r="DN161" s="312"/>
      <c r="DO161" s="312"/>
      <c r="DP161" s="312"/>
      <c r="DQ161" s="312"/>
      <c r="DR161" s="312"/>
      <c r="DS161" s="312"/>
      <c r="DT161" s="312"/>
      <c r="DU161" s="312"/>
      <c r="DV161" s="312"/>
      <c r="DW161" s="312"/>
      <c r="DX161" s="312"/>
      <c r="DY161" s="312"/>
      <c r="DZ161" s="312"/>
      <c r="EA161" s="312"/>
      <c r="EB161" s="312"/>
      <c r="EC161" s="312"/>
      <c r="ED161" s="312"/>
      <c r="EE161" s="312"/>
      <c r="EF161" s="312"/>
      <c r="EG161" s="312"/>
      <c r="EH161" s="312"/>
      <c r="EI161" s="312"/>
      <c r="EJ161" s="312"/>
      <c r="EK161" s="312"/>
      <c r="EL161" s="312"/>
      <c r="EM161" s="312"/>
      <c r="EN161" s="312"/>
      <c r="EO161" s="312"/>
      <c r="EP161" s="312"/>
      <c r="EQ161" s="312"/>
      <c r="ER161" s="312"/>
      <c r="ES161" s="312"/>
      <c r="ET161" s="312"/>
      <c r="EU161" s="312"/>
      <c r="EV161" s="312"/>
      <c r="EW161" s="312"/>
      <c r="EX161" s="312"/>
      <c r="EY161" s="312"/>
      <c r="EZ161" s="312"/>
      <c r="FA161" s="312"/>
      <c r="FB161" s="312"/>
      <c r="FC161" s="312"/>
      <c r="FD161" s="312"/>
      <c r="FE161" s="312"/>
      <c r="FF161" s="312"/>
      <c r="FG161" s="312"/>
      <c r="FH161" s="312"/>
      <c r="FI161" s="312"/>
      <c r="FJ161" s="312"/>
      <c r="FK161" s="312"/>
      <c r="FL161" s="312"/>
      <c r="FM161" s="312"/>
      <c r="FN161" s="312"/>
      <c r="FO161" s="312"/>
      <c r="FP161" s="312"/>
      <c r="FQ161" s="312"/>
      <c r="FR161" s="312"/>
      <c r="FS161" s="312"/>
      <c r="FT161" s="312"/>
      <c r="FU161" s="312"/>
      <c r="FV161" s="312"/>
      <c r="FW161" s="312"/>
      <c r="FX161" s="312"/>
      <c r="FY161" s="312"/>
      <c r="FZ161" s="312"/>
      <c r="GA161" s="312"/>
      <c r="GB161" s="312"/>
      <c r="GC161" s="312"/>
      <c r="GD161" s="312"/>
      <c r="GE161" s="312"/>
      <c r="GF161" s="312"/>
      <c r="GG161" s="312"/>
      <c r="GH161" s="312"/>
      <c r="GI161" s="312"/>
      <c r="GJ161" s="312"/>
      <c r="GK161" s="312"/>
      <c r="GL161" s="312"/>
      <c r="GM161" s="312"/>
      <c r="GN161" s="312"/>
      <c r="GO161" s="312"/>
      <c r="GP161" s="312"/>
      <c r="GQ161" s="312"/>
      <c r="GR161" s="312"/>
      <c r="GS161" s="312"/>
      <c r="GT161" s="312"/>
      <c r="GU161" s="312"/>
      <c r="GV161" s="312"/>
      <c r="GW161" s="312"/>
      <c r="GX161" s="312"/>
      <c r="GY161" s="312"/>
      <c r="GZ161" s="312"/>
      <c r="HA161" s="312"/>
      <c r="HB161" s="312"/>
      <c r="HC161" s="312"/>
      <c r="HD161" s="312"/>
      <c r="HE161" s="312"/>
      <c r="HF161" s="312"/>
      <c r="HG161" s="312"/>
      <c r="HH161" s="312"/>
      <c r="HI161" s="312"/>
      <c r="HJ161" s="312"/>
      <c r="HK161" s="312"/>
      <c r="HL161" s="312"/>
      <c r="HM161" s="312"/>
      <c r="HN161" s="312"/>
      <c r="HO161" s="312"/>
      <c r="HP161" s="312"/>
      <c r="HQ161" s="312"/>
      <c r="HR161" s="312"/>
      <c r="HS161" s="312"/>
      <c r="HT161" s="312"/>
      <c r="HU161" s="312"/>
      <c r="HV161" s="312"/>
      <c r="HW161" s="312"/>
      <c r="HX161" s="312"/>
      <c r="HY161" s="312"/>
      <c r="HZ161" s="312"/>
      <c r="IA161" s="312"/>
      <c r="IB161" s="312"/>
      <c r="IC161" s="312"/>
      <c r="ID161" s="312"/>
      <c r="IE161" s="312"/>
    </row>
    <row r="162" s="23" customFormat="1" ht="42" customHeight="1" spans="1:239">
      <c r="A162" s="48"/>
      <c r="B162" s="48"/>
      <c r="C162" s="48"/>
      <c r="D162" s="48"/>
      <c r="E162" s="153"/>
      <c r="F162" s="81"/>
      <c r="G162" s="175"/>
      <c r="H162" s="73"/>
      <c r="I162" s="99">
        <v>411009.17</v>
      </c>
      <c r="J162" s="423"/>
      <c r="K162" s="94">
        <f t="shared" si="56"/>
        <v>411009.17</v>
      </c>
      <c r="L162" s="113"/>
      <c r="M162" s="113"/>
      <c r="N162" s="113"/>
      <c r="O162" s="113"/>
      <c r="P162" s="49"/>
      <c r="Q162" s="113"/>
      <c r="R162" s="113"/>
      <c r="S162" s="113"/>
      <c r="T162" s="113"/>
      <c r="U162" s="113"/>
      <c r="V162" s="402"/>
      <c r="W162" s="402"/>
      <c r="X162" s="49"/>
      <c r="Y162" s="145"/>
      <c r="Z162" s="314"/>
      <c r="AA162" s="145"/>
      <c r="AB162" s="411"/>
      <c r="AC162" s="312"/>
      <c r="AD162" s="312"/>
      <c r="AE162" s="312"/>
      <c r="AF162" s="312"/>
      <c r="AG162" s="312"/>
      <c r="AH162" s="312"/>
      <c r="AI162" s="312"/>
      <c r="AJ162" s="312"/>
      <c r="AK162" s="312"/>
      <c r="AL162" s="312"/>
      <c r="AM162" s="312"/>
      <c r="AN162" s="312"/>
      <c r="AO162" s="312"/>
      <c r="AP162" s="312"/>
      <c r="AQ162" s="312"/>
      <c r="AR162" s="312"/>
      <c r="AS162" s="312"/>
      <c r="AT162" s="312"/>
      <c r="AU162" s="312"/>
      <c r="AV162" s="312"/>
      <c r="AW162" s="312"/>
      <c r="AX162" s="312"/>
      <c r="AY162" s="312"/>
      <c r="AZ162" s="312"/>
      <c r="BA162" s="312"/>
      <c r="BB162" s="312"/>
      <c r="BC162" s="312"/>
      <c r="BD162" s="312"/>
      <c r="BE162" s="312"/>
      <c r="BF162" s="312"/>
      <c r="BG162" s="312"/>
      <c r="BH162" s="312"/>
      <c r="BI162" s="312"/>
      <c r="BJ162" s="312"/>
      <c r="BK162" s="312"/>
      <c r="BL162" s="312"/>
      <c r="BM162" s="312"/>
      <c r="BN162" s="312"/>
      <c r="BO162" s="312"/>
      <c r="BP162" s="312"/>
      <c r="BQ162" s="312"/>
      <c r="BR162" s="312"/>
      <c r="BS162" s="312"/>
      <c r="BT162" s="312"/>
      <c r="BU162" s="312"/>
      <c r="BV162" s="312"/>
      <c r="BW162" s="312"/>
      <c r="BX162" s="312"/>
      <c r="BY162" s="312"/>
      <c r="BZ162" s="312"/>
      <c r="CA162" s="312"/>
      <c r="CB162" s="312"/>
      <c r="CC162" s="312"/>
      <c r="CD162" s="312"/>
      <c r="CE162" s="312"/>
      <c r="CF162" s="312"/>
      <c r="CG162" s="312"/>
      <c r="CH162" s="312"/>
      <c r="CI162" s="312"/>
      <c r="CJ162" s="312"/>
      <c r="CK162" s="312"/>
      <c r="CL162" s="312"/>
      <c r="CM162" s="312"/>
      <c r="CN162" s="312"/>
      <c r="CO162" s="312"/>
      <c r="CP162" s="312"/>
      <c r="CQ162" s="312"/>
      <c r="CR162" s="312"/>
      <c r="CS162" s="312"/>
      <c r="CT162" s="312"/>
      <c r="CU162" s="312"/>
      <c r="CV162" s="312"/>
      <c r="CW162" s="312"/>
      <c r="CX162" s="312"/>
      <c r="CY162" s="312"/>
      <c r="CZ162" s="312"/>
      <c r="DA162" s="312"/>
      <c r="DB162" s="312"/>
      <c r="DC162" s="312"/>
      <c r="DD162" s="312"/>
      <c r="DE162" s="312"/>
      <c r="DF162" s="312"/>
      <c r="DG162" s="312"/>
      <c r="DH162" s="312"/>
      <c r="DI162" s="312"/>
      <c r="DJ162" s="312"/>
      <c r="DK162" s="312"/>
      <c r="DL162" s="312"/>
      <c r="DM162" s="312"/>
      <c r="DN162" s="312"/>
      <c r="DO162" s="312"/>
      <c r="DP162" s="312"/>
      <c r="DQ162" s="312"/>
      <c r="DR162" s="312"/>
      <c r="DS162" s="312"/>
      <c r="DT162" s="312"/>
      <c r="DU162" s="312"/>
      <c r="DV162" s="312"/>
      <c r="DW162" s="312"/>
      <c r="DX162" s="312"/>
      <c r="DY162" s="312"/>
      <c r="DZ162" s="312"/>
      <c r="EA162" s="312"/>
      <c r="EB162" s="312"/>
      <c r="EC162" s="312"/>
      <c r="ED162" s="312"/>
      <c r="EE162" s="312"/>
      <c r="EF162" s="312"/>
      <c r="EG162" s="312"/>
      <c r="EH162" s="312"/>
      <c r="EI162" s="312"/>
      <c r="EJ162" s="312"/>
      <c r="EK162" s="312"/>
      <c r="EL162" s="312"/>
      <c r="EM162" s="312"/>
      <c r="EN162" s="312"/>
      <c r="EO162" s="312"/>
      <c r="EP162" s="312"/>
      <c r="EQ162" s="312"/>
      <c r="ER162" s="312"/>
      <c r="ES162" s="312"/>
      <c r="ET162" s="312"/>
      <c r="EU162" s="312"/>
      <c r="EV162" s="312"/>
      <c r="EW162" s="312"/>
      <c r="EX162" s="312"/>
      <c r="EY162" s="312"/>
      <c r="EZ162" s="312"/>
      <c r="FA162" s="312"/>
      <c r="FB162" s="312"/>
      <c r="FC162" s="312"/>
      <c r="FD162" s="312"/>
      <c r="FE162" s="312"/>
      <c r="FF162" s="312"/>
      <c r="FG162" s="312"/>
      <c r="FH162" s="312"/>
      <c r="FI162" s="312"/>
      <c r="FJ162" s="312"/>
      <c r="FK162" s="312"/>
      <c r="FL162" s="312"/>
      <c r="FM162" s="312"/>
      <c r="FN162" s="312"/>
      <c r="FO162" s="312"/>
      <c r="FP162" s="312"/>
      <c r="FQ162" s="312"/>
      <c r="FR162" s="312"/>
      <c r="FS162" s="312"/>
      <c r="FT162" s="312"/>
      <c r="FU162" s="312"/>
      <c r="FV162" s="312"/>
      <c r="FW162" s="312"/>
      <c r="FX162" s="312"/>
      <c r="FY162" s="312"/>
      <c r="FZ162" s="312"/>
      <c r="GA162" s="312"/>
      <c r="GB162" s="312"/>
      <c r="GC162" s="312"/>
      <c r="GD162" s="312"/>
      <c r="GE162" s="312"/>
      <c r="GF162" s="312"/>
      <c r="GG162" s="312"/>
      <c r="GH162" s="312"/>
      <c r="GI162" s="312"/>
      <c r="GJ162" s="312"/>
      <c r="GK162" s="312"/>
      <c r="GL162" s="312"/>
      <c r="GM162" s="312"/>
      <c r="GN162" s="312"/>
      <c r="GO162" s="312"/>
      <c r="GP162" s="312"/>
      <c r="GQ162" s="312"/>
      <c r="GR162" s="312"/>
      <c r="GS162" s="312"/>
      <c r="GT162" s="312"/>
      <c r="GU162" s="312"/>
      <c r="GV162" s="312"/>
      <c r="GW162" s="312"/>
      <c r="GX162" s="312"/>
      <c r="GY162" s="312"/>
      <c r="GZ162" s="312"/>
      <c r="HA162" s="312"/>
      <c r="HB162" s="312"/>
      <c r="HC162" s="312"/>
      <c r="HD162" s="312"/>
      <c r="HE162" s="312"/>
      <c r="HF162" s="312"/>
      <c r="HG162" s="312"/>
      <c r="HH162" s="312"/>
      <c r="HI162" s="312"/>
      <c r="HJ162" s="312"/>
      <c r="HK162" s="312"/>
      <c r="HL162" s="312"/>
      <c r="HM162" s="312"/>
      <c r="HN162" s="312"/>
      <c r="HO162" s="312"/>
      <c r="HP162" s="312"/>
      <c r="HQ162" s="312"/>
      <c r="HR162" s="312"/>
      <c r="HS162" s="312"/>
      <c r="HT162" s="312"/>
      <c r="HU162" s="312"/>
      <c r="HV162" s="312"/>
      <c r="HW162" s="312"/>
      <c r="HX162" s="312"/>
      <c r="HY162" s="312"/>
      <c r="HZ162" s="312"/>
      <c r="IA162" s="312"/>
      <c r="IB162" s="312"/>
      <c r="IC162" s="312"/>
      <c r="ID162" s="312"/>
      <c r="IE162" s="312"/>
    </row>
    <row r="163" s="23" customFormat="1" ht="42" customHeight="1" spans="1:239">
      <c r="A163" s="153"/>
      <c r="B163" s="153"/>
      <c r="C163" s="153"/>
      <c r="D163" s="153"/>
      <c r="E163" s="153"/>
      <c r="F163" s="81"/>
      <c r="G163" s="175"/>
      <c r="H163" s="73"/>
      <c r="I163" s="99">
        <v>379849.06</v>
      </c>
      <c r="J163" s="421">
        <v>22790.94</v>
      </c>
      <c r="K163" s="94">
        <f t="shared" si="56"/>
        <v>402640</v>
      </c>
      <c r="L163" s="114"/>
      <c r="M163" s="114"/>
      <c r="N163" s="114"/>
      <c r="O163" s="114"/>
      <c r="P163" s="81"/>
      <c r="Q163" s="114"/>
      <c r="R163" s="114"/>
      <c r="S163" s="114"/>
      <c r="T163" s="114"/>
      <c r="U163" s="114"/>
      <c r="V163" s="416"/>
      <c r="W163" s="416"/>
      <c r="X163" s="81"/>
      <c r="Y163" s="145"/>
      <c r="Z163" s="314"/>
      <c r="AA163" s="145"/>
      <c r="AB163" s="427"/>
      <c r="AC163" s="312"/>
      <c r="AD163" s="312"/>
      <c r="AE163" s="312"/>
      <c r="AF163" s="312"/>
      <c r="AG163" s="312"/>
      <c r="AH163" s="312"/>
      <c r="AI163" s="312"/>
      <c r="AJ163" s="312"/>
      <c r="AK163" s="312"/>
      <c r="AL163" s="312"/>
      <c r="AM163" s="312"/>
      <c r="AN163" s="312"/>
      <c r="AO163" s="312"/>
      <c r="AP163" s="312"/>
      <c r="AQ163" s="312"/>
      <c r="AR163" s="312"/>
      <c r="AS163" s="312"/>
      <c r="AT163" s="312"/>
      <c r="AU163" s="312"/>
      <c r="AV163" s="312"/>
      <c r="AW163" s="312"/>
      <c r="AX163" s="312"/>
      <c r="AY163" s="312"/>
      <c r="AZ163" s="312"/>
      <c r="BA163" s="312"/>
      <c r="BB163" s="312"/>
      <c r="BC163" s="312"/>
      <c r="BD163" s="312"/>
      <c r="BE163" s="312"/>
      <c r="BF163" s="312"/>
      <c r="BG163" s="312"/>
      <c r="BH163" s="312"/>
      <c r="BI163" s="312"/>
      <c r="BJ163" s="312"/>
      <c r="BK163" s="312"/>
      <c r="BL163" s="312"/>
      <c r="BM163" s="312"/>
      <c r="BN163" s="312"/>
      <c r="BO163" s="312"/>
      <c r="BP163" s="312"/>
      <c r="BQ163" s="312"/>
      <c r="BR163" s="312"/>
      <c r="BS163" s="312"/>
      <c r="BT163" s="312"/>
      <c r="BU163" s="312"/>
      <c r="BV163" s="312"/>
      <c r="BW163" s="312"/>
      <c r="BX163" s="312"/>
      <c r="BY163" s="312"/>
      <c r="BZ163" s="312"/>
      <c r="CA163" s="312"/>
      <c r="CB163" s="312"/>
      <c r="CC163" s="312"/>
      <c r="CD163" s="312"/>
      <c r="CE163" s="312"/>
      <c r="CF163" s="312"/>
      <c r="CG163" s="312"/>
      <c r="CH163" s="312"/>
      <c r="CI163" s="312"/>
      <c r="CJ163" s="312"/>
      <c r="CK163" s="312"/>
      <c r="CL163" s="312"/>
      <c r="CM163" s="312"/>
      <c r="CN163" s="312"/>
      <c r="CO163" s="312"/>
      <c r="CP163" s="312"/>
      <c r="CQ163" s="312"/>
      <c r="CR163" s="312"/>
      <c r="CS163" s="312"/>
      <c r="CT163" s="312"/>
      <c r="CU163" s="312"/>
      <c r="CV163" s="312"/>
      <c r="CW163" s="312"/>
      <c r="CX163" s="312"/>
      <c r="CY163" s="312"/>
      <c r="CZ163" s="312"/>
      <c r="DA163" s="312"/>
      <c r="DB163" s="312"/>
      <c r="DC163" s="312"/>
      <c r="DD163" s="312"/>
      <c r="DE163" s="312"/>
      <c r="DF163" s="312"/>
      <c r="DG163" s="312"/>
      <c r="DH163" s="312"/>
      <c r="DI163" s="312"/>
      <c r="DJ163" s="312"/>
      <c r="DK163" s="312"/>
      <c r="DL163" s="312"/>
      <c r="DM163" s="312"/>
      <c r="DN163" s="312"/>
      <c r="DO163" s="312"/>
      <c r="DP163" s="312"/>
      <c r="DQ163" s="312"/>
      <c r="DR163" s="312"/>
      <c r="DS163" s="312"/>
      <c r="DT163" s="312"/>
      <c r="DU163" s="312"/>
      <c r="DV163" s="312"/>
      <c r="DW163" s="312"/>
      <c r="DX163" s="312"/>
      <c r="DY163" s="312"/>
      <c r="DZ163" s="312"/>
      <c r="EA163" s="312"/>
      <c r="EB163" s="312"/>
      <c r="EC163" s="312"/>
      <c r="ED163" s="312"/>
      <c r="EE163" s="312"/>
      <c r="EF163" s="312"/>
      <c r="EG163" s="312"/>
      <c r="EH163" s="312"/>
      <c r="EI163" s="312"/>
      <c r="EJ163" s="312"/>
      <c r="EK163" s="312"/>
      <c r="EL163" s="312"/>
      <c r="EM163" s="312"/>
      <c r="EN163" s="312"/>
      <c r="EO163" s="312"/>
      <c r="EP163" s="312"/>
      <c r="EQ163" s="312"/>
      <c r="ER163" s="312"/>
      <c r="ES163" s="312"/>
      <c r="ET163" s="312"/>
      <c r="EU163" s="312"/>
      <c r="EV163" s="312"/>
      <c r="EW163" s="312"/>
      <c r="EX163" s="312"/>
      <c r="EY163" s="312"/>
      <c r="EZ163" s="312"/>
      <c r="FA163" s="312"/>
      <c r="FB163" s="312"/>
      <c r="FC163" s="312"/>
      <c r="FD163" s="312"/>
      <c r="FE163" s="312"/>
      <c r="FF163" s="312"/>
      <c r="FG163" s="312"/>
      <c r="FH163" s="312"/>
      <c r="FI163" s="312"/>
      <c r="FJ163" s="312"/>
      <c r="FK163" s="312"/>
      <c r="FL163" s="312"/>
      <c r="FM163" s="312"/>
      <c r="FN163" s="312"/>
      <c r="FO163" s="312"/>
      <c r="FP163" s="312"/>
      <c r="FQ163" s="312"/>
      <c r="FR163" s="312"/>
      <c r="FS163" s="312"/>
      <c r="FT163" s="312"/>
      <c r="FU163" s="312"/>
      <c r="FV163" s="312"/>
      <c r="FW163" s="312"/>
      <c r="FX163" s="312"/>
      <c r="FY163" s="312"/>
      <c r="FZ163" s="312"/>
      <c r="GA163" s="312"/>
      <c r="GB163" s="312"/>
      <c r="GC163" s="312"/>
      <c r="GD163" s="312"/>
      <c r="GE163" s="312"/>
      <c r="GF163" s="312"/>
      <c r="GG163" s="312"/>
      <c r="GH163" s="312"/>
      <c r="GI163" s="312"/>
      <c r="GJ163" s="312"/>
      <c r="GK163" s="312"/>
      <c r="GL163" s="312"/>
      <c r="GM163" s="312"/>
      <c r="GN163" s="312"/>
      <c r="GO163" s="312"/>
      <c r="GP163" s="312"/>
      <c r="GQ163" s="312"/>
      <c r="GR163" s="312"/>
      <c r="GS163" s="312"/>
      <c r="GT163" s="312"/>
      <c r="GU163" s="312"/>
      <c r="GV163" s="312"/>
      <c r="GW163" s="312"/>
      <c r="GX163" s="312"/>
      <c r="GY163" s="312"/>
      <c r="GZ163" s="312"/>
      <c r="HA163" s="312"/>
      <c r="HB163" s="312"/>
      <c r="HC163" s="312"/>
      <c r="HD163" s="312"/>
      <c r="HE163" s="312"/>
      <c r="HF163" s="312"/>
      <c r="HG163" s="312"/>
      <c r="HH163" s="312"/>
      <c r="HI163" s="312"/>
      <c r="HJ163" s="312"/>
      <c r="HK163" s="312"/>
      <c r="HL163" s="312"/>
      <c r="HM163" s="312"/>
      <c r="HN163" s="312"/>
      <c r="HO163" s="312"/>
      <c r="HP163" s="312"/>
      <c r="HQ163" s="312"/>
      <c r="HR163" s="312"/>
      <c r="HS163" s="312"/>
      <c r="HT163" s="312"/>
      <c r="HU163" s="312"/>
      <c r="HV163" s="312"/>
      <c r="HW163" s="312"/>
      <c r="HX163" s="312"/>
      <c r="HY163" s="312"/>
      <c r="HZ163" s="312"/>
      <c r="IA163" s="312"/>
      <c r="IB163" s="312"/>
      <c r="IC163" s="312"/>
      <c r="ID163" s="312"/>
      <c r="IE163" s="312"/>
    </row>
    <row r="164" s="23" customFormat="1" ht="45" customHeight="1" spans="1:28">
      <c r="A164" s="156">
        <v>26</v>
      </c>
      <c r="B164" s="157" t="s">
        <v>222</v>
      </c>
      <c r="C164" s="158"/>
      <c r="D164" s="157" t="s">
        <v>223</v>
      </c>
      <c r="E164" s="158">
        <v>104523.9</v>
      </c>
      <c r="F164" s="145"/>
      <c r="G164" s="66" t="s">
        <v>224</v>
      </c>
      <c r="H164" s="66" t="s">
        <v>225</v>
      </c>
      <c r="I164" s="94">
        <v>104523.9</v>
      </c>
      <c r="J164" s="94">
        <v>0</v>
      </c>
      <c r="K164" s="94">
        <f t="shared" ref="K164:K168" si="57">I164+J164</f>
        <v>104523.9</v>
      </c>
      <c r="L164" s="94"/>
      <c r="M164" s="94"/>
      <c r="N164" s="94"/>
      <c r="O164" s="94"/>
      <c r="P164" s="94"/>
      <c r="Q164" s="94"/>
      <c r="R164" s="94"/>
      <c r="S164" s="94">
        <f t="shared" ref="S164:S169" si="58">K164-L164-M164-N164-O164+R164</f>
        <v>104523.9</v>
      </c>
      <c r="T164" s="108">
        <v>0</v>
      </c>
      <c r="U164" s="94">
        <f>K164</f>
        <v>104523.9</v>
      </c>
      <c r="V164" s="94"/>
      <c r="W164" s="94">
        <f t="shared" si="54"/>
        <v>0</v>
      </c>
      <c r="X164" s="145">
        <f t="shared" ref="X164:X168" si="59">K164+F164</f>
        <v>104523.9</v>
      </c>
      <c r="Y164" s="145">
        <f t="shared" si="55"/>
        <v>104523.9</v>
      </c>
      <c r="Z164" s="145"/>
      <c r="AA164" s="145"/>
      <c r="AB164" s="145"/>
    </row>
    <row r="165" s="22" customFormat="1" ht="41.65" spans="1:239">
      <c r="A165" s="156">
        <v>23</v>
      </c>
      <c r="B165" s="157" t="s">
        <v>226</v>
      </c>
      <c r="C165" s="158" t="s">
        <v>227</v>
      </c>
      <c r="D165" s="157" t="s">
        <v>228</v>
      </c>
      <c r="E165" s="420">
        <v>7588343.88</v>
      </c>
      <c r="F165" s="256"/>
      <c r="G165" s="74" t="s">
        <v>229</v>
      </c>
      <c r="H165" s="74" t="s">
        <v>230</v>
      </c>
      <c r="I165" s="99">
        <v>6715348.57</v>
      </c>
      <c r="J165" s="99">
        <v>872995.31</v>
      </c>
      <c r="K165" s="94">
        <f>J165+I165</f>
        <v>7588343.88</v>
      </c>
      <c r="L165" s="94"/>
      <c r="M165" s="94">
        <v>379417.19</v>
      </c>
      <c r="N165" s="94"/>
      <c r="O165" s="94"/>
      <c r="P165" s="94"/>
      <c r="Q165" s="94"/>
      <c r="R165" s="94"/>
      <c r="S165" s="94">
        <f t="shared" si="58"/>
        <v>7208926.69</v>
      </c>
      <c r="T165" s="108">
        <v>0</v>
      </c>
      <c r="U165" s="302">
        <v>7208926.69</v>
      </c>
      <c r="V165" s="302"/>
      <c r="W165" s="94">
        <f t="shared" si="54"/>
        <v>0</v>
      </c>
      <c r="X165" s="145">
        <f t="shared" si="59"/>
        <v>7588343.88</v>
      </c>
      <c r="Y165" s="145">
        <f t="shared" si="55"/>
        <v>7208926.69</v>
      </c>
      <c r="Z165" s="145"/>
      <c r="AA165" s="145"/>
      <c r="AB165" s="145"/>
      <c r="AC165" s="313"/>
      <c r="AD165" s="313"/>
      <c r="AE165" s="313"/>
      <c r="AF165" s="313"/>
      <c r="AG165" s="313"/>
      <c r="AH165" s="313"/>
      <c r="AI165" s="313"/>
      <c r="AJ165" s="313"/>
      <c r="AK165" s="313"/>
      <c r="AL165" s="313"/>
      <c r="AM165" s="313"/>
      <c r="AN165" s="313"/>
      <c r="AO165" s="313"/>
      <c r="AP165" s="313"/>
      <c r="AQ165" s="313"/>
      <c r="AR165" s="313"/>
      <c r="AS165" s="313"/>
      <c r="AT165" s="313"/>
      <c r="AU165" s="313"/>
      <c r="AV165" s="313"/>
      <c r="AW165" s="313"/>
      <c r="AX165" s="313"/>
      <c r="AY165" s="313"/>
      <c r="AZ165" s="313"/>
      <c r="BA165" s="313"/>
      <c r="BB165" s="313"/>
      <c r="BC165" s="313"/>
      <c r="BD165" s="313"/>
      <c r="BE165" s="313"/>
      <c r="BF165" s="313"/>
      <c r="BG165" s="313"/>
      <c r="BH165" s="313"/>
      <c r="BI165" s="313"/>
      <c r="BJ165" s="313"/>
      <c r="BK165" s="313"/>
      <c r="BL165" s="313"/>
      <c r="BM165" s="313"/>
      <c r="BN165" s="313"/>
      <c r="BO165" s="313"/>
      <c r="BP165" s="313"/>
      <c r="BQ165" s="313"/>
      <c r="BR165" s="313"/>
      <c r="BS165" s="313"/>
      <c r="BT165" s="313"/>
      <c r="BU165" s="313"/>
      <c r="BV165" s="313"/>
      <c r="BW165" s="313"/>
      <c r="BX165" s="313"/>
      <c r="BY165" s="313"/>
      <c r="BZ165" s="313"/>
      <c r="CA165" s="313"/>
      <c r="CB165" s="313"/>
      <c r="CC165" s="313"/>
      <c r="CD165" s="313"/>
      <c r="CE165" s="313"/>
      <c r="CF165" s="313"/>
      <c r="CG165" s="313"/>
      <c r="CH165" s="313"/>
      <c r="CI165" s="313"/>
      <c r="CJ165" s="313"/>
      <c r="CK165" s="313"/>
      <c r="CL165" s="313"/>
      <c r="CM165" s="313"/>
      <c r="CN165" s="313"/>
      <c r="CO165" s="313"/>
      <c r="CP165" s="313"/>
      <c r="CQ165" s="313"/>
      <c r="CR165" s="313"/>
      <c r="CS165" s="313"/>
      <c r="CT165" s="313"/>
      <c r="CU165" s="313"/>
      <c r="CV165" s="313"/>
      <c r="CW165" s="313"/>
      <c r="CX165" s="313"/>
      <c r="CY165" s="313"/>
      <c r="CZ165" s="313"/>
      <c r="DA165" s="313"/>
      <c r="DB165" s="313"/>
      <c r="DC165" s="313"/>
      <c r="DD165" s="313"/>
      <c r="DE165" s="313"/>
      <c r="DF165" s="313"/>
      <c r="DG165" s="313"/>
      <c r="DH165" s="313"/>
      <c r="DI165" s="313"/>
      <c r="DJ165" s="313"/>
      <c r="DK165" s="313"/>
      <c r="DL165" s="313"/>
      <c r="DM165" s="313"/>
      <c r="DN165" s="313"/>
      <c r="DO165" s="313"/>
      <c r="DP165" s="313"/>
      <c r="DQ165" s="313"/>
      <c r="DR165" s="313"/>
      <c r="DS165" s="313"/>
      <c r="DT165" s="313"/>
      <c r="DU165" s="313"/>
      <c r="DV165" s="313"/>
      <c r="DW165" s="313"/>
      <c r="DX165" s="313"/>
      <c r="DY165" s="313"/>
      <c r="DZ165" s="313"/>
      <c r="EA165" s="313"/>
      <c r="EB165" s="313"/>
      <c r="EC165" s="313"/>
      <c r="ED165" s="313"/>
      <c r="EE165" s="313"/>
      <c r="EF165" s="313"/>
      <c r="EG165" s="313"/>
      <c r="EH165" s="313"/>
      <c r="EI165" s="313"/>
      <c r="EJ165" s="313"/>
      <c r="EK165" s="313"/>
      <c r="EL165" s="313"/>
      <c r="EM165" s="313"/>
      <c r="EN165" s="313"/>
      <c r="EO165" s="313"/>
      <c r="EP165" s="313"/>
      <c r="EQ165" s="313"/>
      <c r="ER165" s="313"/>
      <c r="ES165" s="313"/>
      <c r="ET165" s="313"/>
      <c r="EU165" s="313"/>
      <c r="EV165" s="313"/>
      <c r="EW165" s="313"/>
      <c r="EX165" s="313"/>
      <c r="EY165" s="313"/>
      <c r="EZ165" s="313"/>
      <c r="FA165" s="313"/>
      <c r="FB165" s="313"/>
      <c r="FC165" s="313"/>
      <c r="FD165" s="313"/>
      <c r="FE165" s="313"/>
      <c r="FF165" s="313"/>
      <c r="FG165" s="313"/>
      <c r="FH165" s="313"/>
      <c r="FI165" s="313"/>
      <c r="FJ165" s="313"/>
      <c r="FK165" s="313"/>
      <c r="FL165" s="313"/>
      <c r="FM165" s="313"/>
      <c r="FN165" s="313"/>
      <c r="FO165" s="313"/>
      <c r="FP165" s="313"/>
      <c r="FQ165" s="313"/>
      <c r="FR165" s="313"/>
      <c r="FS165" s="313"/>
      <c r="FT165" s="313"/>
      <c r="FU165" s="313"/>
      <c r="FV165" s="313"/>
      <c r="FW165" s="313"/>
      <c r="FX165" s="313"/>
      <c r="FY165" s="313"/>
      <c r="FZ165" s="313"/>
      <c r="GA165" s="313"/>
      <c r="GB165" s="313"/>
      <c r="GC165" s="313"/>
      <c r="GD165" s="313"/>
      <c r="GE165" s="313"/>
      <c r="GF165" s="313"/>
      <c r="GG165" s="313"/>
      <c r="GH165" s="313"/>
      <c r="GI165" s="313"/>
      <c r="GJ165" s="313"/>
      <c r="GK165" s="313"/>
      <c r="GL165" s="313"/>
      <c r="GM165" s="313"/>
      <c r="GN165" s="313"/>
      <c r="GO165" s="313"/>
      <c r="GP165" s="313"/>
      <c r="GQ165" s="313"/>
      <c r="GR165" s="313"/>
      <c r="GS165" s="313"/>
      <c r="GT165" s="313"/>
      <c r="GU165" s="313"/>
      <c r="GV165" s="313"/>
      <c r="GW165" s="313"/>
      <c r="GX165" s="313"/>
      <c r="GY165" s="313"/>
      <c r="GZ165" s="313"/>
      <c r="HA165" s="313"/>
      <c r="HB165" s="313"/>
      <c r="HC165" s="313"/>
      <c r="HD165" s="313"/>
      <c r="HE165" s="313"/>
      <c r="HF165" s="313"/>
      <c r="HG165" s="313"/>
      <c r="HH165" s="313"/>
      <c r="HI165" s="313"/>
      <c r="HJ165" s="313"/>
      <c r="HK165" s="313"/>
      <c r="HL165" s="313"/>
      <c r="HM165" s="313"/>
      <c r="HN165" s="313"/>
      <c r="HO165" s="313"/>
      <c r="HP165" s="313"/>
      <c r="HQ165" s="313"/>
      <c r="HR165" s="313"/>
      <c r="HS165" s="313"/>
      <c r="HT165" s="313"/>
      <c r="HU165" s="313"/>
      <c r="HV165" s="313"/>
      <c r="HW165" s="313"/>
      <c r="HX165" s="313"/>
      <c r="HY165" s="313"/>
      <c r="HZ165" s="313"/>
      <c r="IA165" s="313"/>
      <c r="IB165" s="313"/>
      <c r="IC165" s="313"/>
      <c r="ID165" s="313"/>
      <c r="IE165" s="313"/>
    </row>
    <row r="166" s="22" customFormat="1" ht="41.65" spans="1:28">
      <c r="A166" s="156">
        <v>24</v>
      </c>
      <c r="B166" s="157" t="s">
        <v>231</v>
      </c>
      <c r="C166" s="158" t="s">
        <v>232</v>
      </c>
      <c r="D166" s="157" t="s">
        <v>233</v>
      </c>
      <c r="E166" s="158">
        <v>371000</v>
      </c>
      <c r="F166" s="145"/>
      <c r="G166" s="72" t="s">
        <v>234</v>
      </c>
      <c r="H166" s="66" t="s">
        <v>235</v>
      </c>
      <c r="I166" s="94">
        <f>K166-J166</f>
        <v>349999.99</v>
      </c>
      <c r="J166" s="94">
        <v>21000.01</v>
      </c>
      <c r="K166" s="94">
        <v>371000</v>
      </c>
      <c r="L166" s="94">
        <v>0</v>
      </c>
      <c r="M166" s="94">
        <v>0</v>
      </c>
      <c r="N166" s="94">
        <v>0</v>
      </c>
      <c r="O166" s="94">
        <v>0</v>
      </c>
      <c r="P166" s="94"/>
      <c r="Q166" s="94"/>
      <c r="R166" s="94">
        <v>0</v>
      </c>
      <c r="S166" s="94">
        <f t="shared" si="58"/>
        <v>371000</v>
      </c>
      <c r="T166" s="108">
        <v>0</v>
      </c>
      <c r="U166" s="94">
        <v>371000</v>
      </c>
      <c r="V166" s="405"/>
      <c r="W166" s="94">
        <f t="shared" si="54"/>
        <v>0</v>
      </c>
      <c r="X166" s="145">
        <f t="shared" si="59"/>
        <v>371000</v>
      </c>
      <c r="Y166" s="145">
        <f t="shared" si="55"/>
        <v>371000</v>
      </c>
      <c r="Z166" s="145"/>
      <c r="AA166" s="145"/>
      <c r="AB166" s="145"/>
    </row>
    <row r="167" s="22" customFormat="1" ht="61" customHeight="1" spans="1:28">
      <c r="A167" s="156">
        <v>25</v>
      </c>
      <c r="B167" s="157" t="s">
        <v>236</v>
      </c>
      <c r="C167" s="158" t="s">
        <v>237</v>
      </c>
      <c r="D167" s="165" t="s">
        <v>154</v>
      </c>
      <c r="E167" s="158">
        <v>98000</v>
      </c>
      <c r="F167" s="145"/>
      <c r="G167" s="72" t="s">
        <v>238</v>
      </c>
      <c r="H167" s="66" t="s">
        <v>239</v>
      </c>
      <c r="I167" s="94">
        <f>98000-J167</f>
        <v>92452.83</v>
      </c>
      <c r="J167" s="94">
        <v>5547.17</v>
      </c>
      <c r="K167" s="94">
        <f t="shared" si="57"/>
        <v>98000</v>
      </c>
      <c r="L167" s="94"/>
      <c r="M167" s="94"/>
      <c r="N167" s="94"/>
      <c r="O167" s="94"/>
      <c r="P167" s="94"/>
      <c r="Q167" s="94"/>
      <c r="R167" s="94"/>
      <c r="S167" s="94">
        <f t="shared" si="58"/>
        <v>98000</v>
      </c>
      <c r="T167" s="108">
        <v>0</v>
      </c>
      <c r="U167" s="94">
        <f>K167+R167</f>
        <v>98000</v>
      </c>
      <c r="V167" s="405"/>
      <c r="W167" s="94">
        <f t="shared" si="54"/>
        <v>0</v>
      </c>
      <c r="X167" s="145">
        <f t="shared" si="59"/>
        <v>98000</v>
      </c>
      <c r="Y167" s="145">
        <f t="shared" si="55"/>
        <v>98000</v>
      </c>
      <c r="Z167" s="145"/>
      <c r="AA167" s="145"/>
      <c r="AB167" s="145"/>
    </row>
    <row r="168" s="23" customFormat="1" ht="45" customHeight="1" spans="1:28">
      <c r="A168" s="156">
        <v>26</v>
      </c>
      <c r="B168" s="157" t="s">
        <v>166</v>
      </c>
      <c r="C168" s="257" t="s">
        <v>240</v>
      </c>
      <c r="D168" s="157" t="s">
        <v>168</v>
      </c>
      <c r="E168" s="258">
        <v>9654.85</v>
      </c>
      <c r="F168" s="258"/>
      <c r="G168" s="50" t="s">
        <v>241</v>
      </c>
      <c r="H168" s="50" t="s">
        <v>242</v>
      </c>
      <c r="I168" s="108">
        <v>9108.34905660377</v>
      </c>
      <c r="J168" s="108">
        <v>546.500943396226</v>
      </c>
      <c r="K168" s="94">
        <f t="shared" si="57"/>
        <v>9654.85</v>
      </c>
      <c r="L168" s="94">
        <v>0</v>
      </c>
      <c r="M168" s="94">
        <v>0</v>
      </c>
      <c r="N168" s="94">
        <v>0</v>
      </c>
      <c r="O168" s="94">
        <v>0</v>
      </c>
      <c r="P168" s="94"/>
      <c r="Q168" s="94"/>
      <c r="R168" s="94">
        <v>0</v>
      </c>
      <c r="S168" s="94">
        <f t="shared" si="58"/>
        <v>9654.85</v>
      </c>
      <c r="T168" s="108">
        <v>0</v>
      </c>
      <c r="U168" s="108">
        <v>9654.85</v>
      </c>
      <c r="V168" s="108"/>
      <c r="W168" s="94">
        <f t="shared" si="54"/>
        <v>0</v>
      </c>
      <c r="X168" s="145">
        <f t="shared" si="59"/>
        <v>9654.85</v>
      </c>
      <c r="Y168" s="145">
        <f t="shared" si="55"/>
        <v>9654.85</v>
      </c>
      <c r="Z168" s="145"/>
      <c r="AA168" s="145"/>
      <c r="AB168" s="145"/>
    </row>
    <row r="169" s="23" customFormat="1" ht="45" customHeight="1" spans="1:28">
      <c r="A169" s="156">
        <v>27</v>
      </c>
      <c r="B169" s="259" t="s">
        <v>318</v>
      </c>
      <c r="C169" s="259"/>
      <c r="D169" s="259" t="s">
        <v>244</v>
      </c>
      <c r="E169" s="259">
        <v>722880</v>
      </c>
      <c r="F169" s="259"/>
      <c r="G169" s="74" t="s">
        <v>245</v>
      </c>
      <c r="H169" s="74" t="s">
        <v>246</v>
      </c>
      <c r="I169" s="94">
        <v>575745.13</v>
      </c>
      <c r="J169" s="94">
        <f>K169-I169</f>
        <v>74846.87</v>
      </c>
      <c r="K169" s="94">
        <v>650592</v>
      </c>
      <c r="L169" s="94">
        <v>0</v>
      </c>
      <c r="M169" s="94">
        <v>0</v>
      </c>
      <c r="N169" s="94">
        <v>0</v>
      </c>
      <c r="O169" s="94">
        <v>72288</v>
      </c>
      <c r="P169" s="94"/>
      <c r="Q169" s="94"/>
      <c r="R169" s="108">
        <v>0</v>
      </c>
      <c r="S169" s="94">
        <f t="shared" si="58"/>
        <v>578304</v>
      </c>
      <c r="T169" s="108">
        <v>0</v>
      </c>
      <c r="U169" s="108">
        <v>379417.19</v>
      </c>
      <c r="V169" s="425"/>
      <c r="W169" s="94">
        <f t="shared" si="54"/>
        <v>198886.81</v>
      </c>
      <c r="X169" s="145">
        <f>K169</f>
        <v>650592</v>
      </c>
      <c r="Y169" s="145">
        <f>U169+V169</f>
        <v>379417.19</v>
      </c>
      <c r="Z169" s="145"/>
      <c r="AA169" s="145"/>
      <c r="AB169" s="145"/>
    </row>
    <row r="170" s="23" customFormat="1" ht="45" customHeight="1" spans="1:28">
      <c r="A170" s="156"/>
      <c r="B170" s="260"/>
      <c r="C170" s="261"/>
      <c r="D170" s="261"/>
      <c r="E170" s="261"/>
      <c r="F170" s="261"/>
      <c r="G170" s="73"/>
      <c r="H170" s="73"/>
      <c r="I170" s="94"/>
      <c r="J170" s="94"/>
      <c r="K170" s="94"/>
      <c r="L170" s="94"/>
      <c r="M170" s="94"/>
      <c r="N170" s="94"/>
      <c r="O170" s="94"/>
      <c r="P170" s="94"/>
      <c r="Q170" s="94"/>
      <c r="R170" s="108"/>
      <c r="S170" s="94"/>
      <c r="T170" s="108"/>
      <c r="U170" s="108"/>
      <c r="V170" s="425"/>
      <c r="W170" s="94"/>
      <c r="X170" s="145"/>
      <c r="Y170" s="145"/>
      <c r="Z170" s="145">
        <v>271174.81</v>
      </c>
      <c r="AA170" s="145">
        <v>271174.81</v>
      </c>
      <c r="AB170" s="145"/>
    </row>
    <row r="171" s="23" customFormat="1" ht="45" customHeight="1" spans="1:28">
      <c r="A171" s="156">
        <v>28</v>
      </c>
      <c r="B171" s="216" t="s">
        <v>196</v>
      </c>
      <c r="C171" s="217"/>
      <c r="D171" s="218"/>
      <c r="E171" s="258">
        <v>10000</v>
      </c>
      <c r="F171" s="258"/>
      <c r="G171" s="50" t="s">
        <v>197</v>
      </c>
      <c r="H171" s="51" t="s">
        <v>198</v>
      </c>
      <c r="I171" s="108">
        <v>3952.44</v>
      </c>
      <c r="J171" s="108"/>
      <c r="K171" s="94">
        <f t="shared" ref="K171:K187" si="60">I171+J171</f>
        <v>3952.44</v>
      </c>
      <c r="L171" s="94">
        <v>0</v>
      </c>
      <c r="M171" s="94">
        <v>0</v>
      </c>
      <c r="N171" s="94">
        <v>0</v>
      </c>
      <c r="O171" s="94">
        <v>0</v>
      </c>
      <c r="P171" s="94"/>
      <c r="Q171" s="94"/>
      <c r="R171" s="94">
        <v>0</v>
      </c>
      <c r="S171" s="94">
        <f t="shared" ref="S171:S173" si="61">K171-L171-M171-N171-O171+R171</f>
        <v>3952.44</v>
      </c>
      <c r="T171" s="108">
        <v>0</v>
      </c>
      <c r="U171" s="108">
        <v>3952.44</v>
      </c>
      <c r="V171" s="108"/>
      <c r="W171" s="94">
        <f t="shared" ref="W171:W174" si="62">S171+T171-U171-V171</f>
        <v>0</v>
      </c>
      <c r="X171" s="145">
        <f t="shared" ref="X171:X173" si="63">K171+F171</f>
        <v>3952.44</v>
      </c>
      <c r="Y171" s="145">
        <f t="shared" ref="Y171:Y174" si="64">U171+F171</f>
        <v>3952.44</v>
      </c>
      <c r="Z171" s="145"/>
      <c r="AA171" s="145"/>
      <c r="AB171" s="145"/>
    </row>
    <row r="172" s="23" customFormat="1" ht="45" customHeight="1" spans="1:28">
      <c r="A172" s="156">
        <v>29</v>
      </c>
      <c r="B172" s="216" t="s">
        <v>312</v>
      </c>
      <c r="C172" s="217"/>
      <c r="D172" s="218"/>
      <c r="E172" s="258"/>
      <c r="F172" s="258"/>
      <c r="G172" s="188" t="s">
        <v>248</v>
      </c>
      <c r="H172" s="258"/>
      <c r="I172" s="108">
        <f>SUM(I173:I187)</f>
        <v>58283.7</v>
      </c>
      <c r="J172" s="108">
        <f>J173+J180+J181</f>
        <v>0</v>
      </c>
      <c r="K172" s="108">
        <f t="shared" si="60"/>
        <v>58283.7</v>
      </c>
      <c r="L172" s="94"/>
      <c r="M172" s="94"/>
      <c r="N172" s="94"/>
      <c r="O172" s="94"/>
      <c r="P172" s="94"/>
      <c r="Q172" s="94"/>
      <c r="R172" s="108"/>
      <c r="S172" s="108">
        <f t="shared" si="61"/>
        <v>58283.7</v>
      </c>
      <c r="T172" s="108">
        <v>0</v>
      </c>
      <c r="U172" s="108">
        <f>K172+R172</f>
        <v>58283.7</v>
      </c>
      <c r="V172" s="94"/>
      <c r="W172" s="94">
        <f t="shared" si="62"/>
        <v>0</v>
      </c>
      <c r="X172" s="145">
        <f t="shared" si="63"/>
        <v>58283.7</v>
      </c>
      <c r="Y172" s="145">
        <f t="shared" si="64"/>
        <v>58283.7</v>
      </c>
      <c r="Z172" s="258"/>
      <c r="AA172" s="145"/>
      <c r="AB172" s="145"/>
    </row>
    <row r="173" s="23" customFormat="1" ht="45" customHeight="1" spans="1:28">
      <c r="A173" s="175"/>
      <c r="B173" s="263" t="s">
        <v>249</v>
      </c>
      <c r="C173" s="264"/>
      <c r="D173" s="265"/>
      <c r="E173" s="192"/>
      <c r="F173" s="192">
        <v>2023</v>
      </c>
      <c r="G173" s="188" t="s">
        <v>250</v>
      </c>
      <c r="H173" s="258"/>
      <c r="I173" s="108">
        <v>3770</v>
      </c>
      <c r="J173" s="108"/>
      <c r="K173" s="94">
        <f t="shared" si="60"/>
        <v>3770</v>
      </c>
      <c r="L173" s="94"/>
      <c r="M173" s="94"/>
      <c r="N173" s="94"/>
      <c r="O173" s="94"/>
      <c r="P173" s="94"/>
      <c r="Q173" s="94"/>
      <c r="R173" s="108"/>
      <c r="S173" s="94">
        <f t="shared" si="61"/>
        <v>3770</v>
      </c>
      <c r="T173" s="108">
        <v>0</v>
      </c>
      <c r="U173" s="94">
        <f>K173+R173</f>
        <v>3770</v>
      </c>
      <c r="V173" s="94"/>
      <c r="W173" s="94">
        <f t="shared" si="62"/>
        <v>0</v>
      </c>
      <c r="X173" s="145">
        <f t="shared" si="63"/>
        <v>5793</v>
      </c>
      <c r="Y173" s="145">
        <f t="shared" si="64"/>
        <v>5793</v>
      </c>
      <c r="Z173" s="258"/>
      <c r="AA173" s="145"/>
      <c r="AB173" s="145"/>
    </row>
    <row r="174" s="23" customFormat="1" ht="45" customHeight="1" spans="1:28">
      <c r="A174" s="175"/>
      <c r="B174" s="266"/>
      <c r="C174" s="267"/>
      <c r="D174" s="268"/>
      <c r="E174" s="198"/>
      <c r="F174" s="198"/>
      <c r="G174" s="188" t="s">
        <v>251</v>
      </c>
      <c r="H174" s="258"/>
      <c r="I174" s="108">
        <v>8043</v>
      </c>
      <c r="J174" s="108"/>
      <c r="K174" s="94">
        <f t="shared" si="60"/>
        <v>8043</v>
      </c>
      <c r="L174" s="94"/>
      <c r="M174" s="94"/>
      <c r="N174" s="94"/>
      <c r="O174" s="94"/>
      <c r="P174" s="94"/>
      <c r="Q174" s="94"/>
      <c r="R174" s="108"/>
      <c r="S174" s="94">
        <v>8043</v>
      </c>
      <c r="T174" s="108"/>
      <c r="U174" s="94">
        <v>8043</v>
      </c>
      <c r="V174" s="94"/>
      <c r="W174" s="94">
        <f t="shared" si="62"/>
        <v>0</v>
      </c>
      <c r="X174" s="145">
        <f>K174</f>
        <v>8043</v>
      </c>
      <c r="Y174" s="145">
        <f t="shared" si="64"/>
        <v>8043</v>
      </c>
      <c r="Z174" s="258"/>
      <c r="AA174" s="145"/>
      <c r="AB174" s="145"/>
    </row>
    <row r="175" s="23" customFormat="1" ht="45" customHeight="1" spans="1:28">
      <c r="A175" s="175"/>
      <c r="B175" s="266"/>
      <c r="C175" s="267"/>
      <c r="D175" s="268"/>
      <c r="E175" s="198"/>
      <c r="F175" s="198">
        <v>2024</v>
      </c>
      <c r="G175" s="188" t="s">
        <v>320</v>
      </c>
      <c r="H175" s="258"/>
      <c r="I175" s="108">
        <v>9579</v>
      </c>
      <c r="J175" s="108">
        <v>0</v>
      </c>
      <c r="K175" s="94">
        <f t="shared" si="60"/>
        <v>9579</v>
      </c>
      <c r="L175" s="94"/>
      <c r="M175" s="94"/>
      <c r="N175" s="94"/>
      <c r="O175" s="94"/>
      <c r="P175" s="94"/>
      <c r="Q175" s="94"/>
      <c r="R175" s="108"/>
      <c r="S175" s="94">
        <f>K175</f>
        <v>9579</v>
      </c>
      <c r="T175" s="108"/>
      <c r="U175" s="94">
        <f t="shared" ref="U175:U180" si="65">S175</f>
        <v>9579</v>
      </c>
      <c r="V175" s="94"/>
      <c r="W175" s="94"/>
      <c r="X175" s="145"/>
      <c r="Y175" s="145"/>
      <c r="Z175" s="258"/>
      <c r="AA175" s="145"/>
      <c r="AB175" s="145"/>
    </row>
    <row r="176" s="23" customFormat="1" ht="45" customHeight="1" spans="1:28">
      <c r="A176" s="175"/>
      <c r="B176" s="266"/>
      <c r="C176" s="267"/>
      <c r="D176" s="268"/>
      <c r="E176" s="198"/>
      <c r="F176" s="198"/>
      <c r="G176" s="188" t="s">
        <v>341</v>
      </c>
      <c r="H176" s="258"/>
      <c r="I176" s="108">
        <v>7041</v>
      </c>
      <c r="J176" s="108"/>
      <c r="K176" s="94">
        <f t="shared" si="60"/>
        <v>7041</v>
      </c>
      <c r="L176" s="94"/>
      <c r="M176" s="94"/>
      <c r="N176" s="94"/>
      <c r="O176" s="94"/>
      <c r="P176" s="94"/>
      <c r="Q176" s="94"/>
      <c r="R176" s="108"/>
      <c r="S176" s="94"/>
      <c r="T176" s="108"/>
      <c r="U176" s="94">
        <f t="shared" si="65"/>
        <v>0</v>
      </c>
      <c r="V176" s="94"/>
      <c r="W176" s="94"/>
      <c r="X176" s="145"/>
      <c r="Y176" s="145"/>
      <c r="Z176" s="258"/>
      <c r="AA176" s="145"/>
      <c r="AB176" s="145"/>
    </row>
    <row r="177" s="23" customFormat="1" ht="45" customHeight="1" spans="1:28">
      <c r="A177" s="175"/>
      <c r="B177" s="266"/>
      <c r="C177" s="267"/>
      <c r="D177" s="268"/>
      <c r="E177" s="198"/>
      <c r="F177" s="198"/>
      <c r="G177" s="269" t="s">
        <v>342</v>
      </c>
      <c r="H177" s="270"/>
      <c r="I177" s="109">
        <v>8282</v>
      </c>
      <c r="J177" s="109"/>
      <c r="K177" s="101">
        <f t="shared" si="60"/>
        <v>8282</v>
      </c>
      <c r="L177" s="101"/>
      <c r="M177" s="101"/>
      <c r="N177" s="101"/>
      <c r="O177" s="101"/>
      <c r="P177" s="101"/>
      <c r="Q177" s="101"/>
      <c r="R177" s="109"/>
      <c r="S177" s="101"/>
      <c r="T177" s="108"/>
      <c r="U177" s="94">
        <f t="shared" si="65"/>
        <v>0</v>
      </c>
      <c r="V177" s="94"/>
      <c r="W177" s="94"/>
      <c r="X177" s="145"/>
      <c r="Y177" s="145"/>
      <c r="Z177" s="258"/>
      <c r="AA177" s="145"/>
      <c r="AB177" s="145"/>
    </row>
    <row r="178" s="23" customFormat="1" ht="45" customHeight="1" spans="1:28">
      <c r="A178" s="175"/>
      <c r="B178" s="266"/>
      <c r="C178" s="267"/>
      <c r="D178" s="268"/>
      <c r="E178" s="198"/>
      <c r="F178" s="198"/>
      <c r="G178" s="188" t="s">
        <v>343</v>
      </c>
      <c r="H178" s="258"/>
      <c r="I178" s="108"/>
      <c r="J178" s="108"/>
      <c r="K178" s="94">
        <f t="shared" si="60"/>
        <v>0</v>
      </c>
      <c r="L178" s="94"/>
      <c r="M178" s="94"/>
      <c r="N178" s="94"/>
      <c r="O178" s="94"/>
      <c r="P178" s="94"/>
      <c r="Q178" s="94"/>
      <c r="R178" s="108"/>
      <c r="S178" s="94"/>
      <c r="T178" s="108"/>
      <c r="U178" s="94">
        <f t="shared" si="65"/>
        <v>0</v>
      </c>
      <c r="V178" s="94"/>
      <c r="W178" s="94"/>
      <c r="X178" s="145"/>
      <c r="Y178" s="145"/>
      <c r="Z178" s="258"/>
      <c r="AA178" s="145"/>
      <c r="AB178" s="145"/>
    </row>
    <row r="179" s="23" customFormat="1" ht="45" customHeight="1" spans="1:28">
      <c r="A179" s="175"/>
      <c r="B179" s="271"/>
      <c r="C179" s="272"/>
      <c r="D179" s="273"/>
      <c r="E179" s="199"/>
      <c r="F179" s="199"/>
      <c r="G179" s="188" t="s">
        <v>344</v>
      </c>
      <c r="H179" s="258"/>
      <c r="I179" s="108"/>
      <c r="J179" s="108"/>
      <c r="K179" s="94">
        <f t="shared" si="60"/>
        <v>0</v>
      </c>
      <c r="L179" s="94"/>
      <c r="M179" s="94"/>
      <c r="N179" s="94"/>
      <c r="O179" s="94"/>
      <c r="P179" s="94"/>
      <c r="Q179" s="94"/>
      <c r="R179" s="108"/>
      <c r="S179" s="94"/>
      <c r="T179" s="108"/>
      <c r="U179" s="94">
        <f t="shared" si="65"/>
        <v>0</v>
      </c>
      <c r="V179" s="94"/>
      <c r="W179" s="94"/>
      <c r="X179" s="145"/>
      <c r="Y179" s="145"/>
      <c r="Z179" s="258"/>
      <c r="AA179" s="145"/>
      <c r="AB179" s="145"/>
    </row>
    <row r="180" s="23" customFormat="1" ht="45" customHeight="1" spans="1:28">
      <c r="A180" s="175"/>
      <c r="B180" s="274" t="s">
        <v>252</v>
      </c>
      <c r="C180" s="275"/>
      <c r="D180" s="276"/>
      <c r="E180" s="258"/>
      <c r="F180" s="258"/>
      <c r="G180" s="188" t="s">
        <v>250</v>
      </c>
      <c r="H180" s="258"/>
      <c r="I180" s="108"/>
      <c r="J180" s="108"/>
      <c r="K180" s="94">
        <f t="shared" si="60"/>
        <v>0</v>
      </c>
      <c r="L180" s="94"/>
      <c r="M180" s="94"/>
      <c r="N180" s="94"/>
      <c r="O180" s="94"/>
      <c r="P180" s="94"/>
      <c r="Q180" s="94"/>
      <c r="R180" s="108"/>
      <c r="S180" s="94">
        <f t="shared" ref="S180:S183" si="66">K180</f>
        <v>0</v>
      </c>
      <c r="T180" s="94"/>
      <c r="U180" s="94">
        <f t="shared" si="65"/>
        <v>0</v>
      </c>
      <c r="V180" s="94"/>
      <c r="W180" s="94">
        <f>S180+T180-U180-V180</f>
        <v>0</v>
      </c>
      <c r="X180" s="145">
        <f>K180+F180</f>
        <v>0</v>
      </c>
      <c r="Y180" s="145">
        <f>U180+F180</f>
        <v>0</v>
      </c>
      <c r="Z180" s="258"/>
      <c r="AA180" s="145"/>
      <c r="AB180" s="145"/>
    </row>
    <row r="181" s="23" customFormat="1" ht="45" customHeight="1" spans="1:28">
      <c r="A181" s="175"/>
      <c r="B181" s="263" t="s">
        <v>253</v>
      </c>
      <c r="C181" s="264"/>
      <c r="D181" s="265"/>
      <c r="E181" s="192"/>
      <c r="F181" s="192"/>
      <c r="G181" s="188" t="s">
        <v>251</v>
      </c>
      <c r="H181" s="258"/>
      <c r="I181" s="108">
        <v>200</v>
      </c>
      <c r="J181" s="108">
        <v>0</v>
      </c>
      <c r="K181" s="94">
        <f t="shared" si="60"/>
        <v>200</v>
      </c>
      <c r="L181" s="94"/>
      <c r="M181" s="94"/>
      <c r="N181" s="94"/>
      <c r="O181" s="94"/>
      <c r="P181" s="94"/>
      <c r="Q181" s="94"/>
      <c r="R181" s="108"/>
      <c r="S181" s="94">
        <f t="shared" si="66"/>
        <v>200</v>
      </c>
      <c r="T181" s="94"/>
      <c r="U181" s="94">
        <f>K181+R181</f>
        <v>200</v>
      </c>
      <c r="V181" s="94"/>
      <c r="W181" s="94">
        <f>S181+T181-U181-V181</f>
        <v>0</v>
      </c>
      <c r="X181" s="145">
        <f>K181+F181</f>
        <v>200</v>
      </c>
      <c r="Y181" s="145">
        <f>U181+F181</f>
        <v>200</v>
      </c>
      <c r="Z181" s="258"/>
      <c r="AA181" s="145"/>
      <c r="AB181" s="145"/>
    </row>
    <row r="182" s="23" customFormat="1" ht="45" customHeight="1" spans="1:28">
      <c r="A182" s="175"/>
      <c r="B182" s="266"/>
      <c r="C182" s="267"/>
      <c r="D182" s="268"/>
      <c r="E182" s="198"/>
      <c r="F182" s="198"/>
      <c r="G182" s="188" t="s">
        <v>320</v>
      </c>
      <c r="H182" s="258"/>
      <c r="I182" s="108">
        <v>800</v>
      </c>
      <c r="J182" s="108">
        <v>0</v>
      </c>
      <c r="K182" s="94">
        <f t="shared" si="60"/>
        <v>800</v>
      </c>
      <c r="L182" s="94"/>
      <c r="M182" s="94"/>
      <c r="N182" s="94"/>
      <c r="O182" s="94"/>
      <c r="P182" s="94"/>
      <c r="Q182" s="94"/>
      <c r="R182" s="108"/>
      <c r="S182" s="94">
        <f t="shared" si="66"/>
        <v>800</v>
      </c>
      <c r="T182" s="94"/>
      <c r="U182" s="94">
        <f t="shared" ref="U182:U184" si="67">S182</f>
        <v>800</v>
      </c>
      <c r="V182" s="94"/>
      <c r="W182" s="94"/>
      <c r="X182" s="145"/>
      <c r="Y182" s="145"/>
      <c r="Z182" s="258"/>
      <c r="AA182" s="145"/>
      <c r="AB182" s="145"/>
    </row>
    <row r="183" s="23" customFormat="1" ht="45" customHeight="1" spans="1:28">
      <c r="A183" s="175"/>
      <c r="B183" s="266"/>
      <c r="C183" s="267"/>
      <c r="D183" s="268"/>
      <c r="E183" s="198"/>
      <c r="F183" s="198"/>
      <c r="G183" s="188" t="s">
        <v>341</v>
      </c>
      <c r="H183" s="258"/>
      <c r="I183" s="108">
        <v>8961.68</v>
      </c>
      <c r="J183" s="108">
        <f>3.66+17.77+5.45+3126-2948.99+4653-4369.57</f>
        <v>487.320000000001</v>
      </c>
      <c r="K183" s="94">
        <f t="shared" si="60"/>
        <v>9449</v>
      </c>
      <c r="L183" s="94"/>
      <c r="M183" s="94"/>
      <c r="N183" s="94"/>
      <c r="O183" s="94"/>
      <c r="P183" s="94"/>
      <c r="Q183" s="94"/>
      <c r="R183" s="108"/>
      <c r="S183" s="94">
        <f t="shared" si="66"/>
        <v>9449</v>
      </c>
      <c r="T183" s="94"/>
      <c r="U183" s="94">
        <f t="shared" si="67"/>
        <v>9449</v>
      </c>
      <c r="V183" s="94"/>
      <c r="W183" s="94"/>
      <c r="X183" s="145"/>
      <c r="Y183" s="145"/>
      <c r="Z183" s="258"/>
      <c r="AA183" s="145"/>
      <c r="AB183" s="145"/>
    </row>
    <row r="184" s="23" customFormat="1" ht="45" customHeight="1" spans="1:28">
      <c r="A184" s="175"/>
      <c r="B184" s="266"/>
      <c r="C184" s="267"/>
      <c r="D184" s="268"/>
      <c r="E184" s="198"/>
      <c r="F184" s="198"/>
      <c r="G184" s="269" t="s">
        <v>362</v>
      </c>
      <c r="H184" s="270"/>
      <c r="I184" s="109">
        <v>11607.02</v>
      </c>
      <c r="J184" s="109">
        <f>9.17+9.17+20.83+1609.02-1537.11+803.76-768.46+3.81+3.64+3.81+3.64+43.7+3570.6-3331.23</f>
        <v>444.35</v>
      </c>
      <c r="K184" s="101">
        <f t="shared" si="60"/>
        <v>12051.37</v>
      </c>
      <c r="L184" s="101"/>
      <c r="M184" s="101"/>
      <c r="N184" s="101"/>
      <c r="O184" s="101"/>
      <c r="P184" s="101"/>
      <c r="Q184" s="101"/>
      <c r="R184" s="109"/>
      <c r="S184" s="101"/>
      <c r="T184" s="94"/>
      <c r="U184" s="94">
        <f t="shared" si="67"/>
        <v>0</v>
      </c>
      <c r="V184" s="94"/>
      <c r="W184" s="94"/>
      <c r="X184" s="145"/>
      <c r="Y184" s="145"/>
      <c r="Z184" s="258"/>
      <c r="AA184" s="145"/>
      <c r="AB184" s="145"/>
    </row>
    <row r="185" s="23" customFormat="1" ht="45" customHeight="1" spans="1:28">
      <c r="A185" s="175"/>
      <c r="B185" s="266"/>
      <c r="C185" s="267"/>
      <c r="D185" s="268"/>
      <c r="E185" s="198"/>
      <c r="F185" s="198"/>
      <c r="G185" s="188"/>
      <c r="H185" s="258"/>
      <c r="I185" s="108"/>
      <c r="J185" s="108"/>
      <c r="K185" s="94">
        <f t="shared" si="60"/>
        <v>0</v>
      </c>
      <c r="L185" s="94"/>
      <c r="M185" s="94"/>
      <c r="N185" s="94"/>
      <c r="O185" s="94"/>
      <c r="P185" s="94"/>
      <c r="Q185" s="94"/>
      <c r="R185" s="108"/>
      <c r="S185" s="94"/>
      <c r="T185" s="94"/>
      <c r="U185" s="94"/>
      <c r="V185" s="94"/>
      <c r="W185" s="94"/>
      <c r="X185" s="145"/>
      <c r="Y185" s="145"/>
      <c r="Z185" s="258"/>
      <c r="AA185" s="145"/>
      <c r="AB185" s="145"/>
    </row>
    <row r="186" s="23" customFormat="1" ht="45" customHeight="1" spans="1:28">
      <c r="A186" s="175"/>
      <c r="B186" s="271"/>
      <c r="C186" s="272"/>
      <c r="D186" s="273"/>
      <c r="E186" s="199"/>
      <c r="F186" s="199"/>
      <c r="G186" s="188"/>
      <c r="H186" s="258"/>
      <c r="I186" s="108"/>
      <c r="J186" s="108"/>
      <c r="K186" s="94">
        <f t="shared" si="60"/>
        <v>0</v>
      </c>
      <c r="L186" s="94"/>
      <c r="M186" s="94"/>
      <c r="N186" s="94"/>
      <c r="O186" s="94"/>
      <c r="P186" s="94"/>
      <c r="Q186" s="94"/>
      <c r="R186" s="108"/>
      <c r="S186" s="94"/>
      <c r="T186" s="94"/>
      <c r="U186" s="94"/>
      <c r="V186" s="94"/>
      <c r="W186" s="94"/>
      <c r="X186" s="145"/>
      <c r="Y186" s="145"/>
      <c r="Z186" s="258"/>
      <c r="AA186" s="145"/>
      <c r="AB186" s="145"/>
    </row>
    <row r="187" s="23" customFormat="1" ht="45" customHeight="1" spans="1:28">
      <c r="A187" s="175"/>
      <c r="B187" s="274" t="s">
        <v>254</v>
      </c>
      <c r="C187" s="275"/>
      <c r="D187" s="276"/>
      <c r="E187" s="258"/>
      <c r="F187" s="258"/>
      <c r="G187" s="188" t="s">
        <v>250</v>
      </c>
      <c r="H187" s="258"/>
      <c r="I187" s="108"/>
      <c r="J187" s="108"/>
      <c r="K187" s="94">
        <f t="shared" si="60"/>
        <v>0</v>
      </c>
      <c r="L187" s="94"/>
      <c r="M187" s="94"/>
      <c r="N187" s="94"/>
      <c r="O187" s="94"/>
      <c r="P187" s="94"/>
      <c r="Q187" s="94"/>
      <c r="R187" s="108"/>
      <c r="S187" s="94">
        <f>K187</f>
        <v>0</v>
      </c>
      <c r="T187" s="94"/>
      <c r="U187" s="94">
        <f>S187</f>
        <v>0</v>
      </c>
      <c r="V187" s="94"/>
      <c r="W187" s="94">
        <f>S187+T187-U187-V187</f>
        <v>0</v>
      </c>
      <c r="X187" s="145"/>
      <c r="Y187" s="145"/>
      <c r="Z187" s="258"/>
      <c r="AA187" s="145"/>
      <c r="AB187" s="145"/>
    </row>
    <row r="188" s="20" customFormat="1" ht="36" customHeight="1" spans="1:28">
      <c r="A188" s="277" t="s">
        <v>255</v>
      </c>
      <c r="B188" s="277"/>
      <c r="C188" s="277"/>
      <c r="D188" s="277"/>
      <c r="E188" s="277">
        <f>SUM(E159:E172)</f>
        <v>18872786.57</v>
      </c>
      <c r="F188" s="277">
        <f>SUM(F159:F172)</f>
        <v>0</v>
      </c>
      <c r="G188" s="243"/>
      <c r="H188" s="243" t="s">
        <v>316</v>
      </c>
      <c r="I188" s="300">
        <f>SUM(I159:I163,I164:I174,I180:I181,I187)-I172</f>
        <v>15049869.9490566</v>
      </c>
      <c r="J188" s="300">
        <f t="shared" ref="I188:O188" si="68">SUM(J159:J163,J164:J174,J180:J181,J187)-J172</f>
        <v>1762917.2709434</v>
      </c>
      <c r="K188" s="300">
        <f t="shared" si="68"/>
        <v>16812787.22</v>
      </c>
      <c r="L188" s="300">
        <f t="shared" si="68"/>
        <v>0</v>
      </c>
      <c r="M188" s="300">
        <f t="shared" si="68"/>
        <v>379417.19</v>
      </c>
      <c r="N188" s="300">
        <f t="shared" si="68"/>
        <v>0</v>
      </c>
      <c r="O188" s="300">
        <f t="shared" si="68"/>
        <v>72288</v>
      </c>
      <c r="P188" s="300"/>
      <c r="Q188" s="300">
        <f t="shared" ref="Q188:Y188" si="69">SUM(Q159:Q163,Q164:Q174,Q180:Q181,Q187)-Q172</f>
        <v>0</v>
      </c>
      <c r="R188" s="300">
        <f t="shared" si="69"/>
        <v>0</v>
      </c>
      <c r="S188" s="300">
        <f t="shared" si="69"/>
        <v>16361082.03</v>
      </c>
      <c r="T188" s="300">
        <f t="shared" si="69"/>
        <v>0</v>
      </c>
      <c r="U188" s="300">
        <f t="shared" si="69"/>
        <v>16162195.22</v>
      </c>
      <c r="V188" s="300">
        <f t="shared" si="69"/>
        <v>0</v>
      </c>
      <c r="W188" s="300">
        <f t="shared" si="69"/>
        <v>198886.81</v>
      </c>
      <c r="X188" s="300">
        <f t="shared" si="69"/>
        <v>16814810.22</v>
      </c>
      <c r="Y188" s="300">
        <f t="shared" si="69"/>
        <v>16164218.22</v>
      </c>
      <c r="Z188" s="307">
        <f>SUM(Z159:Z172)</f>
        <v>271174.81</v>
      </c>
      <c r="AA188" s="307">
        <f>SUM(AA159:AA172)</f>
        <v>271174.81</v>
      </c>
      <c r="AB188" s="307"/>
    </row>
    <row r="189" s="21" customFormat="1" ht="36" customHeight="1" spans="1:28">
      <c r="A189" s="277"/>
      <c r="B189" s="277"/>
      <c r="C189" s="277"/>
      <c r="D189" s="277"/>
      <c r="E189" s="277"/>
      <c r="F189" s="277"/>
      <c r="G189" s="212"/>
      <c r="H189" s="212" t="s">
        <v>317</v>
      </c>
      <c r="I189" s="301">
        <f>I182+I175+I176+I183+I184+I177</f>
        <v>46270.7</v>
      </c>
      <c r="J189" s="301">
        <f t="shared" ref="J189:W189" si="70">J182+J175+J176+J183+J184+J177</f>
        <v>931.670000000001</v>
      </c>
      <c r="K189" s="301">
        <f t="shared" si="70"/>
        <v>47202.37</v>
      </c>
      <c r="L189" s="301">
        <f t="shared" si="70"/>
        <v>0</v>
      </c>
      <c r="M189" s="301">
        <f t="shared" si="70"/>
        <v>0</v>
      </c>
      <c r="N189" s="301">
        <f t="shared" si="70"/>
        <v>0</v>
      </c>
      <c r="O189" s="301">
        <f t="shared" si="70"/>
        <v>0</v>
      </c>
      <c r="P189" s="301">
        <f t="shared" si="70"/>
        <v>0</v>
      </c>
      <c r="Q189" s="301">
        <f t="shared" si="70"/>
        <v>0</v>
      </c>
      <c r="R189" s="301">
        <f t="shared" si="70"/>
        <v>0</v>
      </c>
      <c r="S189" s="301">
        <f t="shared" si="70"/>
        <v>19828</v>
      </c>
      <c r="T189" s="301">
        <f t="shared" si="70"/>
        <v>0</v>
      </c>
      <c r="U189" s="301">
        <f t="shared" si="70"/>
        <v>19828</v>
      </c>
      <c r="V189" s="301">
        <f t="shared" si="70"/>
        <v>0</v>
      </c>
      <c r="W189" s="301">
        <f t="shared" si="70"/>
        <v>0</v>
      </c>
      <c r="X189" s="301">
        <f>X182+X175</f>
        <v>0</v>
      </c>
      <c r="Y189" s="301">
        <f>Y182+Y175</f>
        <v>0</v>
      </c>
      <c r="Z189" s="308"/>
      <c r="AA189" s="308"/>
      <c r="AB189" s="308"/>
    </row>
    <row r="190" s="21" customFormat="1" ht="36" customHeight="1" spans="1:28">
      <c r="A190" s="277"/>
      <c r="B190" s="279"/>
      <c r="C190" s="280"/>
      <c r="D190" s="280"/>
      <c r="E190" s="280"/>
      <c r="F190" s="280"/>
      <c r="G190" s="248"/>
      <c r="H190" s="282"/>
      <c r="I190" s="301"/>
      <c r="J190" s="301"/>
      <c r="K190" s="301"/>
      <c r="L190" s="301"/>
      <c r="M190" s="301"/>
      <c r="N190" s="301"/>
      <c r="O190" s="301"/>
      <c r="P190" s="301"/>
      <c r="Q190" s="301"/>
      <c r="R190" s="301"/>
      <c r="S190" s="301"/>
      <c r="T190" s="301"/>
      <c r="U190" s="301"/>
      <c r="V190" s="301"/>
      <c r="W190" s="301"/>
      <c r="X190" s="424"/>
      <c r="Y190" s="424"/>
      <c r="Z190" s="308"/>
      <c r="AA190" s="308"/>
      <c r="AB190" s="308"/>
    </row>
    <row r="191" s="21" customFormat="1" ht="36" customHeight="1" spans="1:28">
      <c r="A191" s="277"/>
      <c r="B191" s="279"/>
      <c r="C191" s="280"/>
      <c r="D191" s="280"/>
      <c r="E191" s="280"/>
      <c r="F191" s="280"/>
      <c r="G191" s="248"/>
      <c r="H191" s="282"/>
      <c r="I191" s="301">
        <f>I189+I188</f>
        <v>15096140.6490566</v>
      </c>
      <c r="J191" s="301">
        <f>J189+J188</f>
        <v>1763848.9409434</v>
      </c>
      <c r="K191" s="301">
        <f>K189+K188</f>
        <v>16859989.59</v>
      </c>
      <c r="L191" s="301"/>
      <c r="M191" s="301"/>
      <c r="N191" s="301"/>
      <c r="O191" s="301"/>
      <c r="P191" s="301"/>
      <c r="Q191" s="301"/>
      <c r="R191" s="301"/>
      <c r="S191" s="301"/>
      <c r="T191" s="301"/>
      <c r="U191" s="301"/>
      <c r="V191" s="301"/>
      <c r="W191" s="301"/>
      <c r="X191" s="424"/>
      <c r="Y191" s="424"/>
      <c r="Z191" s="308"/>
      <c r="AA191" s="308"/>
      <c r="AB191" s="308"/>
    </row>
    <row r="192" s="1" customFormat="1" ht="36" customHeight="1" spans="1:28">
      <c r="A192" s="283"/>
      <c r="B192" s="216" t="s">
        <v>256</v>
      </c>
      <c r="C192" s="217"/>
      <c r="D192" s="217"/>
      <c r="E192" s="217"/>
      <c r="F192" s="217"/>
      <c r="G192" s="217"/>
      <c r="H192" s="218"/>
      <c r="I192" s="94"/>
      <c r="J192" s="94"/>
      <c r="K192" s="94"/>
      <c r="L192" s="94"/>
      <c r="M192" s="94"/>
      <c r="N192" s="94"/>
      <c r="O192" s="94"/>
      <c r="P192" s="94"/>
      <c r="Q192" s="94"/>
      <c r="R192" s="94"/>
      <c r="S192" s="94">
        <f t="shared" ref="S192:S199" si="71">K192-L192-M192-N192-O192+R192</f>
        <v>0</v>
      </c>
      <c r="T192" s="94"/>
      <c r="U192" s="94"/>
      <c r="V192" s="94"/>
      <c r="W192" s="94"/>
      <c r="X192" s="45"/>
      <c r="Y192" s="45"/>
      <c r="Z192" s="145"/>
      <c r="AA192" s="145"/>
      <c r="AB192" s="145"/>
    </row>
    <row r="193" s="22" customFormat="1" ht="42" customHeight="1" spans="1:239">
      <c r="A193" s="156">
        <v>29</v>
      </c>
      <c r="B193" s="157" t="s">
        <v>257</v>
      </c>
      <c r="C193" s="158"/>
      <c r="D193" s="157" t="s">
        <v>98</v>
      </c>
      <c r="E193" s="158">
        <v>58000</v>
      </c>
      <c r="F193" s="158"/>
      <c r="G193" s="157" t="s">
        <v>258</v>
      </c>
      <c r="H193" s="157" t="s">
        <v>259</v>
      </c>
      <c r="I193" s="94">
        <v>54716.98</v>
      </c>
      <c r="J193" s="94">
        <v>3283.02</v>
      </c>
      <c r="K193" s="94">
        <f t="shared" ref="K193:K196" si="72">J193+I193</f>
        <v>58000</v>
      </c>
      <c r="L193" s="237"/>
      <c r="M193" s="237"/>
      <c r="N193" s="237"/>
      <c r="O193" s="237"/>
      <c r="P193" s="237"/>
      <c r="Q193" s="237"/>
      <c r="R193" s="237"/>
      <c r="S193" s="94">
        <f t="shared" si="71"/>
        <v>58000</v>
      </c>
      <c r="T193" s="94"/>
      <c r="U193" s="237">
        <v>58000</v>
      </c>
      <c r="V193" s="237"/>
      <c r="W193" s="237">
        <f t="shared" ref="W192:W200" si="73">S193+T193-U193-V193</f>
        <v>0</v>
      </c>
      <c r="X193" s="145">
        <f t="shared" ref="X193:X198" si="74">K193+F193</f>
        <v>58000</v>
      </c>
      <c r="Y193" s="145">
        <f t="shared" ref="Y193:Y198" si="75">U193+F193</f>
        <v>58000</v>
      </c>
      <c r="Z193" s="158"/>
      <c r="AA193" s="145"/>
      <c r="AB193" s="158"/>
      <c r="AC193" s="311"/>
      <c r="AD193" s="311"/>
      <c r="AE193" s="311"/>
      <c r="AF193" s="311"/>
      <c r="AG193" s="311"/>
      <c r="AH193" s="311"/>
      <c r="AI193" s="311"/>
      <c r="AJ193" s="311"/>
      <c r="AK193" s="311"/>
      <c r="AL193" s="311"/>
      <c r="AM193" s="311"/>
      <c r="AN193" s="311"/>
      <c r="AO193" s="311"/>
      <c r="AP193" s="311"/>
      <c r="AQ193" s="311"/>
      <c r="AR193" s="311"/>
      <c r="AS193" s="311"/>
      <c r="AT193" s="311"/>
      <c r="AU193" s="311"/>
      <c r="AV193" s="311"/>
      <c r="AW193" s="311"/>
      <c r="AX193" s="311"/>
      <c r="AY193" s="311"/>
      <c r="AZ193" s="311"/>
      <c r="BA193" s="311"/>
      <c r="BB193" s="311"/>
      <c r="BC193" s="311"/>
      <c r="BD193" s="311"/>
      <c r="BE193" s="311"/>
      <c r="BF193" s="311"/>
      <c r="BG193" s="311"/>
      <c r="BH193" s="311"/>
      <c r="BI193" s="311"/>
      <c r="BJ193" s="311"/>
      <c r="BK193" s="311"/>
      <c r="BL193" s="311"/>
      <c r="BM193" s="311"/>
      <c r="BN193" s="311"/>
      <c r="BO193" s="311"/>
      <c r="BP193" s="311"/>
      <c r="BQ193" s="311"/>
      <c r="BR193" s="311"/>
      <c r="BS193" s="311"/>
      <c r="BT193" s="311"/>
      <c r="BU193" s="311"/>
      <c r="BV193" s="311"/>
      <c r="BW193" s="311"/>
      <c r="BX193" s="311"/>
      <c r="BY193" s="311"/>
      <c r="BZ193" s="311"/>
      <c r="CA193" s="311"/>
      <c r="CB193" s="311"/>
      <c r="CC193" s="311"/>
      <c r="CD193" s="311"/>
      <c r="CE193" s="311"/>
      <c r="CF193" s="311"/>
      <c r="CG193" s="311"/>
      <c r="CH193" s="311"/>
      <c r="CI193" s="311"/>
      <c r="CJ193" s="311"/>
      <c r="CK193" s="311"/>
      <c r="CL193" s="311"/>
      <c r="CM193" s="311"/>
      <c r="CN193" s="311"/>
      <c r="CO193" s="311"/>
      <c r="CP193" s="311"/>
      <c r="CQ193" s="311"/>
      <c r="CR193" s="311"/>
      <c r="CS193" s="311"/>
      <c r="CT193" s="311"/>
      <c r="CU193" s="311"/>
      <c r="CV193" s="311"/>
      <c r="CW193" s="311"/>
      <c r="CX193" s="311"/>
      <c r="CY193" s="311"/>
      <c r="CZ193" s="311"/>
      <c r="DA193" s="311"/>
      <c r="DB193" s="311"/>
      <c r="DC193" s="311"/>
      <c r="DD193" s="311"/>
      <c r="DE193" s="311"/>
      <c r="DF193" s="311"/>
      <c r="DG193" s="311"/>
      <c r="DH193" s="311"/>
      <c r="DI193" s="311"/>
      <c r="DJ193" s="311"/>
      <c r="DK193" s="311"/>
      <c r="DL193" s="311"/>
      <c r="DM193" s="311"/>
      <c r="DN193" s="311"/>
      <c r="DO193" s="311"/>
      <c r="DP193" s="311"/>
      <c r="DQ193" s="311"/>
      <c r="DR193" s="311"/>
      <c r="DS193" s="311"/>
      <c r="DT193" s="311"/>
      <c r="DU193" s="311"/>
      <c r="DV193" s="311"/>
      <c r="DW193" s="311"/>
      <c r="DX193" s="311"/>
      <c r="DY193" s="311"/>
      <c r="DZ193" s="311"/>
      <c r="EA193" s="311"/>
      <c r="EB193" s="311"/>
      <c r="EC193" s="311"/>
      <c r="ED193" s="311"/>
      <c r="EE193" s="311"/>
      <c r="EF193" s="311"/>
      <c r="EG193" s="311"/>
      <c r="EH193" s="311"/>
      <c r="EI193" s="311"/>
      <c r="EJ193" s="311"/>
      <c r="EK193" s="311"/>
      <c r="EL193" s="311"/>
      <c r="EM193" s="311"/>
      <c r="EN193" s="311"/>
      <c r="EO193" s="311"/>
      <c r="EP193" s="311"/>
      <c r="EQ193" s="311"/>
      <c r="ER193" s="311"/>
      <c r="ES193" s="311"/>
      <c r="ET193" s="311"/>
      <c r="EU193" s="311"/>
      <c r="EV193" s="311"/>
      <c r="EW193" s="311"/>
      <c r="EX193" s="311"/>
      <c r="EY193" s="311"/>
      <c r="EZ193" s="311"/>
      <c r="FA193" s="311"/>
      <c r="FB193" s="311"/>
      <c r="FC193" s="311"/>
      <c r="FD193" s="311"/>
      <c r="FE193" s="311"/>
      <c r="FF193" s="311"/>
      <c r="FG193" s="311"/>
      <c r="FH193" s="311"/>
      <c r="FI193" s="311"/>
      <c r="FJ193" s="311"/>
      <c r="FK193" s="311"/>
      <c r="FL193" s="311"/>
      <c r="FM193" s="311"/>
      <c r="FN193" s="311"/>
      <c r="FO193" s="311"/>
      <c r="FP193" s="311"/>
      <c r="FQ193" s="311"/>
      <c r="FR193" s="311"/>
      <c r="FS193" s="311"/>
      <c r="FT193" s="311"/>
      <c r="FU193" s="311"/>
      <c r="FV193" s="311"/>
      <c r="FW193" s="311"/>
      <c r="FX193" s="311"/>
      <c r="FY193" s="311"/>
      <c r="FZ193" s="311"/>
      <c r="GA193" s="311"/>
      <c r="GB193" s="311"/>
      <c r="GC193" s="311"/>
      <c r="GD193" s="311"/>
      <c r="GE193" s="311"/>
      <c r="GF193" s="311"/>
      <c r="GG193" s="311"/>
      <c r="GH193" s="311"/>
      <c r="GI193" s="311"/>
      <c r="GJ193" s="311"/>
      <c r="GK193" s="311"/>
      <c r="GL193" s="311"/>
      <c r="GM193" s="311"/>
      <c r="GN193" s="311"/>
      <c r="GO193" s="311"/>
      <c r="GP193" s="311"/>
      <c r="GQ193" s="311"/>
      <c r="GR193" s="311"/>
      <c r="GS193" s="311"/>
      <c r="GT193" s="311"/>
      <c r="GU193" s="311"/>
      <c r="GV193" s="311"/>
      <c r="GW193" s="311"/>
      <c r="GX193" s="311"/>
      <c r="GY193" s="311"/>
      <c r="GZ193" s="311"/>
      <c r="HA193" s="311"/>
      <c r="HB193" s="311"/>
      <c r="HC193" s="311"/>
      <c r="HD193" s="311"/>
      <c r="HE193" s="311"/>
      <c r="HF193" s="311"/>
      <c r="HG193" s="311"/>
      <c r="HH193" s="311"/>
      <c r="HI193" s="311"/>
      <c r="HJ193" s="311"/>
      <c r="HK193" s="311"/>
      <c r="HL193" s="311"/>
      <c r="HM193" s="311"/>
      <c r="HN193" s="311"/>
      <c r="HO193" s="311"/>
      <c r="HP193" s="311"/>
      <c r="HQ193" s="311"/>
      <c r="HR193" s="311"/>
      <c r="HS193" s="311"/>
      <c r="HT193" s="311"/>
      <c r="HU193" s="311"/>
      <c r="HV193" s="311"/>
      <c r="HW193" s="311"/>
      <c r="HX193" s="311"/>
      <c r="HY193" s="311"/>
      <c r="HZ193" s="311"/>
      <c r="IA193" s="311"/>
      <c r="IB193" s="311"/>
      <c r="IC193" s="311"/>
      <c r="ID193" s="311"/>
      <c r="IE193" s="311"/>
    </row>
    <row r="194" s="22" customFormat="1" ht="38" customHeight="1" spans="1:239">
      <c r="A194" s="156">
        <v>30</v>
      </c>
      <c r="B194" s="157" t="s">
        <v>260</v>
      </c>
      <c r="C194" s="158"/>
      <c r="D194" s="157" t="s">
        <v>261</v>
      </c>
      <c r="E194" s="420">
        <v>300000</v>
      </c>
      <c r="F194" s="420"/>
      <c r="G194" s="284" t="s">
        <v>262</v>
      </c>
      <c r="H194" s="284" t="s">
        <v>263</v>
      </c>
      <c r="I194" s="302">
        <v>283018.87</v>
      </c>
      <c r="J194" s="302">
        <v>16981.13</v>
      </c>
      <c r="K194" s="94">
        <f t="shared" si="72"/>
        <v>300000</v>
      </c>
      <c r="L194" s="237"/>
      <c r="M194" s="237"/>
      <c r="N194" s="237"/>
      <c r="O194" s="237"/>
      <c r="P194" s="237"/>
      <c r="Q194" s="237"/>
      <c r="R194" s="310"/>
      <c r="S194" s="94">
        <f t="shared" si="71"/>
        <v>300000</v>
      </c>
      <c r="T194" s="94"/>
      <c r="U194" s="310">
        <v>300000</v>
      </c>
      <c r="V194" s="310"/>
      <c r="W194" s="237">
        <f t="shared" si="73"/>
        <v>0</v>
      </c>
      <c r="X194" s="145">
        <f t="shared" si="74"/>
        <v>300000</v>
      </c>
      <c r="Y194" s="145">
        <f t="shared" si="75"/>
        <v>300000</v>
      </c>
      <c r="Z194" s="420"/>
      <c r="AA194" s="145"/>
      <c r="AB194" s="158"/>
      <c r="AC194" s="313"/>
      <c r="AD194" s="313"/>
      <c r="AE194" s="313"/>
      <c r="AF194" s="313"/>
      <c r="AG194" s="313"/>
      <c r="AH194" s="313"/>
      <c r="AI194" s="313"/>
      <c r="AJ194" s="313"/>
      <c r="AK194" s="313"/>
      <c r="AL194" s="313"/>
      <c r="AM194" s="313"/>
      <c r="AN194" s="313"/>
      <c r="AO194" s="313"/>
      <c r="AP194" s="313"/>
      <c r="AQ194" s="313"/>
      <c r="AR194" s="313"/>
      <c r="AS194" s="313"/>
      <c r="AT194" s="313"/>
      <c r="AU194" s="313"/>
      <c r="AV194" s="313"/>
      <c r="AW194" s="313"/>
      <c r="AX194" s="313"/>
      <c r="AY194" s="313"/>
      <c r="AZ194" s="313"/>
      <c r="BA194" s="313"/>
      <c r="BB194" s="313"/>
      <c r="BC194" s="313"/>
      <c r="BD194" s="313"/>
      <c r="BE194" s="313"/>
      <c r="BF194" s="313"/>
      <c r="BG194" s="313"/>
      <c r="BH194" s="313"/>
      <c r="BI194" s="313"/>
      <c r="BJ194" s="313"/>
      <c r="BK194" s="313"/>
      <c r="BL194" s="313"/>
      <c r="BM194" s="313"/>
      <c r="BN194" s="313"/>
      <c r="BO194" s="313"/>
      <c r="BP194" s="313"/>
      <c r="BQ194" s="313"/>
      <c r="BR194" s="313"/>
      <c r="BS194" s="313"/>
      <c r="BT194" s="313"/>
      <c r="BU194" s="313"/>
      <c r="BV194" s="313"/>
      <c r="BW194" s="313"/>
      <c r="BX194" s="313"/>
      <c r="BY194" s="313"/>
      <c r="BZ194" s="313"/>
      <c r="CA194" s="313"/>
      <c r="CB194" s="313"/>
      <c r="CC194" s="313"/>
      <c r="CD194" s="313"/>
      <c r="CE194" s="313"/>
      <c r="CF194" s="313"/>
      <c r="CG194" s="313"/>
      <c r="CH194" s="313"/>
      <c r="CI194" s="313"/>
      <c r="CJ194" s="313"/>
      <c r="CK194" s="313"/>
      <c r="CL194" s="313"/>
      <c r="CM194" s="313"/>
      <c r="CN194" s="313"/>
      <c r="CO194" s="313"/>
      <c r="CP194" s="313"/>
      <c r="CQ194" s="313"/>
      <c r="CR194" s="313"/>
      <c r="CS194" s="313"/>
      <c r="CT194" s="313"/>
      <c r="CU194" s="313"/>
      <c r="CV194" s="313"/>
      <c r="CW194" s="313"/>
      <c r="CX194" s="313"/>
      <c r="CY194" s="313"/>
      <c r="CZ194" s="313"/>
      <c r="DA194" s="313"/>
      <c r="DB194" s="313"/>
      <c r="DC194" s="313"/>
      <c r="DD194" s="313"/>
      <c r="DE194" s="313"/>
      <c r="DF194" s="313"/>
      <c r="DG194" s="313"/>
      <c r="DH194" s="313"/>
      <c r="DI194" s="313"/>
      <c r="DJ194" s="313"/>
      <c r="DK194" s="313"/>
      <c r="DL194" s="313"/>
      <c r="DM194" s="313"/>
      <c r="DN194" s="313"/>
      <c r="DO194" s="313"/>
      <c r="DP194" s="313"/>
      <c r="DQ194" s="313"/>
      <c r="DR194" s="313"/>
      <c r="DS194" s="313"/>
      <c r="DT194" s="313"/>
      <c r="DU194" s="313"/>
      <c r="DV194" s="313"/>
      <c r="DW194" s="313"/>
      <c r="DX194" s="313"/>
      <c r="DY194" s="313"/>
      <c r="DZ194" s="313"/>
      <c r="EA194" s="313"/>
      <c r="EB194" s="313"/>
      <c r="EC194" s="313"/>
      <c r="ED194" s="313"/>
      <c r="EE194" s="313"/>
      <c r="EF194" s="313"/>
      <c r="EG194" s="313"/>
      <c r="EH194" s="313"/>
      <c r="EI194" s="313"/>
      <c r="EJ194" s="313"/>
      <c r="EK194" s="313"/>
      <c r="EL194" s="313"/>
      <c r="EM194" s="313"/>
      <c r="EN194" s="313"/>
      <c r="EO194" s="313"/>
      <c r="EP194" s="313"/>
      <c r="EQ194" s="313"/>
      <c r="ER194" s="313"/>
      <c r="ES194" s="313"/>
      <c r="ET194" s="313"/>
      <c r="EU194" s="313"/>
      <c r="EV194" s="313"/>
      <c r="EW194" s="313"/>
      <c r="EX194" s="313"/>
      <c r="EY194" s="313"/>
      <c r="EZ194" s="313"/>
      <c r="FA194" s="313"/>
      <c r="FB194" s="313"/>
      <c r="FC194" s="313"/>
      <c r="FD194" s="313"/>
      <c r="FE194" s="313"/>
      <c r="FF194" s="313"/>
      <c r="FG194" s="313"/>
      <c r="FH194" s="313"/>
      <c r="FI194" s="313"/>
      <c r="FJ194" s="313"/>
      <c r="FK194" s="313"/>
      <c r="FL194" s="313"/>
      <c r="FM194" s="313"/>
      <c r="FN194" s="313"/>
      <c r="FO194" s="313"/>
      <c r="FP194" s="313"/>
      <c r="FQ194" s="313"/>
      <c r="FR194" s="313"/>
      <c r="FS194" s="313"/>
      <c r="FT194" s="313"/>
      <c r="FU194" s="313"/>
      <c r="FV194" s="313"/>
      <c r="FW194" s="313"/>
      <c r="FX194" s="313"/>
      <c r="FY194" s="313"/>
      <c r="FZ194" s="313"/>
      <c r="GA194" s="313"/>
      <c r="GB194" s="313"/>
      <c r="GC194" s="313"/>
      <c r="GD194" s="313"/>
      <c r="GE194" s="313"/>
      <c r="GF194" s="313"/>
      <c r="GG194" s="313"/>
      <c r="GH194" s="313"/>
      <c r="GI194" s="313"/>
      <c r="GJ194" s="313"/>
      <c r="GK194" s="313"/>
      <c r="GL194" s="313"/>
      <c r="GM194" s="313"/>
      <c r="GN194" s="313"/>
      <c r="GO194" s="313"/>
      <c r="GP194" s="313"/>
      <c r="GQ194" s="313"/>
      <c r="GR194" s="313"/>
      <c r="GS194" s="313"/>
      <c r="GT194" s="313"/>
      <c r="GU194" s="313"/>
      <c r="GV194" s="313"/>
      <c r="GW194" s="313"/>
      <c r="GX194" s="313"/>
      <c r="GY194" s="313"/>
      <c r="GZ194" s="313"/>
      <c r="HA194" s="313"/>
      <c r="HB194" s="313"/>
      <c r="HC194" s="313"/>
      <c r="HD194" s="313"/>
      <c r="HE194" s="313"/>
      <c r="HF194" s="313"/>
      <c r="HG194" s="313"/>
      <c r="HH194" s="313"/>
      <c r="HI194" s="313"/>
      <c r="HJ194" s="313"/>
      <c r="HK194" s="313"/>
      <c r="HL194" s="313"/>
      <c r="HM194" s="313"/>
      <c r="HN194" s="313"/>
      <c r="HO194" s="313"/>
      <c r="HP194" s="313"/>
      <c r="HQ194" s="313"/>
      <c r="HR194" s="313"/>
      <c r="HS194" s="313"/>
      <c r="HT194" s="313"/>
      <c r="HU194" s="313"/>
      <c r="HV194" s="313"/>
      <c r="HW194" s="313"/>
      <c r="HX194" s="313"/>
      <c r="HY194" s="313"/>
      <c r="HZ194" s="313"/>
      <c r="IA194" s="313"/>
      <c r="IB194" s="313"/>
      <c r="IC194" s="313"/>
      <c r="ID194" s="313"/>
      <c r="IE194" s="313"/>
    </row>
    <row r="195" s="22" customFormat="1" ht="53" customHeight="1" spans="1:28">
      <c r="A195" s="156">
        <v>31</v>
      </c>
      <c r="B195" s="157" t="s">
        <v>264</v>
      </c>
      <c r="C195" s="158"/>
      <c r="D195" s="157" t="s">
        <v>265</v>
      </c>
      <c r="E195" s="158">
        <v>140000</v>
      </c>
      <c r="F195" s="158"/>
      <c r="G195" s="157" t="s">
        <v>266</v>
      </c>
      <c r="H195" s="157" t="s">
        <v>267</v>
      </c>
      <c r="I195" s="94">
        <v>132075.47</v>
      </c>
      <c r="J195" s="94">
        <v>7924.53</v>
      </c>
      <c r="K195" s="94">
        <f t="shared" si="72"/>
        <v>140000</v>
      </c>
      <c r="L195" s="237"/>
      <c r="M195" s="237"/>
      <c r="N195" s="237"/>
      <c r="O195" s="237"/>
      <c r="P195" s="237"/>
      <c r="Q195" s="237"/>
      <c r="R195" s="237"/>
      <c r="S195" s="94">
        <f t="shared" si="71"/>
        <v>140000</v>
      </c>
      <c r="T195" s="94"/>
      <c r="U195" s="237">
        <v>140000</v>
      </c>
      <c r="V195" s="237"/>
      <c r="W195" s="237">
        <f t="shared" si="73"/>
        <v>0</v>
      </c>
      <c r="X195" s="145">
        <f t="shared" si="74"/>
        <v>140000</v>
      </c>
      <c r="Y195" s="145">
        <f t="shared" si="75"/>
        <v>140000</v>
      </c>
      <c r="Z195" s="158"/>
      <c r="AA195" s="145"/>
      <c r="AB195" s="158"/>
    </row>
    <row r="196" s="22" customFormat="1" ht="45" customHeight="1" spans="1:28">
      <c r="A196" s="156">
        <v>32</v>
      </c>
      <c r="B196" s="157" t="s">
        <v>268</v>
      </c>
      <c r="C196" s="158"/>
      <c r="D196" s="157" t="s">
        <v>178</v>
      </c>
      <c r="E196" s="158">
        <v>48000</v>
      </c>
      <c r="F196" s="158"/>
      <c r="G196" s="157" t="s">
        <v>269</v>
      </c>
      <c r="H196" s="157" t="s">
        <v>270</v>
      </c>
      <c r="I196" s="94">
        <v>45283.02</v>
      </c>
      <c r="J196" s="94">
        <v>2716.98</v>
      </c>
      <c r="K196" s="94">
        <f t="shared" si="72"/>
        <v>48000</v>
      </c>
      <c r="L196" s="237"/>
      <c r="M196" s="237"/>
      <c r="N196" s="237"/>
      <c r="O196" s="237"/>
      <c r="P196" s="237"/>
      <c r="Q196" s="237"/>
      <c r="R196" s="237"/>
      <c r="S196" s="94">
        <f t="shared" si="71"/>
        <v>48000</v>
      </c>
      <c r="T196" s="94"/>
      <c r="U196" s="237">
        <v>48000</v>
      </c>
      <c r="V196" s="237"/>
      <c r="W196" s="237">
        <f t="shared" si="73"/>
        <v>0</v>
      </c>
      <c r="X196" s="145">
        <f t="shared" si="74"/>
        <v>48000</v>
      </c>
      <c r="Y196" s="145">
        <f t="shared" si="75"/>
        <v>48000</v>
      </c>
      <c r="Z196" s="158"/>
      <c r="AA196" s="145"/>
      <c r="AB196" s="158"/>
    </row>
    <row r="197" s="22" customFormat="1" ht="45" customHeight="1" spans="1:28">
      <c r="A197" s="156">
        <v>33</v>
      </c>
      <c r="B197" s="157" t="s">
        <v>271</v>
      </c>
      <c r="C197" s="158"/>
      <c r="D197" s="157" t="s">
        <v>272</v>
      </c>
      <c r="E197" s="158">
        <v>23800</v>
      </c>
      <c r="F197" s="158"/>
      <c r="G197" s="285" t="s">
        <v>365</v>
      </c>
      <c r="H197" s="285" t="s">
        <v>366</v>
      </c>
      <c r="I197" s="101">
        <v>22452.83</v>
      </c>
      <c r="J197" s="101">
        <v>1347.17</v>
      </c>
      <c r="K197" s="101">
        <f t="shared" ref="K197:K204" si="76">I197+J197</f>
        <v>23800</v>
      </c>
      <c r="L197" s="101"/>
      <c r="M197" s="101"/>
      <c r="N197" s="101"/>
      <c r="O197" s="101"/>
      <c r="P197" s="101"/>
      <c r="Q197" s="101"/>
      <c r="R197" s="101"/>
      <c r="S197" s="101">
        <f t="shared" si="71"/>
        <v>23800</v>
      </c>
      <c r="T197" s="101"/>
      <c r="U197" s="101">
        <f>S197</f>
        <v>23800</v>
      </c>
      <c r="V197" s="94"/>
      <c r="W197" s="237">
        <f t="shared" si="73"/>
        <v>0</v>
      </c>
      <c r="X197" s="145">
        <f t="shared" si="74"/>
        <v>23800</v>
      </c>
      <c r="Y197" s="145">
        <f t="shared" si="75"/>
        <v>23800</v>
      </c>
      <c r="Z197" s="145">
        <v>23800</v>
      </c>
      <c r="AA197" s="145">
        <v>23800</v>
      </c>
      <c r="AB197" s="158"/>
    </row>
    <row r="198" s="22" customFormat="1" ht="45" customHeight="1" spans="1:28">
      <c r="A198" s="156">
        <v>34</v>
      </c>
      <c r="B198" s="157" t="s">
        <v>273</v>
      </c>
      <c r="C198" s="158" t="s">
        <v>274</v>
      </c>
      <c r="D198" s="157" t="s">
        <v>275</v>
      </c>
      <c r="E198" s="158">
        <v>29800</v>
      </c>
      <c r="F198" s="158"/>
      <c r="G198" s="66" t="s">
        <v>276</v>
      </c>
      <c r="H198" s="66" t="s">
        <v>277</v>
      </c>
      <c r="I198" s="94">
        <v>28113.21</v>
      </c>
      <c r="J198" s="94">
        <v>1686.79</v>
      </c>
      <c r="K198" s="94">
        <v>29800</v>
      </c>
      <c r="L198" s="94">
        <v>0</v>
      </c>
      <c r="M198" s="94">
        <v>0</v>
      </c>
      <c r="N198" s="94">
        <v>0</v>
      </c>
      <c r="O198" s="94">
        <v>0</v>
      </c>
      <c r="P198" s="94"/>
      <c r="Q198" s="94"/>
      <c r="R198" s="94">
        <v>0</v>
      </c>
      <c r="S198" s="94">
        <f t="shared" si="71"/>
        <v>29800</v>
      </c>
      <c r="T198" s="94"/>
      <c r="U198" s="94">
        <v>29800</v>
      </c>
      <c r="V198" s="94"/>
      <c r="W198" s="237">
        <f t="shared" si="73"/>
        <v>0</v>
      </c>
      <c r="X198" s="145">
        <f t="shared" si="74"/>
        <v>29800</v>
      </c>
      <c r="Y198" s="145">
        <f t="shared" si="75"/>
        <v>29800</v>
      </c>
      <c r="Z198" s="145"/>
      <c r="AA198" s="145"/>
      <c r="AB198" s="158"/>
    </row>
    <row r="199" s="23" customFormat="1" ht="45" customHeight="1" spans="1:28">
      <c r="A199" s="289">
        <v>35</v>
      </c>
      <c r="B199" s="263" t="s">
        <v>249</v>
      </c>
      <c r="C199" s="264"/>
      <c r="D199" s="265"/>
      <c r="E199" s="428"/>
      <c r="F199" s="158" t="s">
        <v>295</v>
      </c>
      <c r="G199" s="145" t="s">
        <v>207</v>
      </c>
      <c r="H199" s="66"/>
      <c r="I199" s="94">
        <v>5480</v>
      </c>
      <c r="J199" s="94">
        <v>0</v>
      </c>
      <c r="K199" s="94">
        <f>J199+I199</f>
        <v>5480</v>
      </c>
      <c r="L199" s="94"/>
      <c r="M199" s="94"/>
      <c r="N199" s="94"/>
      <c r="O199" s="94"/>
      <c r="P199" s="94"/>
      <c r="Q199" s="94"/>
      <c r="R199" s="94"/>
      <c r="S199" s="94">
        <f t="shared" si="71"/>
        <v>5480</v>
      </c>
      <c r="T199" s="94"/>
      <c r="U199" s="94">
        <v>5480</v>
      </c>
      <c r="V199" s="94"/>
      <c r="W199" s="237">
        <f t="shared" si="73"/>
        <v>0</v>
      </c>
      <c r="X199" s="145"/>
      <c r="Y199" s="145"/>
      <c r="Z199" s="145"/>
      <c r="AA199" s="145"/>
      <c r="AB199" s="158"/>
    </row>
    <row r="200" s="23" customFormat="1" ht="45" customHeight="1" spans="1:28">
      <c r="A200" s="315"/>
      <c r="B200" s="266"/>
      <c r="C200" s="267"/>
      <c r="D200" s="268"/>
      <c r="E200" s="428"/>
      <c r="F200" s="286" t="s">
        <v>296</v>
      </c>
      <c r="G200" s="174" t="s">
        <v>321</v>
      </c>
      <c r="H200" s="285" t="s">
        <v>322</v>
      </c>
      <c r="I200" s="101">
        <v>980</v>
      </c>
      <c r="J200" s="101"/>
      <c r="K200" s="101">
        <f t="shared" si="76"/>
        <v>980</v>
      </c>
      <c r="L200" s="101"/>
      <c r="M200" s="101"/>
      <c r="N200" s="101"/>
      <c r="O200" s="101"/>
      <c r="P200" s="101"/>
      <c r="Q200" s="101"/>
      <c r="R200" s="101"/>
      <c r="S200" s="101">
        <v>980</v>
      </c>
      <c r="T200" s="101"/>
      <c r="U200" s="101">
        <v>980</v>
      </c>
      <c r="V200" s="94"/>
      <c r="W200" s="237">
        <f t="shared" si="73"/>
        <v>0</v>
      </c>
      <c r="X200" s="145"/>
      <c r="Y200" s="145"/>
      <c r="Z200" s="145"/>
      <c r="AA200" s="145"/>
      <c r="AB200" s="158"/>
    </row>
    <row r="201" s="23" customFormat="1" ht="45" customHeight="1" spans="1:28">
      <c r="A201" s="315"/>
      <c r="B201" s="266"/>
      <c r="C201" s="267"/>
      <c r="D201" s="268"/>
      <c r="E201" s="428"/>
      <c r="F201" s="287"/>
      <c r="G201" s="174" t="s">
        <v>337</v>
      </c>
      <c r="H201" s="285"/>
      <c r="I201" s="101">
        <v>879</v>
      </c>
      <c r="J201" s="101"/>
      <c r="K201" s="101">
        <f t="shared" si="76"/>
        <v>879</v>
      </c>
      <c r="L201" s="101"/>
      <c r="M201" s="101"/>
      <c r="N201" s="101"/>
      <c r="O201" s="101"/>
      <c r="P201" s="101"/>
      <c r="Q201" s="101"/>
      <c r="R201" s="101"/>
      <c r="S201" s="101">
        <f t="shared" ref="S201:S204" si="77">K201</f>
        <v>879</v>
      </c>
      <c r="T201" s="101"/>
      <c r="U201" s="101">
        <f t="shared" ref="U201:U204" si="78">S201</f>
        <v>879</v>
      </c>
      <c r="V201" s="94"/>
      <c r="W201" s="237"/>
      <c r="X201" s="145"/>
      <c r="Y201" s="145"/>
      <c r="Z201" s="145"/>
      <c r="AA201" s="145"/>
      <c r="AB201" s="158"/>
    </row>
    <row r="202" s="23" customFormat="1" ht="45" customHeight="1" spans="1:28">
      <c r="A202" s="315"/>
      <c r="B202" s="266"/>
      <c r="C202" s="267"/>
      <c r="D202" s="268"/>
      <c r="E202" s="428"/>
      <c r="F202" s="287"/>
      <c r="G202" s="174" t="s">
        <v>338</v>
      </c>
      <c r="H202" s="285"/>
      <c r="I202" s="101">
        <v>4442</v>
      </c>
      <c r="J202" s="101"/>
      <c r="K202" s="101">
        <f t="shared" si="76"/>
        <v>4442</v>
      </c>
      <c r="L202" s="101"/>
      <c r="M202" s="101"/>
      <c r="N202" s="101"/>
      <c r="O202" s="101"/>
      <c r="P202" s="101"/>
      <c r="Q202" s="101"/>
      <c r="R202" s="101"/>
      <c r="S202" s="101">
        <f t="shared" si="77"/>
        <v>4442</v>
      </c>
      <c r="T202" s="101"/>
      <c r="U202" s="101">
        <f t="shared" si="78"/>
        <v>4442</v>
      </c>
      <c r="V202" s="94"/>
      <c r="W202" s="237"/>
      <c r="X202" s="145"/>
      <c r="Y202" s="145"/>
      <c r="Z202" s="145"/>
      <c r="AA202" s="145"/>
      <c r="AB202" s="158"/>
    </row>
    <row r="203" s="23" customFormat="1" ht="45" customHeight="1" spans="1:28">
      <c r="A203" s="315"/>
      <c r="B203" s="266"/>
      <c r="C203" s="267"/>
      <c r="D203" s="268"/>
      <c r="E203" s="428"/>
      <c r="F203" s="287"/>
      <c r="G203" s="174"/>
      <c r="H203" s="285"/>
      <c r="I203" s="101"/>
      <c r="J203" s="101"/>
      <c r="K203" s="101">
        <f t="shared" si="76"/>
        <v>0</v>
      </c>
      <c r="L203" s="101"/>
      <c r="M203" s="101"/>
      <c r="N203" s="101"/>
      <c r="O203" s="101"/>
      <c r="P203" s="101"/>
      <c r="Q203" s="101"/>
      <c r="R203" s="101"/>
      <c r="S203" s="101">
        <f t="shared" si="77"/>
        <v>0</v>
      </c>
      <c r="T203" s="101"/>
      <c r="U203" s="101">
        <f t="shared" si="78"/>
        <v>0</v>
      </c>
      <c r="V203" s="94"/>
      <c r="W203" s="237"/>
      <c r="X203" s="145"/>
      <c r="Y203" s="145"/>
      <c r="Z203" s="145"/>
      <c r="AA203" s="145"/>
      <c r="AB203" s="158"/>
    </row>
    <row r="204" s="23" customFormat="1" ht="45" customHeight="1" spans="1:28">
      <c r="A204" s="315"/>
      <c r="B204" s="271"/>
      <c r="C204" s="272"/>
      <c r="D204" s="273"/>
      <c r="E204" s="428"/>
      <c r="F204" s="429"/>
      <c r="G204" s="174"/>
      <c r="H204" s="285"/>
      <c r="I204" s="101"/>
      <c r="J204" s="101"/>
      <c r="K204" s="101">
        <f t="shared" si="76"/>
        <v>0</v>
      </c>
      <c r="L204" s="101"/>
      <c r="M204" s="101"/>
      <c r="N204" s="101"/>
      <c r="O204" s="101"/>
      <c r="P204" s="101"/>
      <c r="Q204" s="101"/>
      <c r="R204" s="101"/>
      <c r="S204" s="101">
        <f t="shared" si="77"/>
        <v>0</v>
      </c>
      <c r="T204" s="101"/>
      <c r="U204" s="101">
        <f t="shared" si="78"/>
        <v>0</v>
      </c>
      <c r="V204" s="94"/>
      <c r="W204" s="237"/>
      <c r="X204" s="145"/>
      <c r="Y204" s="145"/>
      <c r="Z204" s="145"/>
      <c r="AA204" s="145"/>
      <c r="AB204" s="158"/>
    </row>
    <row r="205" s="23" customFormat="1" ht="45" customHeight="1" spans="1:28">
      <c r="A205" s="317"/>
      <c r="B205" s="263" t="s">
        <v>254</v>
      </c>
      <c r="C205" s="264"/>
      <c r="D205" s="265"/>
      <c r="E205" s="158"/>
      <c r="F205" s="158" t="s">
        <v>295</v>
      </c>
      <c r="G205" s="66" t="s">
        <v>278</v>
      </c>
      <c r="H205" s="145"/>
      <c r="I205" s="94">
        <v>13509.5</v>
      </c>
      <c r="J205" s="94">
        <f>55.45+15.05</f>
        <v>70.5</v>
      </c>
      <c r="K205" s="94">
        <f>J205+I205</f>
        <v>13580</v>
      </c>
      <c r="L205" s="94"/>
      <c r="M205" s="94"/>
      <c r="N205" s="94"/>
      <c r="O205" s="94"/>
      <c r="P205" s="94"/>
      <c r="Q205" s="94"/>
      <c r="R205" s="94"/>
      <c r="S205" s="94">
        <f>K205-L205-M205-N205-O205+R205</f>
        <v>13580</v>
      </c>
      <c r="T205" s="94"/>
      <c r="U205" s="94">
        <v>13580</v>
      </c>
      <c r="V205" s="94"/>
      <c r="W205" s="237">
        <f>S205+T205-U205-V205</f>
        <v>0</v>
      </c>
      <c r="X205" s="145" t="e">
        <f>K205+F205</f>
        <v>#VALUE!</v>
      </c>
      <c r="Y205" s="145" t="e">
        <f>U205+F205</f>
        <v>#VALUE!</v>
      </c>
      <c r="Z205" s="145"/>
      <c r="AA205" s="145"/>
      <c r="AB205" s="158"/>
    </row>
    <row r="206" s="23" customFormat="1" ht="45" customHeight="1" spans="1:28">
      <c r="A206" s="317"/>
      <c r="B206" s="266"/>
      <c r="C206" s="267"/>
      <c r="D206" s="268"/>
      <c r="E206" s="158"/>
      <c r="F206" s="286" t="s">
        <v>296</v>
      </c>
      <c r="G206" s="285"/>
      <c r="H206" s="174"/>
      <c r="I206" s="101"/>
      <c r="J206" s="101"/>
      <c r="K206" s="101"/>
      <c r="L206" s="101"/>
      <c r="M206" s="101"/>
      <c r="N206" s="101"/>
      <c r="O206" s="101"/>
      <c r="P206" s="101"/>
      <c r="Q206" s="101"/>
      <c r="R206" s="101"/>
      <c r="S206" s="101">
        <f t="shared" ref="S206:S212" si="79">K206</f>
        <v>0</v>
      </c>
      <c r="T206" s="101"/>
      <c r="U206" s="101">
        <f t="shared" ref="U206:U212" si="80">S206</f>
        <v>0</v>
      </c>
      <c r="V206" s="94"/>
      <c r="W206" s="237"/>
      <c r="X206" s="145"/>
      <c r="Y206" s="145"/>
      <c r="Z206" s="145"/>
      <c r="AA206" s="145"/>
      <c r="AB206" s="158"/>
    </row>
    <row r="207" s="23" customFormat="1" ht="45" customHeight="1" spans="1:28">
      <c r="A207" s="317"/>
      <c r="B207" s="271"/>
      <c r="C207" s="272"/>
      <c r="D207" s="273"/>
      <c r="E207" s="158"/>
      <c r="F207" s="287"/>
      <c r="G207" s="285"/>
      <c r="H207" s="174"/>
      <c r="I207" s="101"/>
      <c r="J207" s="101"/>
      <c r="K207" s="101"/>
      <c r="L207" s="101"/>
      <c r="M207" s="101"/>
      <c r="N207" s="101"/>
      <c r="O207" s="101"/>
      <c r="P207" s="101"/>
      <c r="Q207" s="101"/>
      <c r="R207" s="101"/>
      <c r="S207" s="101">
        <f t="shared" si="79"/>
        <v>0</v>
      </c>
      <c r="T207" s="101"/>
      <c r="U207" s="101">
        <f t="shared" si="80"/>
        <v>0</v>
      </c>
      <c r="V207" s="94"/>
      <c r="W207" s="237"/>
      <c r="X207" s="145"/>
      <c r="Y207" s="145"/>
      <c r="Z207" s="145"/>
      <c r="AA207" s="145"/>
      <c r="AB207" s="158"/>
    </row>
    <row r="208" s="23" customFormat="1" ht="45" customHeight="1" spans="1:28">
      <c r="A208" s="317"/>
      <c r="B208" s="318" t="s">
        <v>345</v>
      </c>
      <c r="C208" s="275"/>
      <c r="D208" s="276"/>
      <c r="E208" s="158"/>
      <c r="F208" s="286" t="s">
        <v>296</v>
      </c>
      <c r="G208" s="174" t="s">
        <v>337</v>
      </c>
      <c r="H208" s="285" t="s">
        <v>367</v>
      </c>
      <c r="I208" s="101">
        <v>48316.83</v>
      </c>
      <c r="J208" s="101">
        <v>483.17</v>
      </c>
      <c r="K208" s="101">
        <f>J208+I208</f>
        <v>48800</v>
      </c>
      <c r="L208" s="101"/>
      <c r="M208" s="101"/>
      <c r="N208" s="101"/>
      <c r="O208" s="101"/>
      <c r="P208" s="101"/>
      <c r="Q208" s="101"/>
      <c r="R208" s="101"/>
      <c r="S208" s="101">
        <f t="shared" si="79"/>
        <v>48800</v>
      </c>
      <c r="T208" s="101"/>
      <c r="U208" s="101">
        <f t="shared" si="80"/>
        <v>48800</v>
      </c>
      <c r="V208" s="94"/>
      <c r="W208" s="237"/>
      <c r="X208" s="145"/>
      <c r="Y208" s="145"/>
      <c r="Z208" s="145"/>
      <c r="AA208" s="145"/>
      <c r="AB208" s="158"/>
    </row>
    <row r="209" s="23" customFormat="1" ht="45" customHeight="1" spans="1:28">
      <c r="A209" s="317"/>
      <c r="B209" s="274"/>
      <c r="C209" s="275"/>
      <c r="D209" s="276"/>
      <c r="E209" s="158"/>
      <c r="F209" s="287"/>
      <c r="G209" s="174" t="s">
        <v>338</v>
      </c>
      <c r="H209" s="285" t="s">
        <v>368</v>
      </c>
      <c r="I209" s="101">
        <v>1166.15</v>
      </c>
      <c r="J209" s="101">
        <f>7.13+3.72</f>
        <v>10.85</v>
      </c>
      <c r="K209" s="101">
        <f>J209+I209</f>
        <v>1177</v>
      </c>
      <c r="L209" s="101"/>
      <c r="M209" s="101"/>
      <c r="N209" s="101"/>
      <c r="O209" s="101"/>
      <c r="P209" s="101"/>
      <c r="Q209" s="101"/>
      <c r="R209" s="101"/>
      <c r="S209" s="101">
        <f t="shared" si="79"/>
        <v>1177</v>
      </c>
      <c r="T209" s="101"/>
      <c r="U209" s="101">
        <f t="shared" si="80"/>
        <v>1177</v>
      </c>
      <c r="V209" s="94"/>
      <c r="W209" s="237"/>
      <c r="X209" s="145"/>
      <c r="Y209" s="145"/>
      <c r="Z209" s="145"/>
      <c r="AA209" s="145"/>
      <c r="AB209" s="158"/>
    </row>
    <row r="210" s="23" customFormat="1" ht="45" customHeight="1" spans="1:28">
      <c r="A210" s="317"/>
      <c r="B210" s="274"/>
      <c r="C210" s="275"/>
      <c r="D210" s="276"/>
      <c r="E210" s="158"/>
      <c r="F210" s="287"/>
      <c r="G210" s="174"/>
      <c r="H210" s="285"/>
      <c r="I210" s="101"/>
      <c r="J210" s="101"/>
      <c r="K210" s="101"/>
      <c r="L210" s="101"/>
      <c r="M210" s="101"/>
      <c r="N210" s="101"/>
      <c r="O210" s="101"/>
      <c r="P210" s="101"/>
      <c r="Q210" s="101"/>
      <c r="R210" s="101"/>
      <c r="S210" s="101">
        <f t="shared" si="79"/>
        <v>0</v>
      </c>
      <c r="T210" s="101"/>
      <c r="U210" s="101">
        <f t="shared" si="80"/>
        <v>0</v>
      </c>
      <c r="V210" s="94"/>
      <c r="W210" s="237"/>
      <c r="X210" s="145"/>
      <c r="Y210" s="145"/>
      <c r="Z210" s="145"/>
      <c r="AA210" s="145"/>
      <c r="AB210" s="158"/>
    </row>
    <row r="211" s="23" customFormat="1" ht="45" customHeight="1" spans="1:28">
      <c r="A211" s="317"/>
      <c r="B211" s="274"/>
      <c r="C211" s="275"/>
      <c r="D211" s="276"/>
      <c r="E211" s="158"/>
      <c r="F211" s="287"/>
      <c r="G211" s="174"/>
      <c r="H211" s="285"/>
      <c r="I211" s="101"/>
      <c r="J211" s="101"/>
      <c r="K211" s="101"/>
      <c r="L211" s="101"/>
      <c r="M211" s="101"/>
      <c r="N211" s="101"/>
      <c r="O211" s="101"/>
      <c r="P211" s="101"/>
      <c r="Q211" s="101"/>
      <c r="R211" s="101"/>
      <c r="S211" s="101">
        <f t="shared" si="79"/>
        <v>0</v>
      </c>
      <c r="T211" s="101"/>
      <c r="U211" s="101">
        <f t="shared" si="80"/>
        <v>0</v>
      </c>
      <c r="V211" s="94"/>
      <c r="W211" s="237"/>
      <c r="X211" s="145"/>
      <c r="Y211" s="145"/>
      <c r="Z211" s="145"/>
      <c r="AA211" s="145"/>
      <c r="AB211" s="158"/>
    </row>
    <row r="212" s="23" customFormat="1" ht="45" customHeight="1" spans="1:28">
      <c r="A212" s="317"/>
      <c r="B212" s="274"/>
      <c r="C212" s="275"/>
      <c r="D212" s="276"/>
      <c r="E212" s="158"/>
      <c r="F212" s="429"/>
      <c r="G212" s="174"/>
      <c r="H212" s="285"/>
      <c r="I212" s="101"/>
      <c r="J212" s="101"/>
      <c r="K212" s="101"/>
      <c r="L212" s="101"/>
      <c r="M212" s="101"/>
      <c r="N212" s="101"/>
      <c r="O212" s="101"/>
      <c r="P212" s="101"/>
      <c r="Q212" s="101"/>
      <c r="R212" s="101"/>
      <c r="S212" s="101">
        <f t="shared" si="79"/>
        <v>0</v>
      </c>
      <c r="T212" s="101"/>
      <c r="U212" s="101">
        <f t="shared" si="80"/>
        <v>0</v>
      </c>
      <c r="V212" s="94"/>
      <c r="W212" s="237"/>
      <c r="X212" s="145"/>
      <c r="Y212" s="145"/>
      <c r="Z212" s="145"/>
      <c r="AA212" s="145"/>
      <c r="AB212" s="158"/>
    </row>
    <row r="213" s="20" customFormat="1" ht="36" customHeight="1" spans="1:28">
      <c r="A213" s="277" t="s">
        <v>323</v>
      </c>
      <c r="B213" s="277"/>
      <c r="C213" s="277"/>
      <c r="D213" s="277"/>
      <c r="E213" s="277"/>
      <c r="F213" s="277"/>
      <c r="G213" s="243"/>
      <c r="H213" s="243" t="s">
        <v>316</v>
      </c>
      <c r="I213" s="300">
        <f>SUM(I193:I199,I205)-I197</f>
        <v>562197.05</v>
      </c>
      <c r="J213" s="300">
        <f t="shared" ref="J213:S213" si="81">SUM(J193:J199,J205)-J197</f>
        <v>32662.95</v>
      </c>
      <c r="K213" s="300">
        <f t="shared" si="81"/>
        <v>594860</v>
      </c>
      <c r="L213" s="300">
        <f t="shared" si="81"/>
        <v>0</v>
      </c>
      <c r="M213" s="300">
        <f t="shared" si="81"/>
        <v>0</v>
      </c>
      <c r="N213" s="300">
        <f t="shared" si="81"/>
        <v>0</v>
      </c>
      <c r="O213" s="300">
        <f t="shared" si="81"/>
        <v>0</v>
      </c>
      <c r="P213" s="300">
        <f t="shared" si="81"/>
        <v>0</v>
      </c>
      <c r="Q213" s="300">
        <f t="shared" si="81"/>
        <v>0</v>
      </c>
      <c r="R213" s="300">
        <f t="shared" si="81"/>
        <v>0</v>
      </c>
      <c r="S213" s="300">
        <f t="shared" si="81"/>
        <v>594860</v>
      </c>
      <c r="T213" s="300">
        <f t="shared" ref="Q213:Y213" si="82">SUM(T193:T199,T205)</f>
        <v>0</v>
      </c>
      <c r="U213" s="300">
        <f t="shared" si="82"/>
        <v>618660</v>
      </c>
      <c r="V213" s="300">
        <f t="shared" si="82"/>
        <v>0</v>
      </c>
      <c r="W213" s="300">
        <f t="shared" si="82"/>
        <v>0</v>
      </c>
      <c r="X213" s="300" t="e">
        <f t="shared" si="82"/>
        <v>#VALUE!</v>
      </c>
      <c r="Y213" s="300" t="e">
        <f t="shared" si="82"/>
        <v>#VALUE!</v>
      </c>
      <c r="Z213" s="307">
        <f>SUM(Z192:Z205)</f>
        <v>23800</v>
      </c>
      <c r="AA213" s="307">
        <f>SUM(AA192:AA205)</f>
        <v>23800</v>
      </c>
      <c r="AB213" s="307"/>
    </row>
    <row r="214" s="20" customFormat="1" ht="36" customHeight="1" spans="1:28">
      <c r="A214" s="277"/>
      <c r="B214" s="277"/>
      <c r="C214" s="277"/>
      <c r="D214" s="277"/>
      <c r="E214" s="277"/>
      <c r="F214" s="277"/>
      <c r="G214" s="212"/>
      <c r="H214" s="212" t="s">
        <v>317</v>
      </c>
      <c r="I214" s="301">
        <f>I200+I201+I208+I202+I209+I197</f>
        <v>78236.81</v>
      </c>
      <c r="J214" s="301">
        <f t="shared" ref="J214:U214" si="83">J200+J201+J208+J202+J209+J197</f>
        <v>1841.19</v>
      </c>
      <c r="K214" s="301">
        <f t="shared" si="83"/>
        <v>80078</v>
      </c>
      <c r="L214" s="301">
        <f t="shared" si="83"/>
        <v>0</v>
      </c>
      <c r="M214" s="301">
        <f t="shared" si="83"/>
        <v>0</v>
      </c>
      <c r="N214" s="301">
        <f t="shared" si="83"/>
        <v>0</v>
      </c>
      <c r="O214" s="301">
        <f t="shared" si="83"/>
        <v>0</v>
      </c>
      <c r="P214" s="301">
        <f t="shared" si="83"/>
        <v>0</v>
      </c>
      <c r="Q214" s="301">
        <f t="shared" si="83"/>
        <v>0</v>
      </c>
      <c r="R214" s="301">
        <f t="shared" si="83"/>
        <v>0</v>
      </c>
      <c r="S214" s="301">
        <f t="shared" si="83"/>
        <v>80078</v>
      </c>
      <c r="T214" s="301">
        <f t="shared" si="83"/>
        <v>0</v>
      </c>
      <c r="U214" s="301">
        <f t="shared" si="83"/>
        <v>80078</v>
      </c>
      <c r="V214" s="301">
        <f t="shared" ref="Q214:Y214" si="84">V200</f>
        <v>0</v>
      </c>
      <c r="W214" s="301">
        <f t="shared" si="84"/>
        <v>0</v>
      </c>
      <c r="X214" s="301">
        <f t="shared" si="84"/>
        <v>0</v>
      </c>
      <c r="Y214" s="301">
        <f t="shared" si="84"/>
        <v>0</v>
      </c>
      <c r="Z214" s="308"/>
      <c r="AA214" s="308"/>
      <c r="AB214" s="308"/>
    </row>
    <row r="215" s="20" customFormat="1" ht="36" customHeight="1" spans="1:28">
      <c r="A215" s="277"/>
      <c r="B215" s="277"/>
      <c r="C215" s="277"/>
      <c r="D215" s="277"/>
      <c r="E215" s="277"/>
      <c r="F215" s="430"/>
      <c r="G215" s="282"/>
      <c r="H215" s="282"/>
      <c r="I215" s="344"/>
      <c r="J215" s="344"/>
      <c r="K215" s="344"/>
      <c r="L215" s="344"/>
      <c r="M215" s="344"/>
      <c r="N215" s="344"/>
      <c r="O215" s="345"/>
      <c r="P215" s="345"/>
      <c r="Q215" s="344"/>
      <c r="R215" s="344"/>
      <c r="S215" s="344"/>
      <c r="T215" s="344"/>
      <c r="U215" s="344"/>
      <c r="V215" s="344"/>
      <c r="W215" s="344"/>
      <c r="X215" s="301"/>
      <c r="Y215" s="301"/>
      <c r="Z215" s="358"/>
      <c r="AA215" s="308"/>
      <c r="AB215" s="358"/>
    </row>
    <row r="216" s="20" customFormat="1" ht="36" customHeight="1" spans="1:28">
      <c r="A216" s="277"/>
      <c r="B216" s="277"/>
      <c r="C216" s="277"/>
      <c r="D216" s="277"/>
      <c r="E216" s="277"/>
      <c r="F216" s="430"/>
      <c r="G216" s="282"/>
      <c r="H216" s="282"/>
      <c r="I216" s="344">
        <f>I214+I213</f>
        <v>640433.86</v>
      </c>
      <c r="J216" s="344">
        <f>J214+J213</f>
        <v>34504.14</v>
      </c>
      <c r="K216" s="344">
        <f>K214+K213</f>
        <v>674938</v>
      </c>
      <c r="L216" s="344">
        <f>L214+L213</f>
        <v>0</v>
      </c>
      <c r="M216" s="344"/>
      <c r="N216" s="344"/>
      <c r="O216" s="345"/>
      <c r="P216" s="345"/>
      <c r="Q216" s="344"/>
      <c r="R216" s="344"/>
      <c r="S216" s="344"/>
      <c r="T216" s="344"/>
      <c r="U216" s="344"/>
      <c r="V216" s="344"/>
      <c r="W216" s="344"/>
      <c r="X216" s="301"/>
      <c r="Y216" s="301"/>
      <c r="Z216" s="358"/>
      <c r="AA216" s="308"/>
      <c r="AB216" s="358"/>
    </row>
    <row r="217" s="20" customFormat="1" ht="36" customHeight="1" spans="1:28">
      <c r="A217" s="277" t="s">
        <v>280</v>
      </c>
      <c r="B217" s="277"/>
      <c r="C217" s="277"/>
      <c r="D217" s="277"/>
      <c r="E217" s="277"/>
      <c r="F217" s="430"/>
      <c r="G217" s="329">
        <f>287000000+17000000+599600</f>
        <v>304599600</v>
      </c>
      <c r="H217" s="329" t="s">
        <v>316</v>
      </c>
      <c r="I217" s="346">
        <f>I213+I188+I154</f>
        <v>276211639.289057</v>
      </c>
      <c r="J217" s="346">
        <f t="shared" ref="I217:N217" si="85">J213+J188+J154</f>
        <v>27586932.8509434</v>
      </c>
      <c r="K217" s="346">
        <f t="shared" si="85"/>
        <v>303798572.14</v>
      </c>
      <c r="L217" s="346">
        <f t="shared" si="85"/>
        <v>2208694.43</v>
      </c>
      <c r="M217" s="346">
        <f t="shared" si="85"/>
        <v>379417.19</v>
      </c>
      <c r="N217" s="346">
        <f t="shared" si="85"/>
        <v>0</v>
      </c>
      <c r="O217" s="347">
        <f>O213+O188+O154+P213+Q213+P188+Q188+P154+Q154</f>
        <v>689308.32</v>
      </c>
      <c r="P217" s="347"/>
      <c r="Q217" s="329"/>
      <c r="R217" s="346">
        <f t="shared" ref="R217:W217" si="86">R213+R188+R154</f>
        <v>116593.5</v>
      </c>
      <c r="S217" s="346">
        <f t="shared" si="86"/>
        <v>298782745.7</v>
      </c>
      <c r="T217" s="346">
        <f t="shared" si="86"/>
        <v>1855000</v>
      </c>
      <c r="U217" s="346">
        <f t="shared" si="86"/>
        <v>267044735.34</v>
      </c>
      <c r="V217" s="346">
        <f t="shared" si="86"/>
        <v>1855000</v>
      </c>
      <c r="W217" s="346">
        <f t="shared" si="86"/>
        <v>31761810.36</v>
      </c>
      <c r="X217" s="433" t="e">
        <f t="shared" ref="X217:AA217" si="87">X188+X154+X213</f>
        <v>#VALUE!</v>
      </c>
      <c r="Y217" s="433" t="e">
        <f t="shared" si="87"/>
        <v>#VALUE!</v>
      </c>
      <c r="Z217" s="434">
        <f>Z213+Z188+Z154</f>
        <v>6335552.61</v>
      </c>
      <c r="AA217" s="433">
        <f t="shared" si="87"/>
        <v>8466007.09</v>
      </c>
      <c r="AB217" s="329"/>
    </row>
    <row r="218" ht="26" customHeight="1" spans="1:28">
      <c r="A218" s="277"/>
      <c r="B218" s="277"/>
      <c r="C218" s="277"/>
      <c r="D218" s="277"/>
      <c r="E218" s="277"/>
      <c r="F218" s="431"/>
      <c r="G218" s="212"/>
      <c r="H218" s="212" t="s">
        <v>317</v>
      </c>
      <c r="I218" s="301">
        <f>I214+I189+I155</f>
        <v>20565990.97</v>
      </c>
      <c r="J218" s="301">
        <f t="shared" ref="I218:O218" si="88">J214+J189+J155</f>
        <v>3194504.47</v>
      </c>
      <c r="K218" s="301">
        <f t="shared" si="88"/>
        <v>23760495.44</v>
      </c>
      <c r="L218" s="301">
        <f t="shared" si="88"/>
        <v>0</v>
      </c>
      <c r="M218" s="301">
        <f t="shared" si="88"/>
        <v>0</v>
      </c>
      <c r="N218" s="301">
        <f t="shared" si="88"/>
        <v>0</v>
      </c>
      <c r="O218" s="301">
        <f t="shared" si="88"/>
        <v>201576.1</v>
      </c>
      <c r="P218" s="301"/>
      <c r="Q218" s="301"/>
      <c r="R218" s="301">
        <f t="shared" ref="R218:AA218" si="89">R214+R189+R155</f>
        <v>0</v>
      </c>
      <c r="S218" s="301">
        <f t="shared" si="89"/>
        <v>22763508.57</v>
      </c>
      <c r="T218" s="301">
        <f t="shared" si="89"/>
        <v>0</v>
      </c>
      <c r="U218" s="301">
        <f t="shared" si="89"/>
        <v>32027451.37</v>
      </c>
      <c r="V218" s="301">
        <f t="shared" si="89"/>
        <v>2681000</v>
      </c>
      <c r="W218" s="301">
        <f t="shared" si="89"/>
        <v>-12610655.44</v>
      </c>
      <c r="X218" s="301">
        <f t="shared" si="89"/>
        <v>0</v>
      </c>
      <c r="Y218" s="301">
        <f t="shared" si="89"/>
        <v>0</v>
      </c>
      <c r="Z218" s="301">
        <f t="shared" si="89"/>
        <v>0</v>
      </c>
      <c r="AA218" s="301">
        <f t="shared" si="89"/>
        <v>0</v>
      </c>
      <c r="AB218" s="359"/>
    </row>
    <row r="219" ht="38" customHeight="1" spans="1:28">
      <c r="A219" s="277"/>
      <c r="B219" s="277"/>
      <c r="C219" s="277"/>
      <c r="D219" s="277"/>
      <c r="E219" s="277"/>
      <c r="F219" s="432"/>
      <c r="G219" s="196"/>
      <c r="H219" s="37" t="s">
        <v>346</v>
      </c>
      <c r="I219" s="349">
        <f>I218+I217</f>
        <v>296777630.259057</v>
      </c>
      <c r="J219" s="349">
        <f>J218+J217</f>
        <v>30781437.3209434</v>
      </c>
      <c r="K219" s="349">
        <f t="shared" ref="I219:O219" si="90">K218+K217</f>
        <v>327559067.58</v>
      </c>
      <c r="L219" s="350">
        <f t="shared" si="90"/>
        <v>2208694.43</v>
      </c>
      <c r="M219" s="350">
        <f t="shared" si="90"/>
        <v>379417.19</v>
      </c>
      <c r="N219" s="350">
        <f t="shared" si="90"/>
        <v>0</v>
      </c>
      <c r="O219" s="351">
        <f t="shared" si="90"/>
        <v>890884.42</v>
      </c>
      <c r="P219" s="352"/>
      <c r="Q219" s="362"/>
      <c r="R219" s="349">
        <f t="shared" ref="R219:AA219" si="91">R218+R217</f>
        <v>116593.5</v>
      </c>
      <c r="S219" s="349">
        <f t="shared" si="91"/>
        <v>321546254.27</v>
      </c>
      <c r="T219" s="349">
        <f t="shared" si="91"/>
        <v>1855000</v>
      </c>
      <c r="U219" s="349">
        <f t="shared" si="91"/>
        <v>299072186.71</v>
      </c>
      <c r="V219" s="363">
        <f t="shared" si="91"/>
        <v>4536000</v>
      </c>
      <c r="W219" s="364">
        <f t="shared" si="91"/>
        <v>19151154.92</v>
      </c>
      <c r="X219" s="364" t="e">
        <f t="shared" si="91"/>
        <v>#VALUE!</v>
      </c>
      <c r="Y219" s="364" t="e">
        <f t="shared" si="91"/>
        <v>#VALUE!</v>
      </c>
      <c r="Z219" s="364">
        <f t="shared" si="91"/>
        <v>6335552.61</v>
      </c>
      <c r="AA219" s="364">
        <f t="shared" si="91"/>
        <v>8466007.09</v>
      </c>
      <c r="AB219" s="365"/>
    </row>
    <row r="220" ht="42" customHeight="1" spans="12:28">
      <c r="L220" s="353">
        <f>L219+M219+N219+O219</f>
        <v>3478996.04</v>
      </c>
      <c r="M220" s="353"/>
      <c r="N220" s="353"/>
      <c r="O220" s="353"/>
      <c r="P220" s="353"/>
      <c r="Q220" s="353"/>
      <c r="R220" s="29"/>
      <c r="T220" s="367"/>
      <c r="U220" s="29"/>
      <c r="V220" s="368"/>
      <c r="W220" s="368">
        <v>172600</v>
      </c>
      <c r="Z220" s="435" t="s">
        <v>347</v>
      </c>
      <c r="AB220" s="369"/>
    </row>
    <row r="221" ht="40" customHeight="1" spans="8:28">
      <c r="H221" s="332" t="s">
        <v>369</v>
      </c>
      <c r="I221" s="354">
        <v>276211639.289057</v>
      </c>
      <c r="J221" s="354">
        <v>27586932.8509434</v>
      </c>
      <c r="K221" s="354">
        <v>303798572.14</v>
      </c>
      <c r="L221" s="29">
        <v>2208694.43</v>
      </c>
      <c r="M221" s="29">
        <v>379417.19</v>
      </c>
      <c r="N221" s="29"/>
      <c r="O221" s="29">
        <v>72288</v>
      </c>
      <c r="P221" s="29"/>
      <c r="Q221" s="29">
        <v>617020.32</v>
      </c>
      <c r="R221" s="29"/>
      <c r="S221" s="367"/>
      <c r="T221" s="367"/>
      <c r="U221" s="29"/>
      <c r="V221" s="368"/>
      <c r="W221" s="26">
        <f>W219-W220</f>
        <v>18978554.92</v>
      </c>
      <c r="Z221" s="435" t="s">
        <v>348</v>
      </c>
      <c r="AB221" s="369"/>
    </row>
    <row r="222" spans="9:23">
      <c r="I222" s="29">
        <f>I217-I221</f>
        <v>0</v>
      </c>
      <c r="J222" s="29">
        <f>J217-J221</f>
        <v>0</v>
      </c>
      <c r="K222" s="29">
        <f>K217-K221</f>
        <v>0</v>
      </c>
      <c r="W222" s="368"/>
    </row>
    <row r="223" spans="23:23">
      <c r="W223" s="368"/>
    </row>
    <row r="224" ht="44" customHeight="1" spans="8:26">
      <c r="H224" s="332" t="s">
        <v>370</v>
      </c>
      <c r="I224" s="354">
        <v>21520767.16</v>
      </c>
      <c r="J224" s="354">
        <v>3194504.47</v>
      </c>
      <c r="K224" s="354">
        <f>J224+I224</f>
        <v>24715271.63</v>
      </c>
      <c r="W224" s="368">
        <v>18978554.92</v>
      </c>
      <c r="Z224" s="435" t="s">
        <v>349</v>
      </c>
    </row>
    <row r="225" spans="23:26">
      <c r="W225" s="368"/>
      <c r="Z225" s="435"/>
    </row>
    <row r="226" spans="23:23">
      <c r="W226" s="368"/>
    </row>
    <row r="227" ht="27" customHeight="1" spans="9:23">
      <c r="I227" s="356">
        <f>I224-I218-954776.19</f>
        <v>-6.05359673500061e-9</v>
      </c>
      <c r="J227" s="29">
        <f>J224-J218</f>
        <v>0</v>
      </c>
      <c r="K227" s="356">
        <f>K224-K218-954776.19</f>
        <v>-2.3283064365387e-9</v>
      </c>
      <c r="Q227" s="355"/>
      <c r="W227" s="368"/>
    </row>
    <row r="228" spans="15:23">
      <c r="O228" s="355"/>
      <c r="W228" s="368">
        <f>W225+W224</f>
        <v>18978554.92</v>
      </c>
    </row>
    <row r="229" spans="23:23">
      <c r="W229" s="368"/>
    </row>
    <row r="230" spans="23:23">
      <c r="W230" s="368"/>
    </row>
    <row r="231" spans="23:23">
      <c r="W231" s="368">
        <f>W221-W228</f>
        <v>0</v>
      </c>
    </row>
    <row r="232" spans="23:23">
      <c r="W232" s="368"/>
    </row>
    <row r="233" spans="14:23">
      <c r="N233" s="355"/>
      <c r="W233" s="368"/>
    </row>
    <row r="234" spans="23:23">
      <c r="W234" s="368"/>
    </row>
    <row r="235" spans="10:23">
      <c r="J235" s="29">
        <f>'投资支付台账-202404'!J2219</f>
        <v>0</v>
      </c>
      <c r="W235" s="368"/>
    </row>
    <row r="236" spans="23:23">
      <c r="W236" s="368"/>
    </row>
    <row r="237" spans="23:23">
      <c r="W237" s="368"/>
    </row>
    <row r="238" spans="23:23">
      <c r="W238" s="368"/>
    </row>
    <row r="239" spans="23:23">
      <c r="W239" s="368"/>
    </row>
    <row r="240" spans="23:23">
      <c r="W240" s="368">
        <f>W237-W234</f>
        <v>0</v>
      </c>
    </row>
  </sheetData>
  <mergeCells count="344">
    <mergeCell ref="A1:AA1"/>
    <mergeCell ref="I2:K2"/>
    <mergeCell ref="L2:Q2"/>
    <mergeCell ref="S2:T2"/>
    <mergeCell ref="U2:V2"/>
    <mergeCell ref="Z2:AA2"/>
    <mergeCell ref="O3:Q3"/>
    <mergeCell ref="B5:H5"/>
    <mergeCell ref="F25:H25"/>
    <mergeCell ref="F26:H26"/>
    <mergeCell ref="F35:H35"/>
    <mergeCell ref="F36:H36"/>
    <mergeCell ref="F49:H49"/>
    <mergeCell ref="F50:H50"/>
    <mergeCell ref="F58:H58"/>
    <mergeCell ref="F59:H59"/>
    <mergeCell ref="F68:H68"/>
    <mergeCell ref="F69:H69"/>
    <mergeCell ref="G71:H71"/>
    <mergeCell ref="B122:D122"/>
    <mergeCell ref="B153:D153"/>
    <mergeCell ref="B158:H158"/>
    <mergeCell ref="B171:D171"/>
    <mergeCell ref="B172:D172"/>
    <mergeCell ref="B180:D180"/>
    <mergeCell ref="B187:D187"/>
    <mergeCell ref="B192:H192"/>
    <mergeCell ref="B208:D208"/>
    <mergeCell ref="B209:D209"/>
    <mergeCell ref="B210:D210"/>
    <mergeCell ref="B211:D211"/>
    <mergeCell ref="B212:D212"/>
    <mergeCell ref="O217:Q217"/>
    <mergeCell ref="O219:Q219"/>
    <mergeCell ref="L220:Q220"/>
    <mergeCell ref="A2:A4"/>
    <mergeCell ref="A6:A26"/>
    <mergeCell ref="A28:A36"/>
    <mergeCell ref="A37:A50"/>
    <mergeCell ref="A51:A59"/>
    <mergeCell ref="A60:A69"/>
    <mergeCell ref="A70:A71"/>
    <mergeCell ref="A79:A80"/>
    <mergeCell ref="A93:A94"/>
    <mergeCell ref="A95:A96"/>
    <mergeCell ref="A97:A98"/>
    <mergeCell ref="A103:A106"/>
    <mergeCell ref="A107:A111"/>
    <mergeCell ref="A123:A153"/>
    <mergeCell ref="A159:A163"/>
    <mergeCell ref="A199:A205"/>
    <mergeCell ref="B2:B4"/>
    <mergeCell ref="B6:B26"/>
    <mergeCell ref="B28:B36"/>
    <mergeCell ref="B37:B50"/>
    <mergeCell ref="B51:B59"/>
    <mergeCell ref="B60:B69"/>
    <mergeCell ref="B70:B71"/>
    <mergeCell ref="B79:B80"/>
    <mergeCell ref="B93:B94"/>
    <mergeCell ref="B95:B96"/>
    <mergeCell ref="B97:B98"/>
    <mergeCell ref="B159:B163"/>
    <mergeCell ref="B169:B170"/>
    <mergeCell ref="C2:C4"/>
    <mergeCell ref="C6:C26"/>
    <mergeCell ref="C28:C36"/>
    <mergeCell ref="C37:C50"/>
    <mergeCell ref="C51:C59"/>
    <mergeCell ref="C60:C69"/>
    <mergeCell ref="C70:C71"/>
    <mergeCell ref="C79:C80"/>
    <mergeCell ref="C93:C94"/>
    <mergeCell ref="C95:C96"/>
    <mergeCell ref="C97:C98"/>
    <mergeCell ref="C159:C163"/>
    <mergeCell ref="C169:C170"/>
    <mergeCell ref="D2:D4"/>
    <mergeCell ref="D6:D26"/>
    <mergeCell ref="D28:D36"/>
    <mergeCell ref="D37:D50"/>
    <mergeCell ref="D51:D59"/>
    <mergeCell ref="D60:D69"/>
    <mergeCell ref="D70:D71"/>
    <mergeCell ref="D79:D80"/>
    <mergeCell ref="D93:D94"/>
    <mergeCell ref="D95:D96"/>
    <mergeCell ref="D97:D98"/>
    <mergeCell ref="D159:D163"/>
    <mergeCell ref="D169:D170"/>
    <mergeCell ref="E2:E4"/>
    <mergeCell ref="E6:E26"/>
    <mergeCell ref="E28:E36"/>
    <mergeCell ref="E37:E50"/>
    <mergeCell ref="E51:E59"/>
    <mergeCell ref="E60:E69"/>
    <mergeCell ref="E70:E71"/>
    <mergeCell ref="E79:E80"/>
    <mergeCell ref="E95:E96"/>
    <mergeCell ref="E97:E98"/>
    <mergeCell ref="E107:E113"/>
    <mergeCell ref="E123:E129"/>
    <mergeCell ref="E130:E134"/>
    <mergeCell ref="E135:E141"/>
    <mergeCell ref="E142:E143"/>
    <mergeCell ref="E159:E160"/>
    <mergeCell ref="E169:E170"/>
    <mergeCell ref="E173:E179"/>
    <mergeCell ref="E181:E186"/>
    <mergeCell ref="F2:F4"/>
    <mergeCell ref="F6:F18"/>
    <mergeCell ref="F19:F24"/>
    <mergeCell ref="F28:F29"/>
    <mergeCell ref="F30:F34"/>
    <mergeCell ref="F37:F44"/>
    <mergeCell ref="F45:F48"/>
    <mergeCell ref="F51:F53"/>
    <mergeCell ref="F54:F57"/>
    <mergeCell ref="F60:F63"/>
    <mergeCell ref="F64:F67"/>
    <mergeCell ref="F70:F71"/>
    <mergeCell ref="F79:F80"/>
    <mergeCell ref="F104:F106"/>
    <mergeCell ref="F107:F109"/>
    <mergeCell ref="F110:F121"/>
    <mergeCell ref="F123:F124"/>
    <mergeCell ref="F125:F129"/>
    <mergeCell ref="F131:F134"/>
    <mergeCell ref="F135:F137"/>
    <mergeCell ref="F138:F141"/>
    <mergeCell ref="F143:F146"/>
    <mergeCell ref="F147:F152"/>
    <mergeCell ref="F159:F160"/>
    <mergeCell ref="F169:F170"/>
    <mergeCell ref="F173:F174"/>
    <mergeCell ref="F175:F179"/>
    <mergeCell ref="F181:F186"/>
    <mergeCell ref="F200:F204"/>
    <mergeCell ref="F206:F207"/>
    <mergeCell ref="F208:F212"/>
    <mergeCell ref="F217:F219"/>
    <mergeCell ref="G2:G4"/>
    <mergeCell ref="G6:G7"/>
    <mergeCell ref="G8:G10"/>
    <mergeCell ref="G12:G14"/>
    <mergeCell ref="G15:G18"/>
    <mergeCell ref="G38:G40"/>
    <mergeCell ref="G42:G43"/>
    <mergeCell ref="G46:G47"/>
    <mergeCell ref="G107:G109"/>
    <mergeCell ref="G110:G111"/>
    <mergeCell ref="G112:G113"/>
    <mergeCell ref="G114:G115"/>
    <mergeCell ref="G136:G137"/>
    <mergeCell ref="G160:G163"/>
    <mergeCell ref="H2:H4"/>
    <mergeCell ref="H6:H7"/>
    <mergeCell ref="H8:H10"/>
    <mergeCell ref="H12:H14"/>
    <mergeCell ref="H15:H18"/>
    <mergeCell ref="H38:H40"/>
    <mergeCell ref="H42:H43"/>
    <mergeCell ref="H46:H47"/>
    <mergeCell ref="H160:H163"/>
    <mergeCell ref="I3:I4"/>
    <mergeCell ref="I61:I63"/>
    <mergeCell ref="J3:J4"/>
    <mergeCell ref="J6:J7"/>
    <mergeCell ref="J8:J10"/>
    <mergeCell ref="J16:J17"/>
    <mergeCell ref="J38:J40"/>
    <mergeCell ref="J61:J63"/>
    <mergeCell ref="J161:J162"/>
    <mergeCell ref="K3:K4"/>
    <mergeCell ref="K6:K7"/>
    <mergeCell ref="K8:K10"/>
    <mergeCell ref="K12:K14"/>
    <mergeCell ref="K16:K17"/>
    <mergeCell ref="K38:K40"/>
    <mergeCell ref="K61:K63"/>
    <mergeCell ref="L3:L4"/>
    <mergeCell ref="L6:L7"/>
    <mergeCell ref="L8:L10"/>
    <mergeCell ref="L12:L14"/>
    <mergeCell ref="L15:L18"/>
    <mergeCell ref="L38:L40"/>
    <mergeCell ref="L42:L43"/>
    <mergeCell ref="L61:L63"/>
    <mergeCell ref="L160:L163"/>
    <mergeCell ref="M3:M4"/>
    <mergeCell ref="M6:M7"/>
    <mergeCell ref="M8:M10"/>
    <mergeCell ref="M12:M14"/>
    <mergeCell ref="M15:M18"/>
    <mergeCell ref="M38:M40"/>
    <mergeCell ref="M42:M43"/>
    <mergeCell ref="M61:M63"/>
    <mergeCell ref="M160:M163"/>
    <mergeCell ref="N3:N4"/>
    <mergeCell ref="N6:N7"/>
    <mergeCell ref="N8:N10"/>
    <mergeCell ref="N12:N14"/>
    <mergeCell ref="N15:N18"/>
    <mergeCell ref="N38:N40"/>
    <mergeCell ref="N42:N43"/>
    <mergeCell ref="N61:N63"/>
    <mergeCell ref="N160:N163"/>
    <mergeCell ref="O6:O7"/>
    <mergeCell ref="O8:O10"/>
    <mergeCell ref="O12:O14"/>
    <mergeCell ref="O15:O18"/>
    <mergeCell ref="O38:O40"/>
    <mergeCell ref="O42:O43"/>
    <mergeCell ref="O61:O63"/>
    <mergeCell ref="O160:O163"/>
    <mergeCell ref="P6:P7"/>
    <mergeCell ref="P8:P10"/>
    <mergeCell ref="P12:P14"/>
    <mergeCell ref="P15:P18"/>
    <mergeCell ref="P38:P40"/>
    <mergeCell ref="P42:P43"/>
    <mergeCell ref="P160:P163"/>
    <mergeCell ref="Q6:Q7"/>
    <mergeCell ref="Q8:Q10"/>
    <mergeCell ref="Q12:Q14"/>
    <mergeCell ref="Q15:Q18"/>
    <mergeCell ref="Q38:Q40"/>
    <mergeCell ref="Q42:Q43"/>
    <mergeCell ref="Q61:Q63"/>
    <mergeCell ref="Q160:Q163"/>
    <mergeCell ref="R2:R3"/>
    <mergeCell ref="R6:R7"/>
    <mergeCell ref="R8:R10"/>
    <mergeCell ref="R12:R14"/>
    <mergeCell ref="R15:R18"/>
    <mergeCell ref="R38:R40"/>
    <mergeCell ref="R42:R43"/>
    <mergeCell ref="R61:R63"/>
    <mergeCell ref="R160:R163"/>
    <mergeCell ref="S6:S7"/>
    <mergeCell ref="S8:S10"/>
    <mergeCell ref="S12:S14"/>
    <mergeCell ref="S15:S18"/>
    <mergeCell ref="S38:S40"/>
    <mergeCell ref="S42:S43"/>
    <mergeCell ref="S61:S63"/>
    <mergeCell ref="S93:S94"/>
    <mergeCell ref="S95:S96"/>
    <mergeCell ref="S97:S98"/>
    <mergeCell ref="S160:S163"/>
    <mergeCell ref="T6:T7"/>
    <mergeCell ref="T8:T10"/>
    <mergeCell ref="T12:T14"/>
    <mergeCell ref="T15:T18"/>
    <mergeCell ref="T38:T40"/>
    <mergeCell ref="T42:T43"/>
    <mergeCell ref="T46:T47"/>
    <mergeCell ref="T61:T63"/>
    <mergeCell ref="T93:T94"/>
    <mergeCell ref="T95:T96"/>
    <mergeCell ref="T97:T98"/>
    <mergeCell ref="T160:T163"/>
    <mergeCell ref="U6:U7"/>
    <mergeCell ref="U8:U10"/>
    <mergeCell ref="U12:U14"/>
    <mergeCell ref="U15:U18"/>
    <mergeCell ref="U38:U40"/>
    <mergeCell ref="U42:U43"/>
    <mergeCell ref="U46:U47"/>
    <mergeCell ref="U61:U62"/>
    <mergeCell ref="U93:U94"/>
    <mergeCell ref="U160:U163"/>
    <mergeCell ref="V6:V7"/>
    <mergeCell ref="V8:V10"/>
    <mergeCell ref="V12:V14"/>
    <mergeCell ref="V15:V18"/>
    <mergeCell ref="V38:V40"/>
    <mergeCell ref="V42:V43"/>
    <mergeCell ref="V46:V47"/>
    <mergeCell ref="V61:V63"/>
    <mergeCell ref="V93:V94"/>
    <mergeCell ref="V95:V96"/>
    <mergeCell ref="V97:V98"/>
    <mergeCell ref="V160:V163"/>
    <mergeCell ref="W2:W3"/>
    <mergeCell ref="W6:W7"/>
    <mergeCell ref="W8:W10"/>
    <mergeCell ref="W12:W14"/>
    <mergeCell ref="W15:W18"/>
    <mergeCell ref="W38:W40"/>
    <mergeCell ref="W42:W43"/>
    <mergeCell ref="W46:W47"/>
    <mergeCell ref="W61:W63"/>
    <mergeCell ref="W93:W94"/>
    <mergeCell ref="W160:W163"/>
    <mergeCell ref="X2:X3"/>
    <mergeCell ref="X51:X58"/>
    <mergeCell ref="X60:X68"/>
    <mergeCell ref="X70:X71"/>
    <mergeCell ref="X93:X94"/>
    <mergeCell ref="X160:X163"/>
    <mergeCell ref="Y2:Y3"/>
    <mergeCell ref="Y51:Y58"/>
    <mergeCell ref="Y60:Y68"/>
    <mergeCell ref="Y70:Y71"/>
    <mergeCell ref="Y93:Y94"/>
    <mergeCell ref="Z12:Z14"/>
    <mergeCell ref="Z15:Z17"/>
    <mergeCell ref="Z154:Z155"/>
    <mergeCell ref="Z188:Z189"/>
    <mergeCell ref="Z213:Z214"/>
    <mergeCell ref="AA12:AA14"/>
    <mergeCell ref="AA15:AA17"/>
    <mergeCell ref="AA154:AA155"/>
    <mergeCell ref="AA188:AA189"/>
    <mergeCell ref="AA213:AA214"/>
    <mergeCell ref="AB2:AB3"/>
    <mergeCell ref="AB6:AB7"/>
    <mergeCell ref="AB8:AB10"/>
    <mergeCell ref="AB12:AB14"/>
    <mergeCell ref="AB15:AB18"/>
    <mergeCell ref="AB38:AB40"/>
    <mergeCell ref="AB42:AB43"/>
    <mergeCell ref="AB61:AB63"/>
    <mergeCell ref="AB93:AB94"/>
    <mergeCell ref="AB154:AB155"/>
    <mergeCell ref="AB160:AB163"/>
    <mergeCell ref="AB188:AB189"/>
    <mergeCell ref="AB213:AB214"/>
    <mergeCell ref="B103:D106"/>
    <mergeCell ref="B123:D129"/>
    <mergeCell ref="B130:D134"/>
    <mergeCell ref="B135:D141"/>
    <mergeCell ref="B142:D146"/>
    <mergeCell ref="A154:F155"/>
    <mergeCell ref="B147:D152"/>
    <mergeCell ref="B107:D121"/>
    <mergeCell ref="B173:D179"/>
    <mergeCell ref="B181:D186"/>
    <mergeCell ref="A188:F189"/>
    <mergeCell ref="B199:D204"/>
    <mergeCell ref="B205:D207"/>
    <mergeCell ref="A213:F214"/>
    <mergeCell ref="A217:E219"/>
  </mergeCells>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A248"/>
  <sheetViews>
    <sheetView zoomScale="70" zoomScaleNormal="70" workbookViewId="0">
      <pane ySplit="4" topLeftCell="A216" activePane="bottomLeft" state="frozen"/>
      <selection/>
      <selection pane="bottomLeft" activeCell="K224" sqref="K224"/>
    </sheetView>
  </sheetViews>
  <sheetFormatPr defaultColWidth="9" defaultRowHeight="13.85"/>
  <cols>
    <col min="1" max="1" width="7.08333333333333" style="24" customWidth="1"/>
    <col min="2" max="2" width="23.75" style="24" customWidth="1"/>
    <col min="3" max="3" width="11.5583333333333" style="24" customWidth="1"/>
    <col min="4" max="4" width="15.7833333333333" style="24" customWidth="1"/>
    <col min="5" max="5" width="12.3416666666667" style="25" customWidth="1"/>
    <col min="6" max="6" width="9.83333333333333" style="26" customWidth="1"/>
    <col min="7" max="7" width="23.5" style="27" customWidth="1"/>
    <col min="8" max="8" width="21.0916666666667" style="28" customWidth="1"/>
    <col min="9" max="9" width="18.75" style="29" customWidth="1"/>
    <col min="10" max="10" width="15.375" style="29" customWidth="1"/>
    <col min="11" max="11" width="16.625" style="29" customWidth="1"/>
    <col min="12" max="12" width="17.0333333333333" style="30" hidden="1" customWidth="1"/>
    <col min="13" max="13" width="13.5916666666667" style="30" hidden="1" customWidth="1"/>
    <col min="14" max="14" width="10.775" style="30" hidden="1" customWidth="1"/>
    <col min="15" max="15" width="13.4333333333333" style="30" customWidth="1"/>
    <col min="16" max="16" width="13.75" style="30" customWidth="1"/>
    <col min="17" max="17" width="13.625" style="30" customWidth="1"/>
    <col min="18" max="18" width="15.375" style="30" customWidth="1"/>
    <col min="19" max="19" width="17.125" style="31" customWidth="1"/>
    <col min="20" max="20" width="17.1833333333333" style="31" customWidth="1"/>
    <col min="21" max="21" width="17.125" style="30" customWidth="1"/>
    <col min="22" max="22" width="13.75" style="32" customWidth="1"/>
    <col min="23" max="23" width="20.4166666666667" style="32" customWidth="1"/>
    <col min="24" max="24" width="28.5916666666667" style="33" customWidth="1"/>
    <col min="25" max="16384" width="9" style="1"/>
  </cols>
  <sheetData>
    <row r="1" s="1" customFormat="1" ht="27" customHeight="1" spans="1:24">
      <c r="A1" s="34" t="s">
        <v>325</v>
      </c>
      <c r="B1" s="34"/>
      <c r="C1" s="34"/>
      <c r="D1" s="34"/>
      <c r="E1" s="35"/>
      <c r="F1" s="35"/>
      <c r="G1" s="34"/>
      <c r="H1" s="34"/>
      <c r="I1" s="84"/>
      <c r="J1" s="84"/>
      <c r="K1" s="84"/>
      <c r="L1" s="85"/>
      <c r="M1" s="85"/>
      <c r="N1" s="85"/>
      <c r="O1" s="85"/>
      <c r="P1" s="85"/>
      <c r="Q1" s="85"/>
      <c r="R1" s="85"/>
      <c r="S1" s="121"/>
      <c r="T1" s="121"/>
      <c r="U1" s="85"/>
      <c r="V1" s="85"/>
      <c r="W1" s="85"/>
      <c r="X1" s="34"/>
    </row>
    <row r="2" s="15" customFormat="1" ht="20.25" spans="1:24">
      <c r="A2" s="36" t="s">
        <v>1</v>
      </c>
      <c r="B2" s="36" t="s">
        <v>2</v>
      </c>
      <c r="C2" s="36" t="s">
        <v>3</v>
      </c>
      <c r="D2" s="36" t="s">
        <v>4</v>
      </c>
      <c r="E2" s="37" t="s">
        <v>5</v>
      </c>
      <c r="F2" s="37" t="s">
        <v>6</v>
      </c>
      <c r="G2" s="36" t="s">
        <v>7</v>
      </c>
      <c r="H2" s="36" t="s">
        <v>8</v>
      </c>
      <c r="I2" s="86" t="s">
        <v>285</v>
      </c>
      <c r="J2" s="87"/>
      <c r="K2" s="87"/>
      <c r="L2" s="88" t="s">
        <v>286</v>
      </c>
      <c r="M2" s="89"/>
      <c r="N2" s="89"/>
      <c r="O2" s="89"/>
      <c r="P2" s="89"/>
      <c r="Q2" s="89"/>
      <c r="R2" s="122" t="s">
        <v>11</v>
      </c>
      <c r="S2" s="123" t="s">
        <v>12</v>
      </c>
      <c r="T2" s="124"/>
      <c r="U2" s="123" t="s">
        <v>287</v>
      </c>
      <c r="V2" s="124"/>
      <c r="W2" s="122" t="s">
        <v>14</v>
      </c>
      <c r="X2" s="122" t="s">
        <v>289</v>
      </c>
    </row>
    <row r="3" s="16" customFormat="1" ht="20.25" spans="1:24">
      <c r="A3" s="36"/>
      <c r="B3" s="36"/>
      <c r="C3" s="36"/>
      <c r="D3" s="36"/>
      <c r="E3" s="37"/>
      <c r="F3" s="37"/>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126"/>
    </row>
    <row r="4" s="16" customFormat="1" ht="44" customHeight="1" spans="1:24">
      <c r="A4" s="36"/>
      <c r="B4" s="36"/>
      <c r="C4" s="36"/>
      <c r="D4" s="36"/>
      <c r="E4" s="37"/>
      <c r="F4" s="37"/>
      <c r="G4" s="36"/>
      <c r="H4" s="36"/>
      <c r="I4" s="36"/>
      <c r="J4" s="36"/>
      <c r="K4" s="36"/>
      <c r="L4" s="36"/>
      <c r="M4" s="36"/>
      <c r="N4" s="36"/>
      <c r="O4" s="92" t="s">
        <v>293</v>
      </c>
      <c r="P4" s="92" t="s">
        <v>294</v>
      </c>
      <c r="Q4" s="92" t="s">
        <v>25</v>
      </c>
      <c r="R4" s="126"/>
      <c r="S4" s="127"/>
      <c r="T4" s="125"/>
      <c r="U4" s="128"/>
      <c r="V4" s="128"/>
      <c r="W4" s="129"/>
      <c r="X4" s="129"/>
    </row>
    <row r="5" s="1" customFormat="1" ht="36" customHeight="1" spans="1:24">
      <c r="A5" s="38" t="s">
        <v>31</v>
      </c>
      <c r="B5" s="39" t="s">
        <v>32</v>
      </c>
      <c r="C5" s="40"/>
      <c r="D5" s="40"/>
      <c r="E5" s="41"/>
      <c r="F5" s="41"/>
      <c r="G5" s="40"/>
      <c r="H5" s="42"/>
      <c r="I5" s="93"/>
      <c r="J5" s="93"/>
      <c r="K5" s="93"/>
      <c r="L5" s="93"/>
      <c r="M5" s="93"/>
      <c r="N5" s="93"/>
      <c r="O5" s="93"/>
      <c r="P5" s="93"/>
      <c r="Q5" s="93"/>
      <c r="R5" s="93"/>
      <c r="S5" s="93"/>
      <c r="T5" s="130"/>
      <c r="U5" s="131"/>
      <c r="V5" s="130"/>
      <c r="W5" s="130"/>
      <c r="X5" s="132"/>
    </row>
    <row r="6" s="1" customFormat="1" ht="25" customHeight="1" spans="1:24">
      <c r="A6" s="43">
        <v>1</v>
      </c>
      <c r="B6" s="43" t="s">
        <v>33</v>
      </c>
      <c r="C6" s="43" t="s">
        <v>34</v>
      </c>
      <c r="D6" s="43"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69"/>
    </row>
    <row r="7" s="1" customFormat="1" spans="1:24">
      <c r="A7" s="48"/>
      <c r="B7" s="48"/>
      <c r="C7" s="48"/>
      <c r="D7" s="48"/>
      <c r="E7" s="49"/>
      <c r="F7" s="46"/>
      <c r="G7" s="47"/>
      <c r="H7" s="47"/>
      <c r="I7" s="94">
        <v>26478900.92</v>
      </c>
      <c r="J7" s="95"/>
      <c r="K7" s="95"/>
      <c r="L7" s="96"/>
      <c r="M7" s="96"/>
      <c r="N7" s="96"/>
      <c r="O7" s="96"/>
      <c r="P7" s="98"/>
      <c r="Q7" s="98"/>
      <c r="R7" s="98"/>
      <c r="S7" s="96"/>
      <c r="T7" s="98"/>
      <c r="U7" s="98"/>
      <c r="V7" s="98"/>
      <c r="W7" s="98"/>
      <c r="X7" s="70"/>
    </row>
    <row r="8" s="1" customFormat="1" spans="1:24">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69"/>
    </row>
    <row r="9" s="1" customFormat="1" spans="1:24">
      <c r="A9" s="48"/>
      <c r="B9" s="48"/>
      <c r="C9" s="48"/>
      <c r="D9" s="48"/>
      <c r="E9" s="49"/>
      <c r="F9" s="46"/>
      <c r="G9" s="47"/>
      <c r="H9" s="47"/>
      <c r="I9" s="94">
        <v>7013045.58</v>
      </c>
      <c r="J9" s="95"/>
      <c r="K9" s="95"/>
      <c r="L9" s="96"/>
      <c r="M9" s="96"/>
      <c r="N9" s="96"/>
      <c r="O9" s="96"/>
      <c r="P9" s="70"/>
      <c r="Q9" s="98"/>
      <c r="R9" s="98"/>
      <c r="S9" s="96"/>
      <c r="T9" s="98"/>
      <c r="U9" s="98"/>
      <c r="V9" s="98"/>
      <c r="W9" s="98"/>
      <c r="X9" s="70"/>
    </row>
    <row r="10" s="1" customFormat="1" spans="1:24">
      <c r="A10" s="48"/>
      <c r="B10" s="48"/>
      <c r="C10" s="48"/>
      <c r="D10" s="48"/>
      <c r="E10" s="49"/>
      <c r="F10" s="46"/>
      <c r="G10" s="47"/>
      <c r="H10" s="47"/>
      <c r="I10" s="94">
        <v>9999999</v>
      </c>
      <c r="J10" s="95"/>
      <c r="K10" s="95"/>
      <c r="L10" s="96"/>
      <c r="M10" s="96"/>
      <c r="N10" s="96"/>
      <c r="O10" s="96"/>
      <c r="P10" s="70"/>
      <c r="Q10" s="98"/>
      <c r="R10" s="98"/>
      <c r="S10" s="96"/>
      <c r="T10" s="98"/>
      <c r="U10" s="98"/>
      <c r="V10" s="98"/>
      <c r="W10" s="98"/>
      <c r="X10" s="70"/>
    </row>
    <row r="11" s="1" customFormat="1" ht="38" customHeight="1" spans="1:24">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135"/>
    </row>
    <row r="12" s="1" customFormat="1" spans="1:24">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6"/>
    </row>
    <row r="13" s="1" customFormat="1" spans="1:24">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6"/>
    </row>
    <row r="14" s="1" customFormat="1" spans="1:24">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6"/>
    </row>
    <row r="15" s="1" customFormat="1" spans="1:24">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137"/>
    </row>
    <row r="16" s="1" customFormat="1" spans="1:24">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137"/>
    </row>
    <row r="17" s="1" customFormat="1" spans="1:24">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137"/>
    </row>
    <row r="18" s="1" customFormat="1" spans="1:24">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139"/>
    </row>
    <row r="19" s="1" customFormat="1" ht="31" customHeight="1" spans="1:24">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56"/>
    </row>
    <row r="20" s="1" customFormat="1" ht="31" customHeight="1" spans="1:24">
      <c r="A20" s="48"/>
      <c r="B20" s="48"/>
      <c r="C20" s="48"/>
      <c r="D20" s="48"/>
      <c r="E20" s="49"/>
      <c r="F20" s="52"/>
      <c r="G20" s="53"/>
      <c r="H20" s="53"/>
      <c r="I20" s="101"/>
      <c r="J20" s="101"/>
      <c r="K20" s="101"/>
      <c r="L20" s="104"/>
      <c r="M20" s="104"/>
      <c r="N20" s="104"/>
      <c r="O20" s="104"/>
      <c r="P20" s="104"/>
      <c r="Q20" s="104"/>
      <c r="R20" s="104"/>
      <c r="S20" s="104"/>
      <c r="T20" s="104"/>
      <c r="U20" s="104"/>
      <c r="V20" s="140"/>
      <c r="W20" s="140"/>
      <c r="X20" s="56"/>
    </row>
    <row r="21" s="1" customFormat="1" ht="31" customHeight="1" spans="1:24">
      <c r="A21" s="48"/>
      <c r="B21" s="48"/>
      <c r="C21" s="48"/>
      <c r="D21" s="48"/>
      <c r="E21" s="49"/>
      <c r="F21" s="52"/>
      <c r="G21" s="53"/>
      <c r="H21" s="53"/>
      <c r="I21" s="101"/>
      <c r="J21" s="101"/>
      <c r="K21" s="101"/>
      <c r="L21" s="104"/>
      <c r="M21" s="104"/>
      <c r="N21" s="104"/>
      <c r="O21" s="104"/>
      <c r="P21" s="104"/>
      <c r="Q21" s="104"/>
      <c r="R21" s="104"/>
      <c r="S21" s="104"/>
      <c r="T21" s="104"/>
      <c r="U21" s="104"/>
      <c r="V21" s="140"/>
      <c r="W21" s="140"/>
      <c r="X21" s="56"/>
    </row>
    <row r="22" s="1" customFormat="1" ht="31" customHeight="1" spans="1:24">
      <c r="A22" s="48"/>
      <c r="B22" s="48"/>
      <c r="C22" s="48"/>
      <c r="D22" s="48"/>
      <c r="E22" s="49"/>
      <c r="F22" s="52"/>
      <c r="G22" s="53"/>
      <c r="H22" s="53"/>
      <c r="I22" s="101"/>
      <c r="J22" s="101"/>
      <c r="K22" s="101"/>
      <c r="L22" s="104"/>
      <c r="M22" s="104"/>
      <c r="N22" s="104"/>
      <c r="O22" s="104"/>
      <c r="P22" s="104"/>
      <c r="Q22" s="104"/>
      <c r="R22" s="104"/>
      <c r="S22" s="104"/>
      <c r="T22" s="104"/>
      <c r="U22" s="104"/>
      <c r="V22" s="140"/>
      <c r="W22" s="140"/>
      <c r="X22" s="56"/>
    </row>
    <row r="23" s="1" customFormat="1" ht="41" customHeight="1" spans="1:24">
      <c r="A23" s="48"/>
      <c r="B23" s="48"/>
      <c r="C23" s="48"/>
      <c r="D23" s="48"/>
      <c r="E23" s="49"/>
      <c r="F23" s="58" t="s">
        <v>326</v>
      </c>
      <c r="G23" s="59"/>
      <c r="H23" s="60"/>
      <c r="I23" s="108">
        <f t="shared" ref="I23:AA23" si="1">SUM(I6:I18)</f>
        <v>94163828.8</v>
      </c>
      <c r="J23" s="108">
        <f t="shared" si="1"/>
        <v>9375096.89</v>
      </c>
      <c r="K23" s="108">
        <f t="shared" si="1"/>
        <v>103538925.69</v>
      </c>
      <c r="L23" s="108">
        <f t="shared" si="1"/>
        <v>2208694.43</v>
      </c>
      <c r="M23" s="108">
        <f t="shared" si="1"/>
        <v>0</v>
      </c>
      <c r="N23" s="108">
        <f t="shared" si="1"/>
        <v>0</v>
      </c>
      <c r="O23" s="108">
        <f t="shared" si="1"/>
        <v>0</v>
      </c>
      <c r="P23" s="108">
        <f t="shared" si="1"/>
        <v>0</v>
      </c>
      <c r="Q23" s="108">
        <f t="shared" si="1"/>
        <v>3100</v>
      </c>
      <c r="R23" s="108">
        <f t="shared" si="1"/>
        <v>0</v>
      </c>
      <c r="S23" s="108">
        <f t="shared" si="1"/>
        <v>100072131.26</v>
      </c>
      <c r="T23" s="108">
        <f t="shared" si="1"/>
        <v>1255000</v>
      </c>
      <c r="U23" s="108">
        <f t="shared" si="1"/>
        <v>84578468.7</v>
      </c>
      <c r="V23" s="108">
        <f t="shared" si="1"/>
        <v>1255000</v>
      </c>
      <c r="W23" s="108">
        <f t="shared" si="1"/>
        <v>15493662.56</v>
      </c>
      <c r="X23" s="108"/>
    </row>
    <row r="24" s="1" customFormat="1" ht="41" customHeight="1" spans="1:24">
      <c r="A24" s="48"/>
      <c r="B24" s="48"/>
      <c r="C24" s="48"/>
      <c r="D24" s="48"/>
      <c r="E24" s="49"/>
      <c r="F24" s="61" t="s">
        <v>327</v>
      </c>
      <c r="G24" s="61"/>
      <c r="H24" s="61"/>
      <c r="I24" s="109">
        <f t="shared" ref="I24:AB24" si="2">SUM(I19:I22)</f>
        <v>0</v>
      </c>
      <c r="J24" s="109">
        <f t="shared" si="2"/>
        <v>0</v>
      </c>
      <c r="K24" s="109">
        <f t="shared" si="2"/>
        <v>0</v>
      </c>
      <c r="L24" s="109">
        <f t="shared" si="2"/>
        <v>0</v>
      </c>
      <c r="M24" s="109">
        <f t="shared" si="2"/>
        <v>0</v>
      </c>
      <c r="N24" s="109">
        <f t="shared" si="2"/>
        <v>0</v>
      </c>
      <c r="O24" s="109">
        <f t="shared" si="2"/>
        <v>0</v>
      </c>
      <c r="P24" s="109">
        <f t="shared" si="2"/>
        <v>0</v>
      </c>
      <c r="Q24" s="109">
        <f t="shared" si="2"/>
        <v>0</v>
      </c>
      <c r="R24" s="109">
        <f t="shared" si="2"/>
        <v>0</v>
      </c>
      <c r="S24" s="109">
        <f t="shared" si="2"/>
        <v>0</v>
      </c>
      <c r="T24" s="109">
        <f t="shared" si="2"/>
        <v>0</v>
      </c>
      <c r="U24" s="109">
        <f t="shared" si="2"/>
        <v>15493662.56</v>
      </c>
      <c r="V24" s="109">
        <f t="shared" si="2"/>
        <v>0</v>
      </c>
      <c r="W24" s="109">
        <f t="shared" si="2"/>
        <v>-15493662.56</v>
      </c>
      <c r="X24" s="109">
        <f t="shared" si="2"/>
        <v>0</v>
      </c>
    </row>
    <row r="25" s="1" customFormat="1" ht="41" customHeight="1" spans="1:24">
      <c r="A25" s="43"/>
      <c r="B25" s="43"/>
      <c r="C25" s="43"/>
      <c r="D25" s="43"/>
      <c r="E25" s="45"/>
      <c r="F25" s="62"/>
      <c r="G25" s="63"/>
      <c r="H25" s="64"/>
      <c r="I25" s="110"/>
      <c r="J25" s="110"/>
      <c r="K25" s="385"/>
      <c r="L25" s="111"/>
      <c r="M25" s="111"/>
      <c r="N25" s="111"/>
      <c r="O25" s="111"/>
      <c r="P25" s="111"/>
      <c r="Q25" s="111"/>
      <c r="R25" s="111"/>
      <c r="S25" s="111"/>
      <c r="T25" s="141"/>
      <c r="U25" s="141"/>
      <c r="V25" s="141"/>
      <c r="W25" s="141"/>
      <c r="X25" s="142"/>
    </row>
    <row r="26" s="1" customFormat="1" ht="27" spans="1:24">
      <c r="A26" s="43">
        <v>2</v>
      </c>
      <c r="B26" s="43" t="s">
        <v>47</v>
      </c>
      <c r="C26" s="43" t="s">
        <v>48</v>
      </c>
      <c r="D26" s="65" t="s">
        <v>49</v>
      </c>
      <c r="E26" s="45">
        <v>1845935</v>
      </c>
      <c r="F26" s="45" t="s">
        <v>295</v>
      </c>
      <c r="G26" s="66" t="s">
        <v>50</v>
      </c>
      <c r="H26" s="66" t="s">
        <v>51</v>
      </c>
      <c r="I26" s="94"/>
      <c r="J26" s="94"/>
      <c r="K26" s="94">
        <f>I26+J26</f>
        <v>0</v>
      </c>
      <c r="L26" s="94"/>
      <c r="M26" s="94"/>
      <c r="N26" s="94"/>
      <c r="O26" s="94"/>
      <c r="P26" s="94"/>
      <c r="Q26" s="94"/>
      <c r="R26" s="94">
        <v>184593.5</v>
      </c>
      <c r="S26" s="94">
        <f>K26-L26-M26-N26-O26+R26</f>
        <v>184593.5</v>
      </c>
      <c r="T26" s="133"/>
      <c r="U26" s="134">
        <f>R26</f>
        <v>184593.5</v>
      </c>
      <c r="V26" s="133"/>
      <c r="W26" s="133">
        <f>S26+T26-U26-V26</f>
        <v>0</v>
      </c>
      <c r="X26" s="135"/>
    </row>
    <row r="27" s="1" customFormat="1" ht="35" customHeight="1" spans="1:24">
      <c r="A27" s="48"/>
      <c r="B27" s="48"/>
      <c r="C27" s="48"/>
      <c r="D27" s="67"/>
      <c r="E27" s="49"/>
      <c r="F27" s="49"/>
      <c r="G27" s="66" t="s">
        <v>52</v>
      </c>
      <c r="H27" s="47" t="s">
        <v>53</v>
      </c>
      <c r="I27" s="94">
        <v>320754.72</v>
      </c>
      <c r="J27" s="94">
        <v>19245.28</v>
      </c>
      <c r="K27" s="94">
        <f>I27+J27</f>
        <v>340000</v>
      </c>
      <c r="L27" s="94"/>
      <c r="M27" s="94"/>
      <c r="N27" s="94"/>
      <c r="O27" s="94"/>
      <c r="P27" s="94"/>
      <c r="Q27" s="94"/>
      <c r="R27" s="94">
        <v>-68000</v>
      </c>
      <c r="S27" s="94">
        <f>K27-L27-M27-N27-O27+R27</f>
        <v>272000</v>
      </c>
      <c r="T27" s="133"/>
      <c r="U27" s="134">
        <v>272000</v>
      </c>
      <c r="V27" s="133"/>
      <c r="W27" s="133">
        <f>S27+T27-U27-V27</f>
        <v>0</v>
      </c>
      <c r="X27" s="135"/>
    </row>
    <row r="28" s="1" customFormat="1" ht="35" customHeight="1" spans="1:24">
      <c r="A28" s="48"/>
      <c r="B28" s="48"/>
      <c r="C28" s="48"/>
      <c r="D28" s="67"/>
      <c r="E28" s="49"/>
      <c r="F28" s="52" t="s">
        <v>296</v>
      </c>
      <c r="G28" s="68" t="s">
        <v>352</v>
      </c>
      <c r="H28" s="68" t="s">
        <v>353</v>
      </c>
      <c r="I28" s="101">
        <v>914728.77</v>
      </c>
      <c r="J28" s="101">
        <v>54883.73</v>
      </c>
      <c r="K28" s="101">
        <v>969612.5</v>
      </c>
      <c r="L28" s="101"/>
      <c r="M28" s="101"/>
      <c r="N28" s="101"/>
      <c r="O28" s="101"/>
      <c r="P28" s="101"/>
      <c r="Q28" s="101"/>
      <c r="R28" s="101"/>
      <c r="S28" s="101">
        <f>K28</f>
        <v>969612.5</v>
      </c>
      <c r="T28" s="143"/>
      <c r="U28" s="144">
        <f>S28</f>
        <v>969612.5</v>
      </c>
      <c r="V28" s="143"/>
      <c r="W28" s="143">
        <f>S28-U28+T28-V28</f>
        <v>0</v>
      </c>
      <c r="X28" s="135"/>
    </row>
    <row r="29" s="1" customFormat="1" ht="35" customHeight="1" spans="1:24">
      <c r="A29" s="48"/>
      <c r="B29" s="48"/>
      <c r="C29" s="48"/>
      <c r="D29" s="67"/>
      <c r="E29" s="49"/>
      <c r="F29" s="52"/>
      <c r="G29" s="68" t="s">
        <v>371</v>
      </c>
      <c r="H29" s="68" t="s">
        <v>372</v>
      </c>
      <c r="I29" s="101">
        <v>241813.68</v>
      </c>
      <c r="J29" s="101">
        <v>14508.82</v>
      </c>
      <c r="K29" s="101">
        <f>J29+I29</f>
        <v>256322.5</v>
      </c>
      <c r="L29" s="101"/>
      <c r="M29" s="101"/>
      <c r="N29" s="101"/>
      <c r="O29" s="101"/>
      <c r="P29" s="101"/>
      <c r="Q29" s="101"/>
      <c r="R29" s="101"/>
      <c r="S29" s="101">
        <f>K29</f>
        <v>256322.5</v>
      </c>
      <c r="T29" s="143"/>
      <c r="U29" s="144"/>
      <c r="V29" s="143"/>
      <c r="W29" s="143">
        <f>S29-U29+T29-V29</f>
        <v>256322.5</v>
      </c>
      <c r="X29" s="135"/>
    </row>
    <row r="30" s="1" customFormat="1" ht="48" customHeight="1" spans="1:24">
      <c r="A30" s="48"/>
      <c r="B30" s="48"/>
      <c r="C30" s="48"/>
      <c r="D30" s="67"/>
      <c r="E30" s="49"/>
      <c r="F30" s="52"/>
      <c r="G30" s="68" t="s">
        <v>373</v>
      </c>
      <c r="H30" s="68" t="s">
        <v>374</v>
      </c>
      <c r="I30" s="101"/>
      <c r="J30" s="101"/>
      <c r="K30" s="101"/>
      <c r="L30" s="101"/>
      <c r="M30" s="101"/>
      <c r="N30" s="101"/>
      <c r="O30" s="101"/>
      <c r="P30" s="101"/>
      <c r="Q30" s="101"/>
      <c r="R30" s="101">
        <v>-116593.5</v>
      </c>
      <c r="S30" s="101"/>
      <c r="T30" s="143"/>
      <c r="U30" s="144"/>
      <c r="V30" s="143"/>
      <c r="W30" s="143">
        <f>S30-U30+T30-V30</f>
        <v>0</v>
      </c>
      <c r="X30" s="135"/>
    </row>
    <row r="31" s="1" customFormat="1" ht="21" customHeight="1" spans="1:24">
      <c r="A31" s="48"/>
      <c r="B31" s="48"/>
      <c r="C31" s="48"/>
      <c r="D31" s="67"/>
      <c r="E31" s="49"/>
      <c r="F31" s="52"/>
      <c r="G31" s="52"/>
      <c r="H31" s="52"/>
      <c r="I31" s="101"/>
      <c r="J31" s="101"/>
      <c r="K31" s="101">
        <f t="shared" ref="K31:K34" si="3">I31+J31</f>
        <v>0</v>
      </c>
      <c r="L31" s="101"/>
      <c r="M31" s="101"/>
      <c r="N31" s="101"/>
      <c r="O31" s="101"/>
      <c r="P31" s="101"/>
      <c r="Q31" s="101"/>
      <c r="R31" s="101"/>
      <c r="S31" s="101">
        <f t="shared" ref="S31:S35" si="4">K31-L31-M31-N31-O31+R31</f>
        <v>0</v>
      </c>
      <c r="T31" s="143"/>
      <c r="U31" s="144"/>
      <c r="V31" s="143"/>
      <c r="W31" s="143">
        <f t="shared" ref="W31:W41" si="5">S31+T31-U31-V31</f>
        <v>0</v>
      </c>
      <c r="X31" s="135"/>
    </row>
    <row r="32" s="1" customFormat="1" ht="29" customHeight="1" spans="1:24">
      <c r="A32" s="48"/>
      <c r="B32" s="48"/>
      <c r="C32" s="48"/>
      <c r="D32" s="67"/>
      <c r="E32" s="49"/>
      <c r="F32" s="58" t="s">
        <v>326</v>
      </c>
      <c r="G32" s="59"/>
      <c r="H32" s="60"/>
      <c r="I32" s="108">
        <f t="shared" ref="I32:U32" si="6">SUM(I26:I27)</f>
        <v>320754.72</v>
      </c>
      <c r="J32" s="108">
        <f t="shared" si="6"/>
        <v>19245.28</v>
      </c>
      <c r="K32" s="111">
        <f t="shared" si="3"/>
        <v>340000</v>
      </c>
      <c r="L32" s="111">
        <f t="shared" si="6"/>
        <v>0</v>
      </c>
      <c r="M32" s="111">
        <f t="shared" si="6"/>
        <v>0</v>
      </c>
      <c r="N32" s="111">
        <f t="shared" si="6"/>
        <v>0</v>
      </c>
      <c r="O32" s="111">
        <f t="shared" si="6"/>
        <v>0</v>
      </c>
      <c r="P32" s="111">
        <f t="shared" si="6"/>
        <v>0</v>
      </c>
      <c r="Q32" s="111">
        <f t="shared" si="6"/>
        <v>0</v>
      </c>
      <c r="R32" s="111">
        <f t="shared" si="6"/>
        <v>116593.5</v>
      </c>
      <c r="S32" s="111">
        <f t="shared" si="6"/>
        <v>456593.5</v>
      </c>
      <c r="T32" s="111">
        <f t="shared" si="6"/>
        <v>0</v>
      </c>
      <c r="U32" s="111">
        <f t="shared" si="6"/>
        <v>456593.5</v>
      </c>
      <c r="V32" s="111">
        <f>SUM(V26:V31)</f>
        <v>0</v>
      </c>
      <c r="W32" s="111">
        <f>SUM(W26:W31)-W28-W29</f>
        <v>0</v>
      </c>
      <c r="X32" s="135"/>
    </row>
    <row r="33" s="1" customFormat="1" ht="29" customHeight="1" spans="1:24">
      <c r="A33" s="48"/>
      <c r="B33" s="48"/>
      <c r="C33" s="48"/>
      <c r="D33" s="67"/>
      <c r="E33" s="49"/>
      <c r="F33" s="61" t="s">
        <v>327</v>
      </c>
      <c r="G33" s="61"/>
      <c r="H33" s="61"/>
      <c r="I33" s="109">
        <f>SUM(I28:I31)</f>
        <v>1156542.45</v>
      </c>
      <c r="J33" s="109">
        <f>SUM(J28:J31)</f>
        <v>69392.55</v>
      </c>
      <c r="K33" s="109">
        <f>SUM(K28:K31)</f>
        <v>1225935</v>
      </c>
      <c r="L33" s="109">
        <f t="shared" ref="I33:AA33" si="7">SUM(L28:L31)</f>
        <v>0</v>
      </c>
      <c r="M33" s="109">
        <f t="shared" si="7"/>
        <v>0</v>
      </c>
      <c r="N33" s="109">
        <f t="shared" si="7"/>
        <v>0</v>
      </c>
      <c r="O33" s="109">
        <f t="shared" si="7"/>
        <v>0</v>
      </c>
      <c r="P33" s="109">
        <f t="shared" si="7"/>
        <v>0</v>
      </c>
      <c r="Q33" s="109">
        <f t="shared" si="7"/>
        <v>0</v>
      </c>
      <c r="R33" s="109">
        <f t="shared" si="7"/>
        <v>-116593.5</v>
      </c>
      <c r="S33" s="109">
        <f t="shared" si="7"/>
        <v>1225935</v>
      </c>
      <c r="T33" s="109">
        <f t="shared" si="7"/>
        <v>0</v>
      </c>
      <c r="U33" s="109">
        <f t="shared" si="7"/>
        <v>969612.5</v>
      </c>
      <c r="V33" s="109">
        <f t="shared" si="7"/>
        <v>0</v>
      </c>
      <c r="W33" s="109">
        <f t="shared" si="7"/>
        <v>256322.5</v>
      </c>
      <c r="X33" s="135"/>
    </row>
    <row r="34" s="1" customFormat="1" ht="27.4" spans="1:24">
      <c r="A34" s="43">
        <v>3</v>
      </c>
      <c r="B34" s="43" t="s">
        <v>54</v>
      </c>
      <c r="C34" s="43" t="s">
        <v>55</v>
      </c>
      <c r="D34" s="43" t="s">
        <v>56</v>
      </c>
      <c r="E34" s="45">
        <v>68192032</v>
      </c>
      <c r="F34" s="45" t="s">
        <v>295</v>
      </c>
      <c r="G34" s="66" t="s">
        <v>57</v>
      </c>
      <c r="H34" s="50" t="s">
        <v>58</v>
      </c>
      <c r="I34" s="94"/>
      <c r="J34" s="94"/>
      <c r="K34" s="94">
        <f t="shared" si="3"/>
        <v>0</v>
      </c>
      <c r="L34" s="94"/>
      <c r="M34" s="94"/>
      <c r="N34" s="94"/>
      <c r="O34" s="94"/>
      <c r="P34" s="94"/>
      <c r="Q34" s="94"/>
      <c r="R34" s="94">
        <v>3409601.6</v>
      </c>
      <c r="S34" s="94">
        <f t="shared" si="4"/>
        <v>3409601.6</v>
      </c>
      <c r="T34" s="133"/>
      <c r="U34" s="134">
        <v>3409601.6</v>
      </c>
      <c r="V34" s="133"/>
      <c r="W34" s="133">
        <f t="shared" si="5"/>
        <v>0</v>
      </c>
      <c r="X34" s="135"/>
    </row>
    <row r="35" s="1" customFormat="1" ht="25" customHeight="1" spans="1:24">
      <c r="A35" s="48"/>
      <c r="B35" s="48"/>
      <c r="C35" s="48"/>
      <c r="D35" s="48"/>
      <c r="E35" s="49"/>
      <c r="F35" s="49"/>
      <c r="G35" s="69" t="s">
        <v>59</v>
      </c>
      <c r="H35" s="69" t="s">
        <v>60</v>
      </c>
      <c r="I35" s="99">
        <v>636517.45</v>
      </c>
      <c r="J35" s="112">
        <v>621962.02</v>
      </c>
      <c r="K35" s="112">
        <f>I35+I36+I37+J35</f>
        <v>6719203.2</v>
      </c>
      <c r="L35" s="97"/>
      <c r="M35" s="97"/>
      <c r="N35" s="97"/>
      <c r="O35" s="97"/>
      <c r="P35" s="97"/>
      <c r="Q35" s="97"/>
      <c r="R35" s="97">
        <v>-3409601.6</v>
      </c>
      <c r="S35" s="97">
        <f t="shared" si="4"/>
        <v>3309601.6</v>
      </c>
      <c r="T35" s="97"/>
      <c r="U35" s="97">
        <v>3175217.54</v>
      </c>
      <c r="V35" s="97"/>
      <c r="W35" s="97">
        <f t="shared" si="5"/>
        <v>134384.059999999</v>
      </c>
      <c r="X35" s="135"/>
    </row>
    <row r="36" s="1" customFormat="1" spans="1:24">
      <c r="A36" s="48"/>
      <c r="B36" s="48"/>
      <c r="C36" s="48"/>
      <c r="D36" s="48"/>
      <c r="E36" s="49"/>
      <c r="F36" s="49"/>
      <c r="G36" s="70"/>
      <c r="H36" s="70"/>
      <c r="I36" s="99">
        <v>3153077.71</v>
      </c>
      <c r="J36" s="113"/>
      <c r="K36" s="113"/>
      <c r="L36" s="98"/>
      <c r="M36" s="98"/>
      <c r="N36" s="98"/>
      <c r="O36" s="98"/>
      <c r="P36" s="98"/>
      <c r="Q36" s="98"/>
      <c r="R36" s="98"/>
      <c r="S36" s="98"/>
      <c r="T36" s="98"/>
      <c r="U36" s="98"/>
      <c r="V36" s="98"/>
      <c r="W36" s="98">
        <f t="shared" si="5"/>
        <v>0</v>
      </c>
      <c r="X36" s="135"/>
    </row>
    <row r="37" s="1" customFormat="1" spans="1:24">
      <c r="A37" s="48"/>
      <c r="B37" s="48"/>
      <c r="C37" s="48"/>
      <c r="D37" s="48"/>
      <c r="E37" s="49"/>
      <c r="F37" s="49"/>
      <c r="G37" s="71"/>
      <c r="H37" s="71"/>
      <c r="I37" s="99">
        <v>2307646.02</v>
      </c>
      <c r="J37" s="114"/>
      <c r="K37" s="114"/>
      <c r="L37" s="115"/>
      <c r="M37" s="115"/>
      <c r="N37" s="115"/>
      <c r="O37" s="115"/>
      <c r="P37" s="115"/>
      <c r="Q37" s="115"/>
      <c r="R37" s="115"/>
      <c r="S37" s="115"/>
      <c r="T37" s="115"/>
      <c r="U37" s="115"/>
      <c r="V37" s="115"/>
      <c r="W37" s="115">
        <f t="shared" si="5"/>
        <v>0</v>
      </c>
      <c r="X37" s="135"/>
    </row>
    <row r="38" s="1" customFormat="1" ht="58" customHeight="1" spans="1:24">
      <c r="A38" s="48"/>
      <c r="B38" s="48"/>
      <c r="C38" s="48"/>
      <c r="D38" s="48"/>
      <c r="E38" s="49"/>
      <c r="F38" s="49"/>
      <c r="G38" s="72" t="s">
        <v>61</v>
      </c>
      <c r="H38" s="69" t="s">
        <v>62</v>
      </c>
      <c r="I38" s="116">
        <v>12303071.5</v>
      </c>
      <c r="J38" s="117">
        <v>1594936.5</v>
      </c>
      <c r="K38" s="94">
        <f t="shared" ref="K38:K44" si="8">I38+J38</f>
        <v>13898008</v>
      </c>
      <c r="L38" s="94"/>
      <c r="M38" s="94"/>
      <c r="N38" s="94"/>
      <c r="O38" s="94">
        <v>277960.16</v>
      </c>
      <c r="P38" s="94"/>
      <c r="Q38" s="94"/>
      <c r="R38" s="94"/>
      <c r="S38" s="94">
        <f>K38-L38-M38-N38-O38+R38</f>
        <v>13620047.84</v>
      </c>
      <c r="T38" s="133"/>
      <c r="U38" s="134">
        <v>13620047.84</v>
      </c>
      <c r="V38" s="133"/>
      <c r="W38" s="133">
        <f t="shared" si="5"/>
        <v>0</v>
      </c>
      <c r="X38" s="135"/>
    </row>
    <row r="39" s="1" customFormat="1" ht="37" customHeight="1" spans="1:24">
      <c r="A39" s="48"/>
      <c r="B39" s="48"/>
      <c r="C39" s="48"/>
      <c r="D39" s="48"/>
      <c r="E39" s="49"/>
      <c r="F39" s="49"/>
      <c r="G39" s="73" t="s">
        <v>63</v>
      </c>
      <c r="H39" s="73" t="s">
        <v>64</v>
      </c>
      <c r="I39" s="99">
        <v>2877914.34</v>
      </c>
      <c r="J39" s="95">
        <v>172674.86</v>
      </c>
      <c r="K39" s="95">
        <f t="shared" si="8"/>
        <v>3050589.2</v>
      </c>
      <c r="L39" s="112"/>
      <c r="M39" s="112"/>
      <c r="N39" s="112"/>
      <c r="O39" s="112">
        <v>335960.16</v>
      </c>
      <c r="P39" s="112"/>
      <c r="Q39" s="112"/>
      <c r="R39" s="112">
        <v>0</v>
      </c>
      <c r="S39" s="112">
        <f>K39-L39-M39-N39-O39+R39+K40-600000</f>
        <v>15862047.84</v>
      </c>
      <c r="T39" s="112">
        <v>600000</v>
      </c>
      <c r="U39" s="112">
        <v>15862047.84</v>
      </c>
      <c r="V39" s="112">
        <v>600000</v>
      </c>
      <c r="W39" s="112">
        <f t="shared" si="5"/>
        <v>0</v>
      </c>
      <c r="X39" s="45"/>
    </row>
    <row r="40" s="1" customFormat="1" ht="37" customHeight="1" spans="1:24">
      <c r="A40" s="48"/>
      <c r="B40" s="48"/>
      <c r="C40" s="48"/>
      <c r="D40" s="48"/>
      <c r="E40" s="49"/>
      <c r="F40" s="49"/>
      <c r="G40" s="73"/>
      <c r="H40" s="73"/>
      <c r="I40" s="99">
        <v>12612310.83</v>
      </c>
      <c r="J40" s="95">
        <v>1135107.97</v>
      </c>
      <c r="K40" s="95">
        <f t="shared" si="8"/>
        <v>13747418.8</v>
      </c>
      <c r="L40" s="113"/>
      <c r="M40" s="113"/>
      <c r="N40" s="113"/>
      <c r="O40" s="113"/>
      <c r="P40" s="113"/>
      <c r="Q40" s="113"/>
      <c r="R40" s="113"/>
      <c r="S40" s="113"/>
      <c r="T40" s="113"/>
      <c r="U40" s="113"/>
      <c r="V40" s="113"/>
      <c r="W40" s="113">
        <f t="shared" si="5"/>
        <v>0</v>
      </c>
      <c r="X40" s="49"/>
    </row>
    <row r="41" s="1" customFormat="1" ht="30" customHeight="1" spans="1:24">
      <c r="A41" s="48"/>
      <c r="B41" s="48"/>
      <c r="C41" s="48"/>
      <c r="D41" s="48"/>
      <c r="E41" s="49"/>
      <c r="F41" s="49"/>
      <c r="G41" s="74" t="s">
        <v>65</v>
      </c>
      <c r="H41" s="74" t="s">
        <v>66</v>
      </c>
      <c r="I41" s="99">
        <v>9272888.15</v>
      </c>
      <c r="J41" s="99"/>
      <c r="K41" s="94">
        <f t="shared" si="8"/>
        <v>9272888.15</v>
      </c>
      <c r="L41" s="94">
        <v>0</v>
      </c>
      <c r="M41" s="94">
        <v>0</v>
      </c>
      <c r="N41" s="94">
        <v>0</v>
      </c>
      <c r="O41" s="94">
        <v>0</v>
      </c>
      <c r="P41" s="94"/>
      <c r="Q41" s="94"/>
      <c r="R41" s="94">
        <v>0</v>
      </c>
      <c r="S41" s="94">
        <f>K41-L41-M41-N41-O41+R41</f>
        <v>9272888.15</v>
      </c>
      <c r="T41" s="94"/>
      <c r="U41" s="94"/>
      <c r="V41" s="94"/>
      <c r="W41" s="94">
        <f t="shared" si="5"/>
        <v>9272888.15</v>
      </c>
      <c r="X41" s="145"/>
    </row>
    <row r="42" s="1" customFormat="1" ht="30" customHeight="1" spans="1:24">
      <c r="A42" s="48"/>
      <c r="B42" s="48"/>
      <c r="C42" s="48"/>
      <c r="D42" s="48"/>
      <c r="E42" s="49"/>
      <c r="F42" s="52" t="s">
        <v>296</v>
      </c>
      <c r="G42" s="53" t="s">
        <v>328</v>
      </c>
      <c r="H42" s="75" t="s">
        <v>329</v>
      </c>
      <c r="I42" s="118">
        <f>-I41</f>
        <v>-9272888.15</v>
      </c>
      <c r="J42" s="101"/>
      <c r="K42" s="101">
        <f t="shared" si="8"/>
        <v>-9272888.15</v>
      </c>
      <c r="L42" s="101"/>
      <c r="M42" s="101"/>
      <c r="N42" s="101"/>
      <c r="O42" s="101"/>
      <c r="P42" s="101"/>
      <c r="Q42" s="101"/>
      <c r="R42" s="101"/>
      <c r="S42" s="101">
        <f t="shared" ref="S42:S45" si="9">K42</f>
        <v>-9272888.15</v>
      </c>
      <c r="T42" s="101"/>
      <c r="U42" s="101"/>
      <c r="V42" s="101"/>
      <c r="W42" s="101">
        <f>S42</f>
        <v>-9272888.15</v>
      </c>
      <c r="X42" s="145"/>
    </row>
    <row r="43" s="1" customFormat="1" ht="30" customHeight="1" spans="1:24">
      <c r="A43" s="48"/>
      <c r="B43" s="48"/>
      <c r="C43" s="48"/>
      <c r="D43" s="48"/>
      <c r="E43" s="49"/>
      <c r="F43" s="52"/>
      <c r="G43" s="76" t="s">
        <v>330</v>
      </c>
      <c r="H43" s="76" t="s">
        <v>331</v>
      </c>
      <c r="I43" s="118">
        <v>8318111.97</v>
      </c>
      <c r="J43" s="118">
        <v>748630.08</v>
      </c>
      <c r="K43" s="101">
        <f t="shared" si="8"/>
        <v>9066742.05</v>
      </c>
      <c r="L43" s="101"/>
      <c r="M43" s="101"/>
      <c r="N43" s="101"/>
      <c r="O43" s="101">
        <v>201576.1</v>
      </c>
      <c r="P43" s="101"/>
      <c r="Q43" s="101"/>
      <c r="R43" s="101"/>
      <c r="S43" s="101">
        <f t="shared" si="9"/>
        <v>9066742.05</v>
      </c>
      <c r="T43" s="103"/>
      <c r="U43" s="103"/>
      <c r="V43" s="103">
        <v>1756800</v>
      </c>
      <c r="W43" s="103">
        <f>S43+S44-O43-V43</f>
        <v>8120428.7</v>
      </c>
      <c r="X43" s="145"/>
    </row>
    <row r="44" s="1" customFormat="1" ht="30" customHeight="1" spans="1:24">
      <c r="A44" s="48"/>
      <c r="B44" s="48"/>
      <c r="C44" s="48"/>
      <c r="D44" s="48"/>
      <c r="E44" s="49"/>
      <c r="F44" s="52"/>
      <c r="G44" s="76"/>
      <c r="H44" s="76"/>
      <c r="I44" s="118">
        <v>954776.18</v>
      </c>
      <c r="J44" s="118">
        <v>57286.57</v>
      </c>
      <c r="K44" s="101">
        <f t="shared" si="8"/>
        <v>1012062.75</v>
      </c>
      <c r="L44" s="101"/>
      <c r="M44" s="101"/>
      <c r="N44" s="101"/>
      <c r="O44" s="101"/>
      <c r="P44" s="101"/>
      <c r="Q44" s="101"/>
      <c r="R44" s="101"/>
      <c r="S44" s="101">
        <f t="shared" si="9"/>
        <v>1012062.75</v>
      </c>
      <c r="T44" s="106"/>
      <c r="U44" s="106"/>
      <c r="V44" s="106"/>
      <c r="W44" s="106"/>
      <c r="X44" s="145"/>
    </row>
    <row r="45" s="1" customFormat="1" ht="58" customHeight="1" spans="1:24">
      <c r="A45" s="48"/>
      <c r="B45" s="48"/>
      <c r="C45" s="48"/>
      <c r="D45" s="48"/>
      <c r="E45" s="49"/>
      <c r="F45" s="52"/>
      <c r="G45" s="388" t="s">
        <v>354</v>
      </c>
      <c r="H45" s="389" t="s">
        <v>355</v>
      </c>
      <c r="I45" s="118"/>
      <c r="J45" s="118"/>
      <c r="K45" s="101"/>
      <c r="L45" s="101"/>
      <c r="M45" s="101"/>
      <c r="N45" s="101"/>
      <c r="O45" s="101"/>
      <c r="P45" s="101"/>
      <c r="Q45" s="101"/>
      <c r="R45" s="101"/>
      <c r="S45" s="101">
        <f t="shared" si="9"/>
        <v>0</v>
      </c>
      <c r="T45" s="101"/>
      <c r="U45" s="101">
        <v>7196228.7</v>
      </c>
      <c r="V45" s="101">
        <v>924200</v>
      </c>
      <c r="W45" s="101">
        <f>-(U45+V45)</f>
        <v>-8120428.7</v>
      </c>
      <c r="X45" s="145"/>
    </row>
    <row r="46" s="1" customFormat="1" ht="29" customHeight="1" spans="1:24">
      <c r="A46" s="48"/>
      <c r="B46" s="48"/>
      <c r="C46" s="48"/>
      <c r="D46" s="48"/>
      <c r="E46" s="49"/>
      <c r="F46" s="58" t="s">
        <v>326</v>
      </c>
      <c r="G46" s="59"/>
      <c r="H46" s="60"/>
      <c r="I46" s="108">
        <f t="shared" ref="I46:W46" si="10">SUM(I34:I41)</f>
        <v>43163426</v>
      </c>
      <c r="J46" s="108">
        <f t="shared" si="10"/>
        <v>3524681.35</v>
      </c>
      <c r="K46" s="108">
        <f t="shared" si="10"/>
        <v>46688107.35</v>
      </c>
      <c r="L46" s="108">
        <f t="shared" si="10"/>
        <v>0</v>
      </c>
      <c r="M46" s="108">
        <f t="shared" si="10"/>
        <v>0</v>
      </c>
      <c r="N46" s="108">
        <f t="shared" si="10"/>
        <v>0</v>
      </c>
      <c r="O46" s="108">
        <f t="shared" si="10"/>
        <v>613920.32</v>
      </c>
      <c r="P46" s="108">
        <f t="shared" si="10"/>
        <v>0</v>
      </c>
      <c r="Q46" s="108">
        <f t="shared" si="10"/>
        <v>0</v>
      </c>
      <c r="R46" s="108">
        <f t="shared" si="10"/>
        <v>0</v>
      </c>
      <c r="S46" s="108">
        <f t="shared" si="10"/>
        <v>45474187.03</v>
      </c>
      <c r="T46" s="111">
        <f t="shared" si="10"/>
        <v>600000</v>
      </c>
      <c r="U46" s="111">
        <f t="shared" si="10"/>
        <v>36066914.82</v>
      </c>
      <c r="V46" s="111">
        <f t="shared" si="10"/>
        <v>600000</v>
      </c>
      <c r="W46" s="111">
        <f t="shared" si="10"/>
        <v>9407272.21</v>
      </c>
      <c r="X46" s="146"/>
    </row>
    <row r="47" s="1" customFormat="1" ht="29" customHeight="1" spans="1:24">
      <c r="A47" s="48"/>
      <c r="B47" s="48"/>
      <c r="C47" s="48"/>
      <c r="D47" s="48"/>
      <c r="E47" s="49"/>
      <c r="F47" s="61" t="s">
        <v>327</v>
      </c>
      <c r="G47" s="61"/>
      <c r="H47" s="61"/>
      <c r="I47" s="109">
        <f>SUM(I42:I45)</f>
        <v>-5.82076609134674e-10</v>
      </c>
      <c r="J47" s="109">
        <f t="shared" ref="I47:AA47" si="11">SUM(J42:J45)</f>
        <v>805916.65</v>
      </c>
      <c r="K47" s="109">
        <f t="shared" si="11"/>
        <v>805916.649999999</v>
      </c>
      <c r="L47" s="109">
        <f t="shared" si="11"/>
        <v>0</v>
      </c>
      <c r="M47" s="109">
        <f t="shared" si="11"/>
        <v>0</v>
      </c>
      <c r="N47" s="109">
        <f t="shared" si="11"/>
        <v>0</v>
      </c>
      <c r="O47" s="109">
        <f t="shared" si="11"/>
        <v>201576.1</v>
      </c>
      <c r="P47" s="109">
        <f t="shared" si="11"/>
        <v>0</v>
      </c>
      <c r="Q47" s="109">
        <f t="shared" si="11"/>
        <v>0</v>
      </c>
      <c r="R47" s="109">
        <f t="shared" si="11"/>
        <v>0</v>
      </c>
      <c r="S47" s="109">
        <f t="shared" si="11"/>
        <v>805916.649999999</v>
      </c>
      <c r="T47" s="109">
        <f t="shared" si="11"/>
        <v>0</v>
      </c>
      <c r="U47" s="109">
        <f t="shared" si="11"/>
        <v>7196228.7</v>
      </c>
      <c r="V47" s="109">
        <f t="shared" si="11"/>
        <v>2681000</v>
      </c>
      <c r="W47" s="109">
        <f t="shared" si="11"/>
        <v>-9272888.15</v>
      </c>
      <c r="X47" s="142"/>
    </row>
    <row r="48" s="1" customFormat="1" ht="39" customHeight="1" spans="1:24">
      <c r="A48" s="43">
        <v>4</v>
      </c>
      <c r="B48" s="43" t="s">
        <v>67</v>
      </c>
      <c r="C48" s="43" t="s">
        <v>68</v>
      </c>
      <c r="D48" s="65" t="s">
        <v>69</v>
      </c>
      <c r="E48" s="45">
        <v>31370181</v>
      </c>
      <c r="F48" s="45" t="s">
        <v>295</v>
      </c>
      <c r="G48" s="66" t="s">
        <v>70</v>
      </c>
      <c r="H48" s="66" t="s">
        <v>71</v>
      </c>
      <c r="I48" s="94"/>
      <c r="J48" s="94"/>
      <c r="K48" s="94">
        <f>I48+J48</f>
        <v>0</v>
      </c>
      <c r="L48" s="94"/>
      <c r="M48" s="94"/>
      <c r="N48" s="94"/>
      <c r="O48" s="94"/>
      <c r="P48" s="94"/>
      <c r="Q48" s="94"/>
      <c r="R48" s="94">
        <v>3137018.1</v>
      </c>
      <c r="S48" s="94">
        <f t="shared" ref="S48:S50" si="12">K48-L48-M48-N48-O48+R48</f>
        <v>3137018.1</v>
      </c>
      <c r="T48" s="94"/>
      <c r="U48" s="94">
        <v>3137018.1</v>
      </c>
      <c r="V48" s="94"/>
      <c r="W48" s="133">
        <f t="shared" ref="W48:W50" si="13">S48+T48-U48-V48</f>
        <v>0</v>
      </c>
      <c r="X48" s="135"/>
    </row>
    <row r="49" s="1" customFormat="1" ht="51" customHeight="1" spans="1:24">
      <c r="A49" s="48"/>
      <c r="B49" s="48"/>
      <c r="C49" s="48"/>
      <c r="D49" s="67"/>
      <c r="E49" s="49"/>
      <c r="F49" s="49"/>
      <c r="G49" s="66" t="s">
        <v>72</v>
      </c>
      <c r="H49" s="78" t="s">
        <v>73</v>
      </c>
      <c r="I49" s="95">
        <v>16656733.21</v>
      </c>
      <c r="J49" s="95">
        <v>2165375.39</v>
      </c>
      <c r="K49" s="95">
        <f>I49+J49</f>
        <v>18822108.6</v>
      </c>
      <c r="L49" s="95"/>
      <c r="M49" s="95"/>
      <c r="N49" s="95"/>
      <c r="O49" s="95"/>
      <c r="P49" s="95"/>
      <c r="Q49" s="95"/>
      <c r="R49" s="95">
        <v>-3137018.1</v>
      </c>
      <c r="S49" s="95">
        <f t="shared" si="12"/>
        <v>15685090.5</v>
      </c>
      <c r="T49" s="95"/>
      <c r="U49" s="95">
        <v>15685090.5</v>
      </c>
      <c r="V49" s="94"/>
      <c r="W49" s="133">
        <f t="shared" si="13"/>
        <v>0</v>
      </c>
      <c r="X49" s="135"/>
    </row>
    <row r="50" s="1" customFormat="1" ht="42" customHeight="1" spans="1:24">
      <c r="A50" s="48"/>
      <c r="B50" s="48"/>
      <c r="C50" s="48"/>
      <c r="D50" s="67"/>
      <c r="E50" s="49"/>
      <c r="F50" s="49"/>
      <c r="G50" s="79" t="s">
        <v>74</v>
      </c>
      <c r="H50" s="80" t="s">
        <v>75</v>
      </c>
      <c r="I50" s="120">
        <v>9253740.7</v>
      </c>
      <c r="J50" s="120">
        <f>K50-I50</f>
        <v>1202986.3</v>
      </c>
      <c r="K50" s="120">
        <v>10456727</v>
      </c>
      <c r="L50" s="120">
        <v>0</v>
      </c>
      <c r="M50" s="94">
        <v>0</v>
      </c>
      <c r="N50" s="94">
        <v>0</v>
      </c>
      <c r="O50" s="94">
        <v>0</v>
      </c>
      <c r="P50" s="94"/>
      <c r="Q50" s="94"/>
      <c r="R50" s="94">
        <v>0</v>
      </c>
      <c r="S50" s="94">
        <f t="shared" si="12"/>
        <v>10456727</v>
      </c>
      <c r="T50" s="94">
        <v>0</v>
      </c>
      <c r="U50" s="94">
        <v>6274036.2</v>
      </c>
      <c r="V50" s="94"/>
      <c r="W50" s="133">
        <f t="shared" si="13"/>
        <v>4182690.8</v>
      </c>
      <c r="X50" s="135"/>
    </row>
    <row r="51" s="1" customFormat="1" ht="42" customHeight="1" spans="1:24">
      <c r="A51" s="48"/>
      <c r="B51" s="48"/>
      <c r="C51" s="48"/>
      <c r="D51" s="67"/>
      <c r="E51" s="49"/>
      <c r="F51" s="52" t="s">
        <v>296</v>
      </c>
      <c r="G51" s="53" t="s">
        <v>356</v>
      </c>
      <c r="H51" s="68" t="s">
        <v>357</v>
      </c>
      <c r="I51" s="101"/>
      <c r="J51" s="101"/>
      <c r="K51" s="101"/>
      <c r="L51" s="101"/>
      <c r="M51" s="101"/>
      <c r="N51" s="101"/>
      <c r="O51" s="101"/>
      <c r="P51" s="101"/>
      <c r="Q51" s="101"/>
      <c r="R51" s="101"/>
      <c r="S51" s="101"/>
      <c r="T51" s="101"/>
      <c r="U51" s="101">
        <v>3130000</v>
      </c>
      <c r="V51" s="101"/>
      <c r="W51" s="143">
        <f>-U51</f>
        <v>-3130000</v>
      </c>
      <c r="X51" s="135"/>
    </row>
    <row r="52" s="1" customFormat="1" ht="42" customHeight="1" spans="1:24">
      <c r="A52" s="48"/>
      <c r="B52" s="48"/>
      <c r="C52" s="48"/>
      <c r="D52" s="67"/>
      <c r="E52" s="49"/>
      <c r="F52" s="52"/>
      <c r="G52" s="53"/>
      <c r="H52" s="68"/>
      <c r="I52" s="101"/>
      <c r="J52" s="101"/>
      <c r="K52" s="101"/>
      <c r="L52" s="101"/>
      <c r="M52" s="101"/>
      <c r="N52" s="101"/>
      <c r="O52" s="101"/>
      <c r="P52" s="101"/>
      <c r="Q52" s="101"/>
      <c r="R52" s="101"/>
      <c r="S52" s="101"/>
      <c r="T52" s="101"/>
      <c r="U52" s="101"/>
      <c r="V52" s="101"/>
      <c r="W52" s="143"/>
      <c r="X52" s="135"/>
    </row>
    <row r="53" s="1" customFormat="1" ht="42" customHeight="1" spans="1:24">
      <c r="A53" s="48"/>
      <c r="B53" s="48"/>
      <c r="C53" s="48"/>
      <c r="D53" s="67"/>
      <c r="E53" s="49"/>
      <c r="F53" s="52"/>
      <c r="G53" s="53"/>
      <c r="H53" s="68"/>
      <c r="I53" s="101"/>
      <c r="J53" s="101"/>
      <c r="K53" s="101"/>
      <c r="L53" s="101"/>
      <c r="M53" s="101"/>
      <c r="N53" s="101"/>
      <c r="O53" s="101"/>
      <c r="P53" s="101"/>
      <c r="Q53" s="101"/>
      <c r="R53" s="101"/>
      <c r="S53" s="101"/>
      <c r="T53" s="101"/>
      <c r="U53" s="101"/>
      <c r="V53" s="101"/>
      <c r="W53" s="143"/>
      <c r="X53" s="135"/>
    </row>
    <row r="54" s="1" customFormat="1" ht="42" customHeight="1" spans="1:24">
      <c r="A54" s="48"/>
      <c r="B54" s="48"/>
      <c r="C54" s="48"/>
      <c r="D54" s="67"/>
      <c r="E54" s="49"/>
      <c r="F54" s="52"/>
      <c r="G54" s="53"/>
      <c r="H54" s="68"/>
      <c r="I54" s="101"/>
      <c r="J54" s="101"/>
      <c r="K54" s="101"/>
      <c r="L54" s="101"/>
      <c r="M54" s="101"/>
      <c r="N54" s="101"/>
      <c r="O54" s="101"/>
      <c r="P54" s="101"/>
      <c r="Q54" s="101"/>
      <c r="R54" s="101"/>
      <c r="S54" s="101"/>
      <c r="T54" s="101"/>
      <c r="U54" s="101"/>
      <c r="V54" s="101"/>
      <c r="W54" s="143"/>
      <c r="X54" s="135"/>
    </row>
    <row r="55" s="1" customFormat="1" ht="26" customHeight="1" spans="1:24">
      <c r="A55" s="48"/>
      <c r="B55" s="48"/>
      <c r="C55" s="48"/>
      <c r="D55" s="67"/>
      <c r="E55" s="49"/>
      <c r="F55" s="58" t="s">
        <v>326</v>
      </c>
      <c r="G55" s="59"/>
      <c r="H55" s="60"/>
      <c r="I55" s="108">
        <f>SUM(I48:I50)</f>
        <v>25910473.91</v>
      </c>
      <c r="J55" s="108">
        <f>SUM(J48:J50)</f>
        <v>3368361.69</v>
      </c>
      <c r="K55" s="111">
        <f>I55+J55</f>
        <v>29278835.6</v>
      </c>
      <c r="L55" s="111"/>
      <c r="M55" s="111"/>
      <c r="N55" s="111"/>
      <c r="O55" s="111"/>
      <c r="P55" s="111"/>
      <c r="Q55" s="111"/>
      <c r="R55" s="111">
        <f t="shared" ref="R55:W55" si="14">SUM(R48:R50)</f>
        <v>0</v>
      </c>
      <c r="S55" s="147">
        <f t="shared" ref="S55:S58" si="15">K55-L55-M55-N55-O55+R55</f>
        <v>29278835.6</v>
      </c>
      <c r="T55" s="147"/>
      <c r="U55" s="111">
        <f t="shared" si="14"/>
        <v>25096144.8</v>
      </c>
      <c r="V55" s="111">
        <f t="shared" si="14"/>
        <v>0</v>
      </c>
      <c r="W55" s="111">
        <f t="shared" si="14"/>
        <v>4182690.8</v>
      </c>
      <c r="X55" s="146"/>
    </row>
    <row r="56" s="1" customFormat="1" ht="26" customHeight="1" spans="1:24">
      <c r="A56" s="48"/>
      <c r="B56" s="48"/>
      <c r="C56" s="48"/>
      <c r="D56" s="67"/>
      <c r="E56" s="81"/>
      <c r="F56" s="61" t="s">
        <v>327</v>
      </c>
      <c r="G56" s="61"/>
      <c r="H56" s="61"/>
      <c r="I56" s="109">
        <f>SUM(I51:I54)</f>
        <v>0</v>
      </c>
      <c r="J56" s="109">
        <f t="shared" ref="I56:AA56" si="16">SUM(J51:J54)</f>
        <v>0</v>
      </c>
      <c r="K56" s="109">
        <f t="shared" si="16"/>
        <v>0</v>
      </c>
      <c r="L56" s="109">
        <f t="shared" si="16"/>
        <v>0</v>
      </c>
      <c r="M56" s="109">
        <f t="shared" si="16"/>
        <v>0</v>
      </c>
      <c r="N56" s="109">
        <f t="shared" si="16"/>
        <v>0</v>
      </c>
      <c r="O56" s="109">
        <f t="shared" si="16"/>
        <v>0</v>
      </c>
      <c r="P56" s="109">
        <f t="shared" si="16"/>
        <v>0</v>
      </c>
      <c r="Q56" s="109">
        <f t="shared" si="16"/>
        <v>0</v>
      </c>
      <c r="R56" s="109">
        <f t="shared" si="16"/>
        <v>0</v>
      </c>
      <c r="S56" s="109">
        <f t="shared" si="16"/>
        <v>0</v>
      </c>
      <c r="T56" s="109">
        <f t="shared" si="16"/>
        <v>0</v>
      </c>
      <c r="U56" s="109">
        <f t="shared" si="16"/>
        <v>3130000</v>
      </c>
      <c r="V56" s="109">
        <f t="shared" si="16"/>
        <v>0</v>
      </c>
      <c r="W56" s="109">
        <f t="shared" si="16"/>
        <v>-3130000</v>
      </c>
      <c r="X56" s="146"/>
    </row>
    <row r="57" s="1" customFormat="1" ht="38" customHeight="1" spans="1:24">
      <c r="A57" s="43">
        <v>5</v>
      </c>
      <c r="B57" s="43" t="s">
        <v>76</v>
      </c>
      <c r="C57" s="43" t="s">
        <v>77</v>
      </c>
      <c r="D57" s="43" t="s">
        <v>78</v>
      </c>
      <c r="E57" s="45">
        <v>98880000</v>
      </c>
      <c r="F57" s="45" t="s">
        <v>301</v>
      </c>
      <c r="G57" s="82" t="s">
        <v>79</v>
      </c>
      <c r="H57" s="82" t="s">
        <v>80</v>
      </c>
      <c r="I57" s="94"/>
      <c r="J57" s="94"/>
      <c r="K57" s="94">
        <f>I57+J57</f>
        <v>0</v>
      </c>
      <c r="L57" s="94"/>
      <c r="M57" s="94"/>
      <c r="N57" s="94"/>
      <c r="O57" s="94"/>
      <c r="P57" s="94"/>
      <c r="Q57" s="94"/>
      <c r="R57" s="94">
        <v>9888000</v>
      </c>
      <c r="S57" s="94">
        <f t="shared" si="15"/>
        <v>9888000</v>
      </c>
      <c r="T57" s="94"/>
      <c r="U57" s="94">
        <v>9888000</v>
      </c>
      <c r="V57" s="94"/>
      <c r="W57" s="94">
        <f>S57+T57-U57-V57</f>
        <v>0</v>
      </c>
      <c r="X57" s="145"/>
    </row>
    <row r="58" s="1" customFormat="1" ht="47" customHeight="1" spans="1:24">
      <c r="A58" s="48"/>
      <c r="B58" s="48"/>
      <c r="C58" s="48"/>
      <c r="D58" s="48"/>
      <c r="E58" s="49"/>
      <c r="F58" s="49"/>
      <c r="G58" s="50" t="s">
        <v>81</v>
      </c>
      <c r="H58" s="83" t="s">
        <v>82</v>
      </c>
      <c r="I58" s="112">
        <f>K58-J58</f>
        <v>70003539.82</v>
      </c>
      <c r="J58" s="112">
        <v>9100460.18</v>
      </c>
      <c r="K58" s="112">
        <v>79104000</v>
      </c>
      <c r="L58" s="112"/>
      <c r="M58" s="112"/>
      <c r="N58" s="112"/>
      <c r="O58" s="112"/>
      <c r="P58" s="112"/>
      <c r="Q58" s="112"/>
      <c r="R58" s="112">
        <v>-9888000</v>
      </c>
      <c r="S58" s="112">
        <f t="shared" si="15"/>
        <v>69216000</v>
      </c>
      <c r="T58" s="45"/>
      <c r="U58" s="148">
        <v>29664000</v>
      </c>
      <c r="V58" s="45"/>
      <c r="W58" s="45">
        <f>S58+T58-U58-U60</f>
        <v>0</v>
      </c>
      <c r="X58" s="45"/>
    </row>
    <row r="59" s="1" customFormat="1" ht="47" customHeight="1" spans="1:24">
      <c r="A59" s="48"/>
      <c r="B59" s="48"/>
      <c r="C59" s="48"/>
      <c r="D59" s="48"/>
      <c r="E59" s="49"/>
      <c r="F59" s="49"/>
      <c r="G59" s="50" t="s">
        <v>83</v>
      </c>
      <c r="H59" s="83" t="s">
        <v>84</v>
      </c>
      <c r="I59" s="113"/>
      <c r="J59" s="113"/>
      <c r="K59" s="113"/>
      <c r="L59" s="113"/>
      <c r="M59" s="113"/>
      <c r="N59" s="113"/>
      <c r="O59" s="113"/>
      <c r="P59" s="113"/>
      <c r="Q59" s="113"/>
      <c r="R59" s="113"/>
      <c r="S59" s="113"/>
      <c r="T59" s="49"/>
      <c r="U59" s="149"/>
      <c r="V59" s="49"/>
      <c r="W59" s="49">
        <f>S59+T59-U59-V59</f>
        <v>0</v>
      </c>
      <c r="X59" s="49"/>
    </row>
    <row r="60" s="1" customFormat="1" ht="47" customHeight="1" spans="1:24">
      <c r="A60" s="48"/>
      <c r="B60" s="48"/>
      <c r="C60" s="48"/>
      <c r="D60" s="48"/>
      <c r="E60" s="49"/>
      <c r="F60" s="81"/>
      <c r="G60" s="50" t="s">
        <v>85</v>
      </c>
      <c r="H60" s="83" t="s">
        <v>86</v>
      </c>
      <c r="I60" s="114"/>
      <c r="J60" s="114"/>
      <c r="K60" s="114"/>
      <c r="L60" s="114"/>
      <c r="M60" s="114"/>
      <c r="N60" s="114"/>
      <c r="O60" s="114"/>
      <c r="P60" s="114"/>
      <c r="Q60" s="114"/>
      <c r="R60" s="114"/>
      <c r="S60" s="114"/>
      <c r="T60" s="81"/>
      <c r="U60" s="149">
        <v>39552000</v>
      </c>
      <c r="V60" s="81"/>
      <c r="W60" s="81"/>
      <c r="X60" s="81"/>
    </row>
    <row r="61" s="1" customFormat="1" ht="47" customHeight="1" spans="1:24">
      <c r="A61" s="48"/>
      <c r="B61" s="48"/>
      <c r="C61" s="48"/>
      <c r="D61" s="48"/>
      <c r="E61" s="49"/>
      <c r="F61" s="103" t="s">
        <v>319</v>
      </c>
      <c r="G61" s="53" t="s">
        <v>358</v>
      </c>
      <c r="H61" s="202" t="s">
        <v>359</v>
      </c>
      <c r="I61" s="202">
        <v>17500884.96</v>
      </c>
      <c r="J61" s="202">
        <v>2275115.04</v>
      </c>
      <c r="K61" s="202">
        <f>J61+I61</f>
        <v>19776000</v>
      </c>
      <c r="L61" s="202"/>
      <c r="M61" s="202"/>
      <c r="N61" s="202"/>
      <c r="O61" s="202"/>
      <c r="P61" s="202"/>
      <c r="Q61" s="202"/>
      <c r="R61" s="202"/>
      <c r="S61" s="202">
        <f>K61</f>
        <v>19776000</v>
      </c>
      <c r="T61" s="106"/>
      <c r="U61" s="206">
        <v>2432415.3</v>
      </c>
      <c r="V61" s="106"/>
      <c r="W61" s="106">
        <f>S61-U61</f>
        <v>17343584.7</v>
      </c>
      <c r="X61" s="81"/>
    </row>
    <row r="62" s="1" customFormat="1" ht="47" customHeight="1" spans="1:24">
      <c r="A62" s="48"/>
      <c r="B62" s="48"/>
      <c r="C62" s="48"/>
      <c r="D62" s="48"/>
      <c r="E62" s="49"/>
      <c r="F62" s="105"/>
      <c r="G62" s="53"/>
      <c r="H62" s="151"/>
      <c r="I62" s="202"/>
      <c r="J62" s="202"/>
      <c r="K62" s="202"/>
      <c r="L62" s="202"/>
      <c r="M62" s="202"/>
      <c r="N62" s="202"/>
      <c r="O62" s="202"/>
      <c r="P62" s="202"/>
      <c r="Q62" s="202"/>
      <c r="R62" s="202"/>
      <c r="S62" s="202"/>
      <c r="T62" s="106"/>
      <c r="U62" s="206"/>
      <c r="V62" s="106"/>
      <c r="W62" s="106"/>
      <c r="X62" s="81"/>
    </row>
    <row r="63" s="1" customFormat="1" ht="47" customHeight="1" spans="1:24">
      <c r="A63" s="48"/>
      <c r="B63" s="48"/>
      <c r="C63" s="48"/>
      <c r="D63" s="48"/>
      <c r="E63" s="49"/>
      <c r="F63" s="105"/>
      <c r="G63" s="53"/>
      <c r="H63" s="151"/>
      <c r="I63" s="202"/>
      <c r="J63" s="202"/>
      <c r="K63" s="202"/>
      <c r="L63" s="202"/>
      <c r="M63" s="202"/>
      <c r="N63" s="202"/>
      <c r="O63" s="202"/>
      <c r="P63" s="202"/>
      <c r="Q63" s="202"/>
      <c r="R63" s="202"/>
      <c r="S63" s="202"/>
      <c r="T63" s="106"/>
      <c r="U63" s="206"/>
      <c r="V63" s="106"/>
      <c r="W63" s="106"/>
      <c r="X63" s="81"/>
    </row>
    <row r="64" s="1" customFormat="1" ht="47" customHeight="1" spans="1:24">
      <c r="A64" s="48"/>
      <c r="B64" s="48"/>
      <c r="C64" s="48"/>
      <c r="D64" s="48"/>
      <c r="E64" s="49"/>
      <c r="F64" s="106"/>
      <c r="G64" s="53"/>
      <c r="H64" s="151"/>
      <c r="I64" s="202"/>
      <c r="J64" s="202"/>
      <c r="K64" s="202"/>
      <c r="L64" s="202"/>
      <c r="M64" s="202"/>
      <c r="N64" s="202"/>
      <c r="O64" s="202"/>
      <c r="P64" s="202"/>
      <c r="Q64" s="202"/>
      <c r="R64" s="202"/>
      <c r="S64" s="202"/>
      <c r="T64" s="106"/>
      <c r="U64" s="206"/>
      <c r="V64" s="106"/>
      <c r="W64" s="106"/>
      <c r="X64" s="81"/>
    </row>
    <row r="65" s="1" customFormat="1" ht="39" customHeight="1" spans="1:24">
      <c r="A65" s="48"/>
      <c r="B65" s="48"/>
      <c r="C65" s="48"/>
      <c r="D65" s="48"/>
      <c r="E65" s="49"/>
      <c r="F65" s="58" t="s">
        <v>326</v>
      </c>
      <c r="G65" s="59"/>
      <c r="H65" s="60"/>
      <c r="I65" s="108">
        <f t="shared" ref="I65:O65" si="17">SUM(I57:I60)</f>
        <v>70003539.82</v>
      </c>
      <c r="J65" s="108">
        <f t="shared" si="17"/>
        <v>9100460.18</v>
      </c>
      <c r="K65" s="108">
        <f t="shared" si="17"/>
        <v>79104000</v>
      </c>
      <c r="L65" s="108">
        <f t="shared" si="17"/>
        <v>0</v>
      </c>
      <c r="M65" s="108">
        <f t="shared" si="17"/>
        <v>0</v>
      </c>
      <c r="N65" s="108">
        <f t="shared" si="17"/>
        <v>0</v>
      </c>
      <c r="O65" s="108">
        <f t="shared" si="17"/>
        <v>0</v>
      </c>
      <c r="P65" s="108"/>
      <c r="Q65" s="108">
        <f t="shared" ref="Q65:U65" si="18">SUM(Q57:Q60)</f>
        <v>0</v>
      </c>
      <c r="R65" s="108">
        <f t="shared" si="18"/>
        <v>0</v>
      </c>
      <c r="S65" s="108">
        <f t="shared" si="18"/>
        <v>79104000</v>
      </c>
      <c r="T65" s="108">
        <f t="shared" si="18"/>
        <v>0</v>
      </c>
      <c r="U65" s="108">
        <f t="shared" si="18"/>
        <v>79104000</v>
      </c>
      <c r="V65" s="108"/>
      <c r="W65" s="108">
        <f>S65+T65-U65-V65</f>
        <v>0</v>
      </c>
      <c r="X65" s="188"/>
    </row>
    <row r="66" s="1" customFormat="1" ht="39" customHeight="1" spans="1:24">
      <c r="A66" s="48"/>
      <c r="B66" s="48"/>
      <c r="C66" s="48"/>
      <c r="D66" s="48"/>
      <c r="E66" s="49"/>
      <c r="F66" s="61" t="s">
        <v>327</v>
      </c>
      <c r="G66" s="61"/>
      <c r="H66" s="61"/>
      <c r="I66" s="109">
        <f>SUM(I61:I64)</f>
        <v>17500884.96</v>
      </c>
      <c r="J66" s="109">
        <f t="shared" ref="I66:AA66" si="19">SUM(J61:J64)</f>
        <v>2275115.04</v>
      </c>
      <c r="K66" s="109">
        <f t="shared" si="19"/>
        <v>19776000</v>
      </c>
      <c r="L66" s="109">
        <f t="shared" si="19"/>
        <v>0</v>
      </c>
      <c r="M66" s="109">
        <f t="shared" si="19"/>
        <v>0</v>
      </c>
      <c r="N66" s="109">
        <f t="shared" si="19"/>
        <v>0</v>
      </c>
      <c r="O66" s="109">
        <f t="shared" si="19"/>
        <v>0</v>
      </c>
      <c r="P66" s="109">
        <f t="shared" si="19"/>
        <v>0</v>
      </c>
      <c r="Q66" s="109">
        <f t="shared" si="19"/>
        <v>0</v>
      </c>
      <c r="R66" s="109">
        <f t="shared" si="19"/>
        <v>0</v>
      </c>
      <c r="S66" s="109">
        <f t="shared" si="19"/>
        <v>19776000</v>
      </c>
      <c r="T66" s="109">
        <f t="shared" si="19"/>
        <v>0</v>
      </c>
      <c r="U66" s="109">
        <f t="shared" si="19"/>
        <v>2432415.3</v>
      </c>
      <c r="V66" s="109">
        <f t="shared" si="19"/>
        <v>0</v>
      </c>
      <c r="W66" s="109">
        <f t="shared" si="19"/>
        <v>17343584.7</v>
      </c>
      <c r="X66" s="188"/>
    </row>
    <row r="67" s="1" customFormat="1" ht="39" customHeight="1" spans="1:24">
      <c r="A67" s="43">
        <v>6</v>
      </c>
      <c r="B67" s="44" t="s">
        <v>87</v>
      </c>
      <c r="C67" s="43" t="s">
        <v>88</v>
      </c>
      <c r="D67" s="44" t="s">
        <v>35</v>
      </c>
      <c r="E67" s="45">
        <v>950000</v>
      </c>
      <c r="F67" s="46">
        <v>285000</v>
      </c>
      <c r="G67" s="152" t="s">
        <v>89</v>
      </c>
      <c r="H67" s="66" t="s">
        <v>90</v>
      </c>
      <c r="I67" s="94">
        <v>627358.49</v>
      </c>
      <c r="J67" s="94">
        <v>37641.51</v>
      </c>
      <c r="K67" s="94">
        <f t="shared" ref="K67:K79" si="20">I67+J67</f>
        <v>665000</v>
      </c>
      <c r="L67" s="94"/>
      <c r="M67" s="94"/>
      <c r="N67" s="94"/>
      <c r="O67" s="94"/>
      <c r="P67" s="94"/>
      <c r="Q67" s="94"/>
      <c r="R67" s="94"/>
      <c r="S67" s="94">
        <f t="shared" ref="S67:S90" si="21">K67-L67-M67-N67-O67+R67</f>
        <v>665000</v>
      </c>
      <c r="T67" s="94"/>
      <c r="U67" s="94">
        <v>665000</v>
      </c>
      <c r="V67" s="94"/>
      <c r="W67" s="94">
        <f t="shared" ref="W65:W90" si="22">S67+T67-U67-V67</f>
        <v>0</v>
      </c>
      <c r="X67" s="145"/>
    </row>
    <row r="68" s="1" customFormat="1" ht="20" customHeight="1" spans="1:24">
      <c r="A68" s="153"/>
      <c r="B68" s="153"/>
      <c r="C68" s="153"/>
      <c r="D68" s="153"/>
      <c r="E68" s="81"/>
      <c r="F68" s="46"/>
      <c r="G68" s="154" t="s">
        <v>46</v>
      </c>
      <c r="H68" s="155"/>
      <c r="I68" s="108">
        <f t="shared" ref="I68:K68" si="23">SUM(I67)</f>
        <v>627358.49</v>
      </c>
      <c r="J68" s="111">
        <f t="shared" si="23"/>
        <v>37641.51</v>
      </c>
      <c r="K68" s="111">
        <f t="shared" si="23"/>
        <v>665000</v>
      </c>
      <c r="L68" s="111"/>
      <c r="M68" s="111"/>
      <c r="N68" s="111"/>
      <c r="O68" s="111"/>
      <c r="P68" s="111"/>
      <c r="Q68" s="111"/>
      <c r="R68" s="111">
        <f t="shared" ref="R68:W68" si="24">SUM(R67)</f>
        <v>0</v>
      </c>
      <c r="S68" s="147">
        <f t="shared" si="21"/>
        <v>665000</v>
      </c>
      <c r="T68" s="147"/>
      <c r="U68" s="111">
        <f t="shared" si="24"/>
        <v>665000</v>
      </c>
      <c r="V68" s="111">
        <f t="shared" si="24"/>
        <v>0</v>
      </c>
      <c r="W68" s="111">
        <f t="shared" si="24"/>
        <v>0</v>
      </c>
      <c r="X68" s="146"/>
    </row>
    <row r="69" s="1" customFormat="1" ht="84" customHeight="1" spans="1:24">
      <c r="A69" s="156">
        <v>7</v>
      </c>
      <c r="B69" s="157" t="s">
        <v>91</v>
      </c>
      <c r="C69" s="158" t="s">
        <v>92</v>
      </c>
      <c r="D69" s="157" t="s">
        <v>93</v>
      </c>
      <c r="E69" s="145">
        <v>299000</v>
      </c>
      <c r="F69" s="145">
        <v>89700</v>
      </c>
      <c r="G69" s="66" t="s">
        <v>94</v>
      </c>
      <c r="H69" s="66" t="s">
        <v>95</v>
      </c>
      <c r="I69" s="94">
        <v>197452.83</v>
      </c>
      <c r="J69" s="94">
        <v>11847.17</v>
      </c>
      <c r="K69" s="94">
        <f t="shared" si="20"/>
        <v>209300</v>
      </c>
      <c r="L69" s="94"/>
      <c r="M69" s="94"/>
      <c r="N69" s="94"/>
      <c r="O69" s="94"/>
      <c r="P69" s="94"/>
      <c r="Q69" s="94"/>
      <c r="R69" s="94"/>
      <c r="S69" s="94">
        <f t="shared" si="21"/>
        <v>209300</v>
      </c>
      <c r="T69" s="94"/>
      <c r="U69" s="94">
        <v>209300</v>
      </c>
      <c r="V69" s="94"/>
      <c r="W69" s="94">
        <f t="shared" si="22"/>
        <v>0</v>
      </c>
      <c r="X69" s="145"/>
    </row>
    <row r="70" s="1" customFormat="1" ht="36" customHeight="1" spans="1:24">
      <c r="A70" s="156">
        <v>8</v>
      </c>
      <c r="B70" s="157" t="s">
        <v>96</v>
      </c>
      <c r="C70" s="158" t="s">
        <v>97</v>
      </c>
      <c r="D70" s="157" t="s">
        <v>98</v>
      </c>
      <c r="E70" s="145">
        <v>75800</v>
      </c>
      <c r="F70" s="145">
        <v>37900</v>
      </c>
      <c r="G70" s="66" t="s">
        <v>99</v>
      </c>
      <c r="H70" s="66" t="s">
        <v>100</v>
      </c>
      <c r="I70" s="94">
        <v>35754.72</v>
      </c>
      <c r="J70" s="94">
        <v>2145.28</v>
      </c>
      <c r="K70" s="94">
        <f t="shared" si="20"/>
        <v>37900</v>
      </c>
      <c r="L70" s="94"/>
      <c r="M70" s="94"/>
      <c r="N70" s="94"/>
      <c r="O70" s="94"/>
      <c r="P70" s="94"/>
      <c r="Q70" s="94"/>
      <c r="R70" s="94"/>
      <c r="S70" s="94">
        <f t="shared" si="21"/>
        <v>37900</v>
      </c>
      <c r="T70" s="94"/>
      <c r="U70" s="94">
        <f t="shared" ref="U70:U76" si="25">K70+R70</f>
        <v>37900</v>
      </c>
      <c r="V70" s="94"/>
      <c r="W70" s="94">
        <f t="shared" si="22"/>
        <v>0</v>
      </c>
      <c r="X70" s="145"/>
    </row>
    <row r="71" s="1" customFormat="1" ht="45" customHeight="1" spans="1:24">
      <c r="A71" s="156">
        <v>9</v>
      </c>
      <c r="B71" s="157" t="s">
        <v>101</v>
      </c>
      <c r="C71" s="158" t="s">
        <v>102</v>
      </c>
      <c r="D71" s="157" t="s">
        <v>103</v>
      </c>
      <c r="E71" s="145">
        <v>139000</v>
      </c>
      <c r="F71" s="145">
        <v>0</v>
      </c>
      <c r="G71" s="66" t="s">
        <v>104</v>
      </c>
      <c r="H71" s="66" t="s">
        <v>105</v>
      </c>
      <c r="I71" s="94">
        <v>131132.08</v>
      </c>
      <c r="J71" s="94">
        <v>7867.92000000001</v>
      </c>
      <c r="K71" s="94">
        <f t="shared" si="20"/>
        <v>139000</v>
      </c>
      <c r="L71" s="94"/>
      <c r="M71" s="94"/>
      <c r="N71" s="94"/>
      <c r="O71" s="94"/>
      <c r="P71" s="94"/>
      <c r="Q71" s="94"/>
      <c r="R71" s="94"/>
      <c r="S71" s="94">
        <f t="shared" si="21"/>
        <v>139000</v>
      </c>
      <c r="T71" s="94"/>
      <c r="U71" s="94">
        <f t="shared" si="25"/>
        <v>139000</v>
      </c>
      <c r="V71" s="94"/>
      <c r="W71" s="94">
        <f t="shared" si="22"/>
        <v>0</v>
      </c>
      <c r="X71" s="145"/>
    </row>
    <row r="72" s="1" customFormat="1" ht="36" customHeight="1" spans="1:24">
      <c r="A72" s="156">
        <v>10</v>
      </c>
      <c r="B72" s="157" t="s">
        <v>106</v>
      </c>
      <c r="C72" s="158" t="s">
        <v>107</v>
      </c>
      <c r="D72" s="157" t="s">
        <v>108</v>
      </c>
      <c r="E72" s="145">
        <v>147000</v>
      </c>
      <c r="F72" s="145">
        <v>58800</v>
      </c>
      <c r="G72" s="66" t="s">
        <v>109</v>
      </c>
      <c r="H72" s="66" t="s">
        <v>110</v>
      </c>
      <c r="I72" s="94">
        <v>83207.55</v>
      </c>
      <c r="J72" s="94">
        <v>4992.45</v>
      </c>
      <c r="K72" s="94">
        <f t="shared" si="20"/>
        <v>88200</v>
      </c>
      <c r="L72" s="94"/>
      <c r="M72" s="94"/>
      <c r="N72" s="94"/>
      <c r="O72" s="94"/>
      <c r="P72" s="94"/>
      <c r="Q72" s="94"/>
      <c r="R72" s="94"/>
      <c r="S72" s="94">
        <f t="shared" si="21"/>
        <v>88200</v>
      </c>
      <c r="T72" s="94"/>
      <c r="U72" s="94">
        <f t="shared" si="25"/>
        <v>88200</v>
      </c>
      <c r="V72" s="94"/>
      <c r="W72" s="94">
        <f t="shared" si="22"/>
        <v>0</v>
      </c>
      <c r="X72" s="145"/>
    </row>
    <row r="73" s="1" customFormat="1" ht="36" customHeight="1" spans="1:24">
      <c r="A73" s="156">
        <v>11</v>
      </c>
      <c r="B73" s="157" t="s">
        <v>111</v>
      </c>
      <c r="C73" s="158" t="s">
        <v>112</v>
      </c>
      <c r="D73" s="157" t="s">
        <v>113</v>
      </c>
      <c r="E73" s="145">
        <v>350000</v>
      </c>
      <c r="F73" s="145">
        <v>175000</v>
      </c>
      <c r="G73" s="66" t="s">
        <v>114</v>
      </c>
      <c r="H73" s="66" t="s">
        <v>115</v>
      </c>
      <c r="I73" s="94">
        <v>165094.34</v>
      </c>
      <c r="J73" s="94">
        <v>9905.66</v>
      </c>
      <c r="K73" s="94">
        <f t="shared" si="20"/>
        <v>175000</v>
      </c>
      <c r="L73" s="94"/>
      <c r="M73" s="94"/>
      <c r="N73" s="94"/>
      <c r="O73" s="94"/>
      <c r="P73" s="94"/>
      <c r="Q73" s="94"/>
      <c r="R73" s="94"/>
      <c r="S73" s="94">
        <f t="shared" si="21"/>
        <v>175000</v>
      </c>
      <c r="T73" s="94"/>
      <c r="U73" s="94">
        <f t="shared" si="25"/>
        <v>175000</v>
      </c>
      <c r="V73" s="94"/>
      <c r="W73" s="94">
        <f t="shared" si="22"/>
        <v>0</v>
      </c>
      <c r="X73" s="145"/>
    </row>
    <row r="74" s="1" customFormat="1" ht="71" customHeight="1" spans="1:24">
      <c r="A74" s="156">
        <v>12</v>
      </c>
      <c r="B74" s="157" t="s">
        <v>116</v>
      </c>
      <c r="C74" s="158" t="s">
        <v>117</v>
      </c>
      <c r="D74" s="157" t="s">
        <v>113</v>
      </c>
      <c r="E74" s="145">
        <v>372000</v>
      </c>
      <c r="F74" s="145"/>
      <c r="G74" s="66" t="s">
        <v>118</v>
      </c>
      <c r="H74" s="66" t="s">
        <v>119</v>
      </c>
      <c r="I74" s="94">
        <v>350943.4</v>
      </c>
      <c r="J74" s="94">
        <v>21056.6</v>
      </c>
      <c r="K74" s="94">
        <f t="shared" si="20"/>
        <v>372000</v>
      </c>
      <c r="L74" s="94"/>
      <c r="M74" s="94"/>
      <c r="N74" s="94"/>
      <c r="O74" s="94"/>
      <c r="P74" s="94"/>
      <c r="Q74" s="94"/>
      <c r="R74" s="94"/>
      <c r="S74" s="94">
        <f t="shared" si="21"/>
        <v>372000</v>
      </c>
      <c r="T74" s="94"/>
      <c r="U74" s="94">
        <f t="shared" si="25"/>
        <v>372000</v>
      </c>
      <c r="V74" s="94"/>
      <c r="W74" s="94">
        <f t="shared" si="22"/>
        <v>0</v>
      </c>
      <c r="X74" s="145"/>
    </row>
    <row r="75" s="1" customFormat="1" ht="59" customHeight="1" spans="1:24">
      <c r="A75" s="156">
        <v>13</v>
      </c>
      <c r="B75" s="157" t="s">
        <v>120</v>
      </c>
      <c r="C75" s="157" t="s">
        <v>121</v>
      </c>
      <c r="D75" s="157" t="s">
        <v>122</v>
      </c>
      <c r="E75" s="145">
        <v>472680</v>
      </c>
      <c r="F75" s="145"/>
      <c r="G75" s="66" t="s">
        <v>123</v>
      </c>
      <c r="H75" s="66" t="s">
        <v>124</v>
      </c>
      <c r="I75" s="94">
        <v>472680</v>
      </c>
      <c r="J75" s="94">
        <v>0</v>
      </c>
      <c r="K75" s="94">
        <f t="shared" si="20"/>
        <v>472680</v>
      </c>
      <c r="L75" s="94"/>
      <c r="M75" s="94"/>
      <c r="N75" s="94"/>
      <c r="O75" s="94"/>
      <c r="P75" s="94"/>
      <c r="Q75" s="94"/>
      <c r="R75" s="94"/>
      <c r="S75" s="94">
        <f t="shared" si="21"/>
        <v>472680</v>
      </c>
      <c r="T75" s="94"/>
      <c r="U75" s="94">
        <f t="shared" si="25"/>
        <v>472680</v>
      </c>
      <c r="V75" s="94"/>
      <c r="W75" s="94">
        <f t="shared" si="22"/>
        <v>0</v>
      </c>
      <c r="X75" s="145"/>
    </row>
    <row r="76" s="1" customFormat="1" ht="36" customHeight="1" spans="1:24">
      <c r="A76" s="43">
        <v>14</v>
      </c>
      <c r="B76" s="44" t="s">
        <v>125</v>
      </c>
      <c r="C76" s="43" t="s">
        <v>126</v>
      </c>
      <c r="D76" s="44" t="s">
        <v>127</v>
      </c>
      <c r="E76" s="45">
        <v>20718782.9686351</v>
      </c>
      <c r="F76" s="45"/>
      <c r="G76" s="159" t="s">
        <v>128</v>
      </c>
      <c r="H76" s="160" t="s">
        <v>129</v>
      </c>
      <c r="I76" s="94">
        <v>10000000</v>
      </c>
      <c r="J76" s="94">
        <v>0</v>
      </c>
      <c r="K76" s="94">
        <f t="shared" si="20"/>
        <v>10000000</v>
      </c>
      <c r="L76" s="94">
        <v>0</v>
      </c>
      <c r="M76" s="94">
        <v>0</v>
      </c>
      <c r="N76" s="94">
        <v>0</v>
      </c>
      <c r="O76" s="94">
        <v>0</v>
      </c>
      <c r="P76" s="94"/>
      <c r="Q76" s="94"/>
      <c r="R76" s="94">
        <v>0</v>
      </c>
      <c r="S76" s="94">
        <f t="shared" si="21"/>
        <v>10000000</v>
      </c>
      <c r="T76" s="94"/>
      <c r="U76" s="94">
        <f t="shared" si="25"/>
        <v>10000000</v>
      </c>
      <c r="V76" s="94"/>
      <c r="W76" s="94">
        <f t="shared" si="22"/>
        <v>0</v>
      </c>
      <c r="X76" s="145"/>
    </row>
    <row r="77" s="17" customFormat="1" ht="36" customHeight="1" spans="1:24">
      <c r="A77" s="153"/>
      <c r="B77" s="153"/>
      <c r="C77" s="153"/>
      <c r="D77" s="153"/>
      <c r="E77" s="81"/>
      <c r="F77" s="81"/>
      <c r="G77" s="159" t="s">
        <v>130</v>
      </c>
      <c r="H77" s="161" t="s">
        <v>131</v>
      </c>
      <c r="I77" s="94">
        <v>8350000</v>
      </c>
      <c r="J77" s="94">
        <v>0</v>
      </c>
      <c r="K77" s="94">
        <f t="shared" si="20"/>
        <v>8350000</v>
      </c>
      <c r="L77" s="94">
        <v>0</v>
      </c>
      <c r="M77" s="94">
        <v>0</v>
      </c>
      <c r="N77" s="94">
        <v>0</v>
      </c>
      <c r="O77" s="94">
        <v>0</v>
      </c>
      <c r="P77" s="94"/>
      <c r="Q77" s="94"/>
      <c r="R77" s="94">
        <v>0</v>
      </c>
      <c r="S77" s="94">
        <f t="shared" si="21"/>
        <v>8350000</v>
      </c>
      <c r="T77" s="94"/>
      <c r="U77" s="94">
        <v>8350000</v>
      </c>
      <c r="V77" s="94"/>
      <c r="W77" s="94">
        <f t="shared" si="22"/>
        <v>0</v>
      </c>
      <c r="X77" s="145"/>
    </row>
    <row r="78" s="1" customFormat="1" ht="97" customHeight="1" spans="1:24">
      <c r="A78" s="156">
        <v>15</v>
      </c>
      <c r="B78" s="157" t="s">
        <v>132</v>
      </c>
      <c r="C78" s="157" t="s">
        <v>133</v>
      </c>
      <c r="D78" s="157" t="s">
        <v>134</v>
      </c>
      <c r="E78" s="145">
        <v>125290</v>
      </c>
      <c r="F78" s="145"/>
      <c r="G78" s="66" t="s">
        <v>135</v>
      </c>
      <c r="H78" s="66" t="s">
        <v>136</v>
      </c>
      <c r="I78" s="94">
        <v>125290</v>
      </c>
      <c r="J78" s="94"/>
      <c r="K78" s="94">
        <f t="shared" si="20"/>
        <v>125290</v>
      </c>
      <c r="L78" s="94"/>
      <c r="M78" s="94"/>
      <c r="N78" s="94"/>
      <c r="O78" s="94"/>
      <c r="P78" s="94"/>
      <c r="Q78" s="94"/>
      <c r="R78" s="94"/>
      <c r="S78" s="94">
        <f t="shared" si="21"/>
        <v>125290</v>
      </c>
      <c r="T78" s="94"/>
      <c r="U78" s="94">
        <f t="shared" ref="U78:U87" si="26">K78+R78</f>
        <v>125290</v>
      </c>
      <c r="V78" s="94"/>
      <c r="W78" s="94">
        <f t="shared" si="22"/>
        <v>0</v>
      </c>
      <c r="X78" s="145"/>
    </row>
    <row r="79" s="1" customFormat="1" ht="36" customHeight="1" spans="1:24">
      <c r="A79" s="156">
        <v>16</v>
      </c>
      <c r="B79" s="157" t="s">
        <v>137</v>
      </c>
      <c r="C79" s="158" t="s">
        <v>138</v>
      </c>
      <c r="D79" s="157" t="s">
        <v>139</v>
      </c>
      <c r="E79" s="145">
        <v>750000</v>
      </c>
      <c r="F79" s="145">
        <v>300000</v>
      </c>
      <c r="G79" s="66" t="s">
        <v>140</v>
      </c>
      <c r="H79" s="66" t="s">
        <v>141</v>
      </c>
      <c r="I79" s="94">
        <v>424528.3</v>
      </c>
      <c r="J79" s="94">
        <v>25471.7</v>
      </c>
      <c r="K79" s="94">
        <f t="shared" si="20"/>
        <v>450000</v>
      </c>
      <c r="L79" s="94"/>
      <c r="M79" s="94"/>
      <c r="N79" s="94"/>
      <c r="O79" s="94"/>
      <c r="P79" s="94"/>
      <c r="Q79" s="94"/>
      <c r="R79" s="94"/>
      <c r="S79" s="94">
        <f t="shared" si="21"/>
        <v>450000</v>
      </c>
      <c r="T79" s="94"/>
      <c r="U79" s="94">
        <f t="shared" si="26"/>
        <v>450000</v>
      </c>
      <c r="V79" s="94"/>
      <c r="W79" s="94">
        <f t="shared" si="22"/>
        <v>0</v>
      </c>
      <c r="X79" s="145"/>
    </row>
    <row r="80" s="17" customFormat="1" ht="36" customHeight="1" spans="1:24">
      <c r="A80" s="156">
        <v>17</v>
      </c>
      <c r="B80" s="157" t="s">
        <v>142</v>
      </c>
      <c r="C80" s="158" t="s">
        <v>143</v>
      </c>
      <c r="D80" s="157" t="s">
        <v>144</v>
      </c>
      <c r="E80" s="145">
        <v>95000</v>
      </c>
      <c r="F80" s="145"/>
      <c r="G80" s="74" t="s">
        <v>145</v>
      </c>
      <c r="H80" s="74" t="s">
        <v>146</v>
      </c>
      <c r="I80" s="94">
        <f>K80-J80</f>
        <v>89622.64</v>
      </c>
      <c r="J80" s="94">
        <v>5377.36</v>
      </c>
      <c r="K80" s="94">
        <v>95000</v>
      </c>
      <c r="L80" s="94">
        <v>0</v>
      </c>
      <c r="M80" s="94">
        <v>0</v>
      </c>
      <c r="N80" s="94">
        <v>0</v>
      </c>
      <c r="O80" s="94">
        <v>0</v>
      </c>
      <c r="P80" s="94"/>
      <c r="Q80" s="94"/>
      <c r="R80" s="94">
        <v>0</v>
      </c>
      <c r="S80" s="94">
        <f t="shared" si="21"/>
        <v>95000</v>
      </c>
      <c r="T80" s="94"/>
      <c r="U80" s="94">
        <f t="shared" si="26"/>
        <v>95000</v>
      </c>
      <c r="V80" s="94"/>
      <c r="W80" s="94">
        <f t="shared" si="22"/>
        <v>0</v>
      </c>
      <c r="X80" s="145"/>
    </row>
    <row r="81" s="17" customFormat="1" ht="36" customHeight="1" spans="1:24">
      <c r="A81" s="156">
        <v>18</v>
      </c>
      <c r="B81" s="157" t="s">
        <v>147</v>
      </c>
      <c r="C81" s="157" t="s">
        <v>148</v>
      </c>
      <c r="D81" s="157" t="s">
        <v>149</v>
      </c>
      <c r="E81" s="145">
        <v>680000</v>
      </c>
      <c r="F81" s="145"/>
      <c r="G81" s="50" t="s">
        <v>150</v>
      </c>
      <c r="H81" s="66" t="s">
        <v>151</v>
      </c>
      <c r="I81" s="94">
        <f>K81-J81</f>
        <v>641509.43</v>
      </c>
      <c r="J81" s="94">
        <v>38490.57</v>
      </c>
      <c r="K81" s="94">
        <v>680000</v>
      </c>
      <c r="L81" s="94">
        <v>0</v>
      </c>
      <c r="M81" s="94">
        <v>0</v>
      </c>
      <c r="N81" s="94">
        <v>0</v>
      </c>
      <c r="O81" s="94">
        <v>0</v>
      </c>
      <c r="P81" s="94"/>
      <c r="Q81" s="94"/>
      <c r="R81" s="94">
        <v>0</v>
      </c>
      <c r="S81" s="94">
        <f t="shared" si="21"/>
        <v>680000</v>
      </c>
      <c r="T81" s="94"/>
      <c r="U81" s="94">
        <f t="shared" si="26"/>
        <v>680000</v>
      </c>
      <c r="V81" s="94"/>
      <c r="W81" s="94">
        <f t="shared" si="22"/>
        <v>0</v>
      </c>
      <c r="X81" s="145"/>
    </row>
    <row r="82" s="1" customFormat="1" ht="46" customHeight="1" spans="1:24">
      <c r="A82" s="156">
        <v>19</v>
      </c>
      <c r="B82" s="157" t="s">
        <v>152</v>
      </c>
      <c r="C82" s="158" t="s">
        <v>153</v>
      </c>
      <c r="D82" s="165" t="s">
        <v>154</v>
      </c>
      <c r="E82" s="145">
        <v>150000</v>
      </c>
      <c r="F82" s="145"/>
      <c r="G82" s="66" t="s">
        <v>155</v>
      </c>
      <c r="H82" s="66" t="s">
        <v>156</v>
      </c>
      <c r="I82" s="94">
        <v>141509.43</v>
      </c>
      <c r="J82" s="94">
        <v>8490.57000000001</v>
      </c>
      <c r="K82" s="94">
        <f t="shared" ref="K82:K85" si="27">I82+J82</f>
        <v>150000</v>
      </c>
      <c r="L82" s="94"/>
      <c r="M82" s="94"/>
      <c r="N82" s="94"/>
      <c r="O82" s="94"/>
      <c r="P82" s="94"/>
      <c r="Q82" s="94"/>
      <c r="R82" s="94"/>
      <c r="S82" s="94">
        <f t="shared" si="21"/>
        <v>150000</v>
      </c>
      <c r="T82" s="94"/>
      <c r="U82" s="94">
        <f t="shared" si="26"/>
        <v>150000</v>
      </c>
      <c r="V82" s="94"/>
      <c r="W82" s="94">
        <f t="shared" si="22"/>
        <v>0</v>
      </c>
      <c r="X82" s="145"/>
    </row>
    <row r="83" s="1" customFormat="1" ht="69" customHeight="1" spans="1:24">
      <c r="A83" s="156">
        <v>20</v>
      </c>
      <c r="B83" s="157" t="s">
        <v>157</v>
      </c>
      <c r="C83" s="158" t="s">
        <v>158</v>
      </c>
      <c r="D83" s="157" t="s">
        <v>159</v>
      </c>
      <c r="E83" s="145">
        <v>238000</v>
      </c>
      <c r="F83" s="145"/>
      <c r="G83" s="66" t="s">
        <v>160</v>
      </c>
      <c r="H83" s="66" t="s">
        <v>161</v>
      </c>
      <c r="I83" s="94">
        <v>231067.96</v>
      </c>
      <c r="J83" s="94">
        <v>6932.04000000001</v>
      </c>
      <c r="K83" s="94">
        <f t="shared" si="27"/>
        <v>238000</v>
      </c>
      <c r="L83" s="94"/>
      <c r="M83" s="94"/>
      <c r="N83" s="94"/>
      <c r="O83" s="94"/>
      <c r="P83" s="94"/>
      <c r="Q83" s="94"/>
      <c r="R83" s="94"/>
      <c r="S83" s="94">
        <f t="shared" si="21"/>
        <v>238000</v>
      </c>
      <c r="T83" s="94"/>
      <c r="U83" s="94">
        <f t="shared" si="26"/>
        <v>238000</v>
      </c>
      <c r="V83" s="94"/>
      <c r="W83" s="94">
        <f t="shared" si="22"/>
        <v>0</v>
      </c>
      <c r="X83" s="145"/>
    </row>
    <row r="84" s="1" customFormat="1" ht="60" customHeight="1" spans="1:24">
      <c r="A84" s="156">
        <v>21</v>
      </c>
      <c r="B84" s="157" t="s">
        <v>162</v>
      </c>
      <c r="C84" s="158" t="s">
        <v>163</v>
      </c>
      <c r="D84" s="157" t="s">
        <v>159</v>
      </c>
      <c r="E84" s="145">
        <v>180000</v>
      </c>
      <c r="F84" s="145"/>
      <c r="G84" s="66" t="s">
        <v>164</v>
      </c>
      <c r="H84" s="66" t="s">
        <v>165</v>
      </c>
      <c r="I84" s="94">
        <v>174757.28</v>
      </c>
      <c r="J84" s="94">
        <v>5242.72</v>
      </c>
      <c r="K84" s="94">
        <f t="shared" si="27"/>
        <v>180000</v>
      </c>
      <c r="L84" s="94"/>
      <c r="M84" s="94"/>
      <c r="N84" s="94"/>
      <c r="O84" s="94"/>
      <c r="P84" s="94"/>
      <c r="Q84" s="94"/>
      <c r="R84" s="94"/>
      <c r="S84" s="94">
        <f t="shared" si="21"/>
        <v>180000</v>
      </c>
      <c r="T84" s="94"/>
      <c r="U84" s="94">
        <f t="shared" si="26"/>
        <v>180000</v>
      </c>
      <c r="V84" s="94"/>
      <c r="W84" s="94">
        <f t="shared" si="22"/>
        <v>0</v>
      </c>
      <c r="X84" s="145"/>
    </row>
    <row r="85" s="1" customFormat="1" ht="53" customHeight="1" spans="1:24">
      <c r="A85" s="156">
        <v>22</v>
      </c>
      <c r="B85" s="157" t="s">
        <v>166</v>
      </c>
      <c r="C85" s="496" t="s">
        <v>167</v>
      </c>
      <c r="D85" s="157" t="s">
        <v>168</v>
      </c>
      <c r="E85" s="145">
        <v>168838.18</v>
      </c>
      <c r="F85" s="145"/>
      <c r="G85" s="66" t="s">
        <v>169</v>
      </c>
      <c r="H85" s="66" t="s">
        <v>170</v>
      </c>
      <c r="I85" s="94">
        <v>159281.3</v>
      </c>
      <c r="J85" s="94">
        <v>9556.88</v>
      </c>
      <c r="K85" s="94">
        <f t="shared" si="27"/>
        <v>168838.18</v>
      </c>
      <c r="L85" s="94"/>
      <c r="M85" s="94"/>
      <c r="N85" s="94"/>
      <c r="O85" s="94"/>
      <c r="P85" s="94"/>
      <c r="Q85" s="94"/>
      <c r="R85" s="94"/>
      <c r="S85" s="94">
        <f t="shared" si="21"/>
        <v>168838.18</v>
      </c>
      <c r="T85" s="94"/>
      <c r="U85" s="94">
        <f t="shared" si="26"/>
        <v>168838.18</v>
      </c>
      <c r="V85" s="94"/>
      <c r="W85" s="94">
        <f t="shared" si="22"/>
        <v>0</v>
      </c>
      <c r="X85" s="145"/>
    </row>
    <row r="86" s="17" customFormat="1" ht="47" customHeight="1" spans="1:24">
      <c r="A86" s="156">
        <v>23</v>
      </c>
      <c r="B86" s="157" t="s">
        <v>171</v>
      </c>
      <c r="C86" s="158" t="s">
        <v>172</v>
      </c>
      <c r="D86" s="157" t="s">
        <v>173</v>
      </c>
      <c r="E86" s="145">
        <v>533200</v>
      </c>
      <c r="F86" s="145"/>
      <c r="G86" s="50" t="s">
        <v>174</v>
      </c>
      <c r="H86" s="66" t="s">
        <v>175</v>
      </c>
      <c r="I86" s="94">
        <v>471858.4</v>
      </c>
      <c r="J86" s="94">
        <f>K86-I86</f>
        <v>61341.6</v>
      </c>
      <c r="K86" s="94">
        <v>533200</v>
      </c>
      <c r="L86" s="94">
        <v>0</v>
      </c>
      <c r="M86" s="94">
        <v>0</v>
      </c>
      <c r="N86" s="94">
        <v>0</v>
      </c>
      <c r="O86" s="94">
        <v>0</v>
      </c>
      <c r="P86" s="94"/>
      <c r="Q86" s="94"/>
      <c r="R86" s="94">
        <v>0</v>
      </c>
      <c r="S86" s="94">
        <f t="shared" si="21"/>
        <v>533200</v>
      </c>
      <c r="T86" s="94"/>
      <c r="U86" s="94">
        <f t="shared" si="26"/>
        <v>533200</v>
      </c>
      <c r="V86" s="94"/>
      <c r="W86" s="94">
        <f t="shared" si="22"/>
        <v>0</v>
      </c>
      <c r="X86" s="145"/>
    </row>
    <row r="87" s="1" customFormat="1" ht="59" customHeight="1" spans="1:24">
      <c r="A87" s="156">
        <v>24</v>
      </c>
      <c r="B87" s="166" t="s">
        <v>176</v>
      </c>
      <c r="C87" s="167" t="s">
        <v>177</v>
      </c>
      <c r="D87" s="166" t="s">
        <v>178</v>
      </c>
      <c r="E87" s="145">
        <v>87000</v>
      </c>
      <c r="F87" s="145">
        <v>87000</v>
      </c>
      <c r="G87" s="145"/>
      <c r="H87" s="145"/>
      <c r="I87" s="94"/>
      <c r="J87" s="94"/>
      <c r="K87" s="94"/>
      <c r="L87" s="94"/>
      <c r="M87" s="94"/>
      <c r="N87" s="94"/>
      <c r="O87" s="94"/>
      <c r="P87" s="94"/>
      <c r="Q87" s="94"/>
      <c r="R87" s="94"/>
      <c r="S87" s="94">
        <f t="shared" si="21"/>
        <v>0</v>
      </c>
      <c r="T87" s="94"/>
      <c r="U87" s="94">
        <f t="shared" si="26"/>
        <v>0</v>
      </c>
      <c r="V87" s="94"/>
      <c r="W87" s="94">
        <f t="shared" si="22"/>
        <v>0</v>
      </c>
      <c r="X87" s="145"/>
    </row>
    <row r="88" s="1" customFormat="1" ht="59" customHeight="1" spans="1:24">
      <c r="A88" s="156">
        <v>25</v>
      </c>
      <c r="B88" s="166" t="s">
        <v>179</v>
      </c>
      <c r="C88" s="167"/>
      <c r="D88" s="168" t="s">
        <v>180</v>
      </c>
      <c r="E88" s="145">
        <v>79600</v>
      </c>
      <c r="F88" s="145"/>
      <c r="G88" s="74" t="s">
        <v>181</v>
      </c>
      <c r="H88" s="161" t="s">
        <v>182</v>
      </c>
      <c r="I88" s="94">
        <v>22528.3</v>
      </c>
      <c r="J88" s="94">
        <v>1351.7</v>
      </c>
      <c r="K88" s="94">
        <f>J88+I88</f>
        <v>23880</v>
      </c>
      <c r="L88" s="94">
        <v>0</v>
      </c>
      <c r="M88" s="94">
        <v>0</v>
      </c>
      <c r="N88" s="94">
        <v>0</v>
      </c>
      <c r="O88" s="94">
        <v>0</v>
      </c>
      <c r="P88" s="94"/>
      <c r="Q88" s="94"/>
      <c r="R88" s="94">
        <v>0</v>
      </c>
      <c r="S88" s="94">
        <f t="shared" si="21"/>
        <v>23880</v>
      </c>
      <c r="T88" s="94"/>
      <c r="U88" s="94">
        <f>S88</f>
        <v>23880</v>
      </c>
      <c r="V88" s="94"/>
      <c r="W88" s="94">
        <f t="shared" si="22"/>
        <v>0</v>
      </c>
      <c r="X88" s="145"/>
    </row>
    <row r="89" s="1" customFormat="1" ht="59" customHeight="1" spans="1:24">
      <c r="A89" s="169">
        <v>26</v>
      </c>
      <c r="B89" s="166" t="s">
        <v>183</v>
      </c>
      <c r="C89" s="167"/>
      <c r="D89" s="166" t="s">
        <v>122</v>
      </c>
      <c r="E89" s="145"/>
      <c r="F89" s="145"/>
      <c r="G89" s="47" t="s">
        <v>184</v>
      </c>
      <c r="H89" s="47" t="s">
        <v>185</v>
      </c>
      <c r="I89" s="94">
        <v>48750</v>
      </c>
      <c r="J89" s="94">
        <v>0</v>
      </c>
      <c r="K89" s="94">
        <f>I89+J89</f>
        <v>48750</v>
      </c>
      <c r="L89" s="94">
        <v>0</v>
      </c>
      <c r="M89" s="94">
        <v>0</v>
      </c>
      <c r="N89" s="94">
        <v>0</v>
      </c>
      <c r="O89" s="94">
        <v>0</v>
      </c>
      <c r="P89" s="94"/>
      <c r="Q89" s="94"/>
      <c r="R89" s="94">
        <v>0</v>
      </c>
      <c r="S89" s="94">
        <f t="shared" si="21"/>
        <v>48750</v>
      </c>
      <c r="T89" s="94">
        <v>0</v>
      </c>
      <c r="U89" s="94">
        <v>48750</v>
      </c>
      <c r="V89" s="94">
        <v>0</v>
      </c>
      <c r="W89" s="94">
        <f t="shared" si="22"/>
        <v>0</v>
      </c>
      <c r="X89" s="145"/>
    </row>
    <row r="90" s="1" customFormat="1" ht="59" customHeight="1" spans="1:24">
      <c r="A90" s="170">
        <v>27</v>
      </c>
      <c r="B90" s="44" t="s">
        <v>186</v>
      </c>
      <c r="C90" s="43"/>
      <c r="D90" s="44" t="s">
        <v>187</v>
      </c>
      <c r="E90" s="145"/>
      <c r="F90" s="145"/>
      <c r="G90" s="47" t="s">
        <v>188</v>
      </c>
      <c r="H90" s="47" t="s">
        <v>189</v>
      </c>
      <c r="I90" s="99"/>
      <c r="J90" s="94"/>
      <c r="K90" s="94"/>
      <c r="L90" s="94">
        <v>0</v>
      </c>
      <c r="M90" s="94">
        <v>0</v>
      </c>
      <c r="N90" s="94">
        <v>0</v>
      </c>
      <c r="O90" s="94">
        <v>0</v>
      </c>
      <c r="P90" s="94"/>
      <c r="Q90" s="94"/>
      <c r="R90" s="207">
        <v>755500</v>
      </c>
      <c r="S90" s="112">
        <f t="shared" si="21"/>
        <v>755500</v>
      </c>
      <c r="T90" s="112">
        <v>0</v>
      </c>
      <c r="U90" s="112">
        <f>S90</f>
        <v>755500</v>
      </c>
      <c r="V90" s="112">
        <v>0</v>
      </c>
      <c r="W90" s="45">
        <f t="shared" si="22"/>
        <v>0</v>
      </c>
      <c r="X90" s="45"/>
    </row>
    <row r="91" s="1" customFormat="1" ht="59" customHeight="1" spans="1:24">
      <c r="A91" s="171"/>
      <c r="B91" s="153"/>
      <c r="C91" s="153"/>
      <c r="D91" s="153"/>
      <c r="E91" s="145"/>
      <c r="F91" s="145"/>
      <c r="G91" s="74" t="s">
        <v>190</v>
      </c>
      <c r="H91" s="47" t="s">
        <v>191</v>
      </c>
      <c r="I91" s="99">
        <v>755500</v>
      </c>
      <c r="J91" s="94"/>
      <c r="K91" s="94">
        <f>I91+J91</f>
        <v>755500</v>
      </c>
      <c r="L91" s="94"/>
      <c r="M91" s="94"/>
      <c r="N91" s="94"/>
      <c r="O91" s="94"/>
      <c r="P91" s="94"/>
      <c r="Q91" s="94"/>
      <c r="R91" s="208">
        <f>-R90</f>
        <v>-755500</v>
      </c>
      <c r="S91" s="114"/>
      <c r="T91" s="114"/>
      <c r="U91" s="114"/>
      <c r="V91" s="114"/>
      <c r="W91" s="81"/>
      <c r="X91" s="81"/>
    </row>
    <row r="92" s="1" customFormat="1" ht="59" customHeight="1" spans="1:24">
      <c r="A92" s="48">
        <v>28</v>
      </c>
      <c r="B92" s="172" t="s">
        <v>192</v>
      </c>
      <c r="C92" s="48"/>
      <c r="D92" s="65" t="s">
        <v>193</v>
      </c>
      <c r="E92" s="45">
        <v>488544.07</v>
      </c>
      <c r="F92" s="145"/>
      <c r="G92" s="73"/>
      <c r="H92" s="47" t="s">
        <v>194</v>
      </c>
      <c r="I92" s="203">
        <v>460890.63</v>
      </c>
      <c r="J92" s="94">
        <v>27653.44</v>
      </c>
      <c r="K92" s="94">
        <f t="shared" ref="K92:K97" si="28">J92+I92</f>
        <v>488544.07</v>
      </c>
      <c r="L92" s="94"/>
      <c r="M92" s="94"/>
      <c r="N92" s="94"/>
      <c r="O92" s="94"/>
      <c r="P92" s="94"/>
      <c r="Q92" s="94"/>
      <c r="R92" s="208"/>
      <c r="S92" s="45">
        <f>K92-L92-M92-N92-O92+R92-Q92</f>
        <v>488544.07</v>
      </c>
      <c r="T92" s="45"/>
      <c r="U92" s="114"/>
      <c r="V92" s="45"/>
      <c r="W92" s="94">
        <f>S92+T92-U92-V92</f>
        <v>488544.07</v>
      </c>
      <c r="X92" s="145"/>
    </row>
    <row r="93" s="1" customFormat="1" ht="59" customHeight="1" spans="1:24">
      <c r="A93" s="153"/>
      <c r="B93" s="153"/>
      <c r="C93" s="153"/>
      <c r="D93" s="173"/>
      <c r="E93" s="81"/>
      <c r="F93" s="174" t="s">
        <v>319</v>
      </c>
      <c r="G93" s="76" t="s">
        <v>332</v>
      </c>
      <c r="H93" s="68" t="s">
        <v>333</v>
      </c>
      <c r="I93" s="118"/>
      <c r="J93" s="101"/>
      <c r="K93" s="101"/>
      <c r="L93" s="101"/>
      <c r="M93" s="101"/>
      <c r="N93" s="101"/>
      <c r="O93" s="101"/>
      <c r="P93" s="101"/>
      <c r="Q93" s="101"/>
      <c r="R93" s="209"/>
      <c r="S93" s="81"/>
      <c r="T93" s="81"/>
      <c r="U93" s="202">
        <v>488544.07</v>
      </c>
      <c r="V93" s="81"/>
      <c r="W93" s="101">
        <f>-U93</f>
        <v>-488544.07</v>
      </c>
      <c r="X93" s="145"/>
    </row>
    <row r="94" s="1" customFormat="1" ht="59" customHeight="1" spans="1:24">
      <c r="A94" s="48">
        <v>29</v>
      </c>
      <c r="B94" s="172" t="s">
        <v>192</v>
      </c>
      <c r="C94" s="48"/>
      <c r="D94" s="65" t="s">
        <v>195</v>
      </c>
      <c r="E94" s="45">
        <v>1990753.91</v>
      </c>
      <c r="F94" s="145"/>
      <c r="G94" s="73"/>
      <c r="H94" s="47" t="s">
        <v>194</v>
      </c>
      <c r="I94" s="203">
        <v>1878069.73</v>
      </c>
      <c r="J94" s="94">
        <v>112684.18</v>
      </c>
      <c r="K94" s="94">
        <f t="shared" si="28"/>
        <v>1990753.91</v>
      </c>
      <c r="L94" s="94"/>
      <c r="M94" s="94"/>
      <c r="N94" s="94"/>
      <c r="O94" s="94"/>
      <c r="P94" s="94"/>
      <c r="Q94" s="94"/>
      <c r="R94" s="208"/>
      <c r="S94" s="45">
        <f>K94-L94-M94-N94-O94+R94-Q94</f>
        <v>1990753.91</v>
      </c>
      <c r="T94" s="45"/>
      <c r="U94" s="114"/>
      <c r="V94" s="45"/>
      <c r="W94" s="94">
        <f>S94+T94-U94-V94</f>
        <v>1990753.91</v>
      </c>
      <c r="X94" s="145"/>
    </row>
    <row r="95" s="1" customFormat="1" ht="59" customHeight="1" spans="1:24">
      <c r="A95" s="153"/>
      <c r="B95" s="153"/>
      <c r="C95" s="153"/>
      <c r="D95" s="173"/>
      <c r="E95" s="81"/>
      <c r="F95" s="174" t="s">
        <v>319</v>
      </c>
      <c r="G95" s="76" t="s">
        <v>334</v>
      </c>
      <c r="H95" s="68" t="s">
        <v>335</v>
      </c>
      <c r="I95" s="118"/>
      <c r="J95" s="101"/>
      <c r="K95" s="101"/>
      <c r="L95" s="101"/>
      <c r="M95" s="101"/>
      <c r="N95" s="101"/>
      <c r="O95" s="101"/>
      <c r="P95" s="101"/>
      <c r="Q95" s="101"/>
      <c r="R95" s="209"/>
      <c r="S95" s="81"/>
      <c r="T95" s="81"/>
      <c r="U95" s="202">
        <v>1990753.91</v>
      </c>
      <c r="V95" s="81"/>
      <c r="W95" s="101">
        <f>-U95</f>
        <v>-1990753.91</v>
      </c>
      <c r="X95" s="145"/>
    </row>
    <row r="96" s="1" customFormat="1" ht="59" customHeight="1" spans="1:24">
      <c r="A96" s="171">
        <v>30</v>
      </c>
      <c r="B96" s="159" t="s">
        <v>302</v>
      </c>
      <c r="C96" s="175"/>
      <c r="D96" s="159" t="s">
        <v>303</v>
      </c>
      <c r="E96" s="145">
        <v>100000</v>
      </c>
      <c r="F96" s="174" t="s">
        <v>319</v>
      </c>
      <c r="G96" s="76" t="s">
        <v>360</v>
      </c>
      <c r="H96" s="68" t="s">
        <v>361</v>
      </c>
      <c r="I96" s="118">
        <v>94339.62</v>
      </c>
      <c r="J96" s="101">
        <v>5660.38</v>
      </c>
      <c r="K96" s="101">
        <f t="shared" si="28"/>
        <v>100000</v>
      </c>
      <c r="L96" s="101"/>
      <c r="M96" s="101"/>
      <c r="N96" s="101"/>
      <c r="O96" s="101"/>
      <c r="P96" s="101"/>
      <c r="Q96" s="101"/>
      <c r="R96" s="209"/>
      <c r="S96" s="101">
        <f>K96</f>
        <v>100000</v>
      </c>
      <c r="T96" s="202"/>
      <c r="U96" s="202">
        <v>100000</v>
      </c>
      <c r="V96" s="202"/>
      <c r="W96" s="143">
        <f t="shared" ref="W96:W98" si="29">S96-U96+T96-V96</f>
        <v>0</v>
      </c>
      <c r="X96" s="145"/>
    </row>
    <row r="97" s="1" customFormat="1" ht="59" customHeight="1" spans="1:24">
      <c r="A97" s="171">
        <v>31</v>
      </c>
      <c r="B97" s="159" t="s">
        <v>375</v>
      </c>
      <c r="C97" s="175"/>
      <c r="D97" s="159" t="s">
        <v>376</v>
      </c>
      <c r="E97" s="145">
        <v>135000</v>
      </c>
      <c r="F97" s="174" t="s">
        <v>296</v>
      </c>
      <c r="G97" s="76" t="s">
        <v>377</v>
      </c>
      <c r="H97" s="68" t="s">
        <v>378</v>
      </c>
      <c r="I97" s="118">
        <v>127358.49</v>
      </c>
      <c r="J97" s="101">
        <v>7641.51</v>
      </c>
      <c r="K97" s="101">
        <f t="shared" si="28"/>
        <v>135000</v>
      </c>
      <c r="L97" s="101"/>
      <c r="M97" s="101"/>
      <c r="N97" s="101"/>
      <c r="O97" s="101"/>
      <c r="P97" s="101"/>
      <c r="Q97" s="101"/>
      <c r="R97" s="209"/>
      <c r="S97" s="101">
        <v>135000</v>
      </c>
      <c r="T97" s="202"/>
      <c r="U97" s="202"/>
      <c r="V97" s="202"/>
      <c r="W97" s="143">
        <f t="shared" si="29"/>
        <v>135000</v>
      </c>
      <c r="X97" s="145"/>
    </row>
    <row r="98" s="1" customFormat="1" ht="59" customHeight="1" spans="1:24">
      <c r="A98" s="171"/>
      <c r="B98" s="159" t="s">
        <v>379</v>
      </c>
      <c r="C98" s="175"/>
      <c r="D98" s="159" t="s">
        <v>380</v>
      </c>
      <c r="E98" s="145" t="s">
        <v>381</v>
      </c>
      <c r="F98" s="174" t="s">
        <v>296</v>
      </c>
      <c r="G98" s="76" t="s">
        <v>371</v>
      </c>
      <c r="H98" s="68" t="s">
        <v>382</v>
      </c>
      <c r="I98" s="118">
        <v>149900.94</v>
      </c>
      <c r="J98" s="101">
        <v>8994.06</v>
      </c>
      <c r="K98" s="101">
        <v>158895</v>
      </c>
      <c r="L98" s="101"/>
      <c r="M98" s="101"/>
      <c r="N98" s="101"/>
      <c r="O98" s="101"/>
      <c r="P98" s="101"/>
      <c r="Q98" s="101"/>
      <c r="R98" s="209"/>
      <c r="S98" s="101">
        <v>158895</v>
      </c>
      <c r="T98" s="202"/>
      <c r="U98" s="202"/>
      <c r="V98" s="202"/>
      <c r="W98" s="143">
        <f t="shared" si="29"/>
        <v>158895</v>
      </c>
      <c r="X98" s="145"/>
    </row>
    <row r="99" s="1" customFormat="1" ht="59" customHeight="1" spans="1:24">
      <c r="A99" s="171">
        <v>31</v>
      </c>
      <c r="B99" s="159" t="s">
        <v>304</v>
      </c>
      <c r="C99" s="175"/>
      <c r="D99" s="159" t="s">
        <v>305</v>
      </c>
      <c r="E99" s="145">
        <v>232250</v>
      </c>
      <c r="F99" s="145"/>
      <c r="G99" s="73"/>
      <c r="H99" s="47"/>
      <c r="I99" s="203"/>
      <c r="J99" s="94"/>
      <c r="K99" s="94"/>
      <c r="L99" s="94"/>
      <c r="M99" s="94"/>
      <c r="N99" s="94"/>
      <c r="O99" s="94"/>
      <c r="P99" s="94"/>
      <c r="Q99" s="94"/>
      <c r="R99" s="208"/>
      <c r="S99" s="94"/>
      <c r="T99" s="114"/>
      <c r="U99" s="114"/>
      <c r="V99" s="114"/>
      <c r="W99" s="94"/>
      <c r="X99" s="145"/>
    </row>
    <row r="100" s="1" customFormat="1" ht="59" customHeight="1" spans="1:24">
      <c r="A100" s="171">
        <v>32</v>
      </c>
      <c r="B100" s="159" t="s">
        <v>306</v>
      </c>
      <c r="C100" s="176"/>
      <c r="D100" s="177" t="s">
        <v>307</v>
      </c>
      <c r="E100" s="145">
        <v>34915.3</v>
      </c>
      <c r="F100" s="145"/>
      <c r="G100" s="73"/>
      <c r="H100" s="47"/>
      <c r="I100" s="203"/>
      <c r="J100" s="94"/>
      <c r="K100" s="94"/>
      <c r="L100" s="94"/>
      <c r="M100" s="94"/>
      <c r="N100" s="94"/>
      <c r="O100" s="94"/>
      <c r="P100" s="94"/>
      <c r="Q100" s="94"/>
      <c r="R100" s="208"/>
      <c r="S100" s="94"/>
      <c r="T100" s="114"/>
      <c r="U100" s="114"/>
      <c r="V100" s="114"/>
      <c r="W100" s="94"/>
      <c r="X100" s="145"/>
    </row>
    <row r="101" s="1" customFormat="1" ht="59" customHeight="1" spans="1:24">
      <c r="A101" s="171">
        <v>33</v>
      </c>
      <c r="B101" s="159" t="s">
        <v>308</v>
      </c>
      <c r="C101" s="176"/>
      <c r="D101" s="177" t="s">
        <v>307</v>
      </c>
      <c r="E101" s="145">
        <v>47000</v>
      </c>
      <c r="F101" s="145"/>
      <c r="G101" s="73"/>
      <c r="H101" s="47"/>
      <c r="I101" s="203"/>
      <c r="J101" s="94"/>
      <c r="K101" s="94"/>
      <c r="L101" s="94"/>
      <c r="M101" s="94"/>
      <c r="N101" s="94"/>
      <c r="O101" s="94"/>
      <c r="P101" s="94"/>
      <c r="Q101" s="94"/>
      <c r="R101" s="208"/>
      <c r="S101" s="94"/>
      <c r="T101" s="114"/>
      <c r="U101" s="114"/>
      <c r="V101" s="114"/>
      <c r="W101" s="94"/>
      <c r="X101" s="145"/>
    </row>
    <row r="102" s="1" customFormat="1" ht="36" customHeight="1" spans="1:24">
      <c r="A102" s="178">
        <v>34</v>
      </c>
      <c r="B102" s="185" t="s">
        <v>196</v>
      </c>
      <c r="C102" s="186"/>
      <c r="D102" s="187"/>
      <c r="E102" s="188">
        <v>98000</v>
      </c>
      <c r="F102" s="188" t="s">
        <v>309</v>
      </c>
      <c r="G102" s="50" t="s">
        <v>197</v>
      </c>
      <c r="H102" s="51" t="s">
        <v>198</v>
      </c>
      <c r="I102" s="108">
        <v>61468.44</v>
      </c>
      <c r="J102" s="108">
        <v>0</v>
      </c>
      <c r="K102" s="108">
        <f t="shared" ref="K102:K105" si="30">I102+J102</f>
        <v>61468.44</v>
      </c>
      <c r="L102" s="108"/>
      <c r="M102" s="108"/>
      <c r="N102" s="108"/>
      <c r="O102" s="108"/>
      <c r="P102" s="108"/>
      <c r="Q102" s="108">
        <f>M102-O102</f>
        <v>0</v>
      </c>
      <c r="R102" s="108"/>
      <c r="S102" s="94">
        <f>K102-L102-M102-N102-O102+R102-Q102</f>
        <v>61468.44</v>
      </c>
      <c r="T102" s="94">
        <v>0</v>
      </c>
      <c r="U102" s="94">
        <f>S102</f>
        <v>61468.44</v>
      </c>
      <c r="V102" s="94">
        <v>0</v>
      </c>
      <c r="W102" s="94">
        <f>S102+T102-U102-V102</f>
        <v>0</v>
      </c>
      <c r="X102" s="145"/>
    </row>
    <row r="103" s="1" customFormat="1" ht="36" customHeight="1" spans="1:24">
      <c r="A103" s="178"/>
      <c r="B103" s="189"/>
      <c r="C103" s="190"/>
      <c r="D103" s="191"/>
      <c r="E103" s="192"/>
      <c r="F103" s="193" t="s">
        <v>310</v>
      </c>
      <c r="G103" s="53"/>
      <c r="H103" s="194"/>
      <c r="I103" s="109"/>
      <c r="J103" s="109"/>
      <c r="K103" s="109">
        <f t="shared" si="30"/>
        <v>0</v>
      </c>
      <c r="L103" s="109"/>
      <c r="M103" s="109"/>
      <c r="N103" s="109"/>
      <c r="O103" s="109"/>
      <c r="P103" s="109"/>
      <c r="Q103" s="109"/>
      <c r="R103" s="109"/>
      <c r="S103" s="101"/>
      <c r="T103" s="101"/>
      <c r="U103" s="210"/>
      <c r="V103" s="210"/>
      <c r="W103" s="101"/>
      <c r="X103" s="145"/>
    </row>
    <row r="104" s="1" customFormat="1" ht="36" customHeight="1" spans="1:24">
      <c r="A104" s="178"/>
      <c r="B104" s="189"/>
      <c r="C104" s="190"/>
      <c r="D104" s="191"/>
      <c r="E104" s="192"/>
      <c r="F104" s="195"/>
      <c r="G104" s="53"/>
      <c r="H104" s="194"/>
      <c r="I104" s="109"/>
      <c r="J104" s="109"/>
      <c r="K104" s="109">
        <f t="shared" si="30"/>
        <v>0</v>
      </c>
      <c r="L104" s="109"/>
      <c r="M104" s="109"/>
      <c r="N104" s="109"/>
      <c r="O104" s="109"/>
      <c r="P104" s="109"/>
      <c r="Q104" s="109"/>
      <c r="R104" s="109"/>
      <c r="S104" s="101"/>
      <c r="T104" s="101"/>
      <c r="U104" s="210"/>
      <c r="V104" s="210"/>
      <c r="W104" s="101"/>
      <c r="X104" s="145"/>
    </row>
    <row r="105" s="1" customFormat="1" ht="36" customHeight="1" spans="1:24">
      <c r="A105" s="178"/>
      <c r="B105" s="189"/>
      <c r="C105" s="190"/>
      <c r="D105" s="191"/>
      <c r="E105" s="192"/>
      <c r="F105" s="195"/>
      <c r="G105" s="53"/>
      <c r="H105" s="194"/>
      <c r="I105" s="109"/>
      <c r="J105" s="109"/>
      <c r="K105" s="109">
        <f t="shared" si="30"/>
        <v>0</v>
      </c>
      <c r="L105" s="109"/>
      <c r="M105" s="109"/>
      <c r="N105" s="109"/>
      <c r="O105" s="109"/>
      <c r="P105" s="109"/>
      <c r="Q105" s="109"/>
      <c r="R105" s="109"/>
      <c r="S105" s="101"/>
      <c r="T105" s="101"/>
      <c r="U105" s="210"/>
      <c r="V105" s="210"/>
      <c r="W105" s="101"/>
      <c r="X105" s="145"/>
    </row>
    <row r="106" s="1" customFormat="1" ht="36" customHeight="1" spans="1:24">
      <c r="A106" s="43">
        <v>35</v>
      </c>
      <c r="B106" s="185" t="s">
        <v>199</v>
      </c>
      <c r="C106" s="186"/>
      <c r="D106" s="187"/>
      <c r="E106" s="192"/>
      <c r="F106" s="192" t="s">
        <v>309</v>
      </c>
      <c r="G106" s="196" t="s">
        <v>248</v>
      </c>
      <c r="H106" s="197" t="s">
        <v>200</v>
      </c>
      <c r="I106" s="188">
        <f>630506.8-220</f>
        <v>630286.8</v>
      </c>
      <c r="J106" s="108"/>
      <c r="K106" s="108">
        <f t="shared" ref="K106:K110" si="31">J106+I106</f>
        <v>630286.8</v>
      </c>
      <c r="L106" s="108"/>
      <c r="M106" s="108"/>
      <c r="N106" s="108"/>
      <c r="O106" s="108"/>
      <c r="P106" s="108"/>
      <c r="Q106" s="108"/>
      <c r="R106" s="108"/>
      <c r="S106" s="94">
        <v>630286.8</v>
      </c>
      <c r="T106" s="94"/>
      <c r="U106" s="211">
        <f t="shared" ref="U106:U109" si="32">S106</f>
        <v>630286.8</v>
      </c>
      <c r="V106" s="211"/>
      <c r="W106" s="101">
        <f>S106+T106-U106-V106+S107-U107</f>
        <v>0</v>
      </c>
      <c r="X106" s="174"/>
    </row>
    <row r="107" s="1" customFormat="1" ht="36" customHeight="1" spans="1:24">
      <c r="A107" s="48"/>
      <c r="B107" s="189"/>
      <c r="C107" s="190"/>
      <c r="D107" s="191"/>
      <c r="E107" s="198"/>
      <c r="F107" s="198"/>
      <c r="G107" s="196"/>
      <c r="H107" s="197" t="s">
        <v>201</v>
      </c>
      <c r="I107" s="188">
        <v>-6746.65</v>
      </c>
      <c r="J107" s="108"/>
      <c r="K107" s="108">
        <f t="shared" ref="K107:K112" si="33">I107+J107</f>
        <v>-6746.65</v>
      </c>
      <c r="L107" s="108"/>
      <c r="M107" s="108"/>
      <c r="N107" s="108"/>
      <c r="O107" s="108"/>
      <c r="P107" s="108"/>
      <c r="Q107" s="108"/>
      <c r="R107" s="108"/>
      <c r="S107" s="94">
        <v>-6746.65</v>
      </c>
      <c r="T107" s="94"/>
      <c r="U107" s="211">
        <v>-6746.65</v>
      </c>
      <c r="V107" s="211"/>
      <c r="W107" s="94">
        <f t="shared" ref="W107:W112" si="34">S107+T107-U107-V107</f>
        <v>0</v>
      </c>
      <c r="X107" s="145"/>
    </row>
    <row r="108" s="1" customFormat="1" ht="36" customHeight="1" spans="1:24">
      <c r="A108" s="48"/>
      <c r="B108" s="189"/>
      <c r="C108" s="190"/>
      <c r="D108" s="191"/>
      <c r="E108" s="198"/>
      <c r="F108" s="199"/>
      <c r="G108" s="196"/>
      <c r="H108" s="197" t="s">
        <v>202</v>
      </c>
      <c r="I108" s="204">
        <f>1133+220</f>
        <v>1353</v>
      </c>
      <c r="J108" s="108"/>
      <c r="K108" s="108">
        <f t="shared" si="33"/>
        <v>1353</v>
      </c>
      <c r="L108" s="108"/>
      <c r="M108" s="108"/>
      <c r="N108" s="108"/>
      <c r="O108" s="108"/>
      <c r="P108" s="108"/>
      <c r="Q108" s="108"/>
      <c r="R108" s="108"/>
      <c r="S108" s="94">
        <v>1353</v>
      </c>
      <c r="T108" s="94"/>
      <c r="U108" s="211">
        <f t="shared" si="32"/>
        <v>1353</v>
      </c>
      <c r="V108" s="211"/>
      <c r="W108" s="94">
        <f t="shared" si="34"/>
        <v>0</v>
      </c>
      <c r="X108" s="145"/>
    </row>
    <row r="109" s="1" customFormat="1" ht="36" customHeight="1" spans="1:24">
      <c r="A109" s="48"/>
      <c r="B109" s="189"/>
      <c r="C109" s="190"/>
      <c r="D109" s="191"/>
      <c r="E109" s="198"/>
      <c r="F109" s="193" t="s">
        <v>310</v>
      </c>
      <c r="G109" s="193" t="s">
        <v>311</v>
      </c>
      <c r="H109" s="200" t="s">
        <v>200</v>
      </c>
      <c r="I109" s="205">
        <v>476200.01</v>
      </c>
      <c r="J109" s="109"/>
      <c r="K109" s="109">
        <f t="shared" si="31"/>
        <v>476200.01</v>
      </c>
      <c r="L109" s="109"/>
      <c r="M109" s="109"/>
      <c r="N109" s="109"/>
      <c r="O109" s="109"/>
      <c r="P109" s="109"/>
      <c r="Q109" s="109"/>
      <c r="R109" s="109"/>
      <c r="S109" s="101">
        <v>476200.01</v>
      </c>
      <c r="T109" s="101"/>
      <c r="U109" s="102">
        <f t="shared" si="32"/>
        <v>476200.01</v>
      </c>
      <c r="V109" s="102"/>
      <c r="W109" s="101">
        <f t="shared" si="34"/>
        <v>0</v>
      </c>
      <c r="X109" s="174"/>
    </row>
    <row r="110" s="1" customFormat="1" ht="36" customHeight="1" spans="1:24">
      <c r="A110" s="153"/>
      <c r="B110" s="189"/>
      <c r="C110" s="190"/>
      <c r="D110" s="191"/>
      <c r="E110" s="198"/>
      <c r="F110" s="195"/>
      <c r="G110" s="201"/>
      <c r="H110" s="200" t="s">
        <v>202</v>
      </c>
      <c r="I110" s="205">
        <v>832.96</v>
      </c>
      <c r="J110" s="109"/>
      <c r="K110" s="109">
        <f t="shared" si="31"/>
        <v>832.96</v>
      </c>
      <c r="L110" s="109"/>
      <c r="M110" s="109"/>
      <c r="N110" s="109"/>
      <c r="O110" s="109"/>
      <c r="P110" s="109"/>
      <c r="Q110" s="109"/>
      <c r="R110" s="109"/>
      <c r="S110" s="101">
        <v>832.96</v>
      </c>
      <c r="T110" s="101"/>
      <c r="U110" s="102">
        <v>832.96</v>
      </c>
      <c r="V110" s="102"/>
      <c r="W110" s="102">
        <f t="shared" si="34"/>
        <v>0</v>
      </c>
      <c r="X110" s="145"/>
    </row>
    <row r="111" s="1" customFormat="1" ht="36" customHeight="1" spans="1:24">
      <c r="A111" s="153"/>
      <c r="B111" s="189"/>
      <c r="C111" s="190"/>
      <c r="D111" s="191"/>
      <c r="E111" s="198"/>
      <c r="F111" s="195"/>
      <c r="G111" s="193" t="s">
        <v>336</v>
      </c>
      <c r="H111" s="200" t="s">
        <v>200</v>
      </c>
      <c r="I111" s="205">
        <v>446922.22</v>
      </c>
      <c r="J111" s="109"/>
      <c r="K111" s="109">
        <f t="shared" si="33"/>
        <v>446922.22</v>
      </c>
      <c r="L111" s="109"/>
      <c r="M111" s="109"/>
      <c r="N111" s="109"/>
      <c r="O111" s="109"/>
      <c r="P111" s="109"/>
      <c r="Q111" s="109"/>
      <c r="R111" s="109"/>
      <c r="S111" s="101">
        <f t="shared" ref="S111:S115" si="35">K111</f>
        <v>446922.22</v>
      </c>
      <c r="T111" s="101"/>
      <c r="U111" s="102">
        <f>S111</f>
        <v>446922.22</v>
      </c>
      <c r="V111" s="102"/>
      <c r="W111" s="102">
        <f t="shared" si="34"/>
        <v>0</v>
      </c>
      <c r="X111" s="145"/>
    </row>
    <row r="112" s="1" customFormat="1" ht="36" customHeight="1" spans="1:24">
      <c r="A112" s="153"/>
      <c r="B112" s="189"/>
      <c r="C112" s="190"/>
      <c r="D112" s="191"/>
      <c r="E112" s="199"/>
      <c r="F112" s="195"/>
      <c r="G112" s="201"/>
      <c r="H112" s="200" t="s">
        <v>202</v>
      </c>
      <c r="I112" s="205">
        <v>200</v>
      </c>
      <c r="J112" s="109"/>
      <c r="K112" s="109">
        <f t="shared" si="33"/>
        <v>200</v>
      </c>
      <c r="L112" s="109"/>
      <c r="M112" s="109"/>
      <c r="N112" s="109"/>
      <c r="O112" s="109"/>
      <c r="P112" s="109"/>
      <c r="Q112" s="109"/>
      <c r="R112" s="109"/>
      <c r="S112" s="101">
        <f t="shared" si="35"/>
        <v>200</v>
      </c>
      <c r="T112" s="101"/>
      <c r="U112" s="102">
        <v>200</v>
      </c>
      <c r="V112" s="102"/>
      <c r="W112" s="102">
        <f t="shared" si="34"/>
        <v>0</v>
      </c>
      <c r="X112" s="145"/>
    </row>
    <row r="113" s="1" customFormat="1" ht="36" customHeight="1" spans="1:24">
      <c r="A113" s="153"/>
      <c r="B113" s="189"/>
      <c r="C113" s="190"/>
      <c r="D113" s="191"/>
      <c r="E113" s="199"/>
      <c r="F113" s="195"/>
      <c r="G113" s="193" t="s">
        <v>362</v>
      </c>
      <c r="H113" s="200" t="s">
        <v>200</v>
      </c>
      <c r="I113" s="205">
        <v>480822.22</v>
      </c>
      <c r="J113" s="109"/>
      <c r="K113" s="109">
        <f>J113+I113</f>
        <v>480822.22</v>
      </c>
      <c r="L113" s="109"/>
      <c r="M113" s="109"/>
      <c r="N113" s="109"/>
      <c r="O113" s="109"/>
      <c r="P113" s="109"/>
      <c r="Q113" s="109"/>
      <c r="R113" s="109"/>
      <c r="S113" s="101">
        <f t="shared" si="35"/>
        <v>480822.22</v>
      </c>
      <c r="T113" s="101"/>
      <c r="U113" s="102"/>
      <c r="V113" s="102"/>
      <c r="W113" s="102">
        <v>172600</v>
      </c>
      <c r="X113" s="145"/>
    </row>
    <row r="114" s="1" customFormat="1" ht="36" customHeight="1" spans="1:24">
      <c r="A114" s="153"/>
      <c r="B114" s="189"/>
      <c r="C114" s="190"/>
      <c r="D114" s="191"/>
      <c r="E114" s="199"/>
      <c r="F114" s="195"/>
      <c r="G114" s="201"/>
      <c r="H114" s="200" t="s">
        <v>201</v>
      </c>
      <c r="I114" s="205">
        <f>-4185.98</f>
        <v>-4185.98</v>
      </c>
      <c r="J114" s="109"/>
      <c r="K114" s="109">
        <f>I114</f>
        <v>-4185.98</v>
      </c>
      <c r="L114" s="109"/>
      <c r="M114" s="109"/>
      <c r="N114" s="109"/>
      <c r="O114" s="109"/>
      <c r="P114" s="109"/>
      <c r="Q114" s="109"/>
      <c r="R114" s="109"/>
      <c r="S114" s="101">
        <f t="shared" si="35"/>
        <v>-4185.98</v>
      </c>
      <c r="T114" s="101"/>
      <c r="U114" s="102"/>
      <c r="V114" s="102"/>
      <c r="W114" s="102"/>
      <c r="X114" s="145"/>
    </row>
    <row r="115" s="1" customFormat="1" ht="36" customHeight="1" spans="1:24">
      <c r="A115" s="153"/>
      <c r="B115" s="189"/>
      <c r="C115" s="190"/>
      <c r="D115" s="191"/>
      <c r="E115" s="199"/>
      <c r="F115" s="195"/>
      <c r="G115" s="212" t="s">
        <v>383</v>
      </c>
      <c r="H115" s="200" t="s">
        <v>200</v>
      </c>
      <c r="I115" s="205">
        <v>351860.25</v>
      </c>
      <c r="J115" s="109"/>
      <c r="K115" s="109">
        <f>I115</f>
        <v>351860.25</v>
      </c>
      <c r="L115" s="109"/>
      <c r="M115" s="109"/>
      <c r="N115" s="109"/>
      <c r="O115" s="109"/>
      <c r="P115" s="109"/>
      <c r="Q115" s="109"/>
      <c r="R115" s="109"/>
      <c r="S115" s="101">
        <f t="shared" si="35"/>
        <v>351860.25</v>
      </c>
      <c r="T115" s="101"/>
      <c r="U115" s="102"/>
      <c r="V115" s="102"/>
      <c r="W115" s="102">
        <f>S115</f>
        <v>351860.25</v>
      </c>
      <c r="X115" s="145"/>
    </row>
    <row r="116" s="1" customFormat="1" ht="36" customHeight="1" spans="1:24">
      <c r="A116" s="153"/>
      <c r="B116" s="189"/>
      <c r="C116" s="190"/>
      <c r="D116" s="191"/>
      <c r="E116" s="199"/>
      <c r="F116" s="195"/>
      <c r="G116" s="212"/>
      <c r="H116" s="200"/>
      <c r="I116" s="205"/>
      <c r="J116" s="109"/>
      <c r="K116" s="109"/>
      <c r="L116" s="109"/>
      <c r="M116" s="109"/>
      <c r="N116" s="109"/>
      <c r="O116" s="109"/>
      <c r="P116" s="109"/>
      <c r="Q116" s="109"/>
      <c r="R116" s="109"/>
      <c r="S116" s="101"/>
      <c r="T116" s="101"/>
      <c r="U116" s="102"/>
      <c r="V116" s="102"/>
      <c r="W116" s="102"/>
      <c r="X116" s="145"/>
    </row>
    <row r="117" s="1" customFormat="1" ht="36" customHeight="1" spans="1:24">
      <c r="A117" s="153"/>
      <c r="B117" s="189"/>
      <c r="C117" s="190"/>
      <c r="D117" s="191"/>
      <c r="E117" s="199"/>
      <c r="F117" s="195"/>
      <c r="G117" s="201"/>
      <c r="H117" s="200"/>
      <c r="I117" s="205"/>
      <c r="J117" s="109"/>
      <c r="K117" s="109"/>
      <c r="L117" s="109"/>
      <c r="M117" s="109"/>
      <c r="N117" s="109"/>
      <c r="O117" s="109"/>
      <c r="P117" s="109"/>
      <c r="Q117" s="109"/>
      <c r="R117" s="109"/>
      <c r="S117" s="101"/>
      <c r="T117" s="101"/>
      <c r="U117" s="102"/>
      <c r="V117" s="102"/>
      <c r="W117" s="102"/>
      <c r="X117" s="145"/>
    </row>
    <row r="118" s="1" customFormat="1" ht="36" customHeight="1" spans="1:24">
      <c r="A118" s="153"/>
      <c r="B118" s="189"/>
      <c r="C118" s="190"/>
      <c r="D118" s="191"/>
      <c r="E118" s="199"/>
      <c r="F118" s="195"/>
      <c r="G118" s="201"/>
      <c r="H118" s="200"/>
      <c r="I118" s="205"/>
      <c r="J118" s="109"/>
      <c r="K118" s="109"/>
      <c r="L118" s="109"/>
      <c r="M118" s="109"/>
      <c r="N118" s="109"/>
      <c r="O118" s="109"/>
      <c r="P118" s="109"/>
      <c r="Q118" s="109"/>
      <c r="R118" s="109"/>
      <c r="S118" s="101"/>
      <c r="T118" s="101"/>
      <c r="U118" s="102"/>
      <c r="V118" s="102"/>
      <c r="W118" s="102"/>
      <c r="X118" s="145"/>
    </row>
    <row r="119" s="1" customFormat="1" ht="36" customHeight="1" spans="1:24">
      <c r="A119" s="153"/>
      <c r="B119" s="189"/>
      <c r="C119" s="190"/>
      <c r="D119" s="191"/>
      <c r="E119" s="199"/>
      <c r="F119" s="195"/>
      <c r="G119" s="201"/>
      <c r="H119" s="200"/>
      <c r="I119" s="205"/>
      <c r="J119" s="109"/>
      <c r="K119" s="109"/>
      <c r="L119" s="109"/>
      <c r="M119" s="109"/>
      <c r="N119" s="109"/>
      <c r="O119" s="109"/>
      <c r="P119" s="109"/>
      <c r="Q119" s="109"/>
      <c r="R119" s="109"/>
      <c r="S119" s="101"/>
      <c r="T119" s="101"/>
      <c r="U119" s="102"/>
      <c r="V119" s="102"/>
      <c r="W119" s="102"/>
      <c r="X119" s="145"/>
    </row>
    <row r="120" s="1" customFormat="1" ht="36" customHeight="1" spans="1:24">
      <c r="A120" s="153"/>
      <c r="B120" s="213"/>
      <c r="C120" s="214"/>
      <c r="D120" s="215"/>
      <c r="E120" s="199"/>
      <c r="F120" s="201"/>
      <c r="G120" s="201"/>
      <c r="H120" s="200"/>
      <c r="I120" s="205"/>
      <c r="J120" s="109"/>
      <c r="K120" s="109"/>
      <c r="L120" s="109"/>
      <c r="M120" s="109"/>
      <c r="N120" s="109"/>
      <c r="O120" s="109"/>
      <c r="P120" s="109"/>
      <c r="Q120" s="109"/>
      <c r="R120" s="109"/>
      <c r="S120" s="101"/>
      <c r="T120" s="101"/>
      <c r="U120" s="102"/>
      <c r="V120" s="102"/>
      <c r="W120" s="102"/>
      <c r="X120" s="145"/>
    </row>
    <row r="121" s="1" customFormat="1" ht="36" customHeight="1" spans="1:24">
      <c r="A121" s="156">
        <v>36</v>
      </c>
      <c r="B121" s="216" t="s">
        <v>312</v>
      </c>
      <c r="C121" s="217"/>
      <c r="D121" s="218"/>
      <c r="E121" s="188"/>
      <c r="F121" s="188"/>
      <c r="G121" s="219"/>
      <c r="H121" s="188"/>
      <c r="I121" s="108">
        <f t="shared" ref="I121:K121" si="36">SUM(I122:I152)</f>
        <v>866798.49</v>
      </c>
      <c r="J121" s="108">
        <f t="shared" si="36"/>
        <v>56324.7400000006</v>
      </c>
      <c r="K121" s="108">
        <f t="shared" si="36"/>
        <v>923123.230000001</v>
      </c>
      <c r="L121" s="108">
        <f t="shared" ref="L121:O121" si="37">L122+L129+L134+L135+L141</f>
        <v>0</v>
      </c>
      <c r="M121" s="108">
        <f t="shared" si="37"/>
        <v>0</v>
      </c>
      <c r="N121" s="108">
        <f t="shared" si="37"/>
        <v>0</v>
      </c>
      <c r="O121" s="108">
        <f t="shared" si="37"/>
        <v>0</v>
      </c>
      <c r="P121" s="108"/>
      <c r="Q121" s="108"/>
      <c r="R121" s="108">
        <f>R122+R129+R134+R135+R141</f>
        <v>0</v>
      </c>
      <c r="S121" s="108">
        <f t="shared" ref="S121:S123" si="38">K121-L121-M121-N121-O121+R121-Q121</f>
        <v>923123.230000001</v>
      </c>
      <c r="T121" s="108"/>
      <c r="U121" s="108">
        <f t="shared" ref="U121:U127" si="39">S121</f>
        <v>923123.230000001</v>
      </c>
      <c r="V121" s="108"/>
      <c r="W121" s="108">
        <f t="shared" ref="W121:W130" si="40">S121+T121-U121-V121</f>
        <v>0</v>
      </c>
      <c r="X121" s="145"/>
    </row>
    <row r="122" s="19" customFormat="1" ht="36" customHeight="1" spans="1:24">
      <c r="A122" s="175"/>
      <c r="B122" s="220" t="s">
        <v>205</v>
      </c>
      <c r="C122" s="221"/>
      <c r="D122" s="222"/>
      <c r="E122" s="45"/>
      <c r="F122" s="46" t="s">
        <v>295</v>
      </c>
      <c r="G122" s="145" t="s">
        <v>206</v>
      </c>
      <c r="H122" s="94"/>
      <c r="I122" s="94">
        <v>46517</v>
      </c>
      <c r="J122" s="94">
        <v>0</v>
      </c>
      <c r="K122" s="94">
        <f t="shared" ref="K122:K127" si="41">J122+I122</f>
        <v>46517</v>
      </c>
      <c r="L122" s="235"/>
      <c r="M122" s="235"/>
      <c r="N122" s="235"/>
      <c r="O122" s="237"/>
      <c r="P122" s="237"/>
      <c r="Q122" s="237"/>
      <c r="R122" s="94"/>
      <c r="S122" s="94">
        <f t="shared" si="38"/>
        <v>46517</v>
      </c>
      <c r="T122" s="94"/>
      <c r="U122" s="94">
        <f t="shared" si="39"/>
        <v>46517</v>
      </c>
      <c r="V122" s="94"/>
      <c r="W122" s="94">
        <f t="shared" si="40"/>
        <v>0</v>
      </c>
      <c r="X122" s="145"/>
    </row>
    <row r="123" s="19" customFormat="1" ht="36" customHeight="1" spans="1:24">
      <c r="A123" s="175"/>
      <c r="B123" s="223"/>
      <c r="C123" s="224"/>
      <c r="D123" s="225"/>
      <c r="E123" s="49"/>
      <c r="F123" s="46"/>
      <c r="G123" s="145" t="s">
        <v>207</v>
      </c>
      <c r="H123" s="94"/>
      <c r="I123" s="94">
        <v>30516</v>
      </c>
      <c r="J123" s="94">
        <v>0</v>
      </c>
      <c r="K123" s="94">
        <f t="shared" si="41"/>
        <v>30516</v>
      </c>
      <c r="L123" s="235"/>
      <c r="M123" s="235"/>
      <c r="N123" s="235"/>
      <c r="O123" s="237"/>
      <c r="P123" s="237"/>
      <c r="Q123" s="237"/>
      <c r="R123" s="94"/>
      <c r="S123" s="94">
        <f t="shared" si="38"/>
        <v>30516</v>
      </c>
      <c r="T123" s="94"/>
      <c r="U123" s="94">
        <f t="shared" si="39"/>
        <v>30516</v>
      </c>
      <c r="V123" s="94"/>
      <c r="W123" s="94">
        <f t="shared" si="40"/>
        <v>0</v>
      </c>
      <c r="X123" s="145"/>
    </row>
    <row r="124" s="19" customFormat="1" ht="36" customHeight="1" spans="1:24">
      <c r="A124" s="175"/>
      <c r="B124" s="223"/>
      <c r="C124" s="224"/>
      <c r="D124" s="225"/>
      <c r="E124" s="49"/>
      <c r="F124" s="52" t="s">
        <v>296</v>
      </c>
      <c r="G124" s="174" t="s">
        <v>313</v>
      </c>
      <c r="H124" s="101"/>
      <c r="I124" s="101">
        <v>13017</v>
      </c>
      <c r="J124" s="101"/>
      <c r="K124" s="101">
        <f t="shared" si="41"/>
        <v>13017</v>
      </c>
      <c r="L124" s="238"/>
      <c r="M124" s="238"/>
      <c r="N124" s="238"/>
      <c r="O124" s="239"/>
      <c r="P124" s="239"/>
      <c r="Q124" s="239"/>
      <c r="R124" s="101"/>
      <c r="S124" s="101">
        <f t="shared" ref="S124:S127" si="42">K124</f>
        <v>13017</v>
      </c>
      <c r="T124" s="101"/>
      <c r="U124" s="101">
        <f t="shared" si="39"/>
        <v>13017</v>
      </c>
      <c r="V124" s="101"/>
      <c r="W124" s="101">
        <f t="shared" si="40"/>
        <v>0</v>
      </c>
      <c r="X124" s="145"/>
    </row>
    <row r="125" s="19" customFormat="1" ht="36" customHeight="1" spans="1:24">
      <c r="A125" s="175"/>
      <c r="B125" s="223"/>
      <c r="C125" s="224"/>
      <c r="D125" s="225"/>
      <c r="E125" s="49"/>
      <c r="F125" s="52"/>
      <c r="G125" s="174" t="s">
        <v>337</v>
      </c>
      <c r="H125" s="101"/>
      <c r="I125" s="101">
        <v>1700</v>
      </c>
      <c r="J125" s="101"/>
      <c r="K125" s="101">
        <f t="shared" si="41"/>
        <v>1700</v>
      </c>
      <c r="L125" s="238"/>
      <c r="M125" s="238"/>
      <c r="N125" s="238"/>
      <c r="O125" s="239"/>
      <c r="P125" s="239"/>
      <c r="Q125" s="239"/>
      <c r="R125" s="101"/>
      <c r="S125" s="101">
        <f t="shared" si="42"/>
        <v>1700</v>
      </c>
      <c r="T125" s="101"/>
      <c r="U125" s="101">
        <f t="shared" si="39"/>
        <v>1700</v>
      </c>
      <c r="V125" s="101"/>
      <c r="W125" s="101">
        <f t="shared" si="40"/>
        <v>0</v>
      </c>
      <c r="X125" s="145"/>
    </row>
    <row r="126" s="19" customFormat="1" ht="36" customHeight="1" spans="1:24">
      <c r="A126" s="175"/>
      <c r="B126" s="223"/>
      <c r="C126" s="224"/>
      <c r="D126" s="225"/>
      <c r="E126" s="49"/>
      <c r="F126" s="52"/>
      <c r="G126" s="174" t="s">
        <v>363</v>
      </c>
      <c r="H126" s="101"/>
      <c r="I126" s="101">
        <v>10747</v>
      </c>
      <c r="J126" s="101"/>
      <c r="K126" s="101">
        <f t="shared" si="41"/>
        <v>10747</v>
      </c>
      <c r="L126" s="238"/>
      <c r="M126" s="238"/>
      <c r="N126" s="238"/>
      <c r="O126" s="239"/>
      <c r="P126" s="239"/>
      <c r="Q126" s="239"/>
      <c r="R126" s="101"/>
      <c r="S126" s="101">
        <f t="shared" si="42"/>
        <v>10747</v>
      </c>
      <c r="T126" s="101"/>
      <c r="U126" s="101">
        <f t="shared" si="39"/>
        <v>10747</v>
      </c>
      <c r="V126" s="101"/>
      <c r="W126" s="101">
        <f t="shared" si="40"/>
        <v>0</v>
      </c>
      <c r="X126" s="145"/>
    </row>
    <row r="127" s="19" customFormat="1" ht="36" customHeight="1" spans="1:24">
      <c r="A127" s="175"/>
      <c r="B127" s="223"/>
      <c r="C127" s="224"/>
      <c r="D127" s="225"/>
      <c r="E127" s="49"/>
      <c r="F127" s="52"/>
      <c r="G127" s="174" t="s">
        <v>384</v>
      </c>
      <c r="H127" s="101"/>
      <c r="I127" s="101">
        <v>3699</v>
      </c>
      <c r="J127" s="101"/>
      <c r="K127" s="101">
        <f t="shared" si="41"/>
        <v>3699</v>
      </c>
      <c r="L127" s="238"/>
      <c r="M127" s="238"/>
      <c r="N127" s="238"/>
      <c r="O127" s="239"/>
      <c r="P127" s="239"/>
      <c r="Q127" s="239"/>
      <c r="R127" s="101"/>
      <c r="S127" s="101">
        <f t="shared" si="42"/>
        <v>3699</v>
      </c>
      <c r="T127" s="101"/>
      <c r="U127" s="101">
        <f t="shared" si="39"/>
        <v>3699</v>
      </c>
      <c r="V127" s="101"/>
      <c r="W127" s="101">
        <f t="shared" si="40"/>
        <v>0</v>
      </c>
      <c r="X127" s="145"/>
    </row>
    <row r="128" s="19" customFormat="1" ht="36" customHeight="1" spans="1:24">
      <c r="A128" s="175"/>
      <c r="B128" s="223"/>
      <c r="C128" s="224"/>
      <c r="D128" s="225"/>
      <c r="E128" s="49"/>
      <c r="F128" s="52"/>
      <c r="G128" s="174"/>
      <c r="H128" s="101"/>
      <c r="I128" s="101"/>
      <c r="J128" s="101"/>
      <c r="K128" s="101"/>
      <c r="L128" s="238"/>
      <c r="M128" s="238"/>
      <c r="N128" s="238"/>
      <c r="O128" s="239"/>
      <c r="P128" s="239"/>
      <c r="Q128" s="239"/>
      <c r="R128" s="101"/>
      <c r="S128" s="101"/>
      <c r="T128" s="101"/>
      <c r="U128" s="101"/>
      <c r="V128" s="101"/>
      <c r="W128" s="101">
        <f t="shared" si="40"/>
        <v>0</v>
      </c>
      <c r="X128" s="145"/>
    </row>
    <row r="129" s="19" customFormat="1" ht="36" customHeight="1" spans="1:24">
      <c r="A129" s="175"/>
      <c r="B129" s="220" t="s">
        <v>208</v>
      </c>
      <c r="C129" s="221"/>
      <c r="D129" s="222"/>
      <c r="E129" s="45"/>
      <c r="F129" s="46" t="s">
        <v>295</v>
      </c>
      <c r="G129" s="145" t="s">
        <v>206</v>
      </c>
      <c r="H129" s="94"/>
      <c r="I129" s="94">
        <f>287.12</f>
        <v>287.12</v>
      </c>
      <c r="J129" s="94">
        <v>2.88</v>
      </c>
      <c r="K129" s="94">
        <f t="shared" ref="K129:K134" si="43">J129+I129</f>
        <v>290</v>
      </c>
      <c r="L129" s="94"/>
      <c r="M129" s="94"/>
      <c r="N129" s="94"/>
      <c r="O129" s="94"/>
      <c r="P129" s="94"/>
      <c r="Q129" s="94"/>
      <c r="R129" s="94"/>
      <c r="S129" s="94">
        <f>K129-L129-M129-N129-O129+R129-Q129</f>
        <v>290</v>
      </c>
      <c r="T129" s="94"/>
      <c r="U129" s="94">
        <f t="shared" ref="U129:U141" si="44">S129</f>
        <v>290</v>
      </c>
      <c r="V129" s="94"/>
      <c r="W129" s="94">
        <f t="shared" si="40"/>
        <v>0</v>
      </c>
      <c r="X129" s="145"/>
    </row>
    <row r="130" s="19" customFormat="1" ht="36" customHeight="1" spans="1:24">
      <c r="A130" s="175"/>
      <c r="B130" s="223"/>
      <c r="C130" s="224"/>
      <c r="D130" s="225"/>
      <c r="E130" s="49"/>
      <c r="F130" s="52" t="s">
        <v>296</v>
      </c>
      <c r="G130" s="174" t="s">
        <v>337</v>
      </c>
      <c r="H130" s="226"/>
      <c r="I130" s="109"/>
      <c r="J130" s="109"/>
      <c r="K130" s="101">
        <f t="shared" si="43"/>
        <v>0</v>
      </c>
      <c r="L130" s="101"/>
      <c r="M130" s="101"/>
      <c r="N130" s="101"/>
      <c r="O130" s="101"/>
      <c r="P130" s="101"/>
      <c r="Q130" s="101"/>
      <c r="R130" s="101"/>
      <c r="S130" s="101">
        <f>K130</f>
        <v>0</v>
      </c>
      <c r="T130" s="101"/>
      <c r="U130" s="101">
        <f t="shared" si="44"/>
        <v>0</v>
      </c>
      <c r="V130" s="101"/>
      <c r="W130" s="101">
        <f t="shared" si="40"/>
        <v>0</v>
      </c>
      <c r="X130" s="145"/>
    </row>
    <row r="131" s="19" customFormat="1" ht="36" customHeight="1" spans="1:24">
      <c r="A131" s="175"/>
      <c r="B131" s="223"/>
      <c r="C131" s="224"/>
      <c r="D131" s="225"/>
      <c r="E131" s="49"/>
      <c r="F131" s="52"/>
      <c r="G131" s="174"/>
      <c r="H131" s="101"/>
      <c r="I131" s="101"/>
      <c r="J131" s="101"/>
      <c r="K131" s="101"/>
      <c r="L131" s="101"/>
      <c r="M131" s="101"/>
      <c r="N131" s="101"/>
      <c r="O131" s="101"/>
      <c r="P131" s="101"/>
      <c r="Q131" s="101"/>
      <c r="R131" s="101"/>
      <c r="S131" s="101"/>
      <c r="T131" s="101"/>
      <c r="U131" s="101"/>
      <c r="V131" s="101"/>
      <c r="W131" s="101"/>
      <c r="X131" s="145"/>
    </row>
    <row r="132" s="19" customFormat="1" ht="36" customHeight="1" spans="1:24">
      <c r="A132" s="175"/>
      <c r="B132" s="223"/>
      <c r="C132" s="224"/>
      <c r="D132" s="225"/>
      <c r="E132" s="49"/>
      <c r="F132" s="52"/>
      <c r="G132" s="174"/>
      <c r="H132" s="101"/>
      <c r="I132" s="101"/>
      <c r="J132" s="101"/>
      <c r="K132" s="101"/>
      <c r="L132" s="101"/>
      <c r="M132" s="101"/>
      <c r="N132" s="101"/>
      <c r="O132" s="101"/>
      <c r="P132" s="101"/>
      <c r="Q132" s="101"/>
      <c r="R132" s="101"/>
      <c r="S132" s="101"/>
      <c r="T132" s="101"/>
      <c r="U132" s="101"/>
      <c r="V132" s="101"/>
      <c r="W132" s="101"/>
      <c r="X132" s="145"/>
    </row>
    <row r="133" s="19" customFormat="1" ht="36" customHeight="1" spans="1:24">
      <c r="A133" s="175"/>
      <c r="B133" s="223"/>
      <c r="C133" s="224"/>
      <c r="D133" s="225"/>
      <c r="E133" s="49"/>
      <c r="F133" s="52"/>
      <c r="G133" s="174"/>
      <c r="H133" s="101"/>
      <c r="I133" s="101"/>
      <c r="J133" s="101"/>
      <c r="K133" s="101"/>
      <c r="L133" s="101"/>
      <c r="M133" s="101"/>
      <c r="N133" s="101"/>
      <c r="O133" s="101"/>
      <c r="P133" s="101"/>
      <c r="Q133" s="101"/>
      <c r="R133" s="101"/>
      <c r="S133" s="101"/>
      <c r="T133" s="101"/>
      <c r="U133" s="101"/>
      <c r="V133" s="101"/>
      <c r="W133" s="102"/>
      <c r="X133" s="145"/>
    </row>
    <row r="134" s="19" customFormat="1" ht="36" customHeight="1" spans="1:24">
      <c r="A134" s="175"/>
      <c r="B134" s="220" t="s">
        <v>209</v>
      </c>
      <c r="C134" s="221"/>
      <c r="D134" s="222"/>
      <c r="E134" s="45"/>
      <c r="F134" s="45" t="s">
        <v>295</v>
      </c>
      <c r="G134" s="145" t="s">
        <v>206</v>
      </c>
      <c r="H134" s="94"/>
      <c r="I134" s="94">
        <v>116605.74</v>
      </c>
      <c r="J134" s="94">
        <v>3317.86000000048</v>
      </c>
      <c r="K134" s="94">
        <f t="shared" si="43"/>
        <v>119923.6</v>
      </c>
      <c r="L134" s="94"/>
      <c r="M134" s="94"/>
      <c r="N134" s="94"/>
      <c r="O134" s="94"/>
      <c r="P134" s="94"/>
      <c r="Q134" s="94"/>
      <c r="R134" s="94"/>
      <c r="S134" s="94">
        <f t="shared" ref="S134:S136" si="45">K134-L134-M134-N134-O134+R134-Q134</f>
        <v>119923.6</v>
      </c>
      <c r="T134" s="94"/>
      <c r="U134" s="94">
        <f t="shared" si="44"/>
        <v>119923.6</v>
      </c>
      <c r="V134" s="94"/>
      <c r="W134" s="94">
        <f t="shared" ref="W134:W137" si="46">S134+T134-U134-V134</f>
        <v>0</v>
      </c>
      <c r="X134" s="145"/>
    </row>
    <row r="135" s="19" customFormat="1" ht="36" customHeight="1" spans="1:24">
      <c r="A135" s="175"/>
      <c r="B135" s="223"/>
      <c r="C135" s="224"/>
      <c r="D135" s="225"/>
      <c r="E135" s="49"/>
      <c r="F135" s="49"/>
      <c r="G135" s="45" t="s">
        <v>207</v>
      </c>
      <c r="H135" s="94"/>
      <c r="I135" s="108">
        <v>89025.62</v>
      </c>
      <c r="J135" s="108">
        <f>2148.43-100.78-401.06</f>
        <v>1646.59</v>
      </c>
      <c r="K135" s="94">
        <f>I135+J135</f>
        <v>90672.21</v>
      </c>
      <c r="L135" s="94"/>
      <c r="M135" s="94"/>
      <c r="N135" s="94"/>
      <c r="O135" s="94"/>
      <c r="P135" s="94"/>
      <c r="Q135" s="94"/>
      <c r="R135" s="94"/>
      <c r="S135" s="94">
        <f t="shared" si="45"/>
        <v>90672.21</v>
      </c>
      <c r="T135" s="94"/>
      <c r="U135" s="94">
        <f t="shared" si="44"/>
        <v>90672.21</v>
      </c>
      <c r="V135" s="94"/>
      <c r="W135" s="94">
        <f t="shared" si="46"/>
        <v>0</v>
      </c>
      <c r="X135" s="145"/>
    </row>
    <row r="136" s="19" customFormat="1" ht="36" customHeight="1" spans="1:24">
      <c r="A136" s="175"/>
      <c r="B136" s="223"/>
      <c r="C136" s="224"/>
      <c r="D136" s="225"/>
      <c r="E136" s="49"/>
      <c r="F136" s="49"/>
      <c r="G136" s="81"/>
      <c r="H136" s="233" t="s">
        <v>210</v>
      </c>
      <c r="I136" s="108">
        <v>6579.94</v>
      </c>
      <c r="J136" s="108">
        <f>3620-3408.78+3361-3171.16</f>
        <v>401.06</v>
      </c>
      <c r="K136" s="94">
        <f t="shared" ref="K136:K139" si="47">J136+I136</f>
        <v>6981</v>
      </c>
      <c r="L136" s="94"/>
      <c r="M136" s="94"/>
      <c r="N136" s="94"/>
      <c r="O136" s="94"/>
      <c r="P136" s="94"/>
      <c r="Q136" s="94"/>
      <c r="R136" s="94"/>
      <c r="S136" s="94">
        <f t="shared" si="45"/>
        <v>6981</v>
      </c>
      <c r="T136" s="94"/>
      <c r="U136" s="94">
        <f t="shared" si="44"/>
        <v>6981</v>
      </c>
      <c r="V136" s="94"/>
      <c r="W136" s="94">
        <f t="shared" si="46"/>
        <v>0</v>
      </c>
      <c r="X136" s="145"/>
    </row>
    <row r="137" s="19" customFormat="1" ht="36" customHeight="1" spans="1:24">
      <c r="A137" s="175"/>
      <c r="B137" s="223"/>
      <c r="C137" s="224"/>
      <c r="D137" s="225"/>
      <c r="E137" s="49"/>
      <c r="F137" s="52" t="s">
        <v>296</v>
      </c>
      <c r="G137" s="174" t="s">
        <v>313</v>
      </c>
      <c r="H137" s="226"/>
      <c r="I137" s="109">
        <v>65309.79</v>
      </c>
      <c r="J137" s="109">
        <v>909.39</v>
      </c>
      <c r="K137" s="101">
        <f t="shared" si="47"/>
        <v>66219.18</v>
      </c>
      <c r="L137" s="101"/>
      <c r="M137" s="101"/>
      <c r="N137" s="101"/>
      <c r="O137" s="101"/>
      <c r="P137" s="101"/>
      <c r="Q137" s="101"/>
      <c r="R137" s="101"/>
      <c r="S137" s="101">
        <f t="shared" ref="S137:S140" si="48">K137</f>
        <v>66219.18</v>
      </c>
      <c r="T137" s="101"/>
      <c r="U137" s="101">
        <f t="shared" si="44"/>
        <v>66219.18</v>
      </c>
      <c r="V137" s="101"/>
      <c r="W137" s="101">
        <f t="shared" si="46"/>
        <v>0</v>
      </c>
      <c r="X137" s="145"/>
    </row>
    <row r="138" s="19" customFormat="1" ht="36" customHeight="1" spans="1:24">
      <c r="A138" s="175"/>
      <c r="B138" s="223"/>
      <c r="C138" s="224"/>
      <c r="D138" s="225"/>
      <c r="E138" s="49"/>
      <c r="F138" s="52"/>
      <c r="G138" s="174" t="s">
        <v>337</v>
      </c>
      <c r="H138" s="226"/>
      <c r="I138" s="109">
        <v>9521.42</v>
      </c>
      <c r="J138" s="109">
        <f>810.89-771.11+7.68+790-750.83+15.37+30.37+758.4-721.26+2052-2036.63+591.63</f>
        <v>776.51</v>
      </c>
      <c r="K138" s="101">
        <f t="shared" si="47"/>
        <v>10297.93</v>
      </c>
      <c r="L138" s="101"/>
      <c r="M138" s="101"/>
      <c r="N138" s="101"/>
      <c r="O138" s="101"/>
      <c r="P138" s="101"/>
      <c r="Q138" s="101"/>
      <c r="R138" s="101"/>
      <c r="S138" s="101">
        <f t="shared" si="48"/>
        <v>10297.93</v>
      </c>
      <c r="T138" s="101"/>
      <c r="U138" s="101">
        <f t="shared" si="44"/>
        <v>10297.93</v>
      </c>
      <c r="V138" s="101"/>
      <c r="W138" s="101"/>
      <c r="X138" s="145"/>
    </row>
    <row r="139" s="19" customFormat="1" ht="36" customHeight="1" spans="1:24">
      <c r="A139" s="175"/>
      <c r="B139" s="223"/>
      <c r="C139" s="224"/>
      <c r="D139" s="225"/>
      <c r="E139" s="49"/>
      <c r="F139" s="52"/>
      <c r="G139" s="174" t="s">
        <v>338</v>
      </c>
      <c r="H139" s="226"/>
      <c r="I139" s="109">
        <v>26021.1</v>
      </c>
      <c r="J139" s="109">
        <v>430.410000000149</v>
      </c>
      <c r="K139" s="101">
        <f t="shared" si="47"/>
        <v>26451.5100000001</v>
      </c>
      <c r="L139" s="101"/>
      <c r="M139" s="101"/>
      <c r="N139" s="101"/>
      <c r="O139" s="101"/>
      <c r="P139" s="101"/>
      <c r="Q139" s="101"/>
      <c r="R139" s="101"/>
      <c r="S139" s="101">
        <f t="shared" si="48"/>
        <v>26451.5100000001</v>
      </c>
      <c r="T139" s="101"/>
      <c r="U139" s="101">
        <f t="shared" si="44"/>
        <v>26451.5100000001</v>
      </c>
      <c r="V139" s="101"/>
      <c r="W139" s="101"/>
      <c r="X139" s="145"/>
    </row>
    <row r="140" s="19" customFormat="1" ht="36" customHeight="1" spans="1:24">
      <c r="A140" s="175"/>
      <c r="B140" s="223"/>
      <c r="C140" s="224"/>
      <c r="D140" s="225"/>
      <c r="E140" s="49"/>
      <c r="F140" s="52"/>
      <c r="G140" s="174" t="s">
        <v>339</v>
      </c>
      <c r="H140" s="226"/>
      <c r="I140" s="109">
        <v>19271.4</v>
      </c>
      <c r="J140" s="109">
        <f>2132.03-2035.28+3242.03-3044.15+14.97+10623.25-10272.17+11.23</f>
        <v>671.91</v>
      </c>
      <c r="K140" s="101">
        <f>I140+J140</f>
        <v>19943.31</v>
      </c>
      <c r="L140" s="101"/>
      <c r="M140" s="101"/>
      <c r="N140" s="101"/>
      <c r="O140" s="101"/>
      <c r="P140" s="101"/>
      <c r="Q140" s="101"/>
      <c r="R140" s="101"/>
      <c r="S140" s="101">
        <f t="shared" si="48"/>
        <v>19943.31</v>
      </c>
      <c r="T140" s="101"/>
      <c r="U140" s="101">
        <f t="shared" si="44"/>
        <v>19943.31</v>
      </c>
      <c r="V140" s="101"/>
      <c r="W140" s="101"/>
      <c r="X140" s="145"/>
    </row>
    <row r="141" s="19" customFormat="1" ht="36" customHeight="1" spans="1:24">
      <c r="A141" s="175"/>
      <c r="B141" s="220" t="s">
        <v>211</v>
      </c>
      <c r="C141" s="221"/>
      <c r="D141" s="222"/>
      <c r="E141" s="45"/>
      <c r="F141" s="211" t="s">
        <v>295</v>
      </c>
      <c r="G141" s="145" t="s">
        <v>207</v>
      </c>
      <c r="H141" s="94"/>
      <c r="I141" s="108">
        <f>22857.94+11.28</f>
        <v>22869.22</v>
      </c>
      <c r="J141" s="108">
        <f>11.28+29.7+24.26*2</f>
        <v>89.5</v>
      </c>
      <c r="K141" s="94">
        <f>I141+J141</f>
        <v>22958.72</v>
      </c>
      <c r="L141" s="94"/>
      <c r="M141" s="94"/>
      <c r="N141" s="94"/>
      <c r="O141" s="94"/>
      <c r="P141" s="94"/>
      <c r="Q141" s="94"/>
      <c r="R141" s="94"/>
      <c r="S141" s="94">
        <f>K141-L141-M141-N141-O141+R141-Q141</f>
        <v>22958.72</v>
      </c>
      <c r="T141" s="108"/>
      <c r="U141" s="94">
        <f t="shared" si="44"/>
        <v>22958.72</v>
      </c>
      <c r="V141" s="94"/>
      <c r="W141" s="94">
        <f t="shared" ref="W141:W148" si="49">S141+T141-U141-V141</f>
        <v>0</v>
      </c>
      <c r="X141" s="145"/>
    </row>
    <row r="142" s="19" customFormat="1" ht="36" customHeight="1" spans="1:24">
      <c r="A142" s="175"/>
      <c r="B142" s="223"/>
      <c r="C142" s="224"/>
      <c r="D142" s="225"/>
      <c r="E142" s="81"/>
      <c r="F142" s="103" t="s">
        <v>296</v>
      </c>
      <c r="G142" s="174" t="s">
        <v>313</v>
      </c>
      <c r="H142" s="234" t="s">
        <v>314</v>
      </c>
      <c r="I142" s="109">
        <v>11785.05</v>
      </c>
      <c r="J142" s="109">
        <v>38.9500000000007</v>
      </c>
      <c r="K142" s="101">
        <f>I142+J142</f>
        <v>11824</v>
      </c>
      <c r="L142" s="101"/>
      <c r="M142" s="101"/>
      <c r="N142" s="101"/>
      <c r="O142" s="101"/>
      <c r="P142" s="101"/>
      <c r="Q142" s="101"/>
      <c r="R142" s="101"/>
      <c r="S142" s="101">
        <v>11824</v>
      </c>
      <c r="T142" s="109"/>
      <c r="U142" s="101">
        <v>11824</v>
      </c>
      <c r="V142" s="101"/>
      <c r="W142" s="101">
        <f t="shared" si="49"/>
        <v>0</v>
      </c>
      <c r="X142" s="145"/>
    </row>
    <row r="143" s="19" customFormat="1" ht="36" customHeight="1" spans="1:24">
      <c r="A143" s="175"/>
      <c r="B143" s="223"/>
      <c r="C143" s="224"/>
      <c r="D143" s="225"/>
      <c r="E143" s="81"/>
      <c r="F143" s="105"/>
      <c r="G143" s="174"/>
      <c r="H143" s="234"/>
      <c r="I143" s="109"/>
      <c r="J143" s="109"/>
      <c r="K143" s="101"/>
      <c r="L143" s="101"/>
      <c r="M143" s="101"/>
      <c r="N143" s="101"/>
      <c r="O143" s="101"/>
      <c r="P143" s="101"/>
      <c r="Q143" s="101"/>
      <c r="R143" s="101"/>
      <c r="S143" s="101"/>
      <c r="T143" s="109"/>
      <c r="U143" s="101"/>
      <c r="V143" s="101"/>
      <c r="W143" s="101"/>
      <c r="X143" s="145"/>
    </row>
    <row r="144" s="19" customFormat="1" ht="36" customHeight="1" spans="1:24">
      <c r="A144" s="175"/>
      <c r="B144" s="223"/>
      <c r="C144" s="224"/>
      <c r="D144" s="225"/>
      <c r="E144" s="81"/>
      <c r="F144" s="105"/>
      <c r="G144" s="174"/>
      <c r="H144" s="234"/>
      <c r="I144" s="109"/>
      <c r="J144" s="109"/>
      <c r="K144" s="101"/>
      <c r="L144" s="101"/>
      <c r="M144" s="101"/>
      <c r="N144" s="101"/>
      <c r="O144" s="101"/>
      <c r="P144" s="101"/>
      <c r="Q144" s="101"/>
      <c r="R144" s="101"/>
      <c r="S144" s="101"/>
      <c r="T144" s="109"/>
      <c r="U144" s="101"/>
      <c r="V144" s="101"/>
      <c r="W144" s="101"/>
      <c r="X144" s="145"/>
    </row>
    <row r="145" s="19" customFormat="1" ht="36" customHeight="1" spans="1:24">
      <c r="A145" s="175"/>
      <c r="B145" s="223"/>
      <c r="C145" s="224"/>
      <c r="D145" s="225"/>
      <c r="E145" s="81"/>
      <c r="F145" s="105"/>
      <c r="G145" s="174"/>
      <c r="H145" s="234"/>
      <c r="I145" s="109"/>
      <c r="J145" s="109"/>
      <c r="K145" s="101"/>
      <c r="L145" s="101"/>
      <c r="M145" s="101"/>
      <c r="N145" s="101"/>
      <c r="O145" s="101"/>
      <c r="P145" s="101"/>
      <c r="Q145" s="101"/>
      <c r="R145" s="101"/>
      <c r="S145" s="101"/>
      <c r="T145" s="109"/>
      <c r="U145" s="101"/>
      <c r="V145" s="101"/>
      <c r="W145" s="101"/>
      <c r="X145" s="145"/>
    </row>
    <row r="146" s="19" customFormat="1" ht="36" customHeight="1" spans="1:24">
      <c r="A146" s="175"/>
      <c r="B146" s="185" t="s">
        <v>210</v>
      </c>
      <c r="C146" s="186"/>
      <c r="D146" s="187"/>
      <c r="E146" s="94"/>
      <c r="F146" s="103" t="s">
        <v>296</v>
      </c>
      <c r="G146" s="174" t="s">
        <v>313</v>
      </c>
      <c r="H146" s="234" t="s">
        <v>315</v>
      </c>
      <c r="I146" s="109">
        <v>84328.41</v>
      </c>
      <c r="J146" s="109">
        <v>10962.71</v>
      </c>
      <c r="K146" s="101">
        <f t="shared" ref="K146:K150" si="50">J146+I146</f>
        <v>95291.12</v>
      </c>
      <c r="L146" s="101"/>
      <c r="M146" s="101"/>
      <c r="N146" s="101"/>
      <c r="O146" s="101"/>
      <c r="P146" s="101"/>
      <c r="Q146" s="101"/>
      <c r="R146" s="101"/>
      <c r="S146" s="101">
        <f t="shared" ref="S146:S150" si="51">K146</f>
        <v>95291.12</v>
      </c>
      <c r="T146" s="101"/>
      <c r="U146" s="101">
        <f t="shared" ref="U146:U150" si="52">S146</f>
        <v>95291.12</v>
      </c>
      <c r="V146" s="101"/>
      <c r="W146" s="101">
        <f t="shared" si="49"/>
        <v>0</v>
      </c>
      <c r="X146" s="145"/>
    </row>
    <row r="147" s="19" customFormat="1" ht="36" customHeight="1" spans="1:24">
      <c r="A147" s="175"/>
      <c r="B147" s="189"/>
      <c r="C147" s="190"/>
      <c r="D147" s="191"/>
      <c r="E147" s="94"/>
      <c r="F147" s="105"/>
      <c r="G147" s="174" t="s">
        <v>337</v>
      </c>
      <c r="H147" s="234" t="s">
        <v>340</v>
      </c>
      <c r="I147" s="109">
        <v>31416.34</v>
      </c>
      <c r="J147" s="109">
        <f>1041.5</f>
        <v>1041.5</v>
      </c>
      <c r="K147" s="101">
        <f t="shared" si="50"/>
        <v>32457.84</v>
      </c>
      <c r="L147" s="101"/>
      <c r="M147" s="101"/>
      <c r="N147" s="101"/>
      <c r="O147" s="101"/>
      <c r="P147" s="101"/>
      <c r="Q147" s="101"/>
      <c r="R147" s="101"/>
      <c r="S147" s="101">
        <f t="shared" si="51"/>
        <v>32457.84</v>
      </c>
      <c r="T147" s="101"/>
      <c r="U147" s="101">
        <f t="shared" si="52"/>
        <v>32457.84</v>
      </c>
      <c r="V147" s="101"/>
      <c r="W147" s="101">
        <f t="shared" si="49"/>
        <v>0</v>
      </c>
      <c r="X147" s="145"/>
    </row>
    <row r="148" s="19" customFormat="1" ht="36" customHeight="1" spans="1:24">
      <c r="A148" s="175"/>
      <c r="B148" s="189"/>
      <c r="C148" s="190"/>
      <c r="D148" s="191"/>
      <c r="E148" s="94"/>
      <c r="F148" s="105"/>
      <c r="G148" s="174" t="s">
        <v>337</v>
      </c>
      <c r="H148" s="226"/>
      <c r="I148" s="109">
        <v>3345.19</v>
      </c>
      <c r="J148" s="109">
        <v>434.87</v>
      </c>
      <c r="K148" s="101">
        <f t="shared" si="50"/>
        <v>3780.06</v>
      </c>
      <c r="L148" s="101"/>
      <c r="M148" s="101"/>
      <c r="N148" s="101"/>
      <c r="O148" s="101"/>
      <c r="P148" s="101"/>
      <c r="Q148" s="101"/>
      <c r="R148" s="101"/>
      <c r="S148" s="101">
        <f t="shared" si="51"/>
        <v>3780.06</v>
      </c>
      <c r="T148" s="101"/>
      <c r="U148" s="101">
        <f t="shared" si="52"/>
        <v>3780.06</v>
      </c>
      <c r="V148" s="101"/>
      <c r="W148" s="101">
        <f t="shared" si="49"/>
        <v>0</v>
      </c>
      <c r="X148" s="145"/>
    </row>
    <row r="149" s="19" customFormat="1" ht="36" customHeight="1" spans="1:24">
      <c r="A149" s="175"/>
      <c r="B149" s="189"/>
      <c r="C149" s="190"/>
      <c r="D149" s="191"/>
      <c r="E149" s="94"/>
      <c r="F149" s="105"/>
      <c r="G149" s="174" t="s">
        <v>338</v>
      </c>
      <c r="H149" s="234" t="s">
        <v>364</v>
      </c>
      <c r="I149" s="109">
        <v>273547.38</v>
      </c>
      <c r="J149" s="109">
        <f>28647.01+1189.56+5407.38+317.52</f>
        <v>35561.47</v>
      </c>
      <c r="K149" s="101">
        <f t="shared" si="50"/>
        <v>309108.85</v>
      </c>
      <c r="L149" s="101"/>
      <c r="M149" s="101"/>
      <c r="N149" s="101"/>
      <c r="O149" s="101"/>
      <c r="P149" s="101"/>
      <c r="Q149" s="101"/>
      <c r="R149" s="101"/>
      <c r="S149" s="101">
        <f t="shared" si="51"/>
        <v>309108.85</v>
      </c>
      <c r="T149" s="101"/>
      <c r="U149" s="101">
        <f t="shared" si="52"/>
        <v>309108.85</v>
      </c>
      <c r="V149" s="101"/>
      <c r="W149" s="101">
        <f>S149-U149</f>
        <v>0</v>
      </c>
      <c r="X149" s="145"/>
    </row>
    <row r="150" s="19" customFormat="1" ht="36" customHeight="1" spans="1:24">
      <c r="A150" s="175"/>
      <c r="B150" s="189"/>
      <c r="C150" s="190"/>
      <c r="D150" s="191"/>
      <c r="E150" s="94"/>
      <c r="F150" s="105"/>
      <c r="G150" s="174" t="s">
        <v>339</v>
      </c>
      <c r="H150" s="234" t="s">
        <v>368</v>
      </c>
      <c r="I150" s="109">
        <v>688.77</v>
      </c>
      <c r="J150" s="109">
        <f>727.9-688.77</f>
        <v>39.13</v>
      </c>
      <c r="K150" s="101">
        <f t="shared" si="50"/>
        <v>727.9</v>
      </c>
      <c r="L150" s="101"/>
      <c r="M150" s="101"/>
      <c r="N150" s="101"/>
      <c r="O150" s="101"/>
      <c r="P150" s="101"/>
      <c r="Q150" s="101"/>
      <c r="R150" s="101"/>
      <c r="S150" s="101">
        <f t="shared" si="51"/>
        <v>727.9</v>
      </c>
      <c r="T150" s="101"/>
      <c r="U150" s="101">
        <f t="shared" si="52"/>
        <v>727.9</v>
      </c>
      <c r="V150" s="101"/>
      <c r="W150" s="101"/>
      <c r="X150" s="145"/>
    </row>
    <row r="151" s="19" customFormat="1" ht="36" customHeight="1" spans="1:24">
      <c r="A151" s="175"/>
      <c r="B151" s="213"/>
      <c r="C151" s="214"/>
      <c r="D151" s="215"/>
      <c r="E151" s="94"/>
      <c r="F151" s="106"/>
      <c r="G151" s="174"/>
      <c r="H151" s="234"/>
      <c r="I151" s="109"/>
      <c r="J151" s="109"/>
      <c r="K151" s="101"/>
      <c r="L151" s="101"/>
      <c r="M151" s="101"/>
      <c r="N151" s="101"/>
      <c r="O151" s="101"/>
      <c r="P151" s="101"/>
      <c r="Q151" s="101"/>
      <c r="R151" s="101"/>
      <c r="S151" s="101"/>
      <c r="T151" s="101"/>
      <c r="U151" s="101"/>
      <c r="V151" s="101"/>
      <c r="W151" s="101"/>
      <c r="X151" s="145"/>
    </row>
    <row r="152" s="19" customFormat="1" ht="36" customHeight="1" spans="1:24">
      <c r="A152" s="175"/>
      <c r="B152" s="235"/>
      <c r="C152" s="235"/>
      <c r="D152" s="235"/>
      <c r="E152" s="94"/>
      <c r="F152" s="94"/>
      <c r="G152" s="145"/>
      <c r="H152" s="236"/>
      <c r="I152" s="108"/>
      <c r="J152" s="108"/>
      <c r="K152" s="94"/>
      <c r="L152" s="94"/>
      <c r="M152" s="94"/>
      <c r="N152" s="94"/>
      <c r="O152" s="94"/>
      <c r="P152" s="94"/>
      <c r="Q152" s="94"/>
      <c r="R152" s="94"/>
      <c r="S152" s="94"/>
      <c r="T152" s="108"/>
      <c r="U152" s="94"/>
      <c r="V152" s="94"/>
      <c r="W152" s="94">
        <f>S152+T152-U152-V152</f>
        <v>0</v>
      </c>
      <c r="X152" s="145"/>
    </row>
    <row r="153" s="20" customFormat="1" ht="36" customHeight="1" spans="1:24">
      <c r="A153" s="240" t="s">
        <v>212</v>
      </c>
      <c r="B153" s="241"/>
      <c r="C153" s="241"/>
      <c r="D153" s="241"/>
      <c r="E153" s="242"/>
      <c r="F153" s="242"/>
      <c r="G153" s="243"/>
      <c r="H153" s="244" t="s">
        <v>316</v>
      </c>
      <c r="I153" s="300">
        <f t="shared" ref="I153:W153" si="53">I141+I136+I135+I134+I129+I123+I122+I108+I107+I106+I102+I94+I92+I91+I90+I89+I88+I87+I86+I85+I84+I83+I82+I81+I80+I79+I78+I77+I76+I75+I74+I73+I72+I71+I70+I69+I68+I65+I55+I46+I32+I23</f>
        <v>260599572.29</v>
      </c>
      <c r="J153" s="300">
        <f t="shared" si="53"/>
        <v>25791352.63</v>
      </c>
      <c r="K153" s="300">
        <f t="shared" si="53"/>
        <v>286390924.92</v>
      </c>
      <c r="L153" s="300">
        <f t="shared" si="53"/>
        <v>2208694.43</v>
      </c>
      <c r="M153" s="300">
        <f t="shared" si="53"/>
        <v>0</v>
      </c>
      <c r="N153" s="300">
        <f t="shared" si="53"/>
        <v>0</v>
      </c>
      <c r="O153" s="300">
        <f t="shared" si="53"/>
        <v>613920.32</v>
      </c>
      <c r="P153" s="300">
        <f t="shared" si="53"/>
        <v>0</v>
      </c>
      <c r="Q153" s="300">
        <f t="shared" si="53"/>
        <v>3100</v>
      </c>
      <c r="R153" s="300">
        <f t="shared" si="53"/>
        <v>116593.5</v>
      </c>
      <c r="S153" s="300">
        <f t="shared" si="53"/>
        <v>281826803.67</v>
      </c>
      <c r="T153" s="300">
        <f t="shared" si="53"/>
        <v>1855000</v>
      </c>
      <c r="U153" s="300">
        <f t="shared" si="53"/>
        <v>250263880.12</v>
      </c>
      <c r="V153" s="300">
        <f t="shared" si="53"/>
        <v>1855000</v>
      </c>
      <c r="W153" s="300">
        <f t="shared" si="53"/>
        <v>31562923.55</v>
      </c>
      <c r="X153" s="307"/>
    </row>
    <row r="154" s="21" customFormat="1" ht="36" customHeight="1" spans="1:24">
      <c r="A154" s="245"/>
      <c r="B154" s="246"/>
      <c r="C154" s="246"/>
      <c r="D154" s="246"/>
      <c r="E154" s="247"/>
      <c r="F154" s="247"/>
      <c r="G154" s="212"/>
      <c r="H154" s="205" t="s">
        <v>317</v>
      </c>
      <c r="I154" s="301">
        <f>I24+I33+I47+I56+I66+I93+I95+I103+I104+I105+I109+I110+I111+I112+I124+I125+I126+I127+I128+I130+I131+I132+I133+I137+I138+I139+I140+I142+I143+I144+I145+I146+I147+I148+I149+I113+I114+I96+I150+I115+I97+I98</f>
        <v>21336075.99</v>
      </c>
      <c r="J154" s="301">
        <f>J24+J33+J47+J56+J66+J93+J95+J103+J104+J105+J109+J110+J111+J112+J124+J125+J126+J127+J128+J130+J131+J132+J133+J137+J138+J139+J140+J142+J143+J144+J145+J146+J147+J148+J149+J113+J114+J96+J150+J115+J97+J98</f>
        <v>3223587.04</v>
      </c>
      <c r="K154" s="301">
        <f>K24+K33+K47+K56+K66+K93+K95+K103+K104+K105+K109+K110+K111+K112+K124+K125+K126+K127+K128+K130+K131+K132+K133+K137+K138+K139+K140+K142+K143+K144+K145+K146+K147+K148+K149+K113+K114+K96+K150+K115+K97+K98</f>
        <v>24559663.03</v>
      </c>
      <c r="L154" s="301">
        <f t="shared" ref="I154:W154" si="54">L24+L33+L47+L56+L66+L93+L95+L103+L104+L105+L109+L110+L111+L112+L124+L125+L126+L127+L128+L130+L131+L132+L133+L137+L138+L139+L140+L142+L143+L144+L145+L146+L147+L148+L149+L113+L114+L96</f>
        <v>0</v>
      </c>
      <c r="M154" s="301">
        <f t="shared" si="54"/>
        <v>0</v>
      </c>
      <c r="N154" s="301">
        <f t="shared" si="54"/>
        <v>0</v>
      </c>
      <c r="O154" s="301">
        <f t="shared" si="54"/>
        <v>201576.1</v>
      </c>
      <c r="P154" s="301">
        <f t="shared" si="54"/>
        <v>0</v>
      </c>
      <c r="Q154" s="301">
        <f t="shared" si="54"/>
        <v>0</v>
      </c>
      <c r="R154" s="301">
        <f t="shared" si="54"/>
        <v>-116593.5</v>
      </c>
      <c r="S154" s="301">
        <f t="shared" si="54"/>
        <v>23913179.88</v>
      </c>
      <c r="T154" s="301">
        <f t="shared" si="54"/>
        <v>0</v>
      </c>
      <c r="U154" s="301">
        <f t="shared" si="54"/>
        <v>33329909.03</v>
      </c>
      <c r="V154" s="301">
        <f t="shared" si="54"/>
        <v>2681000</v>
      </c>
      <c r="W154" s="301">
        <f>W24+W33+W47+W56+W66+W93+W95+W103+W104+W105+W109+W110+W111+W112+W124+W125+W126+W127+W128+W130+W131+W132+W133+W137+W138+W139+W140+W142+W143+W144+W145+W146+W147+W148+W149+W113+W114+W97+W98+W96+W115+W150</f>
        <v>-11957586.24</v>
      </c>
      <c r="X154" s="308"/>
    </row>
    <row r="155" s="21" customFormat="1" ht="36" customHeight="1" spans="1:24">
      <c r="A155" s="245"/>
      <c r="B155" s="246"/>
      <c r="C155" s="246"/>
      <c r="D155" s="246"/>
      <c r="E155" s="247"/>
      <c r="F155" s="247"/>
      <c r="G155" s="248"/>
      <c r="H155" s="249"/>
      <c r="I155" s="301"/>
      <c r="J155" s="301"/>
      <c r="K155" s="301"/>
      <c r="L155" s="301"/>
      <c r="M155" s="301"/>
      <c r="N155" s="301"/>
      <c r="O155" s="301"/>
      <c r="P155" s="301"/>
      <c r="Q155" s="301"/>
      <c r="R155" s="301"/>
      <c r="S155" s="301"/>
      <c r="T155" s="301"/>
      <c r="U155" s="301"/>
      <c r="V155" s="301"/>
      <c r="W155" s="301"/>
      <c r="X155" s="308"/>
    </row>
    <row r="156" s="21" customFormat="1" ht="36" customHeight="1" spans="1:24">
      <c r="A156" s="245"/>
      <c r="B156" s="246"/>
      <c r="C156" s="246"/>
      <c r="D156" s="246"/>
      <c r="E156" s="247"/>
      <c r="F156" s="247"/>
      <c r="G156" s="248"/>
      <c r="H156" s="249"/>
      <c r="I156" s="301">
        <f>I154+I153</f>
        <v>281935648.28</v>
      </c>
      <c r="J156" s="301">
        <f>J154+J153</f>
        <v>29014939.67</v>
      </c>
      <c r="K156" s="301">
        <f>K154+K153</f>
        <v>310950587.95</v>
      </c>
      <c r="L156" s="301"/>
      <c r="M156" s="301"/>
      <c r="N156" s="301"/>
      <c r="O156" s="301"/>
      <c r="P156" s="301"/>
      <c r="Q156" s="301"/>
      <c r="R156" s="301"/>
      <c r="S156" s="301"/>
      <c r="T156" s="301"/>
      <c r="U156" s="301">
        <f>U154+U153</f>
        <v>283593789.15</v>
      </c>
      <c r="V156" s="301">
        <f>V154+V153</f>
        <v>4536000</v>
      </c>
      <c r="W156" s="301">
        <f>W154+W153</f>
        <v>19605337.31</v>
      </c>
      <c r="X156" s="308"/>
    </row>
    <row r="157" s="1" customFormat="1" ht="36" customHeight="1" spans="1:24">
      <c r="A157" s="250" t="s">
        <v>213</v>
      </c>
      <c r="B157" s="251" t="s">
        <v>214</v>
      </c>
      <c r="C157" s="252"/>
      <c r="D157" s="252"/>
      <c r="E157" s="253"/>
      <c r="F157" s="253"/>
      <c r="G157" s="217"/>
      <c r="H157" s="218"/>
      <c r="I157" s="94"/>
      <c r="J157" s="94"/>
      <c r="K157" s="94"/>
      <c r="L157" s="94"/>
      <c r="M157" s="94"/>
      <c r="N157" s="94"/>
      <c r="O157" s="94"/>
      <c r="P157" s="94"/>
      <c r="Q157" s="94"/>
      <c r="R157" s="94"/>
      <c r="S157" s="94">
        <f>K157-L157-M157-N157-O157+R157</f>
        <v>0</v>
      </c>
      <c r="T157" s="94"/>
      <c r="U157" s="94"/>
      <c r="V157" s="94"/>
      <c r="W157" s="94"/>
      <c r="X157" s="145"/>
    </row>
    <row r="158" s="22" customFormat="1" ht="42" customHeight="1" spans="1:235">
      <c r="A158" s="43">
        <v>22</v>
      </c>
      <c r="B158" s="44" t="s">
        <v>215</v>
      </c>
      <c r="C158" s="43" t="s">
        <v>216</v>
      </c>
      <c r="D158" s="43" t="s">
        <v>217</v>
      </c>
      <c r="E158" s="45">
        <v>9968383.94</v>
      </c>
      <c r="F158" s="45"/>
      <c r="G158" s="66" t="s">
        <v>218</v>
      </c>
      <c r="H158" s="66" t="s">
        <v>219</v>
      </c>
      <c r="I158" s="94"/>
      <c r="J158" s="94"/>
      <c r="K158" s="94">
        <f>I158+J158</f>
        <v>0</v>
      </c>
      <c r="L158" s="94"/>
      <c r="M158" s="94"/>
      <c r="N158" s="94"/>
      <c r="O158" s="94"/>
      <c r="P158" s="94"/>
      <c r="Q158" s="94"/>
      <c r="R158" s="94">
        <v>2990515.18</v>
      </c>
      <c r="S158" s="94">
        <f>K158-L158-M158-N158-O158+R158</f>
        <v>2990515.18</v>
      </c>
      <c r="T158" s="94"/>
      <c r="U158" s="94">
        <v>2990515.18</v>
      </c>
      <c r="V158" s="94"/>
      <c r="W158" s="94">
        <f>S158+T158-U158-V158</f>
        <v>0</v>
      </c>
      <c r="X158" s="145"/>
      <c r="Y158" s="311"/>
      <c r="Z158" s="311"/>
      <c r="AA158" s="311"/>
      <c r="AB158" s="311"/>
      <c r="AC158" s="311"/>
      <c r="AD158" s="311"/>
      <c r="AE158" s="311"/>
      <c r="AF158" s="311"/>
      <c r="AG158" s="311"/>
      <c r="AH158" s="311"/>
      <c r="AI158" s="311"/>
      <c r="AJ158" s="311"/>
      <c r="AK158" s="311"/>
      <c r="AL158" s="311"/>
      <c r="AM158" s="311"/>
      <c r="AN158" s="311"/>
      <c r="AO158" s="311"/>
      <c r="AP158" s="311"/>
      <c r="AQ158" s="311"/>
      <c r="AR158" s="311"/>
      <c r="AS158" s="311"/>
      <c r="AT158" s="311"/>
      <c r="AU158" s="311"/>
      <c r="AV158" s="311"/>
      <c r="AW158" s="311"/>
      <c r="AX158" s="311"/>
      <c r="AY158" s="311"/>
      <c r="AZ158" s="311"/>
      <c r="BA158" s="311"/>
      <c r="BB158" s="311"/>
      <c r="BC158" s="311"/>
      <c r="BD158" s="311"/>
      <c r="BE158" s="311"/>
      <c r="BF158" s="311"/>
      <c r="BG158" s="311"/>
      <c r="BH158" s="311"/>
      <c r="BI158" s="311"/>
      <c r="BJ158" s="311"/>
      <c r="BK158" s="311"/>
      <c r="BL158" s="311"/>
      <c r="BM158" s="311"/>
      <c r="BN158" s="311"/>
      <c r="BO158" s="311"/>
      <c r="BP158" s="311"/>
      <c r="BQ158" s="311"/>
      <c r="BR158" s="311"/>
      <c r="BS158" s="311"/>
      <c r="BT158" s="311"/>
      <c r="BU158" s="311"/>
      <c r="BV158" s="311"/>
      <c r="BW158" s="311"/>
      <c r="BX158" s="311"/>
      <c r="BY158" s="311"/>
      <c r="BZ158" s="311"/>
      <c r="CA158" s="311"/>
      <c r="CB158" s="311"/>
      <c r="CC158" s="311"/>
      <c r="CD158" s="311"/>
      <c r="CE158" s="311"/>
      <c r="CF158" s="311"/>
      <c r="CG158" s="311"/>
      <c r="CH158" s="311"/>
      <c r="CI158" s="311"/>
      <c r="CJ158" s="311"/>
      <c r="CK158" s="311"/>
      <c r="CL158" s="311"/>
      <c r="CM158" s="311"/>
      <c r="CN158" s="311"/>
      <c r="CO158" s="311"/>
      <c r="CP158" s="311"/>
      <c r="CQ158" s="311"/>
      <c r="CR158" s="311"/>
      <c r="CS158" s="311"/>
      <c r="CT158" s="311"/>
      <c r="CU158" s="311"/>
      <c r="CV158" s="311"/>
      <c r="CW158" s="311"/>
      <c r="CX158" s="311"/>
      <c r="CY158" s="311"/>
      <c r="CZ158" s="311"/>
      <c r="DA158" s="311"/>
      <c r="DB158" s="311"/>
      <c r="DC158" s="311"/>
      <c r="DD158" s="311"/>
      <c r="DE158" s="311"/>
      <c r="DF158" s="311"/>
      <c r="DG158" s="311"/>
      <c r="DH158" s="311"/>
      <c r="DI158" s="311"/>
      <c r="DJ158" s="311"/>
      <c r="DK158" s="311"/>
      <c r="DL158" s="311"/>
      <c r="DM158" s="311"/>
      <c r="DN158" s="311"/>
      <c r="DO158" s="311"/>
      <c r="DP158" s="311"/>
      <c r="DQ158" s="311"/>
      <c r="DR158" s="311"/>
      <c r="DS158" s="311"/>
      <c r="DT158" s="311"/>
      <c r="DU158" s="311"/>
      <c r="DV158" s="311"/>
      <c r="DW158" s="311"/>
      <c r="DX158" s="311"/>
      <c r="DY158" s="311"/>
      <c r="DZ158" s="311"/>
      <c r="EA158" s="311"/>
      <c r="EB158" s="311"/>
      <c r="EC158" s="311"/>
      <c r="ED158" s="311"/>
      <c r="EE158" s="311"/>
      <c r="EF158" s="311"/>
      <c r="EG158" s="311"/>
      <c r="EH158" s="311"/>
      <c r="EI158" s="311"/>
      <c r="EJ158" s="311"/>
      <c r="EK158" s="311"/>
      <c r="EL158" s="311"/>
      <c r="EM158" s="311"/>
      <c r="EN158" s="311"/>
      <c r="EO158" s="311"/>
      <c r="EP158" s="311"/>
      <c r="EQ158" s="311"/>
      <c r="ER158" s="311"/>
      <c r="ES158" s="311"/>
      <c r="ET158" s="311"/>
      <c r="EU158" s="311"/>
      <c r="EV158" s="311"/>
      <c r="EW158" s="311"/>
      <c r="EX158" s="311"/>
      <c r="EY158" s="311"/>
      <c r="EZ158" s="311"/>
      <c r="FA158" s="311"/>
      <c r="FB158" s="311"/>
      <c r="FC158" s="311"/>
      <c r="FD158" s="311"/>
      <c r="FE158" s="311"/>
      <c r="FF158" s="311"/>
      <c r="FG158" s="311"/>
      <c r="FH158" s="311"/>
      <c r="FI158" s="311"/>
      <c r="FJ158" s="311"/>
      <c r="FK158" s="311"/>
      <c r="FL158" s="311"/>
      <c r="FM158" s="311"/>
      <c r="FN158" s="311"/>
      <c r="FO158" s="311"/>
      <c r="FP158" s="311"/>
      <c r="FQ158" s="311"/>
      <c r="FR158" s="311"/>
      <c r="FS158" s="311"/>
      <c r="FT158" s="311"/>
      <c r="FU158" s="311"/>
      <c r="FV158" s="311"/>
      <c r="FW158" s="311"/>
      <c r="FX158" s="311"/>
      <c r="FY158" s="311"/>
      <c r="FZ158" s="311"/>
      <c r="GA158" s="311"/>
      <c r="GB158" s="311"/>
      <c r="GC158" s="311"/>
      <c r="GD158" s="311"/>
      <c r="GE158" s="311"/>
      <c r="GF158" s="311"/>
      <c r="GG158" s="311"/>
      <c r="GH158" s="311"/>
      <c r="GI158" s="311"/>
      <c r="GJ158" s="311"/>
      <c r="GK158" s="311"/>
      <c r="GL158" s="311"/>
      <c r="GM158" s="311"/>
      <c r="GN158" s="311"/>
      <c r="GO158" s="311"/>
      <c r="GP158" s="311"/>
      <c r="GQ158" s="311"/>
      <c r="GR158" s="311"/>
      <c r="GS158" s="311"/>
      <c r="GT158" s="311"/>
      <c r="GU158" s="311"/>
      <c r="GV158" s="311"/>
      <c r="GW158" s="311"/>
      <c r="GX158" s="311"/>
      <c r="GY158" s="311"/>
      <c r="GZ158" s="311"/>
      <c r="HA158" s="311"/>
      <c r="HB158" s="311"/>
      <c r="HC158" s="311"/>
      <c r="HD158" s="311"/>
      <c r="HE158" s="311"/>
      <c r="HF158" s="311"/>
      <c r="HG158" s="311"/>
      <c r="HH158" s="311"/>
      <c r="HI158" s="311"/>
      <c r="HJ158" s="311"/>
      <c r="HK158" s="311"/>
      <c r="HL158" s="311"/>
      <c r="HM158" s="311"/>
      <c r="HN158" s="311"/>
      <c r="HO158" s="311"/>
      <c r="HP158" s="311"/>
      <c r="HQ158" s="311"/>
      <c r="HR158" s="311"/>
      <c r="HS158" s="311"/>
      <c r="HT158" s="311"/>
      <c r="HU158" s="311"/>
      <c r="HV158" s="311"/>
      <c r="HW158" s="311"/>
      <c r="HX158" s="311"/>
      <c r="HY158" s="311"/>
      <c r="HZ158" s="311"/>
      <c r="IA158" s="311"/>
    </row>
    <row r="159" s="22" customFormat="1" ht="42" customHeight="1" spans="1:235">
      <c r="A159" s="48"/>
      <c r="B159" s="172"/>
      <c r="C159" s="48"/>
      <c r="D159" s="48"/>
      <c r="E159" s="49"/>
      <c r="F159" s="49"/>
      <c r="G159" s="159" t="s">
        <v>220</v>
      </c>
      <c r="H159" s="73" t="s">
        <v>221</v>
      </c>
      <c r="I159" s="99">
        <v>3814289</v>
      </c>
      <c r="J159" s="99">
        <v>495857.57</v>
      </c>
      <c r="K159" s="94">
        <f t="shared" ref="K159:K162" si="55">J159+I159</f>
        <v>4310146.57</v>
      </c>
      <c r="L159" s="112"/>
      <c r="M159" s="112"/>
      <c r="N159" s="112"/>
      <c r="O159" s="112"/>
      <c r="P159" s="45"/>
      <c r="Q159" s="112"/>
      <c r="R159" s="112">
        <v>-2990515.18</v>
      </c>
      <c r="S159" s="112">
        <f>K159-L159-M159-N159-O159+R159+K160+K161+K162</f>
        <v>4984191.97</v>
      </c>
      <c r="T159" s="112">
        <v>0</v>
      </c>
      <c r="U159" s="112">
        <v>4984191.97</v>
      </c>
      <c r="V159" s="112">
        <v>0</v>
      </c>
      <c r="W159" s="112">
        <f>S159+T159-U159-V159</f>
        <v>0</v>
      </c>
      <c r="X159" s="45"/>
      <c r="Y159" s="311"/>
      <c r="Z159" s="311"/>
      <c r="AA159" s="311"/>
      <c r="AB159" s="311"/>
      <c r="AC159" s="311"/>
      <c r="AD159" s="311"/>
      <c r="AE159" s="311"/>
      <c r="AF159" s="311"/>
      <c r="AG159" s="311"/>
      <c r="AH159" s="311"/>
      <c r="AI159" s="311"/>
      <c r="AJ159" s="311"/>
      <c r="AK159" s="311"/>
      <c r="AL159" s="311"/>
      <c r="AM159" s="311"/>
      <c r="AN159" s="311"/>
      <c r="AO159" s="311"/>
      <c r="AP159" s="311"/>
      <c r="AQ159" s="311"/>
      <c r="AR159" s="311"/>
      <c r="AS159" s="311"/>
      <c r="AT159" s="311"/>
      <c r="AU159" s="311"/>
      <c r="AV159" s="311"/>
      <c r="AW159" s="311"/>
      <c r="AX159" s="311"/>
      <c r="AY159" s="311"/>
      <c r="AZ159" s="311"/>
      <c r="BA159" s="311"/>
      <c r="BB159" s="311"/>
      <c r="BC159" s="311"/>
      <c r="BD159" s="311"/>
      <c r="BE159" s="311"/>
      <c r="BF159" s="311"/>
      <c r="BG159" s="311"/>
      <c r="BH159" s="311"/>
      <c r="BI159" s="311"/>
      <c r="BJ159" s="311"/>
      <c r="BK159" s="311"/>
      <c r="BL159" s="311"/>
      <c r="BM159" s="311"/>
      <c r="BN159" s="311"/>
      <c r="BO159" s="311"/>
      <c r="BP159" s="311"/>
      <c r="BQ159" s="311"/>
      <c r="BR159" s="311"/>
      <c r="BS159" s="311"/>
      <c r="BT159" s="311"/>
      <c r="BU159" s="311"/>
      <c r="BV159" s="311"/>
      <c r="BW159" s="311"/>
      <c r="BX159" s="311"/>
      <c r="BY159" s="311"/>
      <c r="BZ159" s="311"/>
      <c r="CA159" s="311"/>
      <c r="CB159" s="311"/>
      <c r="CC159" s="311"/>
      <c r="CD159" s="311"/>
      <c r="CE159" s="311"/>
      <c r="CF159" s="311"/>
      <c r="CG159" s="311"/>
      <c r="CH159" s="311"/>
      <c r="CI159" s="311"/>
      <c r="CJ159" s="311"/>
      <c r="CK159" s="311"/>
      <c r="CL159" s="311"/>
      <c r="CM159" s="311"/>
      <c r="CN159" s="311"/>
      <c r="CO159" s="311"/>
      <c r="CP159" s="311"/>
      <c r="CQ159" s="311"/>
      <c r="CR159" s="311"/>
      <c r="CS159" s="311"/>
      <c r="CT159" s="311"/>
      <c r="CU159" s="311"/>
      <c r="CV159" s="311"/>
      <c r="CW159" s="311"/>
      <c r="CX159" s="311"/>
      <c r="CY159" s="311"/>
      <c r="CZ159" s="311"/>
      <c r="DA159" s="311"/>
      <c r="DB159" s="311"/>
      <c r="DC159" s="311"/>
      <c r="DD159" s="311"/>
      <c r="DE159" s="311"/>
      <c r="DF159" s="311"/>
      <c r="DG159" s="311"/>
      <c r="DH159" s="311"/>
      <c r="DI159" s="311"/>
      <c r="DJ159" s="311"/>
      <c r="DK159" s="311"/>
      <c r="DL159" s="311"/>
      <c r="DM159" s="311"/>
      <c r="DN159" s="311"/>
      <c r="DO159" s="311"/>
      <c r="DP159" s="311"/>
      <c r="DQ159" s="311"/>
      <c r="DR159" s="311"/>
      <c r="DS159" s="311"/>
      <c r="DT159" s="311"/>
      <c r="DU159" s="311"/>
      <c r="DV159" s="311"/>
      <c r="DW159" s="311"/>
      <c r="DX159" s="311"/>
      <c r="DY159" s="311"/>
      <c r="DZ159" s="311"/>
      <c r="EA159" s="311"/>
      <c r="EB159" s="311"/>
      <c r="EC159" s="311"/>
      <c r="ED159" s="311"/>
      <c r="EE159" s="311"/>
      <c r="EF159" s="311"/>
      <c r="EG159" s="311"/>
      <c r="EH159" s="311"/>
      <c r="EI159" s="311"/>
      <c r="EJ159" s="311"/>
      <c r="EK159" s="311"/>
      <c r="EL159" s="311"/>
      <c r="EM159" s="311"/>
      <c r="EN159" s="311"/>
      <c r="EO159" s="311"/>
      <c r="EP159" s="311"/>
      <c r="EQ159" s="311"/>
      <c r="ER159" s="311"/>
      <c r="ES159" s="311"/>
      <c r="ET159" s="311"/>
      <c r="EU159" s="311"/>
      <c r="EV159" s="311"/>
      <c r="EW159" s="311"/>
      <c r="EX159" s="311"/>
      <c r="EY159" s="311"/>
      <c r="EZ159" s="311"/>
      <c r="FA159" s="311"/>
      <c r="FB159" s="311"/>
      <c r="FC159" s="311"/>
      <c r="FD159" s="311"/>
      <c r="FE159" s="311"/>
      <c r="FF159" s="311"/>
      <c r="FG159" s="311"/>
      <c r="FH159" s="311"/>
      <c r="FI159" s="311"/>
      <c r="FJ159" s="311"/>
      <c r="FK159" s="311"/>
      <c r="FL159" s="311"/>
      <c r="FM159" s="311"/>
      <c r="FN159" s="311"/>
      <c r="FO159" s="311"/>
      <c r="FP159" s="311"/>
      <c r="FQ159" s="311"/>
      <c r="FR159" s="311"/>
      <c r="FS159" s="311"/>
      <c r="FT159" s="311"/>
      <c r="FU159" s="311"/>
      <c r="FV159" s="311"/>
      <c r="FW159" s="311"/>
      <c r="FX159" s="311"/>
      <c r="FY159" s="311"/>
      <c r="FZ159" s="311"/>
      <c r="GA159" s="311"/>
      <c r="GB159" s="311"/>
      <c r="GC159" s="311"/>
      <c r="GD159" s="311"/>
      <c r="GE159" s="311"/>
      <c r="GF159" s="311"/>
      <c r="GG159" s="311"/>
      <c r="GH159" s="311"/>
      <c r="GI159" s="311"/>
      <c r="GJ159" s="311"/>
      <c r="GK159" s="311"/>
      <c r="GL159" s="311"/>
      <c r="GM159" s="311"/>
      <c r="GN159" s="311"/>
      <c r="GO159" s="311"/>
      <c r="GP159" s="311"/>
      <c r="GQ159" s="311"/>
      <c r="GR159" s="311"/>
      <c r="GS159" s="311"/>
      <c r="GT159" s="311"/>
      <c r="GU159" s="311"/>
      <c r="GV159" s="311"/>
      <c r="GW159" s="311"/>
      <c r="GX159" s="311"/>
      <c r="GY159" s="311"/>
      <c r="GZ159" s="311"/>
      <c r="HA159" s="311"/>
      <c r="HB159" s="311"/>
      <c r="HC159" s="311"/>
      <c r="HD159" s="311"/>
      <c r="HE159" s="311"/>
      <c r="HF159" s="311"/>
      <c r="HG159" s="311"/>
      <c r="HH159" s="311"/>
      <c r="HI159" s="311"/>
      <c r="HJ159" s="311"/>
      <c r="HK159" s="311"/>
      <c r="HL159" s="311"/>
      <c r="HM159" s="311"/>
      <c r="HN159" s="311"/>
      <c r="HO159" s="311"/>
      <c r="HP159" s="311"/>
      <c r="HQ159" s="311"/>
      <c r="HR159" s="311"/>
      <c r="HS159" s="311"/>
      <c r="HT159" s="311"/>
      <c r="HU159" s="311"/>
      <c r="HV159" s="311"/>
      <c r="HW159" s="311"/>
      <c r="HX159" s="311"/>
      <c r="HY159" s="311"/>
      <c r="HZ159" s="311"/>
      <c r="IA159" s="311"/>
    </row>
    <row r="160" s="23" customFormat="1" ht="42" customHeight="1" spans="1:235">
      <c r="A160" s="48"/>
      <c r="B160" s="172"/>
      <c r="C160" s="48"/>
      <c r="D160" s="48"/>
      <c r="E160" s="49"/>
      <c r="F160" s="49"/>
      <c r="G160" s="175"/>
      <c r="H160" s="73"/>
      <c r="I160" s="99">
        <v>2581578.51</v>
      </c>
      <c r="J160" s="203">
        <v>269332.9</v>
      </c>
      <c r="K160" s="94">
        <f t="shared" si="55"/>
        <v>2850911.41</v>
      </c>
      <c r="L160" s="113"/>
      <c r="M160" s="113"/>
      <c r="N160" s="113"/>
      <c r="O160" s="113"/>
      <c r="P160" s="49"/>
      <c r="Q160" s="113"/>
      <c r="R160" s="113"/>
      <c r="S160" s="113"/>
      <c r="T160" s="113"/>
      <c r="U160" s="113"/>
      <c r="V160" s="113"/>
      <c r="W160" s="113"/>
      <c r="X160" s="49"/>
      <c r="Y160" s="312"/>
      <c r="Z160" s="312"/>
      <c r="AA160" s="312"/>
      <c r="AB160" s="312"/>
      <c r="AC160" s="312"/>
      <c r="AD160" s="312"/>
      <c r="AE160" s="312"/>
      <c r="AF160" s="312"/>
      <c r="AG160" s="312"/>
      <c r="AH160" s="312"/>
      <c r="AI160" s="312"/>
      <c r="AJ160" s="312"/>
      <c r="AK160" s="312"/>
      <c r="AL160" s="312"/>
      <c r="AM160" s="312"/>
      <c r="AN160" s="312"/>
      <c r="AO160" s="312"/>
      <c r="AP160" s="312"/>
      <c r="AQ160" s="312"/>
      <c r="AR160" s="312"/>
      <c r="AS160" s="312"/>
      <c r="AT160" s="312"/>
      <c r="AU160" s="312"/>
      <c r="AV160" s="312"/>
      <c r="AW160" s="312"/>
      <c r="AX160" s="312"/>
      <c r="AY160" s="312"/>
      <c r="AZ160" s="312"/>
      <c r="BA160" s="312"/>
      <c r="BB160" s="312"/>
      <c r="BC160" s="312"/>
      <c r="BD160" s="312"/>
      <c r="BE160" s="312"/>
      <c r="BF160" s="312"/>
      <c r="BG160" s="312"/>
      <c r="BH160" s="312"/>
      <c r="BI160" s="312"/>
      <c r="BJ160" s="312"/>
      <c r="BK160" s="312"/>
      <c r="BL160" s="312"/>
      <c r="BM160" s="312"/>
      <c r="BN160" s="312"/>
      <c r="BO160" s="312"/>
      <c r="BP160" s="312"/>
      <c r="BQ160" s="312"/>
      <c r="BR160" s="312"/>
      <c r="BS160" s="312"/>
      <c r="BT160" s="312"/>
      <c r="BU160" s="312"/>
      <c r="BV160" s="312"/>
      <c r="BW160" s="312"/>
      <c r="BX160" s="312"/>
      <c r="BY160" s="312"/>
      <c r="BZ160" s="312"/>
      <c r="CA160" s="312"/>
      <c r="CB160" s="312"/>
      <c r="CC160" s="312"/>
      <c r="CD160" s="312"/>
      <c r="CE160" s="312"/>
      <c r="CF160" s="312"/>
      <c r="CG160" s="312"/>
      <c r="CH160" s="312"/>
      <c r="CI160" s="312"/>
      <c r="CJ160" s="312"/>
      <c r="CK160" s="312"/>
      <c r="CL160" s="312"/>
      <c r="CM160" s="312"/>
      <c r="CN160" s="312"/>
      <c r="CO160" s="312"/>
      <c r="CP160" s="312"/>
      <c r="CQ160" s="312"/>
      <c r="CR160" s="312"/>
      <c r="CS160" s="312"/>
      <c r="CT160" s="312"/>
      <c r="CU160" s="312"/>
      <c r="CV160" s="312"/>
      <c r="CW160" s="312"/>
      <c r="CX160" s="312"/>
      <c r="CY160" s="312"/>
      <c r="CZ160" s="312"/>
      <c r="DA160" s="312"/>
      <c r="DB160" s="312"/>
      <c r="DC160" s="312"/>
      <c r="DD160" s="312"/>
      <c r="DE160" s="312"/>
      <c r="DF160" s="312"/>
      <c r="DG160" s="312"/>
      <c r="DH160" s="312"/>
      <c r="DI160" s="312"/>
      <c r="DJ160" s="312"/>
      <c r="DK160" s="312"/>
      <c r="DL160" s="312"/>
      <c r="DM160" s="312"/>
      <c r="DN160" s="312"/>
      <c r="DO160" s="312"/>
      <c r="DP160" s="312"/>
      <c r="DQ160" s="312"/>
      <c r="DR160" s="312"/>
      <c r="DS160" s="312"/>
      <c r="DT160" s="312"/>
      <c r="DU160" s="312"/>
      <c r="DV160" s="312"/>
      <c r="DW160" s="312"/>
      <c r="DX160" s="312"/>
      <c r="DY160" s="312"/>
      <c r="DZ160" s="312"/>
      <c r="EA160" s="312"/>
      <c r="EB160" s="312"/>
      <c r="EC160" s="312"/>
      <c r="ED160" s="312"/>
      <c r="EE160" s="312"/>
      <c r="EF160" s="312"/>
      <c r="EG160" s="312"/>
      <c r="EH160" s="312"/>
      <c r="EI160" s="312"/>
      <c r="EJ160" s="312"/>
      <c r="EK160" s="312"/>
      <c r="EL160" s="312"/>
      <c r="EM160" s="312"/>
      <c r="EN160" s="312"/>
      <c r="EO160" s="312"/>
      <c r="EP160" s="312"/>
      <c r="EQ160" s="312"/>
      <c r="ER160" s="312"/>
      <c r="ES160" s="312"/>
      <c r="ET160" s="312"/>
      <c r="EU160" s="312"/>
      <c r="EV160" s="312"/>
      <c r="EW160" s="312"/>
      <c r="EX160" s="312"/>
      <c r="EY160" s="312"/>
      <c r="EZ160" s="312"/>
      <c r="FA160" s="312"/>
      <c r="FB160" s="312"/>
      <c r="FC160" s="312"/>
      <c r="FD160" s="312"/>
      <c r="FE160" s="312"/>
      <c r="FF160" s="312"/>
      <c r="FG160" s="312"/>
      <c r="FH160" s="312"/>
      <c r="FI160" s="312"/>
      <c r="FJ160" s="312"/>
      <c r="FK160" s="312"/>
      <c r="FL160" s="312"/>
      <c r="FM160" s="312"/>
      <c r="FN160" s="312"/>
      <c r="FO160" s="312"/>
      <c r="FP160" s="312"/>
      <c r="FQ160" s="312"/>
      <c r="FR160" s="312"/>
      <c r="FS160" s="312"/>
      <c r="FT160" s="312"/>
      <c r="FU160" s="312"/>
      <c r="FV160" s="312"/>
      <c r="FW160" s="312"/>
      <c r="FX160" s="312"/>
      <c r="FY160" s="312"/>
      <c r="FZ160" s="312"/>
      <c r="GA160" s="312"/>
      <c r="GB160" s="312"/>
      <c r="GC160" s="312"/>
      <c r="GD160" s="312"/>
      <c r="GE160" s="312"/>
      <c r="GF160" s="312"/>
      <c r="GG160" s="312"/>
      <c r="GH160" s="312"/>
      <c r="GI160" s="312"/>
      <c r="GJ160" s="312"/>
      <c r="GK160" s="312"/>
      <c r="GL160" s="312"/>
      <c r="GM160" s="312"/>
      <c r="GN160" s="312"/>
      <c r="GO160" s="312"/>
      <c r="GP160" s="312"/>
      <c r="GQ160" s="312"/>
      <c r="GR160" s="312"/>
      <c r="GS160" s="312"/>
      <c r="GT160" s="312"/>
      <c r="GU160" s="312"/>
      <c r="GV160" s="312"/>
      <c r="GW160" s="312"/>
      <c r="GX160" s="312"/>
      <c r="GY160" s="312"/>
      <c r="GZ160" s="312"/>
      <c r="HA160" s="312"/>
      <c r="HB160" s="312"/>
      <c r="HC160" s="312"/>
      <c r="HD160" s="312"/>
      <c r="HE160" s="312"/>
      <c r="HF160" s="312"/>
      <c r="HG160" s="312"/>
      <c r="HH160" s="312"/>
      <c r="HI160" s="312"/>
      <c r="HJ160" s="312"/>
      <c r="HK160" s="312"/>
      <c r="HL160" s="312"/>
      <c r="HM160" s="312"/>
      <c r="HN160" s="312"/>
      <c r="HO160" s="312"/>
      <c r="HP160" s="312"/>
      <c r="HQ160" s="312"/>
      <c r="HR160" s="312"/>
      <c r="HS160" s="312"/>
      <c r="HT160" s="312"/>
      <c r="HU160" s="312"/>
      <c r="HV160" s="312"/>
      <c r="HW160" s="312"/>
      <c r="HX160" s="312"/>
      <c r="HY160" s="312"/>
      <c r="HZ160" s="312"/>
      <c r="IA160" s="312"/>
    </row>
    <row r="161" s="23" customFormat="1" ht="42" customHeight="1" spans="1:235">
      <c r="A161" s="48"/>
      <c r="B161" s="172"/>
      <c r="C161" s="48"/>
      <c r="D161" s="48"/>
      <c r="E161" s="49"/>
      <c r="F161" s="49"/>
      <c r="G161" s="175"/>
      <c r="H161" s="73"/>
      <c r="I161" s="99">
        <v>411009.17</v>
      </c>
      <c r="J161" s="203"/>
      <c r="K161" s="94">
        <f t="shared" si="55"/>
        <v>411009.17</v>
      </c>
      <c r="L161" s="113"/>
      <c r="M161" s="113"/>
      <c r="N161" s="113"/>
      <c r="O161" s="113"/>
      <c r="P161" s="49"/>
      <c r="Q161" s="113"/>
      <c r="R161" s="113"/>
      <c r="S161" s="113"/>
      <c r="T161" s="113"/>
      <c r="U161" s="113"/>
      <c r="V161" s="113"/>
      <c r="W161" s="113"/>
      <c r="X161" s="49"/>
      <c r="Y161" s="312"/>
      <c r="Z161" s="312"/>
      <c r="AA161" s="312"/>
      <c r="AB161" s="312"/>
      <c r="AC161" s="312"/>
      <c r="AD161" s="312"/>
      <c r="AE161" s="312"/>
      <c r="AF161" s="312"/>
      <c r="AG161" s="312"/>
      <c r="AH161" s="312"/>
      <c r="AI161" s="312"/>
      <c r="AJ161" s="312"/>
      <c r="AK161" s="312"/>
      <c r="AL161" s="312"/>
      <c r="AM161" s="312"/>
      <c r="AN161" s="312"/>
      <c r="AO161" s="312"/>
      <c r="AP161" s="312"/>
      <c r="AQ161" s="312"/>
      <c r="AR161" s="312"/>
      <c r="AS161" s="312"/>
      <c r="AT161" s="312"/>
      <c r="AU161" s="312"/>
      <c r="AV161" s="312"/>
      <c r="AW161" s="312"/>
      <c r="AX161" s="312"/>
      <c r="AY161" s="312"/>
      <c r="AZ161" s="312"/>
      <c r="BA161" s="312"/>
      <c r="BB161" s="312"/>
      <c r="BC161" s="312"/>
      <c r="BD161" s="312"/>
      <c r="BE161" s="312"/>
      <c r="BF161" s="312"/>
      <c r="BG161" s="312"/>
      <c r="BH161" s="312"/>
      <c r="BI161" s="312"/>
      <c r="BJ161" s="312"/>
      <c r="BK161" s="312"/>
      <c r="BL161" s="312"/>
      <c r="BM161" s="312"/>
      <c r="BN161" s="312"/>
      <c r="BO161" s="312"/>
      <c r="BP161" s="312"/>
      <c r="BQ161" s="312"/>
      <c r="BR161" s="312"/>
      <c r="BS161" s="312"/>
      <c r="BT161" s="312"/>
      <c r="BU161" s="312"/>
      <c r="BV161" s="312"/>
      <c r="BW161" s="312"/>
      <c r="BX161" s="312"/>
      <c r="BY161" s="312"/>
      <c r="BZ161" s="312"/>
      <c r="CA161" s="312"/>
      <c r="CB161" s="312"/>
      <c r="CC161" s="312"/>
      <c r="CD161" s="312"/>
      <c r="CE161" s="312"/>
      <c r="CF161" s="312"/>
      <c r="CG161" s="312"/>
      <c r="CH161" s="312"/>
      <c r="CI161" s="312"/>
      <c r="CJ161" s="312"/>
      <c r="CK161" s="312"/>
      <c r="CL161" s="312"/>
      <c r="CM161" s="312"/>
      <c r="CN161" s="312"/>
      <c r="CO161" s="312"/>
      <c r="CP161" s="312"/>
      <c r="CQ161" s="312"/>
      <c r="CR161" s="312"/>
      <c r="CS161" s="312"/>
      <c r="CT161" s="312"/>
      <c r="CU161" s="312"/>
      <c r="CV161" s="312"/>
      <c r="CW161" s="312"/>
      <c r="CX161" s="312"/>
      <c r="CY161" s="312"/>
      <c r="CZ161" s="312"/>
      <c r="DA161" s="312"/>
      <c r="DB161" s="312"/>
      <c r="DC161" s="312"/>
      <c r="DD161" s="312"/>
      <c r="DE161" s="312"/>
      <c r="DF161" s="312"/>
      <c r="DG161" s="312"/>
      <c r="DH161" s="312"/>
      <c r="DI161" s="312"/>
      <c r="DJ161" s="312"/>
      <c r="DK161" s="312"/>
      <c r="DL161" s="312"/>
      <c r="DM161" s="312"/>
      <c r="DN161" s="312"/>
      <c r="DO161" s="312"/>
      <c r="DP161" s="312"/>
      <c r="DQ161" s="312"/>
      <c r="DR161" s="312"/>
      <c r="DS161" s="312"/>
      <c r="DT161" s="312"/>
      <c r="DU161" s="312"/>
      <c r="DV161" s="312"/>
      <c r="DW161" s="312"/>
      <c r="DX161" s="312"/>
      <c r="DY161" s="312"/>
      <c r="DZ161" s="312"/>
      <c r="EA161" s="312"/>
      <c r="EB161" s="312"/>
      <c r="EC161" s="312"/>
      <c r="ED161" s="312"/>
      <c r="EE161" s="312"/>
      <c r="EF161" s="312"/>
      <c r="EG161" s="312"/>
      <c r="EH161" s="312"/>
      <c r="EI161" s="312"/>
      <c r="EJ161" s="312"/>
      <c r="EK161" s="312"/>
      <c r="EL161" s="312"/>
      <c r="EM161" s="312"/>
      <c r="EN161" s="312"/>
      <c r="EO161" s="312"/>
      <c r="EP161" s="312"/>
      <c r="EQ161" s="312"/>
      <c r="ER161" s="312"/>
      <c r="ES161" s="312"/>
      <c r="ET161" s="312"/>
      <c r="EU161" s="312"/>
      <c r="EV161" s="312"/>
      <c r="EW161" s="312"/>
      <c r="EX161" s="312"/>
      <c r="EY161" s="312"/>
      <c r="EZ161" s="312"/>
      <c r="FA161" s="312"/>
      <c r="FB161" s="312"/>
      <c r="FC161" s="312"/>
      <c r="FD161" s="312"/>
      <c r="FE161" s="312"/>
      <c r="FF161" s="312"/>
      <c r="FG161" s="312"/>
      <c r="FH161" s="312"/>
      <c r="FI161" s="312"/>
      <c r="FJ161" s="312"/>
      <c r="FK161" s="312"/>
      <c r="FL161" s="312"/>
      <c r="FM161" s="312"/>
      <c r="FN161" s="312"/>
      <c r="FO161" s="312"/>
      <c r="FP161" s="312"/>
      <c r="FQ161" s="312"/>
      <c r="FR161" s="312"/>
      <c r="FS161" s="312"/>
      <c r="FT161" s="312"/>
      <c r="FU161" s="312"/>
      <c r="FV161" s="312"/>
      <c r="FW161" s="312"/>
      <c r="FX161" s="312"/>
      <c r="FY161" s="312"/>
      <c r="FZ161" s="312"/>
      <c r="GA161" s="312"/>
      <c r="GB161" s="312"/>
      <c r="GC161" s="312"/>
      <c r="GD161" s="312"/>
      <c r="GE161" s="312"/>
      <c r="GF161" s="312"/>
      <c r="GG161" s="312"/>
      <c r="GH161" s="312"/>
      <c r="GI161" s="312"/>
      <c r="GJ161" s="312"/>
      <c r="GK161" s="312"/>
      <c r="GL161" s="312"/>
      <c r="GM161" s="312"/>
      <c r="GN161" s="312"/>
      <c r="GO161" s="312"/>
      <c r="GP161" s="312"/>
      <c r="GQ161" s="312"/>
      <c r="GR161" s="312"/>
      <c r="GS161" s="312"/>
      <c r="GT161" s="312"/>
      <c r="GU161" s="312"/>
      <c r="GV161" s="312"/>
      <c r="GW161" s="312"/>
      <c r="GX161" s="312"/>
      <c r="GY161" s="312"/>
      <c r="GZ161" s="312"/>
      <c r="HA161" s="312"/>
      <c r="HB161" s="312"/>
      <c r="HC161" s="312"/>
      <c r="HD161" s="312"/>
      <c r="HE161" s="312"/>
      <c r="HF161" s="312"/>
      <c r="HG161" s="312"/>
      <c r="HH161" s="312"/>
      <c r="HI161" s="312"/>
      <c r="HJ161" s="312"/>
      <c r="HK161" s="312"/>
      <c r="HL161" s="312"/>
      <c r="HM161" s="312"/>
      <c r="HN161" s="312"/>
      <c r="HO161" s="312"/>
      <c r="HP161" s="312"/>
      <c r="HQ161" s="312"/>
      <c r="HR161" s="312"/>
      <c r="HS161" s="312"/>
      <c r="HT161" s="312"/>
      <c r="HU161" s="312"/>
      <c r="HV161" s="312"/>
      <c r="HW161" s="312"/>
      <c r="HX161" s="312"/>
      <c r="HY161" s="312"/>
      <c r="HZ161" s="312"/>
      <c r="IA161" s="312"/>
    </row>
    <row r="162" s="23" customFormat="1" ht="42" customHeight="1" spans="1:235">
      <c r="A162" s="48"/>
      <c r="B162" s="172"/>
      <c r="C162" s="48"/>
      <c r="D162" s="48"/>
      <c r="E162" s="49"/>
      <c r="F162" s="49"/>
      <c r="G162" s="175"/>
      <c r="H162" s="73"/>
      <c r="I162" s="99">
        <v>379849.06</v>
      </c>
      <c r="J162" s="99">
        <v>22790.94</v>
      </c>
      <c r="K162" s="94">
        <f t="shared" si="55"/>
        <v>402640</v>
      </c>
      <c r="L162" s="114"/>
      <c r="M162" s="114"/>
      <c r="N162" s="114"/>
      <c r="O162" s="114"/>
      <c r="P162" s="81"/>
      <c r="Q162" s="114"/>
      <c r="R162" s="114"/>
      <c r="S162" s="114"/>
      <c r="T162" s="114"/>
      <c r="U162" s="114"/>
      <c r="V162" s="114"/>
      <c r="W162" s="114"/>
      <c r="X162" s="81"/>
      <c r="Y162" s="312"/>
      <c r="Z162" s="312"/>
      <c r="AA162" s="312"/>
      <c r="AB162" s="312"/>
      <c r="AC162" s="312"/>
      <c r="AD162" s="312"/>
      <c r="AE162" s="312"/>
      <c r="AF162" s="312"/>
      <c r="AG162" s="312"/>
      <c r="AH162" s="312"/>
      <c r="AI162" s="312"/>
      <c r="AJ162" s="312"/>
      <c r="AK162" s="312"/>
      <c r="AL162" s="312"/>
      <c r="AM162" s="312"/>
      <c r="AN162" s="312"/>
      <c r="AO162" s="312"/>
      <c r="AP162" s="312"/>
      <c r="AQ162" s="312"/>
      <c r="AR162" s="312"/>
      <c r="AS162" s="312"/>
      <c r="AT162" s="312"/>
      <c r="AU162" s="312"/>
      <c r="AV162" s="312"/>
      <c r="AW162" s="312"/>
      <c r="AX162" s="312"/>
      <c r="AY162" s="312"/>
      <c r="AZ162" s="312"/>
      <c r="BA162" s="312"/>
      <c r="BB162" s="312"/>
      <c r="BC162" s="312"/>
      <c r="BD162" s="312"/>
      <c r="BE162" s="312"/>
      <c r="BF162" s="312"/>
      <c r="BG162" s="312"/>
      <c r="BH162" s="312"/>
      <c r="BI162" s="312"/>
      <c r="BJ162" s="312"/>
      <c r="BK162" s="312"/>
      <c r="BL162" s="312"/>
      <c r="BM162" s="312"/>
      <c r="BN162" s="312"/>
      <c r="BO162" s="312"/>
      <c r="BP162" s="312"/>
      <c r="BQ162" s="312"/>
      <c r="BR162" s="312"/>
      <c r="BS162" s="312"/>
      <c r="BT162" s="312"/>
      <c r="BU162" s="312"/>
      <c r="BV162" s="312"/>
      <c r="BW162" s="312"/>
      <c r="BX162" s="312"/>
      <c r="BY162" s="312"/>
      <c r="BZ162" s="312"/>
      <c r="CA162" s="312"/>
      <c r="CB162" s="312"/>
      <c r="CC162" s="312"/>
      <c r="CD162" s="312"/>
      <c r="CE162" s="312"/>
      <c r="CF162" s="312"/>
      <c r="CG162" s="312"/>
      <c r="CH162" s="312"/>
      <c r="CI162" s="312"/>
      <c r="CJ162" s="312"/>
      <c r="CK162" s="312"/>
      <c r="CL162" s="312"/>
      <c r="CM162" s="312"/>
      <c r="CN162" s="312"/>
      <c r="CO162" s="312"/>
      <c r="CP162" s="312"/>
      <c r="CQ162" s="312"/>
      <c r="CR162" s="312"/>
      <c r="CS162" s="312"/>
      <c r="CT162" s="312"/>
      <c r="CU162" s="312"/>
      <c r="CV162" s="312"/>
      <c r="CW162" s="312"/>
      <c r="CX162" s="312"/>
      <c r="CY162" s="312"/>
      <c r="CZ162" s="312"/>
      <c r="DA162" s="312"/>
      <c r="DB162" s="312"/>
      <c r="DC162" s="312"/>
      <c r="DD162" s="312"/>
      <c r="DE162" s="312"/>
      <c r="DF162" s="312"/>
      <c r="DG162" s="312"/>
      <c r="DH162" s="312"/>
      <c r="DI162" s="312"/>
      <c r="DJ162" s="312"/>
      <c r="DK162" s="312"/>
      <c r="DL162" s="312"/>
      <c r="DM162" s="312"/>
      <c r="DN162" s="312"/>
      <c r="DO162" s="312"/>
      <c r="DP162" s="312"/>
      <c r="DQ162" s="312"/>
      <c r="DR162" s="312"/>
      <c r="DS162" s="312"/>
      <c r="DT162" s="312"/>
      <c r="DU162" s="312"/>
      <c r="DV162" s="312"/>
      <c r="DW162" s="312"/>
      <c r="DX162" s="312"/>
      <c r="DY162" s="312"/>
      <c r="DZ162" s="312"/>
      <c r="EA162" s="312"/>
      <c r="EB162" s="312"/>
      <c r="EC162" s="312"/>
      <c r="ED162" s="312"/>
      <c r="EE162" s="312"/>
      <c r="EF162" s="312"/>
      <c r="EG162" s="312"/>
      <c r="EH162" s="312"/>
      <c r="EI162" s="312"/>
      <c r="EJ162" s="312"/>
      <c r="EK162" s="312"/>
      <c r="EL162" s="312"/>
      <c r="EM162" s="312"/>
      <c r="EN162" s="312"/>
      <c r="EO162" s="312"/>
      <c r="EP162" s="312"/>
      <c r="EQ162" s="312"/>
      <c r="ER162" s="312"/>
      <c r="ES162" s="312"/>
      <c r="ET162" s="312"/>
      <c r="EU162" s="312"/>
      <c r="EV162" s="312"/>
      <c r="EW162" s="312"/>
      <c r="EX162" s="312"/>
      <c r="EY162" s="312"/>
      <c r="EZ162" s="312"/>
      <c r="FA162" s="312"/>
      <c r="FB162" s="312"/>
      <c r="FC162" s="312"/>
      <c r="FD162" s="312"/>
      <c r="FE162" s="312"/>
      <c r="FF162" s="312"/>
      <c r="FG162" s="312"/>
      <c r="FH162" s="312"/>
      <c r="FI162" s="312"/>
      <c r="FJ162" s="312"/>
      <c r="FK162" s="312"/>
      <c r="FL162" s="312"/>
      <c r="FM162" s="312"/>
      <c r="FN162" s="312"/>
      <c r="FO162" s="312"/>
      <c r="FP162" s="312"/>
      <c r="FQ162" s="312"/>
      <c r="FR162" s="312"/>
      <c r="FS162" s="312"/>
      <c r="FT162" s="312"/>
      <c r="FU162" s="312"/>
      <c r="FV162" s="312"/>
      <c r="FW162" s="312"/>
      <c r="FX162" s="312"/>
      <c r="FY162" s="312"/>
      <c r="FZ162" s="312"/>
      <c r="GA162" s="312"/>
      <c r="GB162" s="312"/>
      <c r="GC162" s="312"/>
      <c r="GD162" s="312"/>
      <c r="GE162" s="312"/>
      <c r="GF162" s="312"/>
      <c r="GG162" s="312"/>
      <c r="GH162" s="312"/>
      <c r="GI162" s="312"/>
      <c r="GJ162" s="312"/>
      <c r="GK162" s="312"/>
      <c r="GL162" s="312"/>
      <c r="GM162" s="312"/>
      <c r="GN162" s="312"/>
      <c r="GO162" s="312"/>
      <c r="GP162" s="312"/>
      <c r="GQ162" s="312"/>
      <c r="GR162" s="312"/>
      <c r="GS162" s="312"/>
      <c r="GT162" s="312"/>
      <c r="GU162" s="312"/>
      <c r="GV162" s="312"/>
      <c r="GW162" s="312"/>
      <c r="GX162" s="312"/>
      <c r="GY162" s="312"/>
      <c r="GZ162" s="312"/>
      <c r="HA162" s="312"/>
      <c r="HB162" s="312"/>
      <c r="HC162" s="312"/>
      <c r="HD162" s="312"/>
      <c r="HE162" s="312"/>
      <c r="HF162" s="312"/>
      <c r="HG162" s="312"/>
      <c r="HH162" s="312"/>
      <c r="HI162" s="312"/>
      <c r="HJ162" s="312"/>
      <c r="HK162" s="312"/>
      <c r="HL162" s="312"/>
      <c r="HM162" s="312"/>
      <c r="HN162" s="312"/>
      <c r="HO162" s="312"/>
      <c r="HP162" s="312"/>
      <c r="HQ162" s="312"/>
      <c r="HR162" s="312"/>
      <c r="HS162" s="312"/>
      <c r="HT162" s="312"/>
      <c r="HU162" s="312"/>
      <c r="HV162" s="312"/>
      <c r="HW162" s="312"/>
      <c r="HX162" s="312"/>
      <c r="HY162" s="312"/>
      <c r="HZ162" s="312"/>
      <c r="IA162" s="312"/>
    </row>
    <row r="163" s="23" customFormat="1" ht="42" customHeight="1" spans="1:235">
      <c r="A163" s="153"/>
      <c r="B163" s="254"/>
      <c r="C163" s="153"/>
      <c r="D163" s="153"/>
      <c r="E163" s="81"/>
      <c r="F163" s="81"/>
      <c r="G163" s="255" t="s">
        <v>385</v>
      </c>
      <c r="H163" s="76" t="s">
        <v>386</v>
      </c>
      <c r="I163" s="118">
        <v>2255101.87</v>
      </c>
      <c r="J163" s="118"/>
      <c r="K163" s="101">
        <v>2255101.87</v>
      </c>
      <c r="L163" s="202"/>
      <c r="M163" s="202"/>
      <c r="N163" s="202"/>
      <c r="O163" s="202"/>
      <c r="P163" s="106"/>
      <c r="Q163" s="114"/>
      <c r="R163" s="114"/>
      <c r="S163" s="114">
        <f>K163</f>
        <v>2255101.87</v>
      </c>
      <c r="T163" s="114"/>
      <c r="U163" s="114">
        <f>0</f>
        <v>0</v>
      </c>
      <c r="V163" s="114"/>
      <c r="W163" s="114">
        <f>S163+T163-U163-V163</f>
        <v>2255101.87</v>
      </c>
      <c r="X163" s="81"/>
      <c r="Y163" s="312"/>
      <c r="Z163" s="312"/>
      <c r="AA163" s="312"/>
      <c r="AB163" s="312"/>
      <c r="AC163" s="312"/>
      <c r="AD163" s="312"/>
      <c r="AE163" s="312"/>
      <c r="AF163" s="312"/>
      <c r="AG163" s="312"/>
      <c r="AH163" s="312"/>
      <c r="AI163" s="312"/>
      <c r="AJ163" s="312"/>
      <c r="AK163" s="312"/>
      <c r="AL163" s="312"/>
      <c r="AM163" s="312"/>
      <c r="AN163" s="312"/>
      <c r="AO163" s="312"/>
      <c r="AP163" s="312"/>
      <c r="AQ163" s="312"/>
      <c r="AR163" s="312"/>
      <c r="AS163" s="312"/>
      <c r="AT163" s="312"/>
      <c r="AU163" s="312"/>
      <c r="AV163" s="312"/>
      <c r="AW163" s="312"/>
      <c r="AX163" s="312"/>
      <c r="AY163" s="312"/>
      <c r="AZ163" s="312"/>
      <c r="BA163" s="312"/>
      <c r="BB163" s="312"/>
      <c r="BC163" s="312"/>
      <c r="BD163" s="312"/>
      <c r="BE163" s="312"/>
      <c r="BF163" s="312"/>
      <c r="BG163" s="312"/>
      <c r="BH163" s="312"/>
      <c r="BI163" s="312"/>
      <c r="BJ163" s="312"/>
      <c r="BK163" s="312"/>
      <c r="BL163" s="312"/>
      <c r="BM163" s="312"/>
      <c r="BN163" s="312"/>
      <c r="BO163" s="312"/>
      <c r="BP163" s="312"/>
      <c r="BQ163" s="312"/>
      <c r="BR163" s="312"/>
      <c r="BS163" s="312"/>
      <c r="BT163" s="312"/>
      <c r="BU163" s="312"/>
      <c r="BV163" s="312"/>
      <c r="BW163" s="312"/>
      <c r="BX163" s="312"/>
      <c r="BY163" s="312"/>
      <c r="BZ163" s="312"/>
      <c r="CA163" s="312"/>
      <c r="CB163" s="312"/>
      <c r="CC163" s="312"/>
      <c r="CD163" s="312"/>
      <c r="CE163" s="312"/>
      <c r="CF163" s="312"/>
      <c r="CG163" s="312"/>
      <c r="CH163" s="312"/>
      <c r="CI163" s="312"/>
      <c r="CJ163" s="312"/>
      <c r="CK163" s="312"/>
      <c r="CL163" s="312"/>
      <c r="CM163" s="312"/>
      <c r="CN163" s="312"/>
      <c r="CO163" s="312"/>
      <c r="CP163" s="312"/>
      <c r="CQ163" s="312"/>
      <c r="CR163" s="312"/>
      <c r="CS163" s="312"/>
      <c r="CT163" s="312"/>
      <c r="CU163" s="312"/>
      <c r="CV163" s="312"/>
      <c r="CW163" s="312"/>
      <c r="CX163" s="312"/>
      <c r="CY163" s="312"/>
      <c r="CZ163" s="312"/>
      <c r="DA163" s="312"/>
      <c r="DB163" s="312"/>
      <c r="DC163" s="312"/>
      <c r="DD163" s="312"/>
      <c r="DE163" s="312"/>
      <c r="DF163" s="312"/>
      <c r="DG163" s="312"/>
      <c r="DH163" s="312"/>
      <c r="DI163" s="312"/>
      <c r="DJ163" s="312"/>
      <c r="DK163" s="312"/>
      <c r="DL163" s="312"/>
      <c r="DM163" s="312"/>
      <c r="DN163" s="312"/>
      <c r="DO163" s="312"/>
      <c r="DP163" s="312"/>
      <c r="DQ163" s="312"/>
      <c r="DR163" s="312"/>
      <c r="DS163" s="312"/>
      <c r="DT163" s="312"/>
      <c r="DU163" s="312"/>
      <c r="DV163" s="312"/>
      <c r="DW163" s="312"/>
      <c r="DX163" s="312"/>
      <c r="DY163" s="312"/>
      <c r="DZ163" s="312"/>
      <c r="EA163" s="312"/>
      <c r="EB163" s="312"/>
      <c r="EC163" s="312"/>
      <c r="ED163" s="312"/>
      <c r="EE163" s="312"/>
      <c r="EF163" s="312"/>
      <c r="EG163" s="312"/>
      <c r="EH163" s="312"/>
      <c r="EI163" s="312"/>
      <c r="EJ163" s="312"/>
      <c r="EK163" s="312"/>
      <c r="EL163" s="312"/>
      <c r="EM163" s="312"/>
      <c r="EN163" s="312"/>
      <c r="EO163" s="312"/>
      <c r="EP163" s="312"/>
      <c r="EQ163" s="312"/>
      <c r="ER163" s="312"/>
      <c r="ES163" s="312"/>
      <c r="ET163" s="312"/>
      <c r="EU163" s="312"/>
      <c r="EV163" s="312"/>
      <c r="EW163" s="312"/>
      <c r="EX163" s="312"/>
      <c r="EY163" s="312"/>
      <c r="EZ163" s="312"/>
      <c r="FA163" s="312"/>
      <c r="FB163" s="312"/>
      <c r="FC163" s="312"/>
      <c r="FD163" s="312"/>
      <c r="FE163" s="312"/>
      <c r="FF163" s="312"/>
      <c r="FG163" s="312"/>
      <c r="FH163" s="312"/>
      <c r="FI163" s="312"/>
      <c r="FJ163" s="312"/>
      <c r="FK163" s="312"/>
      <c r="FL163" s="312"/>
      <c r="FM163" s="312"/>
      <c r="FN163" s="312"/>
      <c r="FO163" s="312"/>
      <c r="FP163" s="312"/>
      <c r="FQ163" s="312"/>
      <c r="FR163" s="312"/>
      <c r="FS163" s="312"/>
      <c r="FT163" s="312"/>
      <c r="FU163" s="312"/>
      <c r="FV163" s="312"/>
      <c r="FW163" s="312"/>
      <c r="FX163" s="312"/>
      <c r="FY163" s="312"/>
      <c r="FZ163" s="312"/>
      <c r="GA163" s="312"/>
      <c r="GB163" s="312"/>
      <c r="GC163" s="312"/>
      <c r="GD163" s="312"/>
      <c r="GE163" s="312"/>
      <c r="GF163" s="312"/>
      <c r="GG163" s="312"/>
      <c r="GH163" s="312"/>
      <c r="GI163" s="312"/>
      <c r="GJ163" s="312"/>
      <c r="GK163" s="312"/>
      <c r="GL163" s="312"/>
      <c r="GM163" s="312"/>
      <c r="GN163" s="312"/>
      <c r="GO163" s="312"/>
      <c r="GP163" s="312"/>
      <c r="GQ163" s="312"/>
      <c r="GR163" s="312"/>
      <c r="GS163" s="312"/>
      <c r="GT163" s="312"/>
      <c r="GU163" s="312"/>
      <c r="GV163" s="312"/>
      <c r="GW163" s="312"/>
      <c r="GX163" s="312"/>
      <c r="GY163" s="312"/>
      <c r="GZ163" s="312"/>
      <c r="HA163" s="312"/>
      <c r="HB163" s="312"/>
      <c r="HC163" s="312"/>
      <c r="HD163" s="312"/>
      <c r="HE163" s="312"/>
      <c r="HF163" s="312"/>
      <c r="HG163" s="312"/>
      <c r="HH163" s="312"/>
      <c r="HI163" s="312"/>
      <c r="HJ163" s="312"/>
      <c r="HK163" s="312"/>
      <c r="HL163" s="312"/>
      <c r="HM163" s="312"/>
      <c r="HN163" s="312"/>
      <c r="HO163" s="312"/>
      <c r="HP163" s="312"/>
      <c r="HQ163" s="312"/>
      <c r="HR163" s="312"/>
      <c r="HS163" s="312"/>
      <c r="HT163" s="312"/>
      <c r="HU163" s="312"/>
      <c r="HV163" s="312"/>
      <c r="HW163" s="312"/>
      <c r="HX163" s="312"/>
      <c r="HY163" s="312"/>
      <c r="HZ163" s="312"/>
      <c r="IA163" s="312"/>
    </row>
    <row r="164" s="23" customFormat="1" ht="45" customHeight="1" spans="1:24">
      <c r="A164" s="156">
        <v>26</v>
      </c>
      <c r="B164" s="157" t="s">
        <v>222</v>
      </c>
      <c r="C164" s="158"/>
      <c r="D164" s="157" t="s">
        <v>223</v>
      </c>
      <c r="E164" s="145">
        <v>104523.9</v>
      </c>
      <c r="F164" s="145"/>
      <c r="G164" s="66" t="s">
        <v>224</v>
      </c>
      <c r="H164" s="66" t="s">
        <v>225</v>
      </c>
      <c r="I164" s="94">
        <v>104523.9</v>
      </c>
      <c r="J164" s="94">
        <v>0</v>
      </c>
      <c r="K164" s="94">
        <f t="shared" ref="K164:K168" si="56">I164+J164</f>
        <v>104523.9</v>
      </c>
      <c r="L164" s="94"/>
      <c r="M164" s="94"/>
      <c r="N164" s="94"/>
      <c r="O164" s="94"/>
      <c r="P164" s="94"/>
      <c r="Q164" s="94"/>
      <c r="R164" s="94"/>
      <c r="S164" s="94">
        <f t="shared" ref="S164:S169" si="57">K164-L164-M164-N164-O164+R164</f>
        <v>104523.9</v>
      </c>
      <c r="T164" s="108">
        <v>0</v>
      </c>
      <c r="U164" s="94">
        <f>K164</f>
        <v>104523.9</v>
      </c>
      <c r="V164" s="94"/>
      <c r="W164" s="94">
        <f t="shared" ref="W164:W169" si="58">S164+T164-U164-V164</f>
        <v>0</v>
      </c>
      <c r="X164" s="145"/>
    </row>
    <row r="165" s="22" customFormat="1" ht="41.65" spans="1:235">
      <c r="A165" s="156">
        <v>23</v>
      </c>
      <c r="B165" s="157" t="s">
        <v>226</v>
      </c>
      <c r="C165" s="158" t="s">
        <v>227</v>
      </c>
      <c r="D165" s="157" t="s">
        <v>228</v>
      </c>
      <c r="E165" s="256">
        <v>7588343.88</v>
      </c>
      <c r="F165" s="256"/>
      <c r="G165" s="74" t="s">
        <v>229</v>
      </c>
      <c r="H165" s="74" t="s">
        <v>230</v>
      </c>
      <c r="I165" s="99">
        <v>6715348.57</v>
      </c>
      <c r="J165" s="99">
        <v>872995.31</v>
      </c>
      <c r="K165" s="94">
        <f>J165+I165</f>
        <v>7588343.88</v>
      </c>
      <c r="L165" s="94"/>
      <c r="M165" s="94">
        <v>379417.19</v>
      </c>
      <c r="N165" s="94"/>
      <c r="O165" s="94"/>
      <c r="P165" s="94"/>
      <c r="Q165" s="94"/>
      <c r="R165" s="94"/>
      <c r="S165" s="94">
        <f t="shared" si="57"/>
        <v>7208926.69</v>
      </c>
      <c r="T165" s="108">
        <v>0</v>
      </c>
      <c r="U165" s="302">
        <v>7208926.69</v>
      </c>
      <c r="V165" s="302"/>
      <c r="W165" s="94">
        <f t="shared" si="58"/>
        <v>0</v>
      </c>
      <c r="X165" s="145"/>
      <c r="Y165" s="313"/>
      <c r="Z165" s="313"/>
      <c r="AA165" s="313"/>
      <c r="AB165" s="313"/>
      <c r="AC165" s="313"/>
      <c r="AD165" s="313"/>
      <c r="AE165" s="313"/>
      <c r="AF165" s="313"/>
      <c r="AG165" s="313"/>
      <c r="AH165" s="313"/>
      <c r="AI165" s="313"/>
      <c r="AJ165" s="313"/>
      <c r="AK165" s="313"/>
      <c r="AL165" s="313"/>
      <c r="AM165" s="313"/>
      <c r="AN165" s="313"/>
      <c r="AO165" s="313"/>
      <c r="AP165" s="313"/>
      <c r="AQ165" s="313"/>
      <c r="AR165" s="313"/>
      <c r="AS165" s="313"/>
      <c r="AT165" s="313"/>
      <c r="AU165" s="313"/>
      <c r="AV165" s="313"/>
      <c r="AW165" s="313"/>
      <c r="AX165" s="313"/>
      <c r="AY165" s="313"/>
      <c r="AZ165" s="313"/>
      <c r="BA165" s="313"/>
      <c r="BB165" s="313"/>
      <c r="BC165" s="313"/>
      <c r="BD165" s="313"/>
      <c r="BE165" s="313"/>
      <c r="BF165" s="313"/>
      <c r="BG165" s="313"/>
      <c r="BH165" s="313"/>
      <c r="BI165" s="313"/>
      <c r="BJ165" s="313"/>
      <c r="BK165" s="313"/>
      <c r="BL165" s="313"/>
      <c r="BM165" s="313"/>
      <c r="BN165" s="313"/>
      <c r="BO165" s="313"/>
      <c r="BP165" s="313"/>
      <c r="BQ165" s="313"/>
      <c r="BR165" s="313"/>
      <c r="BS165" s="313"/>
      <c r="BT165" s="313"/>
      <c r="BU165" s="313"/>
      <c r="BV165" s="313"/>
      <c r="BW165" s="313"/>
      <c r="BX165" s="313"/>
      <c r="BY165" s="313"/>
      <c r="BZ165" s="313"/>
      <c r="CA165" s="313"/>
      <c r="CB165" s="313"/>
      <c r="CC165" s="313"/>
      <c r="CD165" s="313"/>
      <c r="CE165" s="313"/>
      <c r="CF165" s="313"/>
      <c r="CG165" s="313"/>
      <c r="CH165" s="313"/>
      <c r="CI165" s="313"/>
      <c r="CJ165" s="313"/>
      <c r="CK165" s="313"/>
      <c r="CL165" s="313"/>
      <c r="CM165" s="313"/>
      <c r="CN165" s="313"/>
      <c r="CO165" s="313"/>
      <c r="CP165" s="313"/>
      <c r="CQ165" s="313"/>
      <c r="CR165" s="313"/>
      <c r="CS165" s="313"/>
      <c r="CT165" s="313"/>
      <c r="CU165" s="313"/>
      <c r="CV165" s="313"/>
      <c r="CW165" s="313"/>
      <c r="CX165" s="313"/>
      <c r="CY165" s="313"/>
      <c r="CZ165" s="313"/>
      <c r="DA165" s="313"/>
      <c r="DB165" s="313"/>
      <c r="DC165" s="313"/>
      <c r="DD165" s="313"/>
      <c r="DE165" s="313"/>
      <c r="DF165" s="313"/>
      <c r="DG165" s="313"/>
      <c r="DH165" s="313"/>
      <c r="DI165" s="313"/>
      <c r="DJ165" s="313"/>
      <c r="DK165" s="313"/>
      <c r="DL165" s="313"/>
      <c r="DM165" s="313"/>
      <c r="DN165" s="313"/>
      <c r="DO165" s="313"/>
      <c r="DP165" s="313"/>
      <c r="DQ165" s="313"/>
      <c r="DR165" s="313"/>
      <c r="DS165" s="313"/>
      <c r="DT165" s="313"/>
      <c r="DU165" s="313"/>
      <c r="DV165" s="313"/>
      <c r="DW165" s="313"/>
      <c r="DX165" s="313"/>
      <c r="DY165" s="313"/>
      <c r="DZ165" s="313"/>
      <c r="EA165" s="313"/>
      <c r="EB165" s="313"/>
      <c r="EC165" s="313"/>
      <c r="ED165" s="313"/>
      <c r="EE165" s="313"/>
      <c r="EF165" s="313"/>
      <c r="EG165" s="313"/>
      <c r="EH165" s="313"/>
      <c r="EI165" s="313"/>
      <c r="EJ165" s="313"/>
      <c r="EK165" s="313"/>
      <c r="EL165" s="313"/>
      <c r="EM165" s="313"/>
      <c r="EN165" s="313"/>
      <c r="EO165" s="313"/>
      <c r="EP165" s="313"/>
      <c r="EQ165" s="313"/>
      <c r="ER165" s="313"/>
      <c r="ES165" s="313"/>
      <c r="ET165" s="313"/>
      <c r="EU165" s="313"/>
      <c r="EV165" s="313"/>
      <c r="EW165" s="313"/>
      <c r="EX165" s="313"/>
      <c r="EY165" s="313"/>
      <c r="EZ165" s="313"/>
      <c r="FA165" s="313"/>
      <c r="FB165" s="313"/>
      <c r="FC165" s="313"/>
      <c r="FD165" s="313"/>
      <c r="FE165" s="313"/>
      <c r="FF165" s="313"/>
      <c r="FG165" s="313"/>
      <c r="FH165" s="313"/>
      <c r="FI165" s="313"/>
      <c r="FJ165" s="313"/>
      <c r="FK165" s="313"/>
      <c r="FL165" s="313"/>
      <c r="FM165" s="313"/>
      <c r="FN165" s="313"/>
      <c r="FO165" s="313"/>
      <c r="FP165" s="313"/>
      <c r="FQ165" s="313"/>
      <c r="FR165" s="313"/>
      <c r="FS165" s="313"/>
      <c r="FT165" s="313"/>
      <c r="FU165" s="313"/>
      <c r="FV165" s="313"/>
      <c r="FW165" s="313"/>
      <c r="FX165" s="313"/>
      <c r="FY165" s="313"/>
      <c r="FZ165" s="313"/>
      <c r="GA165" s="313"/>
      <c r="GB165" s="313"/>
      <c r="GC165" s="313"/>
      <c r="GD165" s="313"/>
      <c r="GE165" s="313"/>
      <c r="GF165" s="313"/>
      <c r="GG165" s="313"/>
      <c r="GH165" s="313"/>
      <c r="GI165" s="313"/>
      <c r="GJ165" s="313"/>
      <c r="GK165" s="313"/>
      <c r="GL165" s="313"/>
      <c r="GM165" s="313"/>
      <c r="GN165" s="313"/>
      <c r="GO165" s="313"/>
      <c r="GP165" s="313"/>
      <c r="GQ165" s="313"/>
      <c r="GR165" s="313"/>
      <c r="GS165" s="313"/>
      <c r="GT165" s="313"/>
      <c r="GU165" s="313"/>
      <c r="GV165" s="313"/>
      <c r="GW165" s="313"/>
      <c r="GX165" s="313"/>
      <c r="GY165" s="313"/>
      <c r="GZ165" s="313"/>
      <c r="HA165" s="313"/>
      <c r="HB165" s="313"/>
      <c r="HC165" s="313"/>
      <c r="HD165" s="313"/>
      <c r="HE165" s="313"/>
      <c r="HF165" s="313"/>
      <c r="HG165" s="313"/>
      <c r="HH165" s="313"/>
      <c r="HI165" s="313"/>
      <c r="HJ165" s="313"/>
      <c r="HK165" s="313"/>
      <c r="HL165" s="313"/>
      <c r="HM165" s="313"/>
      <c r="HN165" s="313"/>
      <c r="HO165" s="313"/>
      <c r="HP165" s="313"/>
      <c r="HQ165" s="313"/>
      <c r="HR165" s="313"/>
      <c r="HS165" s="313"/>
      <c r="HT165" s="313"/>
      <c r="HU165" s="313"/>
      <c r="HV165" s="313"/>
      <c r="HW165" s="313"/>
      <c r="HX165" s="313"/>
      <c r="HY165" s="313"/>
      <c r="HZ165" s="313"/>
      <c r="IA165" s="313"/>
    </row>
    <row r="166" s="22" customFormat="1" ht="41.65" spans="1:24">
      <c r="A166" s="156">
        <v>24</v>
      </c>
      <c r="B166" s="157" t="s">
        <v>231</v>
      </c>
      <c r="C166" s="158" t="s">
        <v>232</v>
      </c>
      <c r="D166" s="157" t="s">
        <v>233</v>
      </c>
      <c r="E166" s="145">
        <v>371000</v>
      </c>
      <c r="F166" s="145"/>
      <c r="G166" s="72" t="s">
        <v>234</v>
      </c>
      <c r="H166" s="66" t="s">
        <v>235</v>
      </c>
      <c r="I166" s="94">
        <f>K166-J166</f>
        <v>349999.99</v>
      </c>
      <c r="J166" s="94">
        <v>21000.01</v>
      </c>
      <c r="K166" s="94">
        <v>371000</v>
      </c>
      <c r="L166" s="94">
        <v>0</v>
      </c>
      <c r="M166" s="94">
        <v>0</v>
      </c>
      <c r="N166" s="94">
        <v>0</v>
      </c>
      <c r="O166" s="94">
        <v>0</v>
      </c>
      <c r="P166" s="94"/>
      <c r="Q166" s="94"/>
      <c r="R166" s="94">
        <v>0</v>
      </c>
      <c r="S166" s="94">
        <f t="shared" si="57"/>
        <v>371000</v>
      </c>
      <c r="T166" s="108">
        <v>0</v>
      </c>
      <c r="U166" s="94">
        <v>371000</v>
      </c>
      <c r="V166" s="94"/>
      <c r="W166" s="94">
        <f t="shared" si="58"/>
        <v>0</v>
      </c>
      <c r="X166" s="145"/>
    </row>
    <row r="167" s="22" customFormat="1" ht="61" customHeight="1" spans="1:24">
      <c r="A167" s="156">
        <v>25</v>
      </c>
      <c r="B167" s="157" t="s">
        <v>236</v>
      </c>
      <c r="C167" s="158" t="s">
        <v>237</v>
      </c>
      <c r="D167" s="165" t="s">
        <v>154</v>
      </c>
      <c r="E167" s="145">
        <v>98000</v>
      </c>
      <c r="F167" s="145"/>
      <c r="G167" s="72" t="s">
        <v>238</v>
      </c>
      <c r="H167" s="66" t="s">
        <v>239</v>
      </c>
      <c r="I167" s="94">
        <f>98000-J167</f>
        <v>92452.83</v>
      </c>
      <c r="J167" s="94">
        <v>5547.17</v>
      </c>
      <c r="K167" s="94">
        <f t="shared" si="56"/>
        <v>98000</v>
      </c>
      <c r="L167" s="94"/>
      <c r="M167" s="94"/>
      <c r="N167" s="94"/>
      <c r="O167" s="94"/>
      <c r="P167" s="94"/>
      <c r="Q167" s="94"/>
      <c r="R167" s="94"/>
      <c r="S167" s="94">
        <f t="shared" si="57"/>
        <v>98000</v>
      </c>
      <c r="T167" s="108">
        <v>0</v>
      </c>
      <c r="U167" s="94">
        <f>K167+R167</f>
        <v>98000</v>
      </c>
      <c r="V167" s="94"/>
      <c r="W167" s="94">
        <f t="shared" si="58"/>
        <v>0</v>
      </c>
      <c r="X167" s="145"/>
    </row>
    <row r="168" s="23" customFormat="1" ht="45" customHeight="1" spans="1:24">
      <c r="A168" s="156">
        <v>26</v>
      </c>
      <c r="B168" s="157" t="s">
        <v>166</v>
      </c>
      <c r="C168" s="257" t="s">
        <v>240</v>
      </c>
      <c r="D168" s="157" t="s">
        <v>168</v>
      </c>
      <c r="E168" s="258">
        <v>9654.85</v>
      </c>
      <c r="F168" s="258"/>
      <c r="G168" s="50" t="s">
        <v>241</v>
      </c>
      <c r="H168" s="50" t="s">
        <v>242</v>
      </c>
      <c r="I168" s="108">
        <v>9108.34905660377</v>
      </c>
      <c r="J168" s="108">
        <v>546.500943396226</v>
      </c>
      <c r="K168" s="94">
        <f t="shared" si="56"/>
        <v>9654.85</v>
      </c>
      <c r="L168" s="94">
        <v>0</v>
      </c>
      <c r="M168" s="94">
        <v>0</v>
      </c>
      <c r="N168" s="94">
        <v>0</v>
      </c>
      <c r="O168" s="94">
        <v>0</v>
      </c>
      <c r="P168" s="94"/>
      <c r="Q168" s="94"/>
      <c r="R168" s="94">
        <v>0</v>
      </c>
      <c r="S168" s="94">
        <f t="shared" si="57"/>
        <v>9654.85</v>
      </c>
      <c r="T168" s="108">
        <v>0</v>
      </c>
      <c r="U168" s="108">
        <v>9654.85</v>
      </c>
      <c r="V168" s="108"/>
      <c r="W168" s="94">
        <f t="shared" si="58"/>
        <v>0</v>
      </c>
      <c r="X168" s="145"/>
    </row>
    <row r="169" s="23" customFormat="1" ht="45" customHeight="1" spans="1:24">
      <c r="A169" s="43">
        <v>27</v>
      </c>
      <c r="B169" s="259" t="s">
        <v>318</v>
      </c>
      <c r="C169" s="259"/>
      <c r="D169" s="259" t="s">
        <v>244</v>
      </c>
      <c r="E169" s="69">
        <v>722880</v>
      </c>
      <c r="F169" s="69"/>
      <c r="G169" s="74" t="s">
        <v>245</v>
      </c>
      <c r="H169" s="74" t="s">
        <v>246</v>
      </c>
      <c r="I169" s="94">
        <v>575745.13</v>
      </c>
      <c r="J169" s="94">
        <f>K169-I169</f>
        <v>74846.87</v>
      </c>
      <c r="K169" s="94">
        <v>650592</v>
      </c>
      <c r="L169" s="94">
        <v>0</v>
      </c>
      <c r="M169" s="94">
        <v>0</v>
      </c>
      <c r="N169" s="94">
        <v>0</v>
      </c>
      <c r="O169" s="94">
        <v>72288</v>
      </c>
      <c r="P169" s="94"/>
      <c r="Q169" s="94"/>
      <c r="R169" s="108">
        <v>0</v>
      </c>
      <c r="S169" s="94">
        <f t="shared" si="57"/>
        <v>578304</v>
      </c>
      <c r="T169" s="108">
        <v>0</v>
      </c>
      <c r="U169" s="108">
        <v>379417.19</v>
      </c>
      <c r="V169" s="108"/>
      <c r="W169" s="94">
        <f t="shared" si="58"/>
        <v>198886.81</v>
      </c>
      <c r="X169" s="145"/>
    </row>
    <row r="170" s="23" customFormat="1" ht="45" customHeight="1" spans="1:24">
      <c r="A170" s="153"/>
      <c r="B170" s="260"/>
      <c r="C170" s="261"/>
      <c r="D170" s="261"/>
      <c r="E170" s="71"/>
      <c r="F170" s="71"/>
      <c r="G170" s="76" t="s">
        <v>387</v>
      </c>
      <c r="H170" s="76" t="s">
        <v>388</v>
      </c>
      <c r="I170" s="101">
        <v>63971.68</v>
      </c>
      <c r="J170" s="101"/>
      <c r="K170" s="101">
        <f>I170</f>
        <v>63971.68</v>
      </c>
      <c r="L170" s="101"/>
      <c r="M170" s="101"/>
      <c r="N170" s="101"/>
      <c r="O170" s="101"/>
      <c r="P170" s="101"/>
      <c r="Q170" s="94"/>
      <c r="R170" s="108"/>
      <c r="S170" s="101">
        <v>63971.68</v>
      </c>
      <c r="T170" s="108"/>
      <c r="U170" s="108"/>
      <c r="V170" s="108"/>
      <c r="W170" s="309">
        <f>S170</f>
        <v>63971.68</v>
      </c>
      <c r="X170" s="145"/>
    </row>
    <row r="171" s="23" customFormat="1" ht="45" customHeight="1" spans="1:24">
      <c r="A171" s="156"/>
      <c r="B171" s="262" t="s">
        <v>389</v>
      </c>
      <c r="C171" s="166"/>
      <c r="D171" s="166" t="s">
        <v>49</v>
      </c>
      <c r="E171" s="47"/>
      <c r="F171" s="47"/>
      <c r="G171" s="76" t="s">
        <v>385</v>
      </c>
      <c r="H171" s="76" t="s">
        <v>390</v>
      </c>
      <c r="I171" s="101">
        <v>225148.11</v>
      </c>
      <c r="J171" s="101"/>
      <c r="K171" s="101">
        <f>I171</f>
        <v>225148.11</v>
      </c>
      <c r="L171" s="101"/>
      <c r="M171" s="101"/>
      <c r="N171" s="101"/>
      <c r="O171" s="101"/>
      <c r="P171" s="101"/>
      <c r="Q171" s="94"/>
      <c r="R171" s="108"/>
      <c r="S171" s="101">
        <f>K171</f>
        <v>225148.11</v>
      </c>
      <c r="T171" s="108"/>
      <c r="U171" s="108"/>
      <c r="V171" s="108"/>
      <c r="W171" s="309">
        <f>S171</f>
        <v>225148.11</v>
      </c>
      <c r="X171" s="145"/>
    </row>
    <row r="172" s="23" customFormat="1" ht="45" customHeight="1" spans="1:24">
      <c r="A172" s="156"/>
      <c r="B172" s="262" t="s">
        <v>391</v>
      </c>
      <c r="C172" s="166"/>
      <c r="D172" s="166" t="s">
        <v>103</v>
      </c>
      <c r="E172" s="47"/>
      <c r="F172" s="47"/>
      <c r="G172" s="76" t="s">
        <v>392</v>
      </c>
      <c r="H172" s="76" t="s">
        <v>393</v>
      </c>
      <c r="I172" s="101">
        <v>61320.75</v>
      </c>
      <c r="J172" s="101"/>
      <c r="K172" s="101">
        <f>I172+J172</f>
        <v>61320.75</v>
      </c>
      <c r="L172" s="101"/>
      <c r="M172" s="101"/>
      <c r="N172" s="101"/>
      <c r="O172" s="101"/>
      <c r="P172" s="101"/>
      <c r="Q172" s="94"/>
      <c r="R172" s="108"/>
      <c r="S172" s="101">
        <f>K172</f>
        <v>61320.75</v>
      </c>
      <c r="T172" s="108"/>
      <c r="U172" s="108"/>
      <c r="V172" s="108"/>
      <c r="W172" s="309">
        <f>S172</f>
        <v>61320.75</v>
      </c>
      <c r="X172" s="145"/>
    </row>
    <row r="173" s="23" customFormat="1" ht="45" customHeight="1" spans="1:24">
      <c r="A173" s="156">
        <v>28</v>
      </c>
      <c r="B173" s="216" t="s">
        <v>196</v>
      </c>
      <c r="C173" s="217"/>
      <c r="D173" s="218"/>
      <c r="E173" s="258">
        <v>10000</v>
      </c>
      <c r="F173" s="258"/>
      <c r="G173" s="50" t="s">
        <v>197</v>
      </c>
      <c r="H173" s="51" t="s">
        <v>198</v>
      </c>
      <c r="I173" s="108">
        <v>3952.44</v>
      </c>
      <c r="J173" s="108"/>
      <c r="K173" s="94">
        <f>I173+J173</f>
        <v>3952.44</v>
      </c>
      <c r="L173" s="94">
        <v>0</v>
      </c>
      <c r="M173" s="94">
        <v>0</v>
      </c>
      <c r="N173" s="94">
        <v>0</v>
      </c>
      <c r="O173" s="94">
        <v>0</v>
      </c>
      <c r="P173" s="94"/>
      <c r="Q173" s="94"/>
      <c r="R173" s="94">
        <v>0</v>
      </c>
      <c r="S173" s="94">
        <f>K173-L173-M173-N173-O173+R173</f>
        <v>3952.44</v>
      </c>
      <c r="T173" s="108">
        <v>0</v>
      </c>
      <c r="U173" s="108">
        <v>3952.44</v>
      </c>
      <c r="V173" s="108"/>
      <c r="W173" s="94">
        <f>S173+T173-U173-V173</f>
        <v>0</v>
      </c>
      <c r="X173" s="145"/>
    </row>
    <row r="174" s="23" customFormat="1" ht="45" customHeight="1" spans="1:24">
      <c r="A174" s="156">
        <v>29</v>
      </c>
      <c r="B174" s="216" t="s">
        <v>312</v>
      </c>
      <c r="C174" s="217"/>
      <c r="D174" s="218"/>
      <c r="E174" s="258"/>
      <c r="F174" s="258"/>
      <c r="G174" s="188" t="s">
        <v>248</v>
      </c>
      <c r="H174" s="258"/>
      <c r="I174" s="108">
        <f>SUM(I175:I189)</f>
        <v>60083.7</v>
      </c>
      <c r="J174" s="108">
        <f>J175+J182+J183</f>
        <v>0</v>
      </c>
      <c r="K174" s="108">
        <f t="shared" ref="K174:K189" si="59">I174+J174</f>
        <v>60083.7</v>
      </c>
      <c r="L174" s="94"/>
      <c r="M174" s="94"/>
      <c r="N174" s="94"/>
      <c r="O174" s="94"/>
      <c r="P174" s="94"/>
      <c r="Q174" s="94"/>
      <c r="R174" s="108"/>
      <c r="S174" s="108">
        <f>K174-L174-M174-N174-O174+R174</f>
        <v>60083.7</v>
      </c>
      <c r="T174" s="108">
        <v>0</v>
      </c>
      <c r="U174" s="108">
        <f>K174+R174</f>
        <v>60083.7</v>
      </c>
      <c r="V174" s="94"/>
      <c r="W174" s="94">
        <f>S174+T174-U174-V174</f>
        <v>0</v>
      </c>
      <c r="X174" s="145"/>
    </row>
    <row r="175" s="23" customFormat="1" ht="45" customHeight="1" spans="1:24">
      <c r="A175" s="175"/>
      <c r="B175" s="263" t="s">
        <v>249</v>
      </c>
      <c r="C175" s="264"/>
      <c r="D175" s="265"/>
      <c r="E175" s="192"/>
      <c r="F175" s="192">
        <v>2023</v>
      </c>
      <c r="G175" s="188" t="s">
        <v>250</v>
      </c>
      <c r="H175" s="258"/>
      <c r="I175" s="108">
        <v>3770</v>
      </c>
      <c r="J175" s="108"/>
      <c r="K175" s="94">
        <f t="shared" si="59"/>
        <v>3770</v>
      </c>
      <c r="L175" s="94"/>
      <c r="M175" s="94"/>
      <c r="N175" s="94"/>
      <c r="O175" s="94"/>
      <c r="P175" s="94"/>
      <c r="Q175" s="94"/>
      <c r="R175" s="108"/>
      <c r="S175" s="94">
        <f>K175-L175-M175-N175-O175+R175</f>
        <v>3770</v>
      </c>
      <c r="T175" s="108">
        <v>0</v>
      </c>
      <c r="U175" s="94">
        <f>K175+R175</f>
        <v>3770</v>
      </c>
      <c r="V175" s="94"/>
      <c r="W175" s="94">
        <f>S175+T175-U175-V175</f>
        <v>0</v>
      </c>
      <c r="X175" s="145"/>
    </row>
    <row r="176" s="23" customFormat="1" ht="45" customHeight="1" spans="1:24">
      <c r="A176" s="175"/>
      <c r="B176" s="266"/>
      <c r="C176" s="267"/>
      <c r="D176" s="268"/>
      <c r="E176" s="198"/>
      <c r="F176" s="198"/>
      <c r="G176" s="188" t="s">
        <v>251</v>
      </c>
      <c r="H176" s="258"/>
      <c r="I176" s="108">
        <v>8043</v>
      </c>
      <c r="J176" s="108"/>
      <c r="K176" s="94">
        <f t="shared" si="59"/>
        <v>8043</v>
      </c>
      <c r="L176" s="94"/>
      <c r="M176" s="94"/>
      <c r="N176" s="94"/>
      <c r="O176" s="94"/>
      <c r="P176" s="94"/>
      <c r="Q176" s="94"/>
      <c r="R176" s="108"/>
      <c r="S176" s="94">
        <v>8043</v>
      </c>
      <c r="T176" s="108"/>
      <c r="U176" s="94">
        <v>8043</v>
      </c>
      <c r="V176" s="94"/>
      <c r="W176" s="94">
        <f>S176+T176-U176-V176</f>
        <v>0</v>
      </c>
      <c r="X176" s="145"/>
    </row>
    <row r="177" s="23" customFormat="1" ht="45" customHeight="1" spans="1:24">
      <c r="A177" s="175"/>
      <c r="B177" s="266"/>
      <c r="C177" s="267"/>
      <c r="D177" s="268"/>
      <c r="E177" s="198"/>
      <c r="F177" s="198">
        <v>2024</v>
      </c>
      <c r="G177" s="188" t="s">
        <v>320</v>
      </c>
      <c r="H177" s="258"/>
      <c r="I177" s="108">
        <v>9579</v>
      </c>
      <c r="J177" s="108">
        <v>0</v>
      </c>
      <c r="K177" s="94">
        <f t="shared" si="59"/>
        <v>9579</v>
      </c>
      <c r="L177" s="94"/>
      <c r="M177" s="94"/>
      <c r="N177" s="94"/>
      <c r="O177" s="94"/>
      <c r="P177" s="94"/>
      <c r="Q177" s="94"/>
      <c r="R177" s="108"/>
      <c r="S177" s="94">
        <f>K177</f>
        <v>9579</v>
      </c>
      <c r="T177" s="108"/>
      <c r="U177" s="94">
        <f t="shared" ref="U177:U182" si="60">S177</f>
        <v>9579</v>
      </c>
      <c r="V177" s="94"/>
      <c r="W177" s="94">
        <f t="shared" ref="W177:W189" si="61">S177+T177-U177-V177</f>
        <v>0</v>
      </c>
      <c r="X177" s="145"/>
    </row>
    <row r="178" s="23" customFormat="1" ht="45" customHeight="1" spans="1:24">
      <c r="A178" s="175"/>
      <c r="B178" s="266"/>
      <c r="C178" s="267"/>
      <c r="D178" s="268"/>
      <c r="E178" s="198"/>
      <c r="F178" s="198"/>
      <c r="G178" s="188" t="s">
        <v>341</v>
      </c>
      <c r="H178" s="258"/>
      <c r="I178" s="108">
        <v>7041</v>
      </c>
      <c r="J178" s="108"/>
      <c r="K178" s="94">
        <f t="shared" si="59"/>
        <v>7041</v>
      </c>
      <c r="L178" s="94"/>
      <c r="M178" s="94"/>
      <c r="N178" s="94"/>
      <c r="O178" s="94"/>
      <c r="P178" s="94"/>
      <c r="Q178" s="94"/>
      <c r="R178" s="108"/>
      <c r="S178" s="94">
        <f>K178</f>
        <v>7041</v>
      </c>
      <c r="T178" s="108"/>
      <c r="U178" s="94">
        <f t="shared" si="60"/>
        <v>7041</v>
      </c>
      <c r="V178" s="94"/>
      <c r="W178" s="94">
        <f t="shared" si="61"/>
        <v>0</v>
      </c>
      <c r="X178" s="145"/>
    </row>
    <row r="179" s="23" customFormat="1" ht="45" customHeight="1" spans="1:24">
      <c r="A179" s="175"/>
      <c r="B179" s="266"/>
      <c r="C179" s="267"/>
      <c r="D179" s="268"/>
      <c r="E179" s="198"/>
      <c r="F179" s="198"/>
      <c r="G179" s="269" t="s">
        <v>342</v>
      </c>
      <c r="H179" s="270"/>
      <c r="I179" s="109">
        <v>8282</v>
      </c>
      <c r="J179" s="109"/>
      <c r="K179" s="101">
        <f t="shared" si="59"/>
        <v>8282</v>
      </c>
      <c r="L179" s="101"/>
      <c r="M179" s="101"/>
      <c r="N179" s="101"/>
      <c r="O179" s="101"/>
      <c r="P179" s="101"/>
      <c r="Q179" s="101"/>
      <c r="R179" s="109"/>
      <c r="S179" s="94">
        <f>K179</f>
        <v>8282</v>
      </c>
      <c r="T179" s="108"/>
      <c r="U179" s="94">
        <f t="shared" si="60"/>
        <v>8282</v>
      </c>
      <c r="V179" s="94"/>
      <c r="W179" s="94">
        <f t="shared" si="61"/>
        <v>0</v>
      </c>
      <c r="X179" s="145"/>
    </row>
    <row r="180" s="23" customFormat="1" ht="45" customHeight="1" spans="1:24">
      <c r="A180" s="175"/>
      <c r="B180" s="266"/>
      <c r="C180" s="267"/>
      <c r="D180" s="268"/>
      <c r="E180" s="198"/>
      <c r="F180" s="198"/>
      <c r="G180" s="269" t="s">
        <v>343</v>
      </c>
      <c r="H180" s="270"/>
      <c r="I180" s="109">
        <v>1800</v>
      </c>
      <c r="J180" s="109"/>
      <c r="K180" s="101">
        <f t="shared" si="59"/>
        <v>1800</v>
      </c>
      <c r="L180" s="101"/>
      <c r="M180" s="101"/>
      <c r="N180" s="101"/>
      <c r="O180" s="101"/>
      <c r="P180" s="101"/>
      <c r="Q180" s="101"/>
      <c r="R180" s="109"/>
      <c r="S180" s="94">
        <v>1800</v>
      </c>
      <c r="T180" s="108"/>
      <c r="U180" s="94">
        <f t="shared" si="60"/>
        <v>1800</v>
      </c>
      <c r="V180" s="94"/>
      <c r="W180" s="94">
        <f t="shared" si="61"/>
        <v>0</v>
      </c>
      <c r="X180" s="145"/>
    </row>
    <row r="181" s="23" customFormat="1" ht="45" customHeight="1" spans="1:24">
      <c r="A181" s="175"/>
      <c r="B181" s="271"/>
      <c r="C181" s="272"/>
      <c r="D181" s="273"/>
      <c r="E181" s="199"/>
      <c r="F181" s="199"/>
      <c r="G181" s="188" t="s">
        <v>344</v>
      </c>
      <c r="H181" s="258"/>
      <c r="I181" s="108"/>
      <c r="J181" s="108"/>
      <c r="K181" s="94">
        <f t="shared" si="59"/>
        <v>0</v>
      </c>
      <c r="L181" s="94"/>
      <c r="M181" s="94"/>
      <c r="N181" s="94"/>
      <c r="O181" s="94"/>
      <c r="P181" s="94"/>
      <c r="Q181" s="94"/>
      <c r="R181" s="108"/>
      <c r="S181" s="94"/>
      <c r="T181" s="108"/>
      <c r="U181" s="94">
        <f t="shared" si="60"/>
        <v>0</v>
      </c>
      <c r="V181" s="94"/>
      <c r="W181" s="94">
        <f t="shared" si="61"/>
        <v>0</v>
      </c>
      <c r="X181" s="145"/>
    </row>
    <row r="182" s="23" customFormat="1" ht="45" customHeight="1" spans="1:24">
      <c r="A182" s="175"/>
      <c r="B182" s="274" t="s">
        <v>252</v>
      </c>
      <c r="C182" s="275"/>
      <c r="D182" s="276"/>
      <c r="E182" s="258"/>
      <c r="F182" s="258"/>
      <c r="G182" s="188" t="s">
        <v>250</v>
      </c>
      <c r="H182" s="258"/>
      <c r="I182" s="108"/>
      <c r="J182" s="108"/>
      <c r="K182" s="94">
        <f t="shared" si="59"/>
        <v>0</v>
      </c>
      <c r="L182" s="94"/>
      <c r="M182" s="94"/>
      <c r="N182" s="94"/>
      <c r="O182" s="94"/>
      <c r="P182" s="94"/>
      <c r="Q182" s="94"/>
      <c r="R182" s="108"/>
      <c r="S182" s="94">
        <f t="shared" ref="S182:S186" si="62">K182</f>
        <v>0</v>
      </c>
      <c r="T182" s="94"/>
      <c r="U182" s="94">
        <f t="shared" si="60"/>
        <v>0</v>
      </c>
      <c r="V182" s="94"/>
      <c r="W182" s="94">
        <f t="shared" si="61"/>
        <v>0</v>
      </c>
      <c r="X182" s="145"/>
    </row>
    <row r="183" s="23" customFormat="1" ht="45" customHeight="1" spans="1:24">
      <c r="A183" s="175"/>
      <c r="B183" s="263" t="s">
        <v>253</v>
      </c>
      <c r="C183" s="264"/>
      <c r="D183" s="265"/>
      <c r="E183" s="192"/>
      <c r="F183" s="192"/>
      <c r="G183" s="188" t="s">
        <v>251</v>
      </c>
      <c r="H183" s="258"/>
      <c r="I183" s="108">
        <v>200</v>
      </c>
      <c r="J183" s="108">
        <v>0</v>
      </c>
      <c r="K183" s="94">
        <f t="shared" si="59"/>
        <v>200</v>
      </c>
      <c r="L183" s="94"/>
      <c r="M183" s="94"/>
      <c r="N183" s="94"/>
      <c r="O183" s="94"/>
      <c r="P183" s="94"/>
      <c r="Q183" s="94"/>
      <c r="R183" s="108"/>
      <c r="S183" s="94">
        <f t="shared" si="62"/>
        <v>200</v>
      </c>
      <c r="T183" s="94"/>
      <c r="U183" s="94">
        <f>K183+R183</f>
        <v>200</v>
      </c>
      <c r="V183" s="94"/>
      <c r="W183" s="94">
        <f t="shared" si="61"/>
        <v>0</v>
      </c>
      <c r="X183" s="145"/>
    </row>
    <row r="184" s="23" customFormat="1" ht="45" customHeight="1" spans="1:24">
      <c r="A184" s="175"/>
      <c r="B184" s="266"/>
      <c r="C184" s="267"/>
      <c r="D184" s="268"/>
      <c r="E184" s="198"/>
      <c r="F184" s="198"/>
      <c r="G184" s="188" t="s">
        <v>320</v>
      </c>
      <c r="H184" s="258"/>
      <c r="I184" s="108">
        <v>800</v>
      </c>
      <c r="J184" s="108">
        <v>0</v>
      </c>
      <c r="K184" s="94">
        <f t="shared" si="59"/>
        <v>800</v>
      </c>
      <c r="L184" s="94"/>
      <c r="M184" s="94"/>
      <c r="N184" s="94"/>
      <c r="O184" s="94"/>
      <c r="P184" s="94"/>
      <c r="Q184" s="94"/>
      <c r="R184" s="108"/>
      <c r="S184" s="94">
        <f t="shared" si="62"/>
        <v>800</v>
      </c>
      <c r="T184" s="94"/>
      <c r="U184" s="94">
        <f t="shared" ref="U184:U186" si="63">S184</f>
        <v>800</v>
      </c>
      <c r="V184" s="94"/>
      <c r="W184" s="94">
        <f t="shared" si="61"/>
        <v>0</v>
      </c>
      <c r="X184" s="145"/>
    </row>
    <row r="185" s="23" customFormat="1" ht="45" customHeight="1" spans="1:24">
      <c r="A185" s="175"/>
      <c r="B185" s="266"/>
      <c r="C185" s="267"/>
      <c r="D185" s="268"/>
      <c r="E185" s="198"/>
      <c r="F185" s="198"/>
      <c r="G185" s="188" t="s">
        <v>341</v>
      </c>
      <c r="H185" s="258"/>
      <c r="I185" s="108">
        <v>8961.68</v>
      </c>
      <c r="J185" s="108">
        <f>3.66+17.77+5.45+3126-2948.99+4653-4369.57</f>
        <v>487.320000000001</v>
      </c>
      <c r="K185" s="94">
        <f t="shared" si="59"/>
        <v>9449</v>
      </c>
      <c r="L185" s="94"/>
      <c r="M185" s="94"/>
      <c r="N185" s="94"/>
      <c r="O185" s="94"/>
      <c r="P185" s="94"/>
      <c r="Q185" s="94"/>
      <c r="R185" s="108"/>
      <c r="S185" s="94">
        <f t="shared" si="62"/>
        <v>9449</v>
      </c>
      <c r="T185" s="94"/>
      <c r="U185" s="94">
        <f t="shared" si="63"/>
        <v>9449</v>
      </c>
      <c r="V185" s="94"/>
      <c r="W185" s="94">
        <f t="shared" si="61"/>
        <v>0</v>
      </c>
      <c r="X185" s="145"/>
    </row>
    <row r="186" s="23" customFormat="1" ht="45" customHeight="1" spans="1:24">
      <c r="A186" s="175"/>
      <c r="B186" s="266"/>
      <c r="C186" s="267"/>
      <c r="D186" s="268"/>
      <c r="E186" s="198"/>
      <c r="F186" s="198"/>
      <c r="G186" s="269" t="s">
        <v>362</v>
      </c>
      <c r="H186" s="270"/>
      <c r="I186" s="109">
        <v>11607.02</v>
      </c>
      <c r="J186" s="109">
        <f>9.17+9.17+20.83+1609.02-1537.11+803.76-768.46+3.81+3.64+3.81+3.64+43.7+3570.6-3331.23</f>
        <v>444.35</v>
      </c>
      <c r="K186" s="101">
        <f t="shared" si="59"/>
        <v>12051.37</v>
      </c>
      <c r="L186" s="101"/>
      <c r="M186" s="101"/>
      <c r="N186" s="101"/>
      <c r="O186" s="101"/>
      <c r="P186" s="101"/>
      <c r="Q186" s="101"/>
      <c r="R186" s="109"/>
      <c r="S186" s="94">
        <f t="shared" si="62"/>
        <v>12051.37</v>
      </c>
      <c r="T186" s="94"/>
      <c r="U186" s="94">
        <f t="shared" si="63"/>
        <v>12051.37</v>
      </c>
      <c r="V186" s="94"/>
      <c r="W186" s="94">
        <f t="shared" si="61"/>
        <v>0</v>
      </c>
      <c r="X186" s="145"/>
    </row>
    <row r="187" s="23" customFormat="1" ht="45" customHeight="1" spans="1:24">
      <c r="A187" s="175"/>
      <c r="B187" s="266"/>
      <c r="C187" s="267"/>
      <c r="D187" s="268"/>
      <c r="E187" s="198"/>
      <c r="F187" s="198"/>
      <c r="G187" s="188"/>
      <c r="H187" s="258"/>
      <c r="I187" s="108"/>
      <c r="J187" s="108"/>
      <c r="K187" s="94">
        <f t="shared" si="59"/>
        <v>0</v>
      </c>
      <c r="L187" s="94"/>
      <c r="M187" s="94"/>
      <c r="N187" s="94"/>
      <c r="O187" s="94"/>
      <c r="P187" s="94"/>
      <c r="Q187" s="94"/>
      <c r="R187" s="108"/>
      <c r="S187" s="94"/>
      <c r="T187" s="94"/>
      <c r="U187" s="94"/>
      <c r="V187" s="94"/>
      <c r="W187" s="94">
        <f t="shared" si="61"/>
        <v>0</v>
      </c>
      <c r="X187" s="145"/>
    </row>
    <row r="188" s="23" customFormat="1" ht="45" customHeight="1" spans="1:24">
      <c r="A188" s="175"/>
      <c r="B188" s="271"/>
      <c r="C188" s="272"/>
      <c r="D188" s="273"/>
      <c r="E188" s="199"/>
      <c r="F188" s="199"/>
      <c r="G188" s="188"/>
      <c r="H188" s="258"/>
      <c r="I188" s="108"/>
      <c r="J188" s="108"/>
      <c r="K188" s="94">
        <f t="shared" si="59"/>
        <v>0</v>
      </c>
      <c r="L188" s="94"/>
      <c r="M188" s="94"/>
      <c r="N188" s="94"/>
      <c r="O188" s="94"/>
      <c r="P188" s="94"/>
      <c r="Q188" s="94"/>
      <c r="R188" s="108"/>
      <c r="S188" s="94"/>
      <c r="T188" s="94"/>
      <c r="U188" s="94"/>
      <c r="V188" s="94"/>
      <c r="W188" s="94">
        <f t="shared" si="61"/>
        <v>0</v>
      </c>
      <c r="X188" s="145"/>
    </row>
    <row r="189" s="23" customFormat="1" ht="45" customHeight="1" spans="1:24">
      <c r="A189" s="175"/>
      <c r="B189" s="274" t="s">
        <v>254</v>
      </c>
      <c r="C189" s="275"/>
      <c r="D189" s="276"/>
      <c r="E189" s="258"/>
      <c r="F189" s="258"/>
      <c r="G189" s="188" t="s">
        <v>250</v>
      </c>
      <c r="H189" s="258"/>
      <c r="I189" s="108"/>
      <c r="J189" s="108"/>
      <c r="K189" s="94">
        <f t="shared" si="59"/>
        <v>0</v>
      </c>
      <c r="L189" s="94"/>
      <c r="M189" s="94"/>
      <c r="N189" s="94"/>
      <c r="O189" s="94"/>
      <c r="P189" s="94"/>
      <c r="Q189" s="94"/>
      <c r="R189" s="108"/>
      <c r="S189" s="94">
        <f>K189</f>
        <v>0</v>
      </c>
      <c r="T189" s="94"/>
      <c r="U189" s="94">
        <f>S189</f>
        <v>0</v>
      </c>
      <c r="V189" s="94"/>
      <c r="W189" s="94">
        <f t="shared" si="61"/>
        <v>0</v>
      </c>
      <c r="X189" s="145"/>
    </row>
    <row r="190" s="20" customFormat="1" ht="36" customHeight="1" spans="1:24">
      <c r="A190" s="277" t="s">
        <v>255</v>
      </c>
      <c r="B190" s="277"/>
      <c r="C190" s="277"/>
      <c r="D190" s="277"/>
      <c r="E190" s="278">
        <f>SUM(E158:E174)</f>
        <v>18872786.57</v>
      </c>
      <c r="F190" s="278">
        <f>SUM(F158:F174)</f>
        <v>0</v>
      </c>
      <c r="G190" s="243"/>
      <c r="H190" s="243" t="s">
        <v>316</v>
      </c>
      <c r="I190" s="300">
        <f>SUM(I158:I162,I164:I176,I182:I183,I189)-I174-I172-I171-I170</f>
        <v>15049869.9490566</v>
      </c>
      <c r="J190" s="300">
        <f>SUM(J158:J162,J164:J176,J182:J183,J189)-J174-J172-J171-J170</f>
        <v>1762917.2709434</v>
      </c>
      <c r="K190" s="300">
        <f>SUM(K158:K162,K164:K176,K182:K183,K189)-K174-K172-K171-K170</f>
        <v>16812787.22</v>
      </c>
      <c r="L190" s="300">
        <f>SUM(L158:L162,L164:L176,L182:L183,L189)-L174</f>
        <v>0</v>
      </c>
      <c r="M190" s="300">
        <f>SUM(M158:M162,M164:M176,M182:M183,M189)-M174</f>
        <v>379417.19</v>
      </c>
      <c r="N190" s="300">
        <f>SUM(N158:N162,N164:N176,N182:N183,N189)-N174</f>
        <v>0</v>
      </c>
      <c r="O190" s="300">
        <f>SUM(O158:O162,O164:O176,O182:O183,O189)-O174</f>
        <v>72288</v>
      </c>
      <c r="P190" s="300"/>
      <c r="Q190" s="300">
        <f t="shared" ref="Q190:Y190" si="64">SUM(Q158:Q162,Q164:Q176,Q182:Q183,Q189)-Q174</f>
        <v>0</v>
      </c>
      <c r="R190" s="300">
        <f t="shared" si="64"/>
        <v>0</v>
      </c>
      <c r="S190" s="300">
        <f t="shared" si="64"/>
        <v>16711522.57</v>
      </c>
      <c r="T190" s="300">
        <f t="shared" si="64"/>
        <v>0</v>
      </c>
      <c r="U190" s="300">
        <f t="shared" si="64"/>
        <v>16162195.22</v>
      </c>
      <c r="V190" s="300">
        <f t="shared" si="64"/>
        <v>0</v>
      </c>
      <c r="W190" s="300">
        <f>SUM(W158:W162,W164:W176,W182:W183,W189)-W174-W172-W171-W170</f>
        <v>198886.81</v>
      </c>
      <c r="X190" s="307"/>
    </row>
    <row r="191" s="21" customFormat="1" ht="36" customHeight="1" spans="1:24">
      <c r="A191" s="277"/>
      <c r="B191" s="277"/>
      <c r="C191" s="277"/>
      <c r="D191" s="277"/>
      <c r="E191" s="278"/>
      <c r="F191" s="278"/>
      <c r="G191" s="212"/>
      <c r="H191" s="212" t="s">
        <v>317</v>
      </c>
      <c r="I191" s="301">
        <f>I184+I177+I178+I185+I186+I179+I180+I172+I171+I170+I163</f>
        <v>2653613.11</v>
      </c>
      <c r="J191" s="301">
        <f>J184+J177+J178+J185+J186+J179+J180+J172+J171+J170+J163</f>
        <v>931.670000000001</v>
      </c>
      <c r="K191" s="301">
        <f>K184+K177+K178+K185+K186+K179+K180+K172+K171+K170+K163</f>
        <v>2654544.78</v>
      </c>
      <c r="L191" s="301">
        <f t="shared" ref="I191:W191" si="65">L184+L177+L178+L185+L186+L179</f>
        <v>0</v>
      </c>
      <c r="M191" s="301">
        <f t="shared" si="65"/>
        <v>0</v>
      </c>
      <c r="N191" s="301">
        <f t="shared" si="65"/>
        <v>0</v>
      </c>
      <c r="O191" s="301">
        <f t="shared" si="65"/>
        <v>0</v>
      </c>
      <c r="P191" s="301">
        <f t="shared" si="65"/>
        <v>0</v>
      </c>
      <c r="Q191" s="301">
        <f t="shared" si="65"/>
        <v>0</v>
      </c>
      <c r="R191" s="301">
        <f t="shared" si="65"/>
        <v>0</v>
      </c>
      <c r="S191" s="301">
        <f t="shared" si="65"/>
        <v>47202.37</v>
      </c>
      <c r="T191" s="301">
        <f t="shared" si="65"/>
        <v>0</v>
      </c>
      <c r="U191" s="301">
        <f t="shared" si="65"/>
        <v>47202.37</v>
      </c>
      <c r="V191" s="301">
        <f t="shared" si="65"/>
        <v>0</v>
      </c>
      <c r="W191" s="301">
        <f>W163+W170+W171+W172</f>
        <v>2605542.41</v>
      </c>
      <c r="X191" s="308"/>
    </row>
    <row r="192" s="21" customFormat="1" ht="36" customHeight="1" spans="1:24">
      <c r="A192" s="277"/>
      <c r="B192" s="279"/>
      <c r="C192" s="280"/>
      <c r="D192" s="280"/>
      <c r="E192" s="281"/>
      <c r="F192" s="281"/>
      <c r="G192" s="248"/>
      <c r="H192" s="282"/>
      <c r="I192" s="301"/>
      <c r="J192" s="301"/>
      <c r="K192" s="301"/>
      <c r="L192" s="301"/>
      <c r="M192" s="301"/>
      <c r="N192" s="301"/>
      <c r="O192" s="301"/>
      <c r="P192" s="301"/>
      <c r="Q192" s="301"/>
      <c r="R192" s="301"/>
      <c r="S192" s="301"/>
      <c r="T192" s="301"/>
      <c r="U192" s="301"/>
      <c r="V192" s="301"/>
      <c r="W192" s="301"/>
      <c r="X192" s="308"/>
    </row>
    <row r="193" s="21" customFormat="1" ht="36" customHeight="1" spans="1:24">
      <c r="A193" s="277"/>
      <c r="B193" s="279"/>
      <c r="C193" s="280"/>
      <c r="D193" s="280"/>
      <c r="E193" s="281"/>
      <c r="F193" s="281"/>
      <c r="G193" s="248"/>
      <c r="H193" s="282"/>
      <c r="I193" s="301">
        <f>I191+I190</f>
        <v>17703483.0590566</v>
      </c>
      <c r="J193" s="301">
        <f>J191+J190</f>
        <v>1763848.9409434</v>
      </c>
      <c r="K193" s="301">
        <f t="shared" ref="I193:K193" si="66">K191+K190</f>
        <v>19467332</v>
      </c>
      <c r="L193" s="301"/>
      <c r="M193" s="301"/>
      <c r="N193" s="301"/>
      <c r="O193" s="301"/>
      <c r="P193" s="301"/>
      <c r="Q193" s="301"/>
      <c r="R193" s="301"/>
      <c r="S193" s="301">
        <f>S191+S190</f>
        <v>16758724.94</v>
      </c>
      <c r="T193" s="301"/>
      <c r="U193" s="301">
        <f>U191+U190</f>
        <v>16209397.59</v>
      </c>
      <c r="V193" s="301">
        <f>V191+V190</f>
        <v>0</v>
      </c>
      <c r="W193" s="301">
        <f>W191+W190</f>
        <v>2804429.22</v>
      </c>
      <c r="X193" s="308"/>
    </row>
    <row r="194" s="1" customFormat="1" ht="36" customHeight="1" spans="1:24">
      <c r="A194" s="283"/>
      <c r="B194" s="216" t="s">
        <v>256</v>
      </c>
      <c r="C194" s="217"/>
      <c r="D194" s="217"/>
      <c r="E194" s="253"/>
      <c r="F194" s="253"/>
      <c r="G194" s="217"/>
      <c r="H194" s="218"/>
      <c r="I194" s="94"/>
      <c r="J194" s="94"/>
      <c r="K194" s="94"/>
      <c r="L194" s="94"/>
      <c r="M194" s="94"/>
      <c r="N194" s="94"/>
      <c r="O194" s="94"/>
      <c r="P194" s="94"/>
      <c r="Q194" s="94"/>
      <c r="R194" s="94"/>
      <c r="S194" s="94">
        <f t="shared" ref="S194:S201" si="67">K194-L194-M194-N194-O194+R194</f>
        <v>0</v>
      </c>
      <c r="T194" s="94"/>
      <c r="U194" s="94"/>
      <c r="V194" s="94"/>
      <c r="W194" s="94"/>
      <c r="X194" s="145"/>
    </row>
    <row r="195" s="22" customFormat="1" ht="42" customHeight="1" spans="1:235">
      <c r="A195" s="156">
        <v>29</v>
      </c>
      <c r="B195" s="157" t="s">
        <v>257</v>
      </c>
      <c r="C195" s="158"/>
      <c r="D195" s="157" t="s">
        <v>98</v>
      </c>
      <c r="E195" s="145">
        <v>58000</v>
      </c>
      <c r="F195" s="145"/>
      <c r="G195" s="157" t="s">
        <v>258</v>
      </c>
      <c r="H195" s="157" t="s">
        <v>259</v>
      </c>
      <c r="I195" s="94">
        <v>54716.98</v>
      </c>
      <c r="J195" s="94">
        <v>3283.02</v>
      </c>
      <c r="K195" s="94">
        <f t="shared" ref="K195:K198" si="68">J195+I195</f>
        <v>58000</v>
      </c>
      <c r="L195" s="237"/>
      <c r="M195" s="237"/>
      <c r="N195" s="237"/>
      <c r="O195" s="237"/>
      <c r="P195" s="237"/>
      <c r="Q195" s="237"/>
      <c r="R195" s="237"/>
      <c r="S195" s="94">
        <f t="shared" si="67"/>
        <v>58000</v>
      </c>
      <c r="T195" s="94"/>
      <c r="U195" s="237">
        <v>58000</v>
      </c>
      <c r="V195" s="237"/>
      <c r="W195" s="237">
        <f t="shared" ref="W195:W202" si="69">S195+T195-U195-V195</f>
        <v>0</v>
      </c>
      <c r="X195" s="158"/>
      <c r="Y195" s="311"/>
      <c r="Z195" s="311"/>
      <c r="AA195" s="311"/>
      <c r="AB195" s="311"/>
      <c r="AC195" s="311"/>
      <c r="AD195" s="311"/>
      <c r="AE195" s="311"/>
      <c r="AF195" s="311"/>
      <c r="AG195" s="311"/>
      <c r="AH195" s="311"/>
      <c r="AI195" s="311"/>
      <c r="AJ195" s="311"/>
      <c r="AK195" s="311"/>
      <c r="AL195" s="311"/>
      <c r="AM195" s="311"/>
      <c r="AN195" s="311"/>
      <c r="AO195" s="311"/>
      <c r="AP195" s="311"/>
      <c r="AQ195" s="311"/>
      <c r="AR195" s="311"/>
      <c r="AS195" s="311"/>
      <c r="AT195" s="311"/>
      <c r="AU195" s="311"/>
      <c r="AV195" s="311"/>
      <c r="AW195" s="311"/>
      <c r="AX195" s="311"/>
      <c r="AY195" s="311"/>
      <c r="AZ195" s="311"/>
      <c r="BA195" s="311"/>
      <c r="BB195" s="311"/>
      <c r="BC195" s="311"/>
      <c r="BD195" s="311"/>
      <c r="BE195" s="311"/>
      <c r="BF195" s="311"/>
      <c r="BG195" s="311"/>
      <c r="BH195" s="311"/>
      <c r="BI195" s="311"/>
      <c r="BJ195" s="311"/>
      <c r="BK195" s="311"/>
      <c r="BL195" s="311"/>
      <c r="BM195" s="311"/>
      <c r="BN195" s="311"/>
      <c r="BO195" s="311"/>
      <c r="BP195" s="311"/>
      <c r="BQ195" s="311"/>
      <c r="BR195" s="311"/>
      <c r="BS195" s="311"/>
      <c r="BT195" s="311"/>
      <c r="BU195" s="311"/>
      <c r="BV195" s="311"/>
      <c r="BW195" s="311"/>
      <c r="BX195" s="311"/>
      <c r="BY195" s="311"/>
      <c r="BZ195" s="311"/>
      <c r="CA195" s="311"/>
      <c r="CB195" s="311"/>
      <c r="CC195" s="311"/>
      <c r="CD195" s="311"/>
      <c r="CE195" s="311"/>
      <c r="CF195" s="311"/>
      <c r="CG195" s="311"/>
      <c r="CH195" s="311"/>
      <c r="CI195" s="311"/>
      <c r="CJ195" s="311"/>
      <c r="CK195" s="311"/>
      <c r="CL195" s="311"/>
      <c r="CM195" s="311"/>
      <c r="CN195" s="311"/>
      <c r="CO195" s="311"/>
      <c r="CP195" s="311"/>
      <c r="CQ195" s="311"/>
      <c r="CR195" s="311"/>
      <c r="CS195" s="311"/>
      <c r="CT195" s="311"/>
      <c r="CU195" s="311"/>
      <c r="CV195" s="311"/>
      <c r="CW195" s="311"/>
      <c r="CX195" s="311"/>
      <c r="CY195" s="311"/>
      <c r="CZ195" s="311"/>
      <c r="DA195" s="311"/>
      <c r="DB195" s="311"/>
      <c r="DC195" s="311"/>
      <c r="DD195" s="311"/>
      <c r="DE195" s="311"/>
      <c r="DF195" s="311"/>
      <c r="DG195" s="311"/>
      <c r="DH195" s="311"/>
      <c r="DI195" s="311"/>
      <c r="DJ195" s="311"/>
      <c r="DK195" s="311"/>
      <c r="DL195" s="311"/>
      <c r="DM195" s="311"/>
      <c r="DN195" s="311"/>
      <c r="DO195" s="311"/>
      <c r="DP195" s="311"/>
      <c r="DQ195" s="311"/>
      <c r="DR195" s="311"/>
      <c r="DS195" s="311"/>
      <c r="DT195" s="311"/>
      <c r="DU195" s="311"/>
      <c r="DV195" s="311"/>
      <c r="DW195" s="311"/>
      <c r="DX195" s="311"/>
      <c r="DY195" s="311"/>
      <c r="DZ195" s="311"/>
      <c r="EA195" s="311"/>
      <c r="EB195" s="311"/>
      <c r="EC195" s="311"/>
      <c r="ED195" s="311"/>
      <c r="EE195" s="311"/>
      <c r="EF195" s="311"/>
      <c r="EG195" s="311"/>
      <c r="EH195" s="311"/>
      <c r="EI195" s="311"/>
      <c r="EJ195" s="311"/>
      <c r="EK195" s="311"/>
      <c r="EL195" s="311"/>
      <c r="EM195" s="311"/>
      <c r="EN195" s="311"/>
      <c r="EO195" s="311"/>
      <c r="EP195" s="311"/>
      <c r="EQ195" s="311"/>
      <c r="ER195" s="311"/>
      <c r="ES195" s="311"/>
      <c r="ET195" s="311"/>
      <c r="EU195" s="311"/>
      <c r="EV195" s="311"/>
      <c r="EW195" s="311"/>
      <c r="EX195" s="311"/>
      <c r="EY195" s="311"/>
      <c r="EZ195" s="311"/>
      <c r="FA195" s="311"/>
      <c r="FB195" s="311"/>
      <c r="FC195" s="311"/>
      <c r="FD195" s="311"/>
      <c r="FE195" s="311"/>
      <c r="FF195" s="311"/>
      <c r="FG195" s="311"/>
      <c r="FH195" s="311"/>
      <c r="FI195" s="311"/>
      <c r="FJ195" s="311"/>
      <c r="FK195" s="311"/>
      <c r="FL195" s="311"/>
      <c r="FM195" s="311"/>
      <c r="FN195" s="311"/>
      <c r="FO195" s="311"/>
      <c r="FP195" s="311"/>
      <c r="FQ195" s="311"/>
      <c r="FR195" s="311"/>
      <c r="FS195" s="311"/>
      <c r="FT195" s="311"/>
      <c r="FU195" s="311"/>
      <c r="FV195" s="311"/>
      <c r="FW195" s="311"/>
      <c r="FX195" s="311"/>
      <c r="FY195" s="311"/>
      <c r="FZ195" s="311"/>
      <c r="GA195" s="311"/>
      <c r="GB195" s="311"/>
      <c r="GC195" s="311"/>
      <c r="GD195" s="311"/>
      <c r="GE195" s="311"/>
      <c r="GF195" s="311"/>
      <c r="GG195" s="311"/>
      <c r="GH195" s="311"/>
      <c r="GI195" s="311"/>
      <c r="GJ195" s="311"/>
      <c r="GK195" s="311"/>
      <c r="GL195" s="311"/>
      <c r="GM195" s="311"/>
      <c r="GN195" s="311"/>
      <c r="GO195" s="311"/>
      <c r="GP195" s="311"/>
      <c r="GQ195" s="311"/>
      <c r="GR195" s="311"/>
      <c r="GS195" s="311"/>
      <c r="GT195" s="311"/>
      <c r="GU195" s="311"/>
      <c r="GV195" s="311"/>
      <c r="GW195" s="311"/>
      <c r="GX195" s="311"/>
      <c r="GY195" s="311"/>
      <c r="GZ195" s="311"/>
      <c r="HA195" s="311"/>
      <c r="HB195" s="311"/>
      <c r="HC195" s="311"/>
      <c r="HD195" s="311"/>
      <c r="HE195" s="311"/>
      <c r="HF195" s="311"/>
      <c r="HG195" s="311"/>
      <c r="HH195" s="311"/>
      <c r="HI195" s="311"/>
      <c r="HJ195" s="311"/>
      <c r="HK195" s="311"/>
      <c r="HL195" s="311"/>
      <c r="HM195" s="311"/>
      <c r="HN195" s="311"/>
      <c r="HO195" s="311"/>
      <c r="HP195" s="311"/>
      <c r="HQ195" s="311"/>
      <c r="HR195" s="311"/>
      <c r="HS195" s="311"/>
      <c r="HT195" s="311"/>
      <c r="HU195" s="311"/>
      <c r="HV195" s="311"/>
      <c r="HW195" s="311"/>
      <c r="HX195" s="311"/>
      <c r="HY195" s="311"/>
      <c r="HZ195" s="311"/>
      <c r="IA195" s="311"/>
    </row>
    <row r="196" s="22" customFormat="1" ht="38" customHeight="1" spans="1:235">
      <c r="A196" s="156">
        <v>30</v>
      </c>
      <c r="B196" s="157" t="s">
        <v>260</v>
      </c>
      <c r="C196" s="158"/>
      <c r="D196" s="157" t="s">
        <v>261</v>
      </c>
      <c r="E196" s="256">
        <v>300000</v>
      </c>
      <c r="F196" s="256"/>
      <c r="G196" s="284" t="s">
        <v>262</v>
      </c>
      <c r="H196" s="284" t="s">
        <v>263</v>
      </c>
      <c r="I196" s="302">
        <v>283018.87</v>
      </c>
      <c r="J196" s="302">
        <v>16981.13</v>
      </c>
      <c r="K196" s="94">
        <f t="shared" si="68"/>
        <v>300000</v>
      </c>
      <c r="L196" s="237"/>
      <c r="M196" s="237"/>
      <c r="N196" s="237"/>
      <c r="O196" s="237"/>
      <c r="P196" s="237"/>
      <c r="Q196" s="237"/>
      <c r="R196" s="310"/>
      <c r="S196" s="94">
        <f t="shared" si="67"/>
        <v>300000</v>
      </c>
      <c r="T196" s="94"/>
      <c r="U196" s="310">
        <v>300000</v>
      </c>
      <c r="V196" s="310"/>
      <c r="W196" s="237">
        <f t="shared" si="69"/>
        <v>0</v>
      </c>
      <c r="X196" s="158"/>
      <c r="Y196" s="313"/>
      <c r="Z196" s="313"/>
      <c r="AA196" s="313"/>
      <c r="AB196" s="313"/>
      <c r="AC196" s="313"/>
      <c r="AD196" s="313"/>
      <c r="AE196" s="313"/>
      <c r="AF196" s="313"/>
      <c r="AG196" s="313"/>
      <c r="AH196" s="313"/>
      <c r="AI196" s="313"/>
      <c r="AJ196" s="313"/>
      <c r="AK196" s="313"/>
      <c r="AL196" s="313"/>
      <c r="AM196" s="313"/>
      <c r="AN196" s="313"/>
      <c r="AO196" s="313"/>
      <c r="AP196" s="313"/>
      <c r="AQ196" s="313"/>
      <c r="AR196" s="313"/>
      <c r="AS196" s="313"/>
      <c r="AT196" s="313"/>
      <c r="AU196" s="313"/>
      <c r="AV196" s="313"/>
      <c r="AW196" s="313"/>
      <c r="AX196" s="313"/>
      <c r="AY196" s="313"/>
      <c r="AZ196" s="313"/>
      <c r="BA196" s="313"/>
      <c r="BB196" s="313"/>
      <c r="BC196" s="313"/>
      <c r="BD196" s="313"/>
      <c r="BE196" s="313"/>
      <c r="BF196" s="313"/>
      <c r="BG196" s="313"/>
      <c r="BH196" s="313"/>
      <c r="BI196" s="313"/>
      <c r="BJ196" s="313"/>
      <c r="BK196" s="313"/>
      <c r="BL196" s="313"/>
      <c r="BM196" s="313"/>
      <c r="BN196" s="313"/>
      <c r="BO196" s="313"/>
      <c r="BP196" s="313"/>
      <c r="BQ196" s="313"/>
      <c r="BR196" s="313"/>
      <c r="BS196" s="313"/>
      <c r="BT196" s="313"/>
      <c r="BU196" s="313"/>
      <c r="BV196" s="313"/>
      <c r="BW196" s="313"/>
      <c r="BX196" s="313"/>
      <c r="BY196" s="313"/>
      <c r="BZ196" s="313"/>
      <c r="CA196" s="313"/>
      <c r="CB196" s="313"/>
      <c r="CC196" s="313"/>
      <c r="CD196" s="313"/>
      <c r="CE196" s="313"/>
      <c r="CF196" s="313"/>
      <c r="CG196" s="313"/>
      <c r="CH196" s="313"/>
      <c r="CI196" s="313"/>
      <c r="CJ196" s="313"/>
      <c r="CK196" s="313"/>
      <c r="CL196" s="313"/>
      <c r="CM196" s="313"/>
      <c r="CN196" s="313"/>
      <c r="CO196" s="313"/>
      <c r="CP196" s="313"/>
      <c r="CQ196" s="313"/>
      <c r="CR196" s="313"/>
      <c r="CS196" s="313"/>
      <c r="CT196" s="313"/>
      <c r="CU196" s="313"/>
      <c r="CV196" s="313"/>
      <c r="CW196" s="313"/>
      <c r="CX196" s="313"/>
      <c r="CY196" s="313"/>
      <c r="CZ196" s="313"/>
      <c r="DA196" s="313"/>
      <c r="DB196" s="313"/>
      <c r="DC196" s="313"/>
      <c r="DD196" s="313"/>
      <c r="DE196" s="313"/>
      <c r="DF196" s="313"/>
      <c r="DG196" s="313"/>
      <c r="DH196" s="313"/>
      <c r="DI196" s="313"/>
      <c r="DJ196" s="313"/>
      <c r="DK196" s="313"/>
      <c r="DL196" s="313"/>
      <c r="DM196" s="313"/>
      <c r="DN196" s="313"/>
      <c r="DO196" s="313"/>
      <c r="DP196" s="313"/>
      <c r="DQ196" s="313"/>
      <c r="DR196" s="313"/>
      <c r="DS196" s="313"/>
      <c r="DT196" s="313"/>
      <c r="DU196" s="313"/>
      <c r="DV196" s="313"/>
      <c r="DW196" s="313"/>
      <c r="DX196" s="313"/>
      <c r="DY196" s="313"/>
      <c r="DZ196" s="313"/>
      <c r="EA196" s="313"/>
      <c r="EB196" s="313"/>
      <c r="EC196" s="313"/>
      <c r="ED196" s="313"/>
      <c r="EE196" s="313"/>
      <c r="EF196" s="313"/>
      <c r="EG196" s="313"/>
      <c r="EH196" s="313"/>
      <c r="EI196" s="313"/>
      <c r="EJ196" s="313"/>
      <c r="EK196" s="313"/>
      <c r="EL196" s="313"/>
      <c r="EM196" s="313"/>
      <c r="EN196" s="313"/>
      <c r="EO196" s="313"/>
      <c r="EP196" s="313"/>
      <c r="EQ196" s="313"/>
      <c r="ER196" s="313"/>
      <c r="ES196" s="313"/>
      <c r="ET196" s="313"/>
      <c r="EU196" s="313"/>
      <c r="EV196" s="313"/>
      <c r="EW196" s="313"/>
      <c r="EX196" s="313"/>
      <c r="EY196" s="313"/>
      <c r="EZ196" s="313"/>
      <c r="FA196" s="313"/>
      <c r="FB196" s="313"/>
      <c r="FC196" s="313"/>
      <c r="FD196" s="313"/>
      <c r="FE196" s="313"/>
      <c r="FF196" s="313"/>
      <c r="FG196" s="313"/>
      <c r="FH196" s="313"/>
      <c r="FI196" s="313"/>
      <c r="FJ196" s="313"/>
      <c r="FK196" s="313"/>
      <c r="FL196" s="313"/>
      <c r="FM196" s="313"/>
      <c r="FN196" s="313"/>
      <c r="FO196" s="313"/>
      <c r="FP196" s="313"/>
      <c r="FQ196" s="313"/>
      <c r="FR196" s="313"/>
      <c r="FS196" s="313"/>
      <c r="FT196" s="313"/>
      <c r="FU196" s="313"/>
      <c r="FV196" s="313"/>
      <c r="FW196" s="313"/>
      <c r="FX196" s="313"/>
      <c r="FY196" s="313"/>
      <c r="FZ196" s="313"/>
      <c r="GA196" s="313"/>
      <c r="GB196" s="313"/>
      <c r="GC196" s="313"/>
      <c r="GD196" s="313"/>
      <c r="GE196" s="313"/>
      <c r="GF196" s="313"/>
      <c r="GG196" s="313"/>
      <c r="GH196" s="313"/>
      <c r="GI196" s="313"/>
      <c r="GJ196" s="313"/>
      <c r="GK196" s="313"/>
      <c r="GL196" s="313"/>
      <c r="GM196" s="313"/>
      <c r="GN196" s="313"/>
      <c r="GO196" s="313"/>
      <c r="GP196" s="313"/>
      <c r="GQ196" s="313"/>
      <c r="GR196" s="313"/>
      <c r="GS196" s="313"/>
      <c r="GT196" s="313"/>
      <c r="GU196" s="313"/>
      <c r="GV196" s="313"/>
      <c r="GW196" s="313"/>
      <c r="GX196" s="313"/>
      <c r="GY196" s="313"/>
      <c r="GZ196" s="313"/>
      <c r="HA196" s="313"/>
      <c r="HB196" s="313"/>
      <c r="HC196" s="313"/>
      <c r="HD196" s="313"/>
      <c r="HE196" s="313"/>
      <c r="HF196" s="313"/>
      <c r="HG196" s="313"/>
      <c r="HH196" s="313"/>
      <c r="HI196" s="313"/>
      <c r="HJ196" s="313"/>
      <c r="HK196" s="313"/>
      <c r="HL196" s="313"/>
      <c r="HM196" s="313"/>
      <c r="HN196" s="313"/>
      <c r="HO196" s="313"/>
      <c r="HP196" s="313"/>
      <c r="HQ196" s="313"/>
      <c r="HR196" s="313"/>
      <c r="HS196" s="313"/>
      <c r="HT196" s="313"/>
      <c r="HU196" s="313"/>
      <c r="HV196" s="313"/>
      <c r="HW196" s="313"/>
      <c r="HX196" s="313"/>
      <c r="HY196" s="313"/>
      <c r="HZ196" s="313"/>
      <c r="IA196" s="313"/>
    </row>
    <row r="197" s="22" customFormat="1" ht="53" customHeight="1" spans="1:24">
      <c r="A197" s="156">
        <v>31</v>
      </c>
      <c r="B197" s="157" t="s">
        <v>264</v>
      </c>
      <c r="C197" s="158"/>
      <c r="D197" s="157" t="s">
        <v>265</v>
      </c>
      <c r="E197" s="145">
        <v>140000</v>
      </c>
      <c r="F197" s="145"/>
      <c r="G197" s="157" t="s">
        <v>266</v>
      </c>
      <c r="H197" s="157" t="s">
        <v>267</v>
      </c>
      <c r="I197" s="94">
        <v>132075.47</v>
      </c>
      <c r="J197" s="94">
        <v>7924.53</v>
      </c>
      <c r="K197" s="94">
        <f t="shared" si="68"/>
        <v>140000</v>
      </c>
      <c r="L197" s="237"/>
      <c r="M197" s="237"/>
      <c r="N197" s="237"/>
      <c r="O197" s="237"/>
      <c r="P197" s="237"/>
      <c r="Q197" s="237"/>
      <c r="R197" s="237"/>
      <c r="S197" s="94">
        <f t="shared" si="67"/>
        <v>140000</v>
      </c>
      <c r="T197" s="94"/>
      <c r="U197" s="237">
        <v>140000</v>
      </c>
      <c r="V197" s="237"/>
      <c r="W197" s="237">
        <f t="shared" si="69"/>
        <v>0</v>
      </c>
      <c r="X197" s="158"/>
    </row>
    <row r="198" s="22" customFormat="1" ht="45" customHeight="1" spans="1:24">
      <c r="A198" s="156">
        <v>32</v>
      </c>
      <c r="B198" s="157" t="s">
        <v>268</v>
      </c>
      <c r="C198" s="158"/>
      <c r="D198" s="157" t="s">
        <v>178</v>
      </c>
      <c r="E198" s="145">
        <v>48000</v>
      </c>
      <c r="F198" s="145"/>
      <c r="G198" s="157" t="s">
        <v>269</v>
      </c>
      <c r="H198" s="157" t="s">
        <v>270</v>
      </c>
      <c r="I198" s="94">
        <v>45283.02</v>
      </c>
      <c r="J198" s="94">
        <v>2716.98</v>
      </c>
      <c r="K198" s="94">
        <f t="shared" si="68"/>
        <v>48000</v>
      </c>
      <c r="L198" s="237"/>
      <c r="M198" s="237"/>
      <c r="N198" s="237"/>
      <c r="O198" s="237"/>
      <c r="P198" s="237"/>
      <c r="Q198" s="237"/>
      <c r="R198" s="237"/>
      <c r="S198" s="94">
        <f t="shared" si="67"/>
        <v>48000</v>
      </c>
      <c r="T198" s="94"/>
      <c r="U198" s="237">
        <v>48000</v>
      </c>
      <c r="V198" s="237"/>
      <c r="W198" s="237">
        <f t="shared" si="69"/>
        <v>0</v>
      </c>
      <c r="X198" s="158"/>
    </row>
    <row r="199" s="22" customFormat="1" ht="45" customHeight="1" spans="1:24">
      <c r="A199" s="156">
        <v>33</v>
      </c>
      <c r="B199" s="157" t="s">
        <v>271</v>
      </c>
      <c r="C199" s="158"/>
      <c r="D199" s="157" t="s">
        <v>272</v>
      </c>
      <c r="E199" s="145">
        <v>23800</v>
      </c>
      <c r="F199" s="145"/>
      <c r="G199" s="285" t="s">
        <v>365</v>
      </c>
      <c r="H199" s="285" t="s">
        <v>366</v>
      </c>
      <c r="I199" s="101">
        <v>22452.83</v>
      </c>
      <c r="J199" s="101">
        <v>1347.17</v>
      </c>
      <c r="K199" s="101">
        <f>I199+J199</f>
        <v>23800</v>
      </c>
      <c r="L199" s="101"/>
      <c r="M199" s="101"/>
      <c r="N199" s="101"/>
      <c r="O199" s="101"/>
      <c r="P199" s="101"/>
      <c r="Q199" s="101"/>
      <c r="R199" s="101"/>
      <c r="S199" s="101">
        <f t="shared" si="67"/>
        <v>23800</v>
      </c>
      <c r="T199" s="101"/>
      <c r="U199" s="101">
        <f>S199</f>
        <v>23800</v>
      </c>
      <c r="V199" s="94"/>
      <c r="W199" s="237">
        <f t="shared" si="69"/>
        <v>0</v>
      </c>
      <c r="X199" s="158"/>
    </row>
    <row r="200" s="22" customFormat="1" ht="45" customHeight="1" spans="1:24">
      <c r="A200" s="156">
        <v>34</v>
      </c>
      <c r="B200" s="157" t="s">
        <v>273</v>
      </c>
      <c r="C200" s="158" t="s">
        <v>274</v>
      </c>
      <c r="D200" s="157" t="s">
        <v>275</v>
      </c>
      <c r="E200" s="145">
        <v>29800</v>
      </c>
      <c r="F200" s="145"/>
      <c r="G200" s="66" t="s">
        <v>276</v>
      </c>
      <c r="H200" s="66" t="s">
        <v>277</v>
      </c>
      <c r="I200" s="94">
        <v>28113.21</v>
      </c>
      <c r="J200" s="94">
        <v>1686.79</v>
      </c>
      <c r="K200" s="94">
        <v>29800</v>
      </c>
      <c r="L200" s="94">
        <v>0</v>
      </c>
      <c r="M200" s="94">
        <v>0</v>
      </c>
      <c r="N200" s="94">
        <v>0</v>
      </c>
      <c r="O200" s="94">
        <v>0</v>
      </c>
      <c r="P200" s="94"/>
      <c r="Q200" s="94"/>
      <c r="R200" s="94">
        <v>0</v>
      </c>
      <c r="S200" s="94">
        <f t="shared" si="67"/>
        <v>29800</v>
      </c>
      <c r="T200" s="94"/>
      <c r="U200" s="94">
        <v>29800</v>
      </c>
      <c r="V200" s="94"/>
      <c r="W200" s="237">
        <f t="shared" si="69"/>
        <v>0</v>
      </c>
      <c r="X200" s="158"/>
    </row>
    <row r="201" s="23" customFormat="1" ht="47" customHeight="1" spans="1:24">
      <c r="A201" s="289"/>
      <c r="B201" s="386" t="s">
        <v>394</v>
      </c>
      <c r="C201" s="387"/>
      <c r="D201" s="292" t="s">
        <v>56</v>
      </c>
      <c r="E201" s="174"/>
      <c r="F201" s="174"/>
      <c r="G201" s="285" t="s">
        <v>395</v>
      </c>
      <c r="H201" s="285" t="s">
        <v>396</v>
      </c>
      <c r="I201" s="101">
        <v>235849.06</v>
      </c>
      <c r="J201" s="101">
        <f>250000-I201</f>
        <v>14150.94</v>
      </c>
      <c r="K201" s="101">
        <f>I201+J201</f>
        <v>250000</v>
      </c>
      <c r="L201" s="101"/>
      <c r="M201" s="101"/>
      <c r="N201" s="101"/>
      <c r="O201" s="101"/>
      <c r="P201" s="101"/>
      <c r="Q201" s="101"/>
      <c r="R201" s="101"/>
      <c r="S201" s="101">
        <f>K201</f>
        <v>250000</v>
      </c>
      <c r="T201" s="101"/>
      <c r="U201" s="94"/>
      <c r="V201" s="94"/>
      <c r="W201" s="94">
        <f t="shared" ref="W201:W207" si="70">S201+T201-U201-V201</f>
        <v>250000</v>
      </c>
      <c r="X201" s="158"/>
    </row>
    <row r="202" s="23" customFormat="1" ht="45" customHeight="1" spans="1:24">
      <c r="A202" s="289">
        <v>35</v>
      </c>
      <c r="B202" s="263" t="s">
        <v>249</v>
      </c>
      <c r="C202" s="264"/>
      <c r="D202" s="265"/>
      <c r="E202" s="314"/>
      <c r="F202" s="145" t="s">
        <v>295</v>
      </c>
      <c r="G202" s="145" t="s">
        <v>207</v>
      </c>
      <c r="H202" s="66"/>
      <c r="I202" s="94">
        <v>5480</v>
      </c>
      <c r="J202" s="94">
        <v>0</v>
      </c>
      <c r="K202" s="94">
        <f>J202+I202</f>
        <v>5480</v>
      </c>
      <c r="L202" s="94"/>
      <c r="M202" s="94"/>
      <c r="N202" s="94"/>
      <c r="O202" s="94"/>
      <c r="P202" s="94"/>
      <c r="Q202" s="94"/>
      <c r="R202" s="94"/>
      <c r="S202" s="94">
        <f>K202-L202-M202-N202-O202+R202</f>
        <v>5480</v>
      </c>
      <c r="T202" s="94"/>
      <c r="U202" s="94">
        <v>5480</v>
      </c>
      <c r="V202" s="94"/>
      <c r="W202" s="237">
        <f t="shared" si="70"/>
        <v>0</v>
      </c>
      <c r="X202" s="158"/>
    </row>
    <row r="203" s="23" customFormat="1" ht="45" customHeight="1" spans="1:24">
      <c r="A203" s="315"/>
      <c r="B203" s="266"/>
      <c r="C203" s="267"/>
      <c r="D203" s="268"/>
      <c r="E203" s="314"/>
      <c r="F203" s="103" t="s">
        <v>296</v>
      </c>
      <c r="G203" s="174" t="s">
        <v>321</v>
      </c>
      <c r="H203" s="285" t="s">
        <v>322</v>
      </c>
      <c r="I203" s="101">
        <v>980</v>
      </c>
      <c r="J203" s="101"/>
      <c r="K203" s="101">
        <f t="shared" ref="K202:K207" si="71">I203+J203</f>
        <v>980</v>
      </c>
      <c r="L203" s="101"/>
      <c r="M203" s="101"/>
      <c r="N203" s="101"/>
      <c r="O203" s="101"/>
      <c r="P203" s="101"/>
      <c r="Q203" s="101"/>
      <c r="R203" s="101"/>
      <c r="S203" s="101">
        <v>980</v>
      </c>
      <c r="T203" s="101"/>
      <c r="U203" s="101">
        <v>980</v>
      </c>
      <c r="V203" s="94"/>
      <c r="W203" s="237">
        <f t="shared" si="70"/>
        <v>0</v>
      </c>
      <c r="X203" s="158"/>
    </row>
    <row r="204" s="23" customFormat="1" ht="45" customHeight="1" spans="1:24">
      <c r="A204" s="315"/>
      <c r="B204" s="266"/>
      <c r="C204" s="267"/>
      <c r="D204" s="268"/>
      <c r="E204" s="314"/>
      <c r="F204" s="105"/>
      <c r="G204" s="174" t="s">
        <v>337</v>
      </c>
      <c r="H204" s="285"/>
      <c r="I204" s="101">
        <v>879</v>
      </c>
      <c r="J204" s="101"/>
      <c r="K204" s="101">
        <f t="shared" si="71"/>
        <v>879</v>
      </c>
      <c r="L204" s="101"/>
      <c r="M204" s="101"/>
      <c r="N204" s="101"/>
      <c r="O204" s="101"/>
      <c r="P204" s="101"/>
      <c r="Q204" s="101"/>
      <c r="R204" s="101"/>
      <c r="S204" s="101">
        <f t="shared" ref="S204:S207" si="72">K204</f>
        <v>879</v>
      </c>
      <c r="T204" s="101"/>
      <c r="U204" s="101">
        <f t="shared" ref="U202:U207" si="73">S204</f>
        <v>879</v>
      </c>
      <c r="V204" s="94"/>
      <c r="W204" s="237">
        <f t="shared" si="70"/>
        <v>0</v>
      </c>
      <c r="X204" s="158"/>
    </row>
    <row r="205" s="23" customFormat="1" ht="45" customHeight="1" spans="1:24">
      <c r="A205" s="315"/>
      <c r="B205" s="266"/>
      <c r="C205" s="267"/>
      <c r="D205" s="268"/>
      <c r="E205" s="314"/>
      <c r="F205" s="105"/>
      <c r="G205" s="174" t="s">
        <v>338</v>
      </c>
      <c r="H205" s="285"/>
      <c r="I205" s="101">
        <v>4442</v>
      </c>
      <c r="J205" s="101"/>
      <c r="K205" s="101">
        <f t="shared" si="71"/>
        <v>4442</v>
      </c>
      <c r="L205" s="101"/>
      <c r="M205" s="101"/>
      <c r="N205" s="101"/>
      <c r="O205" s="101"/>
      <c r="P205" s="101"/>
      <c r="Q205" s="101"/>
      <c r="R205" s="101"/>
      <c r="S205" s="101">
        <f t="shared" si="72"/>
        <v>4442</v>
      </c>
      <c r="T205" s="101"/>
      <c r="U205" s="101">
        <f t="shared" si="73"/>
        <v>4442</v>
      </c>
      <c r="V205" s="94"/>
      <c r="W205" s="237">
        <f t="shared" si="70"/>
        <v>0</v>
      </c>
      <c r="X205" s="158"/>
    </row>
    <row r="206" s="23" customFormat="1" ht="45" customHeight="1" spans="1:24">
      <c r="A206" s="315"/>
      <c r="B206" s="266"/>
      <c r="C206" s="267"/>
      <c r="D206" s="268"/>
      <c r="E206" s="314"/>
      <c r="F206" s="105"/>
      <c r="G206" s="174" t="s">
        <v>339</v>
      </c>
      <c r="H206" s="285"/>
      <c r="I206" s="101">
        <v>1330</v>
      </c>
      <c r="J206" s="101"/>
      <c r="K206" s="101">
        <f t="shared" si="71"/>
        <v>1330</v>
      </c>
      <c r="L206" s="101"/>
      <c r="M206" s="101"/>
      <c r="N206" s="101"/>
      <c r="O206" s="101"/>
      <c r="P206" s="101"/>
      <c r="Q206" s="101"/>
      <c r="R206" s="101"/>
      <c r="S206" s="101">
        <f t="shared" si="72"/>
        <v>1330</v>
      </c>
      <c r="T206" s="101"/>
      <c r="U206" s="101">
        <f t="shared" si="73"/>
        <v>1330</v>
      </c>
      <c r="V206" s="94"/>
      <c r="W206" s="237">
        <f t="shared" si="70"/>
        <v>0</v>
      </c>
      <c r="X206" s="158"/>
    </row>
    <row r="207" s="23" customFormat="1" ht="45" customHeight="1" spans="1:24">
      <c r="A207" s="315"/>
      <c r="B207" s="271"/>
      <c r="C207" s="272"/>
      <c r="D207" s="273"/>
      <c r="E207" s="314"/>
      <c r="F207" s="106"/>
      <c r="G207" s="174"/>
      <c r="H207" s="285"/>
      <c r="I207" s="101"/>
      <c r="J207" s="101"/>
      <c r="K207" s="101">
        <f t="shared" si="71"/>
        <v>0</v>
      </c>
      <c r="L207" s="101"/>
      <c r="M207" s="101"/>
      <c r="N207" s="101"/>
      <c r="O207" s="101"/>
      <c r="P207" s="101"/>
      <c r="Q207" s="101"/>
      <c r="R207" s="101"/>
      <c r="S207" s="101">
        <f t="shared" si="72"/>
        <v>0</v>
      </c>
      <c r="T207" s="101"/>
      <c r="U207" s="101">
        <f t="shared" si="73"/>
        <v>0</v>
      </c>
      <c r="V207" s="94"/>
      <c r="W207" s="237">
        <f t="shared" si="70"/>
        <v>0</v>
      </c>
      <c r="X207" s="158"/>
    </row>
    <row r="208" s="23" customFormat="1" ht="45" customHeight="1" spans="1:24">
      <c r="A208" s="317"/>
      <c r="B208" s="263" t="s">
        <v>254</v>
      </c>
      <c r="C208" s="264"/>
      <c r="D208" s="265"/>
      <c r="E208" s="145"/>
      <c r="F208" s="145" t="s">
        <v>295</v>
      </c>
      <c r="G208" s="66" t="s">
        <v>278</v>
      </c>
      <c r="H208" s="145"/>
      <c r="I208" s="94">
        <v>13509.5</v>
      </c>
      <c r="J208" s="94">
        <f>55.45+15.05</f>
        <v>70.5</v>
      </c>
      <c r="K208" s="94">
        <f t="shared" ref="K208:K212" si="74">J208+I208</f>
        <v>13580</v>
      </c>
      <c r="L208" s="94"/>
      <c r="M208" s="94"/>
      <c r="N208" s="94"/>
      <c r="O208" s="94"/>
      <c r="P208" s="94"/>
      <c r="Q208" s="94"/>
      <c r="R208" s="94"/>
      <c r="S208" s="94">
        <f>K208-L208-M208-N208-O208+R208</f>
        <v>13580</v>
      </c>
      <c r="T208" s="94"/>
      <c r="U208" s="94">
        <v>13580</v>
      </c>
      <c r="V208" s="94"/>
      <c r="W208" s="237">
        <f t="shared" ref="W208:W215" si="75">S208+T208-U208-V208</f>
        <v>0</v>
      </c>
      <c r="X208" s="158"/>
    </row>
    <row r="209" s="23" customFormat="1" ht="45" customHeight="1" spans="1:24">
      <c r="A209" s="317"/>
      <c r="B209" s="266"/>
      <c r="C209" s="267"/>
      <c r="D209" s="268"/>
      <c r="E209" s="145"/>
      <c r="F209" s="103" t="s">
        <v>296</v>
      </c>
      <c r="G209" s="285"/>
      <c r="H209" s="174"/>
      <c r="I209" s="101"/>
      <c r="J209" s="101"/>
      <c r="K209" s="101"/>
      <c r="L209" s="101"/>
      <c r="M209" s="101"/>
      <c r="N209" s="101"/>
      <c r="O209" s="101"/>
      <c r="P209" s="101"/>
      <c r="Q209" s="101"/>
      <c r="R209" s="101"/>
      <c r="S209" s="101">
        <f t="shared" ref="S209:S215" si="76">K209</f>
        <v>0</v>
      </c>
      <c r="T209" s="101"/>
      <c r="U209" s="101">
        <f t="shared" ref="U209:U215" si="77">S209</f>
        <v>0</v>
      </c>
      <c r="V209" s="94"/>
      <c r="W209" s="237">
        <f t="shared" si="75"/>
        <v>0</v>
      </c>
      <c r="X209" s="158"/>
    </row>
    <row r="210" s="23" customFormat="1" ht="45" customHeight="1" spans="1:24">
      <c r="A210" s="317"/>
      <c r="B210" s="271"/>
      <c r="C210" s="272"/>
      <c r="D210" s="273"/>
      <c r="E210" s="145"/>
      <c r="F210" s="105"/>
      <c r="G210" s="285"/>
      <c r="H210" s="174"/>
      <c r="I210" s="101"/>
      <c r="J210" s="101"/>
      <c r="K210" s="101"/>
      <c r="L210" s="101"/>
      <c r="M210" s="101"/>
      <c r="N210" s="101"/>
      <c r="O210" s="101"/>
      <c r="P210" s="101"/>
      <c r="Q210" s="101"/>
      <c r="R210" s="101"/>
      <c r="S210" s="101">
        <f t="shared" si="76"/>
        <v>0</v>
      </c>
      <c r="T210" s="101"/>
      <c r="U210" s="101">
        <f t="shared" si="77"/>
        <v>0</v>
      </c>
      <c r="V210" s="94"/>
      <c r="W210" s="237">
        <f t="shared" si="75"/>
        <v>0</v>
      </c>
      <c r="X210" s="158"/>
    </row>
    <row r="211" s="23" customFormat="1" ht="45" customHeight="1" spans="1:24">
      <c r="A211" s="317"/>
      <c r="B211" s="318" t="s">
        <v>345</v>
      </c>
      <c r="C211" s="275"/>
      <c r="D211" s="276"/>
      <c r="E211" s="145"/>
      <c r="F211" s="103" t="s">
        <v>296</v>
      </c>
      <c r="G211" s="174" t="s">
        <v>337</v>
      </c>
      <c r="H211" s="285" t="s">
        <v>367</v>
      </c>
      <c r="I211" s="101">
        <v>48316.83</v>
      </c>
      <c r="J211" s="101">
        <v>483.17</v>
      </c>
      <c r="K211" s="101">
        <f t="shared" si="74"/>
        <v>48800</v>
      </c>
      <c r="L211" s="101"/>
      <c r="M211" s="101"/>
      <c r="N211" s="101"/>
      <c r="O211" s="101"/>
      <c r="P211" s="101"/>
      <c r="Q211" s="101"/>
      <c r="R211" s="101"/>
      <c r="S211" s="101">
        <f t="shared" si="76"/>
        <v>48800</v>
      </c>
      <c r="T211" s="101"/>
      <c r="U211" s="101">
        <f t="shared" si="77"/>
        <v>48800</v>
      </c>
      <c r="V211" s="94"/>
      <c r="W211" s="237">
        <f t="shared" si="75"/>
        <v>0</v>
      </c>
      <c r="X211" s="158"/>
    </row>
    <row r="212" s="23" customFormat="1" ht="45" customHeight="1" spans="1:24">
      <c r="A212" s="317"/>
      <c r="B212" s="274"/>
      <c r="C212" s="275"/>
      <c r="D212" s="276"/>
      <c r="E212" s="145"/>
      <c r="F212" s="105"/>
      <c r="G212" s="174" t="s">
        <v>338</v>
      </c>
      <c r="H212" s="285" t="s">
        <v>368</v>
      </c>
      <c r="I212" s="101">
        <v>1166.15</v>
      </c>
      <c r="J212" s="101">
        <f>7.13+3.72</f>
        <v>10.85</v>
      </c>
      <c r="K212" s="101">
        <f t="shared" si="74"/>
        <v>1177</v>
      </c>
      <c r="L212" s="101"/>
      <c r="M212" s="101"/>
      <c r="N212" s="101"/>
      <c r="O212" s="101"/>
      <c r="P212" s="101"/>
      <c r="Q212" s="101"/>
      <c r="R212" s="101"/>
      <c r="S212" s="101">
        <f t="shared" si="76"/>
        <v>1177</v>
      </c>
      <c r="T212" s="101"/>
      <c r="U212" s="101">
        <f t="shared" si="77"/>
        <v>1177</v>
      </c>
      <c r="V212" s="94"/>
      <c r="W212" s="237">
        <f t="shared" si="75"/>
        <v>0</v>
      </c>
      <c r="X212" s="158"/>
    </row>
    <row r="213" s="23" customFormat="1" ht="45" customHeight="1" spans="1:24">
      <c r="A213" s="317"/>
      <c r="B213" s="274"/>
      <c r="C213" s="275"/>
      <c r="D213" s="276"/>
      <c r="E213" s="145"/>
      <c r="F213" s="105"/>
      <c r="G213" s="174" t="s">
        <v>339</v>
      </c>
      <c r="H213" s="285" t="s">
        <v>368</v>
      </c>
      <c r="I213" s="101">
        <v>1523.66</v>
      </c>
      <c r="J213" s="101">
        <f>1453.13-1423.66</f>
        <v>29.47</v>
      </c>
      <c r="K213" s="101">
        <f>I213+J213</f>
        <v>1553.13</v>
      </c>
      <c r="L213" s="101"/>
      <c r="M213" s="101"/>
      <c r="N213" s="101"/>
      <c r="O213" s="101"/>
      <c r="P213" s="101"/>
      <c r="Q213" s="101"/>
      <c r="R213" s="101"/>
      <c r="S213" s="101">
        <f t="shared" si="76"/>
        <v>1553.13</v>
      </c>
      <c r="T213" s="101"/>
      <c r="U213" s="101">
        <f t="shared" si="77"/>
        <v>1553.13</v>
      </c>
      <c r="V213" s="94"/>
      <c r="W213" s="237">
        <f t="shared" si="75"/>
        <v>0</v>
      </c>
      <c r="X213" s="158"/>
    </row>
    <row r="214" s="23" customFormat="1" ht="45" customHeight="1" spans="1:24">
      <c r="A214" s="317"/>
      <c r="B214" s="274"/>
      <c r="C214" s="275"/>
      <c r="D214" s="276"/>
      <c r="E214" s="145"/>
      <c r="F214" s="105"/>
      <c r="G214" s="174"/>
      <c r="H214" s="285"/>
      <c r="I214" s="101"/>
      <c r="J214" s="101"/>
      <c r="K214" s="101"/>
      <c r="L214" s="101"/>
      <c r="M214" s="101"/>
      <c r="N214" s="101"/>
      <c r="O214" s="101"/>
      <c r="P214" s="101"/>
      <c r="Q214" s="101"/>
      <c r="R214" s="101"/>
      <c r="S214" s="101">
        <f t="shared" si="76"/>
        <v>0</v>
      </c>
      <c r="T214" s="101"/>
      <c r="U214" s="101">
        <f t="shared" si="77"/>
        <v>0</v>
      </c>
      <c r="V214" s="94"/>
      <c r="W214" s="237">
        <f t="shared" si="75"/>
        <v>0</v>
      </c>
      <c r="X214" s="158"/>
    </row>
    <row r="215" s="23" customFormat="1" ht="45" customHeight="1" spans="1:24">
      <c r="A215" s="317"/>
      <c r="B215" s="274"/>
      <c r="C215" s="275"/>
      <c r="D215" s="276"/>
      <c r="E215" s="145"/>
      <c r="F215" s="106"/>
      <c r="G215" s="174"/>
      <c r="H215" s="285"/>
      <c r="I215" s="101"/>
      <c r="J215" s="101"/>
      <c r="K215" s="101"/>
      <c r="L215" s="101"/>
      <c r="M215" s="101"/>
      <c r="N215" s="101"/>
      <c r="O215" s="101"/>
      <c r="P215" s="101"/>
      <c r="Q215" s="101"/>
      <c r="R215" s="101"/>
      <c r="S215" s="101">
        <f t="shared" si="76"/>
        <v>0</v>
      </c>
      <c r="T215" s="101"/>
      <c r="U215" s="101">
        <f t="shared" si="77"/>
        <v>0</v>
      </c>
      <c r="V215" s="94"/>
      <c r="W215" s="237">
        <f t="shared" si="75"/>
        <v>0</v>
      </c>
      <c r="X215" s="158"/>
    </row>
    <row r="216" s="20" customFormat="1" ht="36" customHeight="1" spans="1:24">
      <c r="A216" s="277" t="s">
        <v>323</v>
      </c>
      <c r="B216" s="277"/>
      <c r="C216" s="277"/>
      <c r="D216" s="277"/>
      <c r="E216" s="278"/>
      <c r="F216" s="278"/>
      <c r="G216" s="243"/>
      <c r="H216" s="243" t="s">
        <v>316</v>
      </c>
      <c r="I216" s="300">
        <f>SUM(I195:I202,I208)-I199-I201</f>
        <v>562197.05</v>
      </c>
      <c r="J216" s="300">
        <f>SUM(J195:J202,J208)-J199-J201</f>
        <v>32662.95</v>
      </c>
      <c r="K216" s="300">
        <f>SUM(K195:K202,K208)-K199-K201</f>
        <v>594860</v>
      </c>
      <c r="L216" s="300">
        <f t="shared" ref="I216:S216" si="78">SUM(L195:L202,L208)-L199</f>
        <v>0</v>
      </c>
      <c r="M216" s="300">
        <f t="shared" si="78"/>
        <v>0</v>
      </c>
      <c r="N216" s="300">
        <f t="shared" si="78"/>
        <v>0</v>
      </c>
      <c r="O216" s="300">
        <f t="shared" si="78"/>
        <v>0</v>
      </c>
      <c r="P216" s="300">
        <f t="shared" si="78"/>
        <v>0</v>
      </c>
      <c r="Q216" s="300">
        <f t="shared" si="78"/>
        <v>0</v>
      </c>
      <c r="R216" s="300">
        <f t="shared" si="78"/>
        <v>0</v>
      </c>
      <c r="S216" s="300">
        <f t="shared" si="78"/>
        <v>844860</v>
      </c>
      <c r="T216" s="300">
        <f>SUM(T195:T202,T208)</f>
        <v>0</v>
      </c>
      <c r="U216" s="300">
        <f>SUM(U195:U202,U208)</f>
        <v>618660</v>
      </c>
      <c r="V216" s="300">
        <f>SUM(V195:V202,V208)</f>
        <v>0</v>
      </c>
      <c r="W216" s="300">
        <f>SUM(W195:W202,W208)-W201</f>
        <v>0</v>
      </c>
      <c r="X216" s="307"/>
    </row>
    <row r="217" s="20" customFormat="1" ht="36" customHeight="1" spans="1:24">
      <c r="A217" s="277"/>
      <c r="B217" s="277"/>
      <c r="C217" s="277"/>
      <c r="D217" s="277"/>
      <c r="E217" s="278"/>
      <c r="F217" s="278"/>
      <c r="G217" s="212"/>
      <c r="H217" s="212" t="s">
        <v>317</v>
      </c>
      <c r="I217" s="301">
        <f>I203+I204+I211+I205+I212+I199+I213+I206+I201</f>
        <v>316939.53</v>
      </c>
      <c r="J217" s="301">
        <f>J203+J204+J211+J205+J212+J199+J213+J206+J201</f>
        <v>16021.6</v>
      </c>
      <c r="K217" s="301">
        <f>K203+K204+K211+K205+K212+K199+K213+K206+K201</f>
        <v>332961.13</v>
      </c>
      <c r="L217" s="301">
        <f t="shared" ref="I217:U217" si="79">L203+L204+L211+L205+L212+L199</f>
        <v>0</v>
      </c>
      <c r="M217" s="301">
        <f t="shared" si="79"/>
        <v>0</v>
      </c>
      <c r="N217" s="301">
        <f t="shared" si="79"/>
        <v>0</v>
      </c>
      <c r="O217" s="301">
        <f t="shared" si="79"/>
        <v>0</v>
      </c>
      <c r="P217" s="301">
        <f t="shared" si="79"/>
        <v>0</v>
      </c>
      <c r="Q217" s="301">
        <f t="shared" si="79"/>
        <v>0</v>
      </c>
      <c r="R217" s="301">
        <f t="shared" si="79"/>
        <v>0</v>
      </c>
      <c r="S217" s="301">
        <f t="shared" si="79"/>
        <v>80078</v>
      </c>
      <c r="T217" s="301">
        <f t="shared" si="79"/>
        <v>0</v>
      </c>
      <c r="U217" s="301">
        <f t="shared" si="79"/>
        <v>80078</v>
      </c>
      <c r="V217" s="301">
        <f>V203</f>
        <v>0</v>
      </c>
      <c r="W217" s="301">
        <f>W201</f>
        <v>250000</v>
      </c>
      <c r="X217" s="308"/>
    </row>
    <row r="218" s="20" customFormat="1" ht="36" customHeight="1" spans="1:24">
      <c r="A218" s="277"/>
      <c r="B218" s="277"/>
      <c r="C218" s="277"/>
      <c r="D218" s="277"/>
      <c r="E218" s="278"/>
      <c r="F218" s="328"/>
      <c r="G218" s="282"/>
      <c r="H218" s="282"/>
      <c r="I218" s="344"/>
      <c r="J218" s="344"/>
      <c r="K218" s="344"/>
      <c r="L218" s="344"/>
      <c r="M218" s="344"/>
      <c r="N218" s="344"/>
      <c r="O218" s="345"/>
      <c r="P218" s="345"/>
      <c r="Q218" s="344"/>
      <c r="R218" s="344"/>
      <c r="S218" s="344"/>
      <c r="T218" s="344"/>
      <c r="U218" s="344"/>
      <c r="V218" s="344"/>
      <c r="W218" s="344"/>
      <c r="X218" s="358"/>
    </row>
    <row r="219" s="20" customFormat="1" ht="36" customHeight="1" spans="1:24">
      <c r="A219" s="277"/>
      <c r="B219" s="277"/>
      <c r="C219" s="277"/>
      <c r="D219" s="277"/>
      <c r="E219" s="278"/>
      <c r="F219" s="328"/>
      <c r="G219" s="282"/>
      <c r="H219" s="282"/>
      <c r="I219" s="344">
        <f t="shared" ref="I219:L219" si="80">I217+I216</f>
        <v>879136.58</v>
      </c>
      <c r="J219" s="344">
        <f t="shared" si="80"/>
        <v>48684.55</v>
      </c>
      <c r="K219" s="344">
        <f t="shared" si="80"/>
        <v>927821.13</v>
      </c>
      <c r="L219" s="344">
        <f t="shared" si="80"/>
        <v>0</v>
      </c>
      <c r="M219" s="344"/>
      <c r="N219" s="344"/>
      <c r="O219" s="345"/>
      <c r="P219" s="345"/>
      <c r="Q219" s="344"/>
      <c r="R219" s="344"/>
      <c r="S219" s="344"/>
      <c r="T219" s="344"/>
      <c r="U219" s="344"/>
      <c r="V219" s="344"/>
      <c r="W219" s="344">
        <f>W217+W216</f>
        <v>250000</v>
      </c>
      <c r="X219" s="358"/>
    </row>
    <row r="220" s="20" customFormat="1" ht="36" customHeight="1" spans="1:24">
      <c r="A220" s="277" t="s">
        <v>280</v>
      </c>
      <c r="B220" s="277"/>
      <c r="C220" s="277"/>
      <c r="D220" s="277"/>
      <c r="E220" s="278"/>
      <c r="F220" s="328"/>
      <c r="G220" s="329">
        <f>287000000+17000000+599600</f>
        <v>304599600</v>
      </c>
      <c r="H220" s="329" t="s">
        <v>316</v>
      </c>
      <c r="I220" s="346">
        <f>I216+I190+I153</f>
        <v>276211639.289057</v>
      </c>
      <c r="J220" s="346">
        <f>J216+J190+J153</f>
        <v>27586932.8509434</v>
      </c>
      <c r="K220" s="346">
        <f>K216+K190+K153</f>
        <v>303798572.14</v>
      </c>
      <c r="L220" s="346">
        <f t="shared" ref="I220:N220" si="81">L216+L190+L153</f>
        <v>2208694.43</v>
      </c>
      <c r="M220" s="346">
        <f t="shared" si="81"/>
        <v>379417.19</v>
      </c>
      <c r="N220" s="346">
        <f t="shared" si="81"/>
        <v>0</v>
      </c>
      <c r="O220" s="347">
        <f>O216+O190+O153+P216+Q216+P190+Q190+P153+Q153</f>
        <v>689308.32</v>
      </c>
      <c r="P220" s="347"/>
      <c r="Q220" s="329"/>
      <c r="R220" s="346">
        <f t="shared" ref="R220:W220" si="82">R216+R190+R153</f>
        <v>116593.5</v>
      </c>
      <c r="S220" s="346">
        <f t="shared" si="82"/>
        <v>299383186.24</v>
      </c>
      <c r="T220" s="346">
        <f t="shared" si="82"/>
        <v>1855000</v>
      </c>
      <c r="U220" s="346">
        <f t="shared" si="82"/>
        <v>267044735.34</v>
      </c>
      <c r="V220" s="346">
        <f t="shared" si="82"/>
        <v>1855000</v>
      </c>
      <c r="W220" s="346">
        <f t="shared" si="82"/>
        <v>31761810.36</v>
      </c>
      <c r="X220" s="329"/>
    </row>
    <row r="221" ht="26" customHeight="1" spans="1:24">
      <c r="A221" s="277"/>
      <c r="B221" s="277"/>
      <c r="C221" s="277"/>
      <c r="D221" s="277"/>
      <c r="E221" s="278"/>
      <c r="F221" s="330"/>
      <c r="G221" s="212"/>
      <c r="H221" s="212" t="s">
        <v>317</v>
      </c>
      <c r="I221" s="301">
        <f>I217+I191+I154</f>
        <v>24306628.63</v>
      </c>
      <c r="J221" s="301">
        <f>J217+J191+J154</f>
        <v>3240540.31</v>
      </c>
      <c r="K221" s="301">
        <f>K217+K191+K154</f>
        <v>27547168.94</v>
      </c>
      <c r="L221" s="301">
        <f t="shared" ref="I221:O221" si="83">L217+L191+L154</f>
        <v>0</v>
      </c>
      <c r="M221" s="301">
        <f t="shared" si="83"/>
        <v>0</v>
      </c>
      <c r="N221" s="301">
        <f t="shared" si="83"/>
        <v>0</v>
      </c>
      <c r="O221" s="301">
        <f t="shared" si="83"/>
        <v>201576.1</v>
      </c>
      <c r="P221" s="301"/>
      <c r="Q221" s="301"/>
      <c r="R221" s="301">
        <f t="shared" ref="R221:W221" si="84">R217+R191+R154</f>
        <v>-116593.5</v>
      </c>
      <c r="S221" s="301">
        <f t="shared" si="84"/>
        <v>24040460.25</v>
      </c>
      <c r="T221" s="301">
        <f t="shared" si="84"/>
        <v>0</v>
      </c>
      <c r="U221" s="301">
        <f t="shared" si="84"/>
        <v>33457189.4</v>
      </c>
      <c r="V221" s="301">
        <f t="shared" si="84"/>
        <v>2681000</v>
      </c>
      <c r="W221" s="301">
        <f t="shared" si="84"/>
        <v>-9102043.83</v>
      </c>
      <c r="X221" s="359"/>
    </row>
    <row r="222" ht="38" customHeight="1" spans="1:24">
      <c r="A222" s="277"/>
      <c r="B222" s="277"/>
      <c r="C222" s="277"/>
      <c r="D222" s="277"/>
      <c r="E222" s="278"/>
      <c r="F222" s="331"/>
      <c r="G222" s="196"/>
      <c r="H222" s="37" t="s">
        <v>346</v>
      </c>
      <c r="I222" s="349">
        <f>I221+I220</f>
        <v>300518267.919057</v>
      </c>
      <c r="J222" s="349">
        <f t="shared" ref="I222:O222" si="85">J221+J220</f>
        <v>30827473.1609434</v>
      </c>
      <c r="K222" s="349">
        <f t="shared" si="85"/>
        <v>331345741.08</v>
      </c>
      <c r="L222" s="350">
        <f t="shared" si="85"/>
        <v>2208694.43</v>
      </c>
      <c r="M222" s="350">
        <f t="shared" si="85"/>
        <v>379417.19</v>
      </c>
      <c r="N222" s="350">
        <f t="shared" si="85"/>
        <v>0</v>
      </c>
      <c r="O222" s="351">
        <f t="shared" si="85"/>
        <v>890884.42</v>
      </c>
      <c r="P222" s="352"/>
      <c r="Q222" s="362"/>
      <c r="R222" s="349">
        <f t="shared" ref="R222:W222" si="86">R221+R220</f>
        <v>0</v>
      </c>
      <c r="S222" s="349">
        <f t="shared" si="86"/>
        <v>323423646.49</v>
      </c>
      <c r="T222" s="349">
        <f t="shared" si="86"/>
        <v>1855000</v>
      </c>
      <c r="U222" s="349">
        <f t="shared" si="86"/>
        <v>300501924.74</v>
      </c>
      <c r="V222" s="363">
        <f t="shared" si="86"/>
        <v>4536000</v>
      </c>
      <c r="W222" s="364">
        <f t="shared" si="86"/>
        <v>22659766.53</v>
      </c>
      <c r="X222" s="365"/>
    </row>
    <row r="223" ht="42" customHeight="1" spans="12:24">
      <c r="L223" s="353">
        <f>L222+M222+N222+O222</f>
        <v>3478996.04</v>
      </c>
      <c r="M223" s="353"/>
      <c r="N223" s="353"/>
      <c r="O223" s="353"/>
      <c r="P223" s="353"/>
      <c r="Q223" s="353"/>
      <c r="R223" s="29"/>
      <c r="S223" s="366"/>
      <c r="T223" s="367"/>
      <c r="U223" s="29"/>
      <c r="V223" s="368"/>
      <c r="W223" s="368">
        <f>W115+W113</f>
        <v>524460.25</v>
      </c>
      <c r="X223" s="369"/>
    </row>
    <row r="224" ht="40" customHeight="1" spans="8:24">
      <c r="H224" s="332" t="s">
        <v>369</v>
      </c>
      <c r="I224" s="354">
        <v>276211639.289057</v>
      </c>
      <c r="J224" s="354">
        <v>27586932.8509434</v>
      </c>
      <c r="K224" s="354">
        <v>303798572.14</v>
      </c>
      <c r="L224" s="29">
        <v>2208694.43</v>
      </c>
      <c r="M224" s="29">
        <v>379417.19</v>
      </c>
      <c r="N224" s="29"/>
      <c r="O224" s="29"/>
      <c r="P224" s="29"/>
      <c r="Q224" s="29"/>
      <c r="R224" s="29"/>
      <c r="S224" s="367"/>
      <c r="T224" s="367"/>
      <c r="U224" s="29"/>
      <c r="V224" s="368"/>
      <c r="W224" s="370">
        <f>W222-W223</f>
        <v>22135306.28</v>
      </c>
      <c r="X224" s="369"/>
    </row>
    <row r="225" spans="9:24">
      <c r="I225" s="29">
        <f>I220-I224</f>
        <v>0</v>
      </c>
      <c r="J225" s="29">
        <f t="shared" ref="I225:K225" si="87">J220-J224</f>
        <v>0</v>
      </c>
      <c r="K225" s="29">
        <f t="shared" si="87"/>
        <v>0</v>
      </c>
      <c r="W225" s="368"/>
      <c r="X225" s="371"/>
    </row>
    <row r="226" spans="23:24">
      <c r="W226" s="368"/>
      <c r="X226" s="371"/>
    </row>
    <row r="227" ht="44" customHeight="1" spans="7:23">
      <c r="G227" s="390"/>
      <c r="H227" s="332" t="s">
        <v>370</v>
      </c>
      <c r="I227" s="354">
        <v>25279064.57</v>
      </c>
      <c r="J227" s="354">
        <v>3240656.99</v>
      </c>
      <c r="K227" s="354">
        <f>J227+I227</f>
        <v>28519721.56</v>
      </c>
      <c r="W227" s="368">
        <v>22135306.28</v>
      </c>
    </row>
    <row r="228" ht="35" customHeight="1" spans="23:23">
      <c r="W228" s="368">
        <v>2605542.41</v>
      </c>
    </row>
    <row r="229" spans="23:23">
      <c r="W229" s="368"/>
    </row>
    <row r="230" ht="27" customHeight="1" spans="9:23">
      <c r="I230" s="356">
        <f>I227-I221-954776.19-I248</f>
        <v>-2.3283064365387e-9</v>
      </c>
      <c r="J230" s="29">
        <f>J227-J221-J248</f>
        <v>-2.98015834232501e-10</v>
      </c>
      <c r="K230" s="356">
        <f>K227-K221-954776.19-K248</f>
        <v>4.82395989820361e-9</v>
      </c>
      <c r="Q230" s="355"/>
      <c r="W230" s="368"/>
    </row>
    <row r="231" spans="15:23">
      <c r="O231" s="355"/>
      <c r="W231" s="368">
        <f>W224-W227</f>
        <v>0</v>
      </c>
    </row>
    <row r="232" spans="23:23">
      <c r="W232" s="368"/>
    </row>
    <row r="233" spans="23:23">
      <c r="W233" s="368"/>
    </row>
    <row r="234" spans="23:23">
      <c r="W234" s="368"/>
    </row>
    <row r="235" s="15" customFormat="1" ht="34" customHeight="1" spans="1:24">
      <c r="A235" s="36" t="s">
        <v>1</v>
      </c>
      <c r="B235" s="36" t="s">
        <v>2</v>
      </c>
      <c r="C235" s="36" t="s">
        <v>3</v>
      </c>
      <c r="D235" s="36" t="s">
        <v>4</v>
      </c>
      <c r="E235" s="37" t="s">
        <v>5</v>
      </c>
      <c r="F235" s="37" t="s">
        <v>6</v>
      </c>
      <c r="G235" s="36" t="s">
        <v>7</v>
      </c>
      <c r="H235" s="36" t="s">
        <v>8</v>
      </c>
      <c r="I235" s="86" t="s">
        <v>285</v>
      </c>
      <c r="J235" s="87"/>
      <c r="K235" s="87"/>
      <c r="L235" s="88" t="s">
        <v>286</v>
      </c>
      <c r="M235" s="89"/>
      <c r="N235" s="89"/>
      <c r="O235" s="89"/>
      <c r="P235" s="89"/>
      <c r="Q235" s="89"/>
      <c r="R235" s="122" t="s">
        <v>11</v>
      </c>
      <c r="S235" s="123" t="s">
        <v>12</v>
      </c>
      <c r="T235" s="124"/>
      <c r="U235" s="123" t="s">
        <v>287</v>
      </c>
      <c r="V235" s="124"/>
      <c r="W235" s="122" t="s">
        <v>14</v>
      </c>
      <c r="X235" s="122" t="s">
        <v>289</v>
      </c>
    </row>
    <row r="236" s="16" customFormat="1" ht="32" customHeight="1" spans="1:24">
      <c r="A236" s="36"/>
      <c r="B236" s="36"/>
      <c r="C236" s="36"/>
      <c r="D236" s="36"/>
      <c r="E236" s="37"/>
      <c r="F236" s="37"/>
      <c r="G236" s="36"/>
      <c r="H236" s="36"/>
      <c r="I236" s="36" t="s">
        <v>18</v>
      </c>
      <c r="J236" s="36" t="s">
        <v>19</v>
      </c>
      <c r="K236" s="36" t="s">
        <v>20</v>
      </c>
      <c r="L236" s="36" t="s">
        <v>290</v>
      </c>
      <c r="M236" s="36" t="s">
        <v>291</v>
      </c>
      <c r="N236" s="36" t="s">
        <v>23</v>
      </c>
      <c r="O236" s="90" t="s">
        <v>292</v>
      </c>
      <c r="P236" s="91"/>
      <c r="Q236" s="125"/>
      <c r="R236" s="126"/>
      <c r="S236" s="127" t="s">
        <v>26</v>
      </c>
      <c r="T236" s="92" t="s">
        <v>27</v>
      </c>
      <c r="U236" s="127" t="s">
        <v>28</v>
      </c>
      <c r="V236" s="127" t="s">
        <v>27</v>
      </c>
      <c r="W236" s="126"/>
      <c r="X236" s="126"/>
    </row>
    <row r="237" s="16" customFormat="1" ht="44" customHeight="1" spans="1:24">
      <c r="A237" s="36"/>
      <c r="B237" s="36"/>
      <c r="C237" s="36"/>
      <c r="D237" s="36"/>
      <c r="E237" s="37"/>
      <c r="F237" s="37"/>
      <c r="G237" s="36"/>
      <c r="H237" s="36"/>
      <c r="I237" s="36"/>
      <c r="J237" s="36"/>
      <c r="K237" s="36"/>
      <c r="L237" s="36"/>
      <c r="M237" s="36"/>
      <c r="N237" s="36"/>
      <c r="O237" s="92" t="s">
        <v>293</v>
      </c>
      <c r="P237" s="92" t="s">
        <v>294</v>
      </c>
      <c r="Q237" s="92" t="s">
        <v>25</v>
      </c>
      <c r="R237" s="126"/>
      <c r="S237" s="127"/>
      <c r="T237" s="125"/>
      <c r="U237" s="128"/>
      <c r="V237" s="128"/>
      <c r="W237" s="129"/>
      <c r="X237" s="129"/>
    </row>
    <row r="238" s="1" customFormat="1" ht="36" customHeight="1" spans="1:24">
      <c r="A238" s="216" t="s">
        <v>397</v>
      </c>
      <c r="B238" s="334"/>
      <c r="C238" s="334"/>
      <c r="D238" s="334"/>
      <c r="E238" s="335"/>
      <c r="F238" s="335"/>
      <c r="G238" s="334"/>
      <c r="H238" s="336"/>
      <c r="I238" s="94"/>
      <c r="J238" s="94"/>
      <c r="K238" s="94"/>
      <c r="L238" s="94"/>
      <c r="M238" s="94"/>
      <c r="N238" s="94"/>
      <c r="O238" s="94"/>
      <c r="P238" s="94"/>
      <c r="Q238" s="94"/>
      <c r="R238" s="94"/>
      <c r="S238" s="94">
        <f>K238-L238-M238-N238-O238+R238</f>
        <v>0</v>
      </c>
      <c r="T238" s="94"/>
      <c r="U238" s="94"/>
      <c r="V238" s="94"/>
      <c r="W238" s="94"/>
      <c r="X238" s="145"/>
    </row>
    <row r="239" s="22" customFormat="1" ht="42" customHeight="1" spans="1:235">
      <c r="A239" s="337" t="s">
        <v>398</v>
      </c>
      <c r="B239" s="338"/>
      <c r="C239" s="338"/>
      <c r="D239" s="338"/>
      <c r="E239" s="391"/>
      <c r="F239" s="375" t="s">
        <v>296</v>
      </c>
      <c r="G239" s="174" t="s">
        <v>339</v>
      </c>
      <c r="H239" s="285" t="s">
        <v>399</v>
      </c>
      <c r="I239" s="94">
        <v>1180</v>
      </c>
      <c r="J239" s="94"/>
      <c r="K239" s="94">
        <f t="shared" ref="K239:K246" si="88">J239+I239</f>
        <v>1180</v>
      </c>
      <c r="L239" s="237"/>
      <c r="M239" s="237"/>
      <c r="N239" s="237"/>
      <c r="O239" s="237"/>
      <c r="P239" s="237"/>
      <c r="Q239" s="237"/>
      <c r="R239" s="237"/>
      <c r="S239" s="94">
        <f>K239</f>
        <v>1180</v>
      </c>
      <c r="T239" s="94"/>
      <c r="U239" s="237">
        <f>S239</f>
        <v>1180</v>
      </c>
      <c r="V239" s="237"/>
      <c r="W239" s="237">
        <f t="shared" ref="W239:W246" si="89">S239+T239-U239-V239</f>
        <v>0</v>
      </c>
      <c r="X239" s="158"/>
      <c r="Y239" s="311"/>
      <c r="Z239" s="311"/>
      <c r="AA239" s="311"/>
      <c r="AB239" s="311"/>
      <c r="AC239" s="311"/>
      <c r="AD239" s="311"/>
      <c r="AE239" s="311"/>
      <c r="AF239" s="311"/>
      <c r="AG239" s="311"/>
      <c r="AH239" s="311"/>
      <c r="AI239" s="311"/>
      <c r="AJ239" s="311"/>
      <c r="AK239" s="311"/>
      <c r="AL239" s="311"/>
      <c r="AM239" s="311"/>
      <c r="AN239" s="311"/>
      <c r="AO239" s="311"/>
      <c r="AP239" s="311"/>
      <c r="AQ239" s="311"/>
      <c r="AR239" s="311"/>
      <c r="AS239" s="311"/>
      <c r="AT239" s="311"/>
      <c r="AU239" s="311"/>
      <c r="AV239" s="311"/>
      <c r="AW239" s="311"/>
      <c r="AX239" s="311"/>
      <c r="AY239" s="311"/>
      <c r="AZ239" s="311"/>
      <c r="BA239" s="311"/>
      <c r="BB239" s="311"/>
      <c r="BC239" s="311"/>
      <c r="BD239" s="311"/>
      <c r="BE239" s="311"/>
      <c r="BF239" s="311"/>
      <c r="BG239" s="311"/>
      <c r="BH239" s="311"/>
      <c r="BI239" s="311"/>
      <c r="BJ239" s="311"/>
      <c r="BK239" s="311"/>
      <c r="BL239" s="311"/>
      <c r="BM239" s="311"/>
      <c r="BN239" s="311"/>
      <c r="BO239" s="311"/>
      <c r="BP239" s="311"/>
      <c r="BQ239" s="311"/>
      <c r="BR239" s="311"/>
      <c r="BS239" s="311"/>
      <c r="BT239" s="311"/>
      <c r="BU239" s="311"/>
      <c r="BV239" s="311"/>
      <c r="BW239" s="311"/>
      <c r="BX239" s="311"/>
      <c r="BY239" s="311"/>
      <c r="BZ239" s="311"/>
      <c r="CA239" s="311"/>
      <c r="CB239" s="311"/>
      <c r="CC239" s="311"/>
      <c r="CD239" s="311"/>
      <c r="CE239" s="311"/>
      <c r="CF239" s="311"/>
      <c r="CG239" s="311"/>
      <c r="CH239" s="311"/>
      <c r="CI239" s="311"/>
      <c r="CJ239" s="311"/>
      <c r="CK239" s="311"/>
      <c r="CL239" s="311"/>
      <c r="CM239" s="311"/>
      <c r="CN239" s="311"/>
      <c r="CO239" s="311"/>
      <c r="CP239" s="311"/>
      <c r="CQ239" s="311"/>
      <c r="CR239" s="311"/>
      <c r="CS239" s="311"/>
      <c r="CT239" s="311"/>
      <c r="CU239" s="311"/>
      <c r="CV239" s="311"/>
      <c r="CW239" s="311"/>
      <c r="CX239" s="311"/>
      <c r="CY239" s="311"/>
      <c r="CZ239" s="311"/>
      <c r="DA239" s="311"/>
      <c r="DB239" s="311"/>
      <c r="DC239" s="311"/>
      <c r="DD239" s="311"/>
      <c r="DE239" s="311"/>
      <c r="DF239" s="311"/>
      <c r="DG239" s="311"/>
      <c r="DH239" s="311"/>
      <c r="DI239" s="311"/>
      <c r="DJ239" s="311"/>
      <c r="DK239" s="311"/>
      <c r="DL239" s="311"/>
      <c r="DM239" s="311"/>
      <c r="DN239" s="311"/>
      <c r="DO239" s="311"/>
      <c r="DP239" s="311"/>
      <c r="DQ239" s="311"/>
      <c r="DR239" s="311"/>
      <c r="DS239" s="311"/>
      <c r="DT239" s="311"/>
      <c r="DU239" s="311"/>
      <c r="DV239" s="311"/>
      <c r="DW239" s="311"/>
      <c r="DX239" s="311"/>
      <c r="DY239" s="311"/>
      <c r="DZ239" s="311"/>
      <c r="EA239" s="311"/>
      <c r="EB239" s="311"/>
      <c r="EC239" s="311"/>
      <c r="ED239" s="311"/>
      <c r="EE239" s="311"/>
      <c r="EF239" s="311"/>
      <c r="EG239" s="311"/>
      <c r="EH239" s="311"/>
      <c r="EI239" s="311"/>
      <c r="EJ239" s="311"/>
      <c r="EK239" s="311"/>
      <c r="EL239" s="311"/>
      <c r="EM239" s="311"/>
      <c r="EN239" s="311"/>
      <c r="EO239" s="311"/>
      <c r="EP239" s="311"/>
      <c r="EQ239" s="311"/>
      <c r="ER239" s="311"/>
      <c r="ES239" s="311"/>
      <c r="ET239" s="311"/>
      <c r="EU239" s="311"/>
      <c r="EV239" s="311"/>
      <c r="EW239" s="311"/>
      <c r="EX239" s="311"/>
      <c r="EY239" s="311"/>
      <c r="EZ239" s="311"/>
      <c r="FA239" s="311"/>
      <c r="FB239" s="311"/>
      <c r="FC239" s="311"/>
      <c r="FD239" s="311"/>
      <c r="FE239" s="311"/>
      <c r="FF239" s="311"/>
      <c r="FG239" s="311"/>
      <c r="FH239" s="311"/>
      <c r="FI239" s="311"/>
      <c r="FJ239" s="311"/>
      <c r="FK239" s="311"/>
      <c r="FL239" s="311"/>
      <c r="FM239" s="311"/>
      <c r="FN239" s="311"/>
      <c r="FO239" s="311"/>
      <c r="FP239" s="311"/>
      <c r="FQ239" s="311"/>
      <c r="FR239" s="311"/>
      <c r="FS239" s="311"/>
      <c r="FT239" s="311"/>
      <c r="FU239" s="311"/>
      <c r="FV239" s="311"/>
      <c r="FW239" s="311"/>
      <c r="FX239" s="311"/>
      <c r="FY239" s="311"/>
      <c r="FZ239" s="311"/>
      <c r="GA239" s="311"/>
      <c r="GB239" s="311"/>
      <c r="GC239" s="311"/>
      <c r="GD239" s="311"/>
      <c r="GE239" s="311"/>
      <c r="GF239" s="311"/>
      <c r="GG239" s="311"/>
      <c r="GH239" s="311"/>
      <c r="GI239" s="311"/>
      <c r="GJ239" s="311"/>
      <c r="GK239" s="311"/>
      <c r="GL239" s="311"/>
      <c r="GM239" s="311"/>
      <c r="GN239" s="311"/>
      <c r="GO239" s="311"/>
      <c r="GP239" s="311"/>
      <c r="GQ239" s="311"/>
      <c r="GR239" s="311"/>
      <c r="GS239" s="311"/>
      <c r="GT239" s="311"/>
      <c r="GU239" s="311"/>
      <c r="GV239" s="311"/>
      <c r="GW239" s="311"/>
      <c r="GX239" s="311"/>
      <c r="GY239" s="311"/>
      <c r="GZ239" s="311"/>
      <c r="HA239" s="311"/>
      <c r="HB239" s="311"/>
      <c r="HC239" s="311"/>
      <c r="HD239" s="311"/>
      <c r="HE239" s="311"/>
      <c r="HF239" s="311"/>
      <c r="HG239" s="311"/>
      <c r="HH239" s="311"/>
      <c r="HI239" s="311"/>
      <c r="HJ239" s="311"/>
      <c r="HK239" s="311"/>
      <c r="HL239" s="311"/>
      <c r="HM239" s="311"/>
      <c r="HN239" s="311"/>
      <c r="HO239" s="311"/>
      <c r="HP239" s="311"/>
      <c r="HQ239" s="311"/>
      <c r="HR239" s="311"/>
      <c r="HS239" s="311"/>
      <c r="HT239" s="311"/>
      <c r="HU239" s="311"/>
      <c r="HV239" s="311"/>
      <c r="HW239" s="311"/>
      <c r="HX239" s="311"/>
      <c r="HY239" s="311"/>
      <c r="HZ239" s="311"/>
      <c r="IA239" s="311"/>
    </row>
    <row r="240" s="22" customFormat="1" ht="38" customHeight="1" spans="1:235">
      <c r="A240" s="372"/>
      <c r="B240" s="373"/>
      <c r="C240" s="373"/>
      <c r="D240" s="373"/>
      <c r="E240" s="392"/>
      <c r="F240" s="375" t="s">
        <v>296</v>
      </c>
      <c r="G240" s="174" t="s">
        <v>339</v>
      </c>
      <c r="H240" s="285" t="s">
        <v>368</v>
      </c>
      <c r="I240" s="302">
        <v>3519.8</v>
      </c>
      <c r="J240" s="302">
        <f>7.49+18.71</f>
        <v>26.2</v>
      </c>
      <c r="K240" s="94">
        <f t="shared" si="88"/>
        <v>3546</v>
      </c>
      <c r="L240" s="237"/>
      <c r="M240" s="237"/>
      <c r="N240" s="237"/>
      <c r="O240" s="237"/>
      <c r="P240" s="237"/>
      <c r="Q240" s="237"/>
      <c r="R240" s="310"/>
      <c r="S240" s="94">
        <f t="shared" ref="S240:S246" si="90">K240</f>
        <v>3546</v>
      </c>
      <c r="T240" s="94"/>
      <c r="U240" s="237">
        <f t="shared" ref="U240:U246" si="91">S240</f>
        <v>3546</v>
      </c>
      <c r="V240" s="310"/>
      <c r="W240" s="237">
        <f t="shared" si="89"/>
        <v>0</v>
      </c>
      <c r="X240" s="158"/>
      <c r="Y240" s="313"/>
      <c r="Z240" s="313"/>
      <c r="AA240" s="313"/>
      <c r="AB240" s="313"/>
      <c r="AC240" s="313"/>
      <c r="AD240" s="313"/>
      <c r="AE240" s="313"/>
      <c r="AF240" s="313"/>
      <c r="AG240" s="313"/>
      <c r="AH240" s="313"/>
      <c r="AI240" s="313"/>
      <c r="AJ240" s="313"/>
      <c r="AK240" s="313"/>
      <c r="AL240" s="313"/>
      <c r="AM240" s="313"/>
      <c r="AN240" s="313"/>
      <c r="AO240" s="313"/>
      <c r="AP240" s="313"/>
      <c r="AQ240" s="313"/>
      <c r="AR240" s="313"/>
      <c r="AS240" s="313"/>
      <c r="AT240" s="313"/>
      <c r="AU240" s="313"/>
      <c r="AV240" s="313"/>
      <c r="AW240" s="313"/>
      <c r="AX240" s="313"/>
      <c r="AY240" s="313"/>
      <c r="AZ240" s="313"/>
      <c r="BA240" s="313"/>
      <c r="BB240" s="313"/>
      <c r="BC240" s="313"/>
      <c r="BD240" s="313"/>
      <c r="BE240" s="313"/>
      <c r="BF240" s="313"/>
      <c r="BG240" s="313"/>
      <c r="BH240" s="313"/>
      <c r="BI240" s="313"/>
      <c r="BJ240" s="313"/>
      <c r="BK240" s="313"/>
      <c r="BL240" s="313"/>
      <c r="BM240" s="313"/>
      <c r="BN240" s="313"/>
      <c r="BO240" s="313"/>
      <c r="BP240" s="313"/>
      <c r="BQ240" s="313"/>
      <c r="BR240" s="313"/>
      <c r="BS240" s="313"/>
      <c r="BT240" s="313"/>
      <c r="BU240" s="313"/>
      <c r="BV240" s="313"/>
      <c r="BW240" s="313"/>
      <c r="BX240" s="313"/>
      <c r="BY240" s="313"/>
      <c r="BZ240" s="313"/>
      <c r="CA240" s="313"/>
      <c r="CB240" s="313"/>
      <c r="CC240" s="313"/>
      <c r="CD240" s="313"/>
      <c r="CE240" s="313"/>
      <c r="CF240" s="313"/>
      <c r="CG240" s="313"/>
      <c r="CH240" s="313"/>
      <c r="CI240" s="313"/>
      <c r="CJ240" s="313"/>
      <c r="CK240" s="313"/>
      <c r="CL240" s="313"/>
      <c r="CM240" s="313"/>
      <c r="CN240" s="313"/>
      <c r="CO240" s="313"/>
      <c r="CP240" s="313"/>
      <c r="CQ240" s="313"/>
      <c r="CR240" s="313"/>
      <c r="CS240" s="313"/>
      <c r="CT240" s="313"/>
      <c r="CU240" s="313"/>
      <c r="CV240" s="313"/>
      <c r="CW240" s="313"/>
      <c r="CX240" s="313"/>
      <c r="CY240" s="313"/>
      <c r="CZ240" s="313"/>
      <c r="DA240" s="313"/>
      <c r="DB240" s="313"/>
      <c r="DC240" s="313"/>
      <c r="DD240" s="313"/>
      <c r="DE240" s="313"/>
      <c r="DF240" s="313"/>
      <c r="DG240" s="313"/>
      <c r="DH240" s="313"/>
      <c r="DI240" s="313"/>
      <c r="DJ240" s="313"/>
      <c r="DK240" s="313"/>
      <c r="DL240" s="313"/>
      <c r="DM240" s="313"/>
      <c r="DN240" s="313"/>
      <c r="DO240" s="313"/>
      <c r="DP240" s="313"/>
      <c r="DQ240" s="313"/>
      <c r="DR240" s="313"/>
      <c r="DS240" s="313"/>
      <c r="DT240" s="313"/>
      <c r="DU240" s="313"/>
      <c r="DV240" s="313"/>
      <c r="DW240" s="313"/>
      <c r="DX240" s="313"/>
      <c r="DY240" s="313"/>
      <c r="DZ240" s="313"/>
      <c r="EA240" s="313"/>
      <c r="EB240" s="313"/>
      <c r="EC240" s="313"/>
      <c r="ED240" s="313"/>
      <c r="EE240" s="313"/>
      <c r="EF240" s="313"/>
      <c r="EG240" s="313"/>
      <c r="EH240" s="313"/>
      <c r="EI240" s="313"/>
      <c r="EJ240" s="313"/>
      <c r="EK240" s="313"/>
      <c r="EL240" s="313"/>
      <c r="EM240" s="313"/>
      <c r="EN240" s="313"/>
      <c r="EO240" s="313"/>
      <c r="EP240" s="313"/>
      <c r="EQ240" s="313"/>
      <c r="ER240" s="313"/>
      <c r="ES240" s="313"/>
      <c r="ET240" s="313"/>
      <c r="EU240" s="313"/>
      <c r="EV240" s="313"/>
      <c r="EW240" s="313"/>
      <c r="EX240" s="313"/>
      <c r="EY240" s="313"/>
      <c r="EZ240" s="313"/>
      <c r="FA240" s="313"/>
      <c r="FB240" s="313"/>
      <c r="FC240" s="313"/>
      <c r="FD240" s="313"/>
      <c r="FE240" s="313"/>
      <c r="FF240" s="313"/>
      <c r="FG240" s="313"/>
      <c r="FH240" s="313"/>
      <c r="FI240" s="313"/>
      <c r="FJ240" s="313"/>
      <c r="FK240" s="313"/>
      <c r="FL240" s="313"/>
      <c r="FM240" s="313"/>
      <c r="FN240" s="313"/>
      <c r="FO240" s="313"/>
      <c r="FP240" s="313"/>
      <c r="FQ240" s="313"/>
      <c r="FR240" s="313"/>
      <c r="FS240" s="313"/>
      <c r="FT240" s="313"/>
      <c r="FU240" s="313"/>
      <c r="FV240" s="313"/>
      <c r="FW240" s="313"/>
      <c r="FX240" s="313"/>
      <c r="FY240" s="313"/>
      <c r="FZ240" s="313"/>
      <c r="GA240" s="313"/>
      <c r="GB240" s="313"/>
      <c r="GC240" s="313"/>
      <c r="GD240" s="313"/>
      <c r="GE240" s="313"/>
      <c r="GF240" s="313"/>
      <c r="GG240" s="313"/>
      <c r="GH240" s="313"/>
      <c r="GI240" s="313"/>
      <c r="GJ240" s="313"/>
      <c r="GK240" s="313"/>
      <c r="GL240" s="313"/>
      <c r="GM240" s="313"/>
      <c r="GN240" s="313"/>
      <c r="GO240" s="313"/>
      <c r="GP240" s="313"/>
      <c r="GQ240" s="313"/>
      <c r="GR240" s="313"/>
      <c r="GS240" s="313"/>
      <c r="GT240" s="313"/>
      <c r="GU240" s="313"/>
      <c r="GV240" s="313"/>
      <c r="GW240" s="313"/>
      <c r="GX240" s="313"/>
      <c r="GY240" s="313"/>
      <c r="GZ240" s="313"/>
      <c r="HA240" s="313"/>
      <c r="HB240" s="313"/>
      <c r="HC240" s="313"/>
      <c r="HD240" s="313"/>
      <c r="HE240" s="313"/>
      <c r="HF240" s="313"/>
      <c r="HG240" s="313"/>
      <c r="HH240" s="313"/>
      <c r="HI240" s="313"/>
      <c r="HJ240" s="313"/>
      <c r="HK240" s="313"/>
      <c r="HL240" s="313"/>
      <c r="HM240" s="313"/>
      <c r="HN240" s="313"/>
      <c r="HO240" s="313"/>
      <c r="HP240" s="313"/>
      <c r="HQ240" s="313"/>
      <c r="HR240" s="313"/>
      <c r="HS240" s="313"/>
      <c r="HT240" s="313"/>
      <c r="HU240" s="313"/>
      <c r="HV240" s="313"/>
      <c r="HW240" s="313"/>
      <c r="HX240" s="313"/>
      <c r="HY240" s="313"/>
      <c r="HZ240" s="313"/>
      <c r="IA240" s="313"/>
    </row>
    <row r="241" s="22" customFormat="1" ht="53" customHeight="1" spans="1:24">
      <c r="A241" s="393" t="s">
        <v>400</v>
      </c>
      <c r="B241" s="394"/>
      <c r="C241" s="394"/>
      <c r="D241" s="394"/>
      <c r="E241" s="395"/>
      <c r="F241" s="375" t="s">
        <v>296</v>
      </c>
      <c r="G241" s="174" t="s">
        <v>339</v>
      </c>
      <c r="H241" s="285" t="s">
        <v>368</v>
      </c>
      <c r="I241" s="94">
        <v>6072.28</v>
      </c>
      <c r="J241" s="94">
        <f>14.57+7.29+21.86</f>
        <v>43.72</v>
      </c>
      <c r="K241" s="94">
        <f t="shared" si="88"/>
        <v>6116</v>
      </c>
      <c r="L241" s="237"/>
      <c r="M241" s="237"/>
      <c r="N241" s="237"/>
      <c r="O241" s="237"/>
      <c r="P241" s="237"/>
      <c r="Q241" s="237"/>
      <c r="R241" s="237"/>
      <c r="S241" s="94">
        <f t="shared" si="90"/>
        <v>6116</v>
      </c>
      <c r="T241" s="94"/>
      <c r="U241" s="237">
        <f t="shared" si="91"/>
        <v>6116</v>
      </c>
      <c r="V241" s="237"/>
      <c r="W241" s="237">
        <f t="shared" si="89"/>
        <v>0</v>
      </c>
      <c r="X241" s="158"/>
    </row>
    <row r="242" s="22" customFormat="1" ht="45" customHeight="1" spans="1:24">
      <c r="A242" s="393" t="s">
        <v>401</v>
      </c>
      <c r="B242" s="394"/>
      <c r="C242" s="394"/>
      <c r="D242" s="394"/>
      <c r="E242" s="395"/>
      <c r="F242" s="375" t="s">
        <v>296</v>
      </c>
      <c r="G242" s="174" t="s">
        <v>339</v>
      </c>
      <c r="H242" s="285" t="s">
        <v>368</v>
      </c>
      <c r="I242" s="94">
        <v>1012.87</v>
      </c>
      <c r="J242" s="94">
        <v>7.13</v>
      </c>
      <c r="K242" s="94">
        <f t="shared" si="88"/>
        <v>1020</v>
      </c>
      <c r="L242" s="237"/>
      <c r="M242" s="237"/>
      <c r="N242" s="237"/>
      <c r="O242" s="237"/>
      <c r="P242" s="237"/>
      <c r="Q242" s="237"/>
      <c r="R242" s="237"/>
      <c r="S242" s="94">
        <f t="shared" si="90"/>
        <v>1020</v>
      </c>
      <c r="T242" s="94"/>
      <c r="U242" s="237">
        <f t="shared" si="91"/>
        <v>1020</v>
      </c>
      <c r="V242" s="237"/>
      <c r="W242" s="237">
        <f t="shared" si="89"/>
        <v>0</v>
      </c>
      <c r="X242" s="158"/>
    </row>
    <row r="243" s="22" customFormat="1" ht="45" customHeight="1" spans="1:24">
      <c r="A243" s="156"/>
      <c r="B243" s="157"/>
      <c r="C243" s="158"/>
      <c r="D243" s="259" t="s">
        <v>402</v>
      </c>
      <c r="E243" s="377"/>
      <c r="F243" s="375" t="s">
        <v>296</v>
      </c>
      <c r="G243" s="174" t="s">
        <v>339</v>
      </c>
      <c r="H243" s="285" t="s">
        <v>399</v>
      </c>
      <c r="I243" s="94">
        <v>2369</v>
      </c>
      <c r="J243" s="94"/>
      <c r="K243" s="94">
        <f t="shared" si="88"/>
        <v>2369</v>
      </c>
      <c r="L243" s="237"/>
      <c r="M243" s="237"/>
      <c r="N243" s="237"/>
      <c r="O243" s="237"/>
      <c r="P243" s="237"/>
      <c r="Q243" s="237"/>
      <c r="R243" s="237"/>
      <c r="S243" s="94">
        <f t="shared" si="90"/>
        <v>2369</v>
      </c>
      <c r="T243" s="94"/>
      <c r="U243" s="237">
        <f t="shared" si="91"/>
        <v>2369</v>
      </c>
      <c r="V243" s="237"/>
      <c r="W243" s="237">
        <f t="shared" si="89"/>
        <v>0</v>
      </c>
      <c r="X243" s="158"/>
    </row>
    <row r="244" s="22" customFormat="1" ht="45" customHeight="1" spans="1:24">
      <c r="A244" s="156"/>
      <c r="B244" s="157"/>
      <c r="C244" s="158"/>
      <c r="D244" s="396"/>
      <c r="E244" s="377"/>
      <c r="F244" s="375" t="s">
        <v>296</v>
      </c>
      <c r="G244" s="174" t="s">
        <v>339</v>
      </c>
      <c r="H244" s="285" t="s">
        <v>368</v>
      </c>
      <c r="I244" s="94">
        <v>705.8</v>
      </c>
      <c r="J244" s="94">
        <f>745.43-705.8</f>
        <v>39.63</v>
      </c>
      <c r="K244" s="94">
        <f t="shared" si="88"/>
        <v>745.43</v>
      </c>
      <c r="L244" s="237"/>
      <c r="M244" s="237"/>
      <c r="N244" s="237"/>
      <c r="O244" s="237"/>
      <c r="P244" s="237"/>
      <c r="Q244" s="237"/>
      <c r="R244" s="237"/>
      <c r="S244" s="94">
        <f t="shared" si="90"/>
        <v>745.43</v>
      </c>
      <c r="T244" s="94"/>
      <c r="U244" s="237">
        <f t="shared" si="91"/>
        <v>745.43</v>
      </c>
      <c r="V244" s="237"/>
      <c r="W244" s="237">
        <f t="shared" si="89"/>
        <v>0</v>
      </c>
      <c r="X244" s="158"/>
    </row>
    <row r="245" s="22" customFormat="1" ht="45" customHeight="1" spans="1:24">
      <c r="A245" s="156"/>
      <c r="B245" s="157"/>
      <c r="C245" s="158"/>
      <c r="D245" s="261"/>
      <c r="E245" s="377" t="s">
        <v>403</v>
      </c>
      <c r="F245" s="375" t="s">
        <v>296</v>
      </c>
      <c r="G245" s="174" t="s">
        <v>339</v>
      </c>
      <c r="H245" s="285" t="s">
        <v>404</v>
      </c>
      <c r="I245" s="94">
        <v>1000</v>
      </c>
      <c r="J245" s="94"/>
      <c r="K245" s="94">
        <f t="shared" si="88"/>
        <v>1000</v>
      </c>
      <c r="L245" s="237"/>
      <c r="M245" s="237"/>
      <c r="N245" s="237"/>
      <c r="O245" s="237"/>
      <c r="P245" s="237"/>
      <c r="Q245" s="237"/>
      <c r="R245" s="237"/>
      <c r="S245" s="94">
        <f t="shared" si="90"/>
        <v>1000</v>
      </c>
      <c r="T245" s="94"/>
      <c r="U245" s="237">
        <f t="shared" si="91"/>
        <v>1000</v>
      </c>
      <c r="V245" s="237"/>
      <c r="W245" s="237">
        <f t="shared" si="89"/>
        <v>0</v>
      </c>
      <c r="X245" s="158"/>
    </row>
    <row r="246" s="22" customFormat="1" ht="45" customHeight="1" spans="1:24">
      <c r="A246" s="393" t="s">
        <v>405</v>
      </c>
      <c r="B246" s="394"/>
      <c r="C246" s="394"/>
      <c r="D246" s="394"/>
      <c r="E246" s="395"/>
      <c r="F246" s="102" t="s">
        <v>296</v>
      </c>
      <c r="G246" s="174" t="s">
        <v>339</v>
      </c>
      <c r="H246" s="285" t="s">
        <v>404</v>
      </c>
      <c r="I246" s="94">
        <v>1800</v>
      </c>
      <c r="J246" s="94"/>
      <c r="K246" s="94">
        <f t="shared" si="88"/>
        <v>1800</v>
      </c>
      <c r="L246" s="237"/>
      <c r="M246" s="237"/>
      <c r="N246" s="237"/>
      <c r="P246" s="237"/>
      <c r="Q246" s="237"/>
      <c r="R246" s="237"/>
      <c r="S246" s="94">
        <f t="shared" si="90"/>
        <v>1800</v>
      </c>
      <c r="T246" s="94"/>
      <c r="U246" s="237">
        <f t="shared" si="91"/>
        <v>1800</v>
      </c>
      <c r="V246" s="237"/>
      <c r="W246" s="237">
        <f t="shared" si="89"/>
        <v>0</v>
      </c>
      <c r="X246" s="158"/>
    </row>
    <row r="247" spans="19:21">
      <c r="S247" s="29"/>
      <c r="T247" s="29">
        <f t="shared" ref="S247:U247" si="92">SUM(T238:T246)</f>
        <v>0</v>
      </c>
      <c r="U247" s="29"/>
    </row>
    <row r="248" spans="9:21">
      <c r="I248" s="29">
        <f>SUM(I239:I247)</f>
        <v>17659.75</v>
      </c>
      <c r="J248" s="29">
        <f>SUM(J239:J247)</f>
        <v>116.68</v>
      </c>
      <c r="K248" s="29">
        <f>SUM(K239:K247)</f>
        <v>17776.43</v>
      </c>
      <c r="S248" s="29">
        <f t="shared" ref="S248:U248" si="93">SUM(S239:S247)</f>
        <v>17776.43</v>
      </c>
      <c r="T248" s="29">
        <f t="shared" si="93"/>
        <v>0</v>
      </c>
      <c r="U248" s="29">
        <f t="shared" si="93"/>
        <v>17776.43</v>
      </c>
    </row>
  </sheetData>
  <mergeCells count="350">
    <mergeCell ref="A1:W1"/>
    <mergeCell ref="I2:K2"/>
    <mergeCell ref="L2:Q2"/>
    <mergeCell ref="S2:T2"/>
    <mergeCell ref="U2:V2"/>
    <mergeCell ref="O3:Q3"/>
    <mergeCell ref="B5:H5"/>
    <mergeCell ref="F23:H23"/>
    <mergeCell ref="F24:H24"/>
    <mergeCell ref="F32:H32"/>
    <mergeCell ref="F33:H33"/>
    <mergeCell ref="F46:H46"/>
    <mergeCell ref="F47:H47"/>
    <mergeCell ref="F55:H55"/>
    <mergeCell ref="F56:H56"/>
    <mergeCell ref="F65:H65"/>
    <mergeCell ref="F66:H66"/>
    <mergeCell ref="G68:H68"/>
    <mergeCell ref="B121:D121"/>
    <mergeCell ref="B152:D152"/>
    <mergeCell ref="B157:H157"/>
    <mergeCell ref="B173:D173"/>
    <mergeCell ref="B174:D174"/>
    <mergeCell ref="B182:D182"/>
    <mergeCell ref="B189:D189"/>
    <mergeCell ref="B194:H194"/>
    <mergeCell ref="B211:D211"/>
    <mergeCell ref="B212:D212"/>
    <mergeCell ref="B213:D213"/>
    <mergeCell ref="B214:D214"/>
    <mergeCell ref="B215:D215"/>
    <mergeCell ref="O220:Q220"/>
    <mergeCell ref="O222:Q222"/>
    <mergeCell ref="L223:Q223"/>
    <mergeCell ref="I235:K235"/>
    <mergeCell ref="L235:Q235"/>
    <mergeCell ref="S235:T235"/>
    <mergeCell ref="U235:V235"/>
    <mergeCell ref="O236:Q236"/>
    <mergeCell ref="A238:H238"/>
    <mergeCell ref="A241:E241"/>
    <mergeCell ref="A242:E242"/>
    <mergeCell ref="A246:E246"/>
    <mergeCell ref="A2:A4"/>
    <mergeCell ref="A6:A24"/>
    <mergeCell ref="A26:A33"/>
    <mergeCell ref="A34:A47"/>
    <mergeCell ref="A48:A56"/>
    <mergeCell ref="A57:A66"/>
    <mergeCell ref="A67:A68"/>
    <mergeCell ref="A76:A77"/>
    <mergeCell ref="A90:A91"/>
    <mergeCell ref="A92:A93"/>
    <mergeCell ref="A94:A95"/>
    <mergeCell ref="A102:A105"/>
    <mergeCell ref="A106:A110"/>
    <mergeCell ref="A122:A152"/>
    <mergeCell ref="A158:A163"/>
    <mergeCell ref="A169:A170"/>
    <mergeCell ref="A202:A208"/>
    <mergeCell ref="A235:A237"/>
    <mergeCell ref="B2:B4"/>
    <mergeCell ref="B6:B24"/>
    <mergeCell ref="B26:B33"/>
    <mergeCell ref="B34:B47"/>
    <mergeCell ref="B48:B56"/>
    <mergeCell ref="B57:B66"/>
    <mergeCell ref="B67:B68"/>
    <mergeCell ref="B76:B77"/>
    <mergeCell ref="B90:B91"/>
    <mergeCell ref="B92:B93"/>
    <mergeCell ref="B94:B95"/>
    <mergeCell ref="B158:B163"/>
    <mergeCell ref="B169:B170"/>
    <mergeCell ref="B235:B237"/>
    <mergeCell ref="C2:C4"/>
    <mergeCell ref="C6:C24"/>
    <mergeCell ref="C26:C33"/>
    <mergeCell ref="C34:C47"/>
    <mergeCell ref="C48:C56"/>
    <mergeCell ref="C57:C66"/>
    <mergeCell ref="C67:C68"/>
    <mergeCell ref="C76:C77"/>
    <mergeCell ref="C90:C91"/>
    <mergeCell ref="C92:C93"/>
    <mergeCell ref="C94:C95"/>
    <mergeCell ref="C158:C163"/>
    <mergeCell ref="C169:C170"/>
    <mergeCell ref="C235:C237"/>
    <mergeCell ref="D2:D4"/>
    <mergeCell ref="D6:D24"/>
    <mergeCell ref="D26:D33"/>
    <mergeCell ref="D34:D47"/>
    <mergeCell ref="D48:D56"/>
    <mergeCell ref="D57:D66"/>
    <mergeCell ref="D67:D68"/>
    <mergeCell ref="D76:D77"/>
    <mergeCell ref="D90:D91"/>
    <mergeCell ref="D92:D93"/>
    <mergeCell ref="D94:D95"/>
    <mergeCell ref="D158:D163"/>
    <mergeCell ref="D169:D170"/>
    <mergeCell ref="D235:D237"/>
    <mergeCell ref="D243:D245"/>
    <mergeCell ref="E2:E4"/>
    <mergeCell ref="E6:E24"/>
    <mergeCell ref="E26:E33"/>
    <mergeCell ref="E34:E47"/>
    <mergeCell ref="E48:E56"/>
    <mergeCell ref="E57:E66"/>
    <mergeCell ref="E67:E68"/>
    <mergeCell ref="E76:E77"/>
    <mergeCell ref="E92:E93"/>
    <mergeCell ref="E94:E95"/>
    <mergeCell ref="E106:E112"/>
    <mergeCell ref="E122:E128"/>
    <mergeCell ref="E129:E133"/>
    <mergeCell ref="E134:E140"/>
    <mergeCell ref="E141:E142"/>
    <mergeCell ref="E158:E163"/>
    <mergeCell ref="E169:E170"/>
    <mergeCell ref="E175:E181"/>
    <mergeCell ref="E183:E188"/>
    <mergeCell ref="E235:E237"/>
    <mergeCell ref="F2:F4"/>
    <mergeCell ref="F6:F18"/>
    <mergeCell ref="F19:F22"/>
    <mergeCell ref="F26:F27"/>
    <mergeCell ref="F28:F31"/>
    <mergeCell ref="F34:F41"/>
    <mergeCell ref="F42:F45"/>
    <mergeCell ref="F48:F50"/>
    <mergeCell ref="F51:F54"/>
    <mergeCell ref="F57:F60"/>
    <mergeCell ref="F61:F64"/>
    <mergeCell ref="F67:F68"/>
    <mergeCell ref="F76:F77"/>
    <mergeCell ref="F103:F105"/>
    <mergeCell ref="F106:F108"/>
    <mergeCell ref="F109:F120"/>
    <mergeCell ref="F122:F123"/>
    <mergeCell ref="F124:F128"/>
    <mergeCell ref="F130:F133"/>
    <mergeCell ref="F134:F136"/>
    <mergeCell ref="F137:F140"/>
    <mergeCell ref="F142:F145"/>
    <mergeCell ref="F146:F151"/>
    <mergeCell ref="F158:F163"/>
    <mergeCell ref="F169:F170"/>
    <mergeCell ref="F175:F176"/>
    <mergeCell ref="F177:F181"/>
    <mergeCell ref="F183:F188"/>
    <mergeCell ref="F203:F207"/>
    <mergeCell ref="F209:F210"/>
    <mergeCell ref="F211:F215"/>
    <mergeCell ref="F220:F222"/>
    <mergeCell ref="F235:F237"/>
    <mergeCell ref="G2:G4"/>
    <mergeCell ref="G6:G7"/>
    <mergeCell ref="G8:G10"/>
    <mergeCell ref="G12:G14"/>
    <mergeCell ref="G15:G18"/>
    <mergeCell ref="G35:G37"/>
    <mergeCell ref="G39:G40"/>
    <mergeCell ref="G43:G44"/>
    <mergeCell ref="G106:G108"/>
    <mergeCell ref="G109:G110"/>
    <mergeCell ref="G111:G112"/>
    <mergeCell ref="G113:G114"/>
    <mergeCell ref="G135:G136"/>
    <mergeCell ref="G159:G162"/>
    <mergeCell ref="G235:G237"/>
    <mergeCell ref="H2:H4"/>
    <mergeCell ref="H6:H7"/>
    <mergeCell ref="H8:H10"/>
    <mergeCell ref="H12:H14"/>
    <mergeCell ref="H15:H18"/>
    <mergeCell ref="H35:H37"/>
    <mergeCell ref="H39:H40"/>
    <mergeCell ref="H43:H44"/>
    <mergeCell ref="H159:H162"/>
    <mergeCell ref="H235:H237"/>
    <mergeCell ref="I3:I4"/>
    <mergeCell ref="I58:I60"/>
    <mergeCell ref="I236:I237"/>
    <mergeCell ref="J3:J4"/>
    <mergeCell ref="J6:J7"/>
    <mergeCell ref="J8:J10"/>
    <mergeCell ref="J16:J17"/>
    <mergeCell ref="J35:J37"/>
    <mergeCell ref="J58:J60"/>
    <mergeCell ref="J160:J161"/>
    <mergeCell ref="J236:J237"/>
    <mergeCell ref="K3:K4"/>
    <mergeCell ref="K6:K7"/>
    <mergeCell ref="K8:K10"/>
    <mergeCell ref="K12:K14"/>
    <mergeCell ref="K16:K17"/>
    <mergeCell ref="K35:K37"/>
    <mergeCell ref="K58:K60"/>
    <mergeCell ref="K236:K237"/>
    <mergeCell ref="L3:L4"/>
    <mergeCell ref="L6:L7"/>
    <mergeCell ref="L8:L10"/>
    <mergeCell ref="L12:L14"/>
    <mergeCell ref="L15:L18"/>
    <mergeCell ref="L35:L37"/>
    <mergeCell ref="L39:L40"/>
    <mergeCell ref="L58:L60"/>
    <mergeCell ref="L159:L162"/>
    <mergeCell ref="L236:L237"/>
    <mergeCell ref="M3:M4"/>
    <mergeCell ref="M6:M7"/>
    <mergeCell ref="M8:M10"/>
    <mergeCell ref="M12:M14"/>
    <mergeCell ref="M15:M18"/>
    <mergeCell ref="M35:M37"/>
    <mergeCell ref="M39:M40"/>
    <mergeCell ref="M58:M60"/>
    <mergeCell ref="M159:M162"/>
    <mergeCell ref="M236:M237"/>
    <mergeCell ref="N3:N4"/>
    <mergeCell ref="N6:N7"/>
    <mergeCell ref="N8:N10"/>
    <mergeCell ref="N12:N14"/>
    <mergeCell ref="N15:N18"/>
    <mergeCell ref="N35:N37"/>
    <mergeCell ref="N39:N40"/>
    <mergeCell ref="N58:N60"/>
    <mergeCell ref="N159:N162"/>
    <mergeCell ref="N236:N237"/>
    <mergeCell ref="O6:O7"/>
    <mergeCell ref="O8:O10"/>
    <mergeCell ref="O12:O14"/>
    <mergeCell ref="O15:O18"/>
    <mergeCell ref="O35:O37"/>
    <mergeCell ref="O39:O40"/>
    <mergeCell ref="O58:O60"/>
    <mergeCell ref="O159:O162"/>
    <mergeCell ref="P6:P7"/>
    <mergeCell ref="P8:P10"/>
    <mergeCell ref="P12:P14"/>
    <mergeCell ref="P15:P18"/>
    <mergeCell ref="P35:P37"/>
    <mergeCell ref="P39:P40"/>
    <mergeCell ref="P159:P162"/>
    <mergeCell ref="Q6:Q7"/>
    <mergeCell ref="Q8:Q10"/>
    <mergeCell ref="Q12:Q14"/>
    <mergeCell ref="Q15:Q18"/>
    <mergeCell ref="Q35:Q37"/>
    <mergeCell ref="Q39:Q40"/>
    <mergeCell ref="Q58:Q60"/>
    <mergeCell ref="Q159:Q162"/>
    <mergeCell ref="R2:R3"/>
    <mergeCell ref="R6:R7"/>
    <mergeCell ref="R8:R10"/>
    <mergeCell ref="R12:R14"/>
    <mergeCell ref="R15:R18"/>
    <mergeCell ref="R35:R37"/>
    <mergeCell ref="R39:R40"/>
    <mergeCell ref="R58:R60"/>
    <mergeCell ref="R159:R162"/>
    <mergeCell ref="R235:R236"/>
    <mergeCell ref="S6:S7"/>
    <mergeCell ref="S8:S10"/>
    <mergeCell ref="S12:S14"/>
    <mergeCell ref="S15:S18"/>
    <mergeCell ref="S35:S37"/>
    <mergeCell ref="S39:S40"/>
    <mergeCell ref="S58:S60"/>
    <mergeCell ref="S90:S91"/>
    <mergeCell ref="S92:S93"/>
    <mergeCell ref="S94:S95"/>
    <mergeCell ref="S159:S162"/>
    <mergeCell ref="T6:T7"/>
    <mergeCell ref="T8:T10"/>
    <mergeCell ref="T12:T14"/>
    <mergeCell ref="T15:T18"/>
    <mergeCell ref="T35:T37"/>
    <mergeCell ref="T39:T40"/>
    <mergeCell ref="T43:T44"/>
    <mergeCell ref="T58:T60"/>
    <mergeCell ref="T90:T91"/>
    <mergeCell ref="T92:T93"/>
    <mergeCell ref="T94:T95"/>
    <mergeCell ref="T159:T162"/>
    <mergeCell ref="U6:U7"/>
    <mergeCell ref="U8:U10"/>
    <mergeCell ref="U12:U14"/>
    <mergeCell ref="U15:U18"/>
    <mergeCell ref="U35:U37"/>
    <mergeCell ref="U39:U40"/>
    <mergeCell ref="U43:U44"/>
    <mergeCell ref="U58:U59"/>
    <mergeCell ref="U90:U91"/>
    <mergeCell ref="U159:U162"/>
    <mergeCell ref="V6:V7"/>
    <mergeCell ref="V8:V10"/>
    <mergeCell ref="V12:V14"/>
    <mergeCell ref="V15:V18"/>
    <mergeCell ref="V35:V37"/>
    <mergeCell ref="V39:V40"/>
    <mergeCell ref="V43:V44"/>
    <mergeCell ref="V58:V60"/>
    <mergeCell ref="V90:V91"/>
    <mergeCell ref="V92:V93"/>
    <mergeCell ref="V94:V95"/>
    <mergeCell ref="V159:V162"/>
    <mergeCell ref="W2:W3"/>
    <mergeCell ref="W6:W7"/>
    <mergeCell ref="W8:W10"/>
    <mergeCell ref="W12:W14"/>
    <mergeCell ref="W15:W18"/>
    <mergeCell ref="W35:W37"/>
    <mergeCell ref="W39:W40"/>
    <mergeCell ref="W43:W44"/>
    <mergeCell ref="W58:W60"/>
    <mergeCell ref="W90:W91"/>
    <mergeCell ref="W159:W162"/>
    <mergeCell ref="W235:W236"/>
    <mergeCell ref="X2:X3"/>
    <mergeCell ref="X6:X7"/>
    <mergeCell ref="X8:X10"/>
    <mergeCell ref="X12:X14"/>
    <mergeCell ref="X15:X18"/>
    <mergeCell ref="X39:X40"/>
    <mergeCell ref="X58:X60"/>
    <mergeCell ref="X90:X91"/>
    <mergeCell ref="X153:X154"/>
    <mergeCell ref="X159:X162"/>
    <mergeCell ref="X190:X191"/>
    <mergeCell ref="X216:X217"/>
    <mergeCell ref="X235:X236"/>
    <mergeCell ref="B102:D105"/>
    <mergeCell ref="B106:D120"/>
    <mergeCell ref="B122:D128"/>
    <mergeCell ref="B129:D133"/>
    <mergeCell ref="B134:D140"/>
    <mergeCell ref="B141:D145"/>
    <mergeCell ref="B146:D151"/>
    <mergeCell ref="A153:F154"/>
    <mergeCell ref="B175:D181"/>
    <mergeCell ref="B183:D188"/>
    <mergeCell ref="A190:F191"/>
    <mergeCell ref="B202:D207"/>
    <mergeCell ref="B208:D210"/>
    <mergeCell ref="A216:F217"/>
    <mergeCell ref="A220:E222"/>
    <mergeCell ref="A239:E240"/>
  </mergeCells>
  <pageMargins left="0.75" right="0.75" top="1" bottom="1" header="0.5" footer="0.5"/>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A322"/>
  <sheetViews>
    <sheetView zoomScale="70" zoomScaleNormal="70" workbookViewId="0">
      <pane ySplit="4" topLeftCell="A250" activePane="bottomLeft" state="frozen"/>
      <selection/>
      <selection pane="bottomLeft" activeCell="M264" sqref="M264"/>
    </sheetView>
  </sheetViews>
  <sheetFormatPr defaultColWidth="9" defaultRowHeight="13.85"/>
  <cols>
    <col min="1" max="1" width="7.08333333333333" style="24" customWidth="1"/>
    <col min="2" max="2" width="23.75" style="24" customWidth="1"/>
    <col min="3" max="3" width="15.4666666666667" style="24" customWidth="1"/>
    <col min="4" max="4" width="15.7833333333333" style="24" customWidth="1"/>
    <col min="5" max="5" width="12.3416666666667" style="25" customWidth="1"/>
    <col min="6" max="6" width="9.83333333333333" style="26" customWidth="1"/>
    <col min="7" max="7" width="23.5" style="27" customWidth="1"/>
    <col min="8" max="8" width="21.0916666666667" style="28" customWidth="1"/>
    <col min="9" max="9" width="18.75" style="29" customWidth="1"/>
    <col min="10" max="10" width="15.375" style="29" customWidth="1"/>
    <col min="11" max="11" width="16.625" style="29" customWidth="1"/>
    <col min="12" max="12" width="17.0333333333333" style="30" customWidth="1"/>
    <col min="13" max="13" width="15.8916666666667" style="30" customWidth="1"/>
    <col min="14" max="14" width="11.7833333333333" style="30" customWidth="1"/>
    <col min="15" max="15" width="13.4333333333333" style="30" customWidth="1"/>
    <col min="16" max="16" width="13.75" style="30" customWidth="1"/>
    <col min="17" max="17" width="13.625" style="30" customWidth="1"/>
    <col min="18" max="18" width="15.375" style="30" customWidth="1"/>
    <col min="19" max="19" width="17.125" style="31" customWidth="1"/>
    <col min="20" max="20" width="17.1833333333333" style="31" customWidth="1"/>
    <col min="21" max="21" width="17.125" style="30" customWidth="1"/>
    <col min="22" max="22" width="13.75" style="32" customWidth="1"/>
    <col min="23" max="23" width="20.4166666666667" style="32" customWidth="1"/>
    <col min="24" max="24" width="28.5916666666667" style="33" customWidth="1"/>
    <col min="25" max="25" width="12.625" style="1"/>
    <col min="26" max="16384" width="9" style="1"/>
  </cols>
  <sheetData>
    <row r="1" s="1" customFormat="1" ht="27" customHeight="1" spans="1:24">
      <c r="A1" s="34" t="s">
        <v>325</v>
      </c>
      <c r="B1" s="34"/>
      <c r="C1" s="34"/>
      <c r="D1" s="34"/>
      <c r="E1" s="35"/>
      <c r="F1" s="35"/>
      <c r="G1" s="34"/>
      <c r="H1" s="34"/>
      <c r="I1" s="84"/>
      <c r="J1" s="84"/>
      <c r="K1" s="84"/>
      <c r="L1" s="85"/>
      <c r="M1" s="85"/>
      <c r="N1" s="85"/>
      <c r="O1" s="85"/>
      <c r="P1" s="85"/>
      <c r="Q1" s="85"/>
      <c r="R1" s="85"/>
      <c r="S1" s="121"/>
      <c r="T1" s="121"/>
      <c r="U1" s="85"/>
      <c r="V1" s="85"/>
      <c r="W1" s="85"/>
      <c r="X1" s="34"/>
    </row>
    <row r="2" s="15" customFormat="1" ht="20.25" spans="1:24">
      <c r="A2" s="36" t="s">
        <v>1</v>
      </c>
      <c r="B2" s="36" t="s">
        <v>2</v>
      </c>
      <c r="C2" s="36" t="s">
        <v>3</v>
      </c>
      <c r="D2" s="36" t="s">
        <v>4</v>
      </c>
      <c r="E2" s="37" t="s">
        <v>5</v>
      </c>
      <c r="F2" s="37" t="s">
        <v>6</v>
      </c>
      <c r="G2" s="36" t="s">
        <v>7</v>
      </c>
      <c r="H2" s="36" t="s">
        <v>8</v>
      </c>
      <c r="I2" s="86" t="s">
        <v>285</v>
      </c>
      <c r="J2" s="87"/>
      <c r="K2" s="87"/>
      <c r="L2" s="88" t="s">
        <v>286</v>
      </c>
      <c r="M2" s="89"/>
      <c r="N2" s="89"/>
      <c r="O2" s="89"/>
      <c r="P2" s="89"/>
      <c r="Q2" s="89"/>
      <c r="R2" s="122" t="s">
        <v>11</v>
      </c>
      <c r="S2" s="123" t="s">
        <v>12</v>
      </c>
      <c r="T2" s="124"/>
      <c r="U2" s="123" t="s">
        <v>287</v>
      </c>
      <c r="V2" s="124"/>
      <c r="W2" s="122" t="s">
        <v>14</v>
      </c>
      <c r="X2" s="122" t="s">
        <v>289</v>
      </c>
    </row>
    <row r="3" s="16" customFormat="1" ht="20.25" spans="1:24">
      <c r="A3" s="36"/>
      <c r="B3" s="36"/>
      <c r="C3" s="36"/>
      <c r="D3" s="36"/>
      <c r="E3" s="37"/>
      <c r="F3" s="37"/>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126"/>
    </row>
    <row r="4" s="16" customFormat="1" ht="44" customHeight="1" spans="1:24">
      <c r="A4" s="36"/>
      <c r="B4" s="36"/>
      <c r="C4" s="36"/>
      <c r="D4" s="36"/>
      <c r="E4" s="37"/>
      <c r="F4" s="37"/>
      <c r="G4" s="36"/>
      <c r="H4" s="36"/>
      <c r="I4" s="36"/>
      <c r="J4" s="36"/>
      <c r="K4" s="36"/>
      <c r="L4" s="36"/>
      <c r="M4" s="36"/>
      <c r="N4" s="36"/>
      <c r="O4" s="92" t="s">
        <v>293</v>
      </c>
      <c r="P4" s="92" t="s">
        <v>294</v>
      </c>
      <c r="Q4" s="92" t="s">
        <v>25</v>
      </c>
      <c r="R4" s="126"/>
      <c r="S4" s="127"/>
      <c r="T4" s="125"/>
      <c r="U4" s="128"/>
      <c r="V4" s="128"/>
      <c r="W4" s="129"/>
      <c r="X4" s="129"/>
    </row>
    <row r="5" s="1" customFormat="1" ht="36" customHeight="1" spans="1:24">
      <c r="A5" s="38" t="s">
        <v>31</v>
      </c>
      <c r="B5" s="39" t="s">
        <v>32</v>
      </c>
      <c r="C5" s="40"/>
      <c r="D5" s="40"/>
      <c r="E5" s="41"/>
      <c r="F5" s="41"/>
      <c r="G5" s="40"/>
      <c r="H5" s="42"/>
      <c r="I5" s="93"/>
      <c r="J5" s="93"/>
      <c r="K5" s="93"/>
      <c r="L5" s="93"/>
      <c r="M5" s="93"/>
      <c r="N5" s="93"/>
      <c r="O5" s="93"/>
      <c r="P5" s="93"/>
      <c r="Q5" s="93"/>
      <c r="R5" s="93"/>
      <c r="S5" s="93"/>
      <c r="T5" s="130"/>
      <c r="U5" s="131"/>
      <c r="V5" s="130"/>
      <c r="W5" s="130"/>
      <c r="X5" s="132"/>
    </row>
    <row r="6" s="1" customFormat="1" ht="25" customHeight="1" spans="1:24">
      <c r="A6" s="43">
        <v>1</v>
      </c>
      <c r="B6" s="43" t="s">
        <v>33</v>
      </c>
      <c r="C6" s="43" t="s">
        <v>34</v>
      </c>
      <c r="D6" s="44"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69"/>
    </row>
    <row r="7" s="1" customFormat="1" spans="1:24">
      <c r="A7" s="48"/>
      <c r="B7" s="48"/>
      <c r="C7" s="48"/>
      <c r="D7" s="48"/>
      <c r="E7" s="49"/>
      <c r="F7" s="46"/>
      <c r="G7" s="47"/>
      <c r="H7" s="47"/>
      <c r="I7" s="94">
        <v>26478900.92</v>
      </c>
      <c r="J7" s="95"/>
      <c r="K7" s="95"/>
      <c r="L7" s="96"/>
      <c r="M7" s="96"/>
      <c r="N7" s="96"/>
      <c r="O7" s="96"/>
      <c r="P7" s="98"/>
      <c r="Q7" s="98"/>
      <c r="R7" s="98"/>
      <c r="S7" s="96"/>
      <c r="T7" s="98"/>
      <c r="U7" s="98"/>
      <c r="V7" s="98"/>
      <c r="W7" s="98"/>
      <c r="X7" s="70"/>
    </row>
    <row r="8" s="1" customFormat="1" spans="1:24">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69"/>
    </row>
    <row r="9" s="1" customFormat="1" spans="1:24">
      <c r="A9" s="48"/>
      <c r="B9" s="48"/>
      <c r="C9" s="48"/>
      <c r="D9" s="48"/>
      <c r="E9" s="49"/>
      <c r="F9" s="46"/>
      <c r="G9" s="47"/>
      <c r="H9" s="47"/>
      <c r="I9" s="94">
        <v>7013045.58</v>
      </c>
      <c r="J9" s="95"/>
      <c r="K9" s="95"/>
      <c r="L9" s="96"/>
      <c r="M9" s="96"/>
      <c r="N9" s="96"/>
      <c r="O9" s="96"/>
      <c r="P9" s="70"/>
      <c r="Q9" s="98"/>
      <c r="R9" s="98"/>
      <c r="S9" s="96"/>
      <c r="T9" s="98"/>
      <c r="U9" s="98"/>
      <c r="V9" s="98"/>
      <c r="W9" s="98"/>
      <c r="X9" s="70"/>
    </row>
    <row r="10" s="1" customFormat="1" spans="1:24">
      <c r="A10" s="48"/>
      <c r="B10" s="48"/>
      <c r="C10" s="48"/>
      <c r="D10" s="48"/>
      <c r="E10" s="49"/>
      <c r="F10" s="46"/>
      <c r="G10" s="47"/>
      <c r="H10" s="47"/>
      <c r="I10" s="94">
        <v>9999999</v>
      </c>
      <c r="J10" s="95"/>
      <c r="K10" s="95"/>
      <c r="L10" s="96"/>
      <c r="M10" s="96"/>
      <c r="N10" s="96"/>
      <c r="O10" s="96"/>
      <c r="P10" s="70"/>
      <c r="Q10" s="98"/>
      <c r="R10" s="98"/>
      <c r="S10" s="96"/>
      <c r="T10" s="98"/>
      <c r="U10" s="98"/>
      <c r="V10" s="98"/>
      <c r="W10" s="98"/>
      <c r="X10" s="70"/>
    </row>
    <row r="11" s="1" customFormat="1" ht="38" customHeight="1" spans="1:24">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135"/>
    </row>
    <row r="12" s="1" customFormat="1" spans="1:24">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6"/>
    </row>
    <row r="13" s="1" customFormat="1" spans="1:24">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6"/>
    </row>
    <row r="14" s="1" customFormat="1" spans="1:24">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6"/>
    </row>
    <row r="15" s="1" customFormat="1" spans="1:24">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137"/>
    </row>
    <row r="16" s="1" customFormat="1" spans="1:24">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137"/>
    </row>
    <row r="17" s="1" customFormat="1" spans="1:24">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137"/>
    </row>
    <row r="18" s="1" customFormat="1" spans="1:24">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139"/>
    </row>
    <row r="19" s="1" customFormat="1" ht="31" customHeight="1" spans="1:24">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56"/>
    </row>
    <row r="20" s="1" customFormat="1" ht="31" customHeight="1" spans="1:24">
      <c r="A20" s="48"/>
      <c r="B20" s="48"/>
      <c r="C20" s="48"/>
      <c r="D20" s="48"/>
      <c r="E20" s="49"/>
      <c r="F20" s="52"/>
      <c r="G20" s="54" t="s">
        <v>406</v>
      </c>
      <c r="H20" s="54" t="s">
        <v>407</v>
      </c>
      <c r="I20" s="53">
        <v>198113.21</v>
      </c>
      <c r="J20" s="102">
        <v>11886.79</v>
      </c>
      <c r="K20" s="103">
        <f>J20+I20+I21+I22+J21+J22</f>
        <v>6463024.3</v>
      </c>
      <c r="L20" s="104"/>
      <c r="M20" s="104"/>
      <c r="N20" s="104"/>
      <c r="O20" s="104"/>
      <c r="P20" s="104"/>
      <c r="Q20" s="104"/>
      <c r="R20" s="104"/>
      <c r="S20" s="104"/>
      <c r="T20" s="104"/>
      <c r="U20" s="104"/>
      <c r="V20" s="140"/>
      <c r="W20" s="140"/>
      <c r="X20" s="56"/>
    </row>
    <row r="21" s="1" customFormat="1" ht="31" customHeight="1" spans="1:24">
      <c r="A21" s="48"/>
      <c r="B21" s="48"/>
      <c r="C21" s="48"/>
      <c r="D21" s="48"/>
      <c r="E21" s="49"/>
      <c r="F21" s="52"/>
      <c r="G21" s="55"/>
      <c r="H21" s="55"/>
      <c r="I21" s="53">
        <v>2720001.87</v>
      </c>
      <c r="J21" s="102">
        <v>244800.17</v>
      </c>
      <c r="K21" s="105"/>
      <c r="L21" s="104"/>
      <c r="M21" s="104"/>
      <c r="N21" s="104"/>
      <c r="O21" s="104"/>
      <c r="P21" s="104"/>
      <c r="Q21" s="104"/>
      <c r="R21" s="104"/>
      <c r="S21" s="104"/>
      <c r="T21" s="104"/>
      <c r="U21" s="104"/>
      <c r="V21" s="140"/>
      <c r="W21" s="140"/>
      <c r="X21" s="56"/>
    </row>
    <row r="22" s="1" customFormat="1" ht="31" customHeight="1" spans="1:24">
      <c r="A22" s="48"/>
      <c r="B22" s="48"/>
      <c r="C22" s="48"/>
      <c r="D22" s="48"/>
      <c r="E22" s="49"/>
      <c r="F22" s="52"/>
      <c r="G22" s="56"/>
      <c r="H22" s="56"/>
      <c r="I22" s="53">
        <v>2909931.2</v>
      </c>
      <c r="J22" s="102">
        <v>378291.06</v>
      </c>
      <c r="K22" s="106"/>
      <c r="L22" s="104"/>
      <c r="M22" s="104"/>
      <c r="N22" s="104"/>
      <c r="O22" s="104"/>
      <c r="P22" s="104"/>
      <c r="Q22" s="104"/>
      <c r="R22" s="104"/>
      <c r="S22" s="104"/>
      <c r="T22" s="104"/>
      <c r="U22" s="104"/>
      <c r="V22" s="140"/>
      <c r="W22" s="140"/>
      <c r="X22" s="56"/>
    </row>
    <row r="23" s="1" customFormat="1" ht="40" customHeight="1" spans="1:24">
      <c r="A23" s="48"/>
      <c r="B23" s="48"/>
      <c r="C23" s="48"/>
      <c r="D23" s="48"/>
      <c r="E23" s="49"/>
      <c r="F23" s="52"/>
      <c r="G23" s="53"/>
      <c r="H23" s="53" t="s">
        <v>408</v>
      </c>
      <c r="I23" s="53"/>
      <c r="J23" s="101"/>
      <c r="K23" s="101"/>
      <c r="L23" s="104"/>
      <c r="M23" s="104"/>
      <c r="N23" s="104"/>
      <c r="O23" s="104"/>
      <c r="P23" s="104"/>
      <c r="Q23" s="104"/>
      <c r="R23" s="104"/>
      <c r="S23" s="104"/>
      <c r="T23" s="104"/>
      <c r="U23" s="104"/>
      <c r="V23" s="140"/>
      <c r="W23" s="140"/>
      <c r="X23" s="56"/>
    </row>
    <row r="24" s="1" customFormat="1" ht="41" customHeight="1" spans="1:24">
      <c r="A24" s="48"/>
      <c r="B24" s="48"/>
      <c r="C24" s="48"/>
      <c r="D24" s="48"/>
      <c r="E24" s="49"/>
      <c r="F24" s="58" t="s">
        <v>326</v>
      </c>
      <c r="G24" s="59"/>
      <c r="H24" s="60"/>
      <c r="I24" s="108">
        <f t="shared" ref="I24:W24" si="1">SUM(I6:I18)</f>
        <v>94163828.8</v>
      </c>
      <c r="J24" s="108">
        <f t="shared" si="1"/>
        <v>9375096.89</v>
      </c>
      <c r="K24" s="108">
        <f t="shared" si="1"/>
        <v>103538925.69</v>
      </c>
      <c r="L24" s="108">
        <f t="shared" si="1"/>
        <v>2208694.43</v>
      </c>
      <c r="M24" s="108">
        <f t="shared" si="1"/>
        <v>0</v>
      </c>
      <c r="N24" s="108">
        <f t="shared" si="1"/>
        <v>0</v>
      </c>
      <c r="O24" s="108">
        <f t="shared" si="1"/>
        <v>0</v>
      </c>
      <c r="P24" s="108">
        <f t="shared" si="1"/>
        <v>0</v>
      </c>
      <c r="Q24" s="108">
        <f t="shared" si="1"/>
        <v>3100</v>
      </c>
      <c r="R24" s="108">
        <f t="shared" si="1"/>
        <v>0</v>
      </c>
      <c r="S24" s="108">
        <f t="shared" si="1"/>
        <v>100072131.26</v>
      </c>
      <c r="T24" s="108">
        <f t="shared" si="1"/>
        <v>1255000</v>
      </c>
      <c r="U24" s="108">
        <f t="shared" si="1"/>
        <v>84578468.7</v>
      </c>
      <c r="V24" s="108">
        <f t="shared" si="1"/>
        <v>1255000</v>
      </c>
      <c r="W24" s="108">
        <f t="shared" si="1"/>
        <v>15493662.56</v>
      </c>
      <c r="X24" s="108"/>
    </row>
    <row r="25" s="1" customFormat="1" ht="47" customHeight="1" spans="1:24">
      <c r="A25" s="48"/>
      <c r="B25" s="48"/>
      <c r="C25" s="48"/>
      <c r="D25" s="48"/>
      <c r="E25" s="49"/>
      <c r="F25" s="61" t="s">
        <v>327</v>
      </c>
      <c r="G25" s="61"/>
      <c r="H25" s="61"/>
      <c r="I25" s="109">
        <f t="shared" ref="I25:X25" si="2">SUM(I19:I23)</f>
        <v>5828046.28</v>
      </c>
      <c r="J25" s="109">
        <f t="shared" si="2"/>
        <v>634978.02</v>
      </c>
      <c r="K25" s="109">
        <f t="shared" si="2"/>
        <v>6463024.3</v>
      </c>
      <c r="L25" s="109">
        <f t="shared" si="2"/>
        <v>0</v>
      </c>
      <c r="M25" s="109">
        <f t="shared" si="2"/>
        <v>0</v>
      </c>
      <c r="N25" s="109">
        <f t="shared" si="2"/>
        <v>0</v>
      </c>
      <c r="O25" s="109">
        <f t="shared" si="2"/>
        <v>0</v>
      </c>
      <c r="P25" s="109">
        <f t="shared" si="2"/>
        <v>0</v>
      </c>
      <c r="Q25" s="109">
        <f t="shared" si="2"/>
        <v>0</v>
      </c>
      <c r="R25" s="109">
        <f t="shared" si="2"/>
        <v>0</v>
      </c>
      <c r="S25" s="109">
        <f t="shared" si="2"/>
        <v>0</v>
      </c>
      <c r="T25" s="109">
        <f t="shared" si="2"/>
        <v>0</v>
      </c>
      <c r="U25" s="109">
        <f t="shared" si="2"/>
        <v>15493662.56</v>
      </c>
      <c r="V25" s="109">
        <f t="shared" si="2"/>
        <v>0</v>
      </c>
      <c r="W25" s="109">
        <f t="shared" si="2"/>
        <v>-15493662.56</v>
      </c>
      <c r="X25" s="109">
        <f t="shared" si="2"/>
        <v>0</v>
      </c>
    </row>
    <row r="26" s="1" customFormat="1" ht="41" customHeight="1" spans="1:24">
      <c r="A26" s="43"/>
      <c r="B26" s="43"/>
      <c r="C26" s="43"/>
      <c r="D26" s="43"/>
      <c r="E26" s="45"/>
      <c r="F26" s="62"/>
      <c r="G26" s="63"/>
      <c r="H26" s="64"/>
      <c r="I26" s="110"/>
      <c r="J26" s="110"/>
      <c r="K26" s="385"/>
      <c r="L26" s="111"/>
      <c r="M26" s="111"/>
      <c r="N26" s="111"/>
      <c r="O26" s="111"/>
      <c r="P26" s="111"/>
      <c r="Q26" s="111"/>
      <c r="R26" s="111"/>
      <c r="S26" s="111"/>
      <c r="T26" s="141"/>
      <c r="U26" s="141"/>
      <c r="V26" s="141"/>
      <c r="W26" s="141"/>
      <c r="X26" s="142"/>
    </row>
    <row r="27" s="1" customFormat="1" ht="44" customHeight="1" spans="1:24">
      <c r="A27" s="43">
        <v>2</v>
      </c>
      <c r="B27" s="43" t="s">
        <v>47</v>
      </c>
      <c r="C27" s="43" t="s">
        <v>48</v>
      </c>
      <c r="D27" s="65" t="s">
        <v>49</v>
      </c>
      <c r="E27" s="45">
        <v>1845935</v>
      </c>
      <c r="F27" s="45" t="s">
        <v>295</v>
      </c>
      <c r="G27" s="66" t="s">
        <v>50</v>
      </c>
      <c r="H27" s="66" t="s">
        <v>51</v>
      </c>
      <c r="I27" s="94"/>
      <c r="J27" s="94"/>
      <c r="K27" s="94">
        <f t="shared" ref="K27:K33" si="3">I27+J27</f>
        <v>0</v>
      </c>
      <c r="L27" s="94"/>
      <c r="M27" s="94"/>
      <c r="N27" s="94"/>
      <c r="O27" s="94"/>
      <c r="P27" s="94"/>
      <c r="Q27" s="94"/>
      <c r="R27" s="94">
        <v>184593.5</v>
      </c>
      <c r="S27" s="94">
        <f t="shared" ref="S27:S32" si="4">K27-L27-M27-N27-O27+R27</f>
        <v>184593.5</v>
      </c>
      <c r="T27" s="133"/>
      <c r="U27" s="134">
        <f>R27</f>
        <v>184593.5</v>
      </c>
      <c r="V27" s="133"/>
      <c r="W27" s="133">
        <f t="shared" ref="W27:W32" si="5">S27+T27-U27-V27</f>
        <v>0</v>
      </c>
      <c r="X27" s="135"/>
    </row>
    <row r="28" s="1" customFormat="1" ht="27" spans="1:24">
      <c r="A28" s="48"/>
      <c r="B28" s="48"/>
      <c r="C28" s="48"/>
      <c r="D28" s="67"/>
      <c r="E28" s="49"/>
      <c r="F28" s="49"/>
      <c r="G28" s="66" t="s">
        <v>52</v>
      </c>
      <c r="H28" s="47" t="s">
        <v>53</v>
      </c>
      <c r="I28" s="94">
        <v>320754.72</v>
      </c>
      <c r="J28" s="94">
        <v>19245.28</v>
      </c>
      <c r="K28" s="94">
        <f t="shared" si="3"/>
        <v>340000</v>
      </c>
      <c r="L28" s="94"/>
      <c r="M28" s="94"/>
      <c r="N28" s="94"/>
      <c r="O28" s="94"/>
      <c r="P28" s="94"/>
      <c r="Q28" s="94"/>
      <c r="R28" s="94">
        <v>-68000</v>
      </c>
      <c r="S28" s="94">
        <f t="shared" si="4"/>
        <v>272000</v>
      </c>
      <c r="T28" s="133"/>
      <c r="U28" s="134">
        <v>272000</v>
      </c>
      <c r="V28" s="133"/>
      <c r="W28" s="133">
        <f t="shared" si="5"/>
        <v>0</v>
      </c>
      <c r="X28" s="135"/>
    </row>
    <row r="29" s="1" customFormat="1" ht="35" customHeight="1" spans="1:24">
      <c r="A29" s="48"/>
      <c r="B29" s="48"/>
      <c r="C29" s="48"/>
      <c r="D29" s="67"/>
      <c r="E29" s="49"/>
      <c r="F29" s="52" t="s">
        <v>296</v>
      </c>
      <c r="G29" s="68" t="s">
        <v>352</v>
      </c>
      <c r="H29" s="68" t="s">
        <v>353</v>
      </c>
      <c r="I29" s="101">
        <v>914728.77</v>
      </c>
      <c r="J29" s="101">
        <v>54883.73</v>
      </c>
      <c r="K29" s="101">
        <v>969612.5</v>
      </c>
      <c r="L29" s="101"/>
      <c r="M29" s="101"/>
      <c r="N29" s="101"/>
      <c r="O29" s="101"/>
      <c r="P29" s="101"/>
      <c r="Q29" s="101"/>
      <c r="R29" s="101"/>
      <c r="S29" s="101">
        <f>K29</f>
        <v>969612.5</v>
      </c>
      <c r="T29" s="143"/>
      <c r="U29" s="144">
        <f>S29</f>
        <v>969612.5</v>
      </c>
      <c r="V29" s="143"/>
      <c r="W29" s="143">
        <f t="shared" ref="W29:W31" si="6">S29-U29+T29-V29</f>
        <v>0</v>
      </c>
      <c r="X29" s="135"/>
    </row>
    <row r="30" s="1" customFormat="1" ht="35" customHeight="1" spans="1:24">
      <c r="A30" s="48"/>
      <c r="B30" s="48"/>
      <c r="C30" s="48"/>
      <c r="D30" s="67"/>
      <c r="E30" s="49"/>
      <c r="F30" s="52"/>
      <c r="G30" s="68" t="s">
        <v>371</v>
      </c>
      <c r="H30" s="68" t="s">
        <v>372</v>
      </c>
      <c r="I30" s="101">
        <v>241813.68</v>
      </c>
      <c r="J30" s="101">
        <v>14508.82</v>
      </c>
      <c r="K30" s="101">
        <f>J30+I30</f>
        <v>256322.5</v>
      </c>
      <c r="L30" s="101"/>
      <c r="M30" s="101"/>
      <c r="N30" s="101"/>
      <c r="O30" s="101"/>
      <c r="P30" s="101"/>
      <c r="Q30" s="101"/>
      <c r="R30" s="101"/>
      <c r="S30" s="101">
        <f>K30</f>
        <v>256322.5</v>
      </c>
      <c r="T30" s="143"/>
      <c r="U30" s="144"/>
      <c r="V30" s="143"/>
      <c r="W30" s="143">
        <f t="shared" si="6"/>
        <v>256322.5</v>
      </c>
      <c r="X30" s="135"/>
    </row>
    <row r="31" s="1" customFormat="1" ht="48" customHeight="1" spans="1:24">
      <c r="A31" s="48"/>
      <c r="B31" s="48"/>
      <c r="C31" s="48"/>
      <c r="D31" s="67"/>
      <c r="E31" s="49"/>
      <c r="F31" s="52"/>
      <c r="G31" s="68" t="s">
        <v>373</v>
      </c>
      <c r="H31" s="68" t="s">
        <v>374</v>
      </c>
      <c r="I31" s="101"/>
      <c r="J31" s="101"/>
      <c r="K31" s="101"/>
      <c r="L31" s="101"/>
      <c r="M31" s="101"/>
      <c r="N31" s="101"/>
      <c r="O31" s="101"/>
      <c r="P31" s="101"/>
      <c r="Q31" s="101"/>
      <c r="R31" s="101">
        <v>-116593.5</v>
      </c>
      <c r="S31" s="101"/>
      <c r="T31" s="143"/>
      <c r="U31" s="144"/>
      <c r="V31" s="143"/>
      <c r="W31" s="143">
        <f t="shared" si="6"/>
        <v>0</v>
      </c>
      <c r="X31" s="135"/>
    </row>
    <row r="32" s="1" customFormat="1" ht="21" customHeight="1" spans="1:24">
      <c r="A32" s="48"/>
      <c r="B32" s="48"/>
      <c r="C32" s="48"/>
      <c r="D32" s="67"/>
      <c r="E32" s="49"/>
      <c r="F32" s="52"/>
      <c r="G32" s="52"/>
      <c r="H32" s="52"/>
      <c r="I32" s="101"/>
      <c r="J32" s="101"/>
      <c r="K32" s="101">
        <f t="shared" si="3"/>
        <v>0</v>
      </c>
      <c r="L32" s="101"/>
      <c r="M32" s="101"/>
      <c r="N32" s="101"/>
      <c r="O32" s="101"/>
      <c r="P32" s="101"/>
      <c r="Q32" s="101"/>
      <c r="R32" s="101"/>
      <c r="S32" s="101">
        <f t="shared" si="4"/>
        <v>0</v>
      </c>
      <c r="T32" s="143"/>
      <c r="U32" s="144"/>
      <c r="V32" s="143"/>
      <c r="W32" s="143">
        <f t="shared" si="5"/>
        <v>0</v>
      </c>
      <c r="X32" s="135"/>
    </row>
    <row r="33" s="1" customFormat="1" ht="36" customHeight="1" spans="1:24">
      <c r="A33" s="48"/>
      <c r="B33" s="48"/>
      <c r="C33" s="48"/>
      <c r="D33" s="67"/>
      <c r="E33" s="49"/>
      <c r="F33" s="58" t="s">
        <v>326</v>
      </c>
      <c r="G33" s="59"/>
      <c r="H33" s="60"/>
      <c r="I33" s="108">
        <f t="shared" ref="I33:U33" si="7">SUM(I27:I28)</f>
        <v>320754.72</v>
      </c>
      <c r="J33" s="108">
        <f t="shared" si="7"/>
        <v>19245.28</v>
      </c>
      <c r="K33" s="111">
        <f t="shared" si="3"/>
        <v>340000</v>
      </c>
      <c r="L33" s="111">
        <f t="shared" si="7"/>
        <v>0</v>
      </c>
      <c r="M33" s="111">
        <f t="shared" si="7"/>
        <v>0</v>
      </c>
      <c r="N33" s="111">
        <f t="shared" si="7"/>
        <v>0</v>
      </c>
      <c r="O33" s="111">
        <f t="shared" si="7"/>
        <v>0</v>
      </c>
      <c r="P33" s="111">
        <f t="shared" si="7"/>
        <v>0</v>
      </c>
      <c r="Q33" s="111">
        <f t="shared" si="7"/>
        <v>0</v>
      </c>
      <c r="R33" s="111">
        <f t="shared" si="7"/>
        <v>116593.5</v>
      </c>
      <c r="S33" s="111">
        <f t="shared" si="7"/>
        <v>456593.5</v>
      </c>
      <c r="T33" s="111">
        <f t="shared" si="7"/>
        <v>0</v>
      </c>
      <c r="U33" s="111">
        <f t="shared" si="7"/>
        <v>456593.5</v>
      </c>
      <c r="V33" s="111">
        <f>SUM(V27:V32)</f>
        <v>0</v>
      </c>
      <c r="W33" s="111">
        <f>SUM(W27:W32)-W29-W30</f>
        <v>0</v>
      </c>
      <c r="X33" s="135"/>
    </row>
    <row r="34" s="1" customFormat="1" ht="35" customHeight="1" spans="1:24">
      <c r="A34" s="48"/>
      <c r="B34" s="48"/>
      <c r="C34" s="48"/>
      <c r="D34" s="67"/>
      <c r="E34" s="49"/>
      <c r="F34" s="61" t="s">
        <v>327</v>
      </c>
      <c r="G34" s="61"/>
      <c r="H34" s="61"/>
      <c r="I34" s="109">
        <f t="shared" ref="I34:W34" si="8">SUM(I29:I32)</f>
        <v>1156542.45</v>
      </c>
      <c r="J34" s="109">
        <f t="shared" si="8"/>
        <v>69392.55</v>
      </c>
      <c r="K34" s="109">
        <f t="shared" si="8"/>
        <v>1225935</v>
      </c>
      <c r="L34" s="109">
        <f t="shared" si="8"/>
        <v>0</v>
      </c>
      <c r="M34" s="109">
        <f t="shared" si="8"/>
        <v>0</v>
      </c>
      <c r="N34" s="109">
        <f t="shared" si="8"/>
        <v>0</v>
      </c>
      <c r="O34" s="109">
        <f t="shared" si="8"/>
        <v>0</v>
      </c>
      <c r="P34" s="109">
        <f t="shared" si="8"/>
        <v>0</v>
      </c>
      <c r="Q34" s="109">
        <f t="shared" si="8"/>
        <v>0</v>
      </c>
      <c r="R34" s="109">
        <f t="shared" si="8"/>
        <v>-116593.5</v>
      </c>
      <c r="S34" s="109">
        <f t="shared" si="8"/>
        <v>1225935</v>
      </c>
      <c r="T34" s="109">
        <f t="shared" si="8"/>
        <v>0</v>
      </c>
      <c r="U34" s="109">
        <f t="shared" si="8"/>
        <v>969612.5</v>
      </c>
      <c r="V34" s="109">
        <f t="shared" si="8"/>
        <v>0</v>
      </c>
      <c r="W34" s="109">
        <f t="shared" si="8"/>
        <v>256322.5</v>
      </c>
      <c r="X34" s="135"/>
    </row>
    <row r="35" s="1" customFormat="1" ht="27.4" spans="1:24">
      <c r="A35" s="43">
        <v>3</v>
      </c>
      <c r="B35" s="43" t="s">
        <v>54</v>
      </c>
      <c r="C35" s="43" t="s">
        <v>55</v>
      </c>
      <c r="D35" s="43" t="s">
        <v>56</v>
      </c>
      <c r="E35" s="45">
        <v>68192032</v>
      </c>
      <c r="F35" s="45" t="s">
        <v>295</v>
      </c>
      <c r="G35" s="66" t="s">
        <v>57</v>
      </c>
      <c r="H35" s="50" t="s">
        <v>58</v>
      </c>
      <c r="I35" s="94"/>
      <c r="J35" s="94"/>
      <c r="K35" s="94">
        <f t="shared" ref="K35:K45" si="9">I35+J35</f>
        <v>0</v>
      </c>
      <c r="L35" s="94"/>
      <c r="M35" s="94"/>
      <c r="N35" s="94"/>
      <c r="O35" s="94"/>
      <c r="P35" s="94"/>
      <c r="Q35" s="94"/>
      <c r="R35" s="94">
        <v>3409601.6</v>
      </c>
      <c r="S35" s="94">
        <f t="shared" ref="S35:S39" si="10">K35-L35-M35-N35-O35+R35</f>
        <v>3409601.6</v>
      </c>
      <c r="T35" s="133"/>
      <c r="U35" s="134">
        <v>3409601.6</v>
      </c>
      <c r="V35" s="133"/>
      <c r="W35" s="133">
        <f t="shared" ref="W35:W40" si="11">S35+T35-U35-V35</f>
        <v>0</v>
      </c>
      <c r="X35" s="135"/>
    </row>
    <row r="36" s="1" customFormat="1" ht="25" customHeight="1" spans="1:24">
      <c r="A36" s="48"/>
      <c r="B36" s="48"/>
      <c r="C36" s="48"/>
      <c r="D36" s="48"/>
      <c r="E36" s="49"/>
      <c r="F36" s="49"/>
      <c r="G36" s="69" t="s">
        <v>59</v>
      </c>
      <c r="H36" s="69" t="s">
        <v>60</v>
      </c>
      <c r="I36" s="99">
        <v>636517.45</v>
      </c>
      <c r="J36" s="112">
        <v>621962.02</v>
      </c>
      <c r="K36" s="112">
        <f>I36+I37+I38+J36</f>
        <v>6719203.2</v>
      </c>
      <c r="L36" s="97"/>
      <c r="M36" s="97"/>
      <c r="N36" s="97"/>
      <c r="O36" s="97"/>
      <c r="P36" s="97"/>
      <c r="Q36" s="97"/>
      <c r="R36" s="97">
        <v>-3409601.6</v>
      </c>
      <c r="S36" s="97">
        <f t="shared" si="10"/>
        <v>3309601.6</v>
      </c>
      <c r="T36" s="97"/>
      <c r="U36" s="97">
        <v>3175217.54</v>
      </c>
      <c r="V36" s="97"/>
      <c r="W36" s="97">
        <f t="shared" si="11"/>
        <v>134384.059999999</v>
      </c>
      <c r="X36" s="135"/>
    </row>
    <row r="37" s="1" customFormat="1" spans="1:24">
      <c r="A37" s="48"/>
      <c r="B37" s="48"/>
      <c r="C37" s="48"/>
      <c r="D37" s="48"/>
      <c r="E37" s="49"/>
      <c r="F37" s="49"/>
      <c r="G37" s="70"/>
      <c r="H37" s="70"/>
      <c r="I37" s="99">
        <v>3153077.71</v>
      </c>
      <c r="J37" s="113"/>
      <c r="K37" s="113"/>
      <c r="L37" s="98"/>
      <c r="M37" s="98"/>
      <c r="N37" s="98"/>
      <c r="O37" s="98"/>
      <c r="P37" s="98"/>
      <c r="Q37" s="98"/>
      <c r="R37" s="98"/>
      <c r="S37" s="98"/>
      <c r="T37" s="98"/>
      <c r="U37" s="98"/>
      <c r="V37" s="98"/>
      <c r="W37" s="98"/>
      <c r="X37" s="135"/>
    </row>
    <row r="38" s="1" customFormat="1" spans="1:24">
      <c r="A38" s="48"/>
      <c r="B38" s="48"/>
      <c r="C38" s="48"/>
      <c r="D38" s="48"/>
      <c r="E38" s="49"/>
      <c r="F38" s="49"/>
      <c r="G38" s="71"/>
      <c r="H38" s="71"/>
      <c r="I38" s="99">
        <v>2307646.02</v>
      </c>
      <c r="J38" s="114"/>
      <c r="K38" s="114"/>
      <c r="L38" s="115"/>
      <c r="M38" s="115"/>
      <c r="N38" s="115"/>
      <c r="O38" s="115"/>
      <c r="P38" s="115"/>
      <c r="Q38" s="115"/>
      <c r="R38" s="115"/>
      <c r="S38" s="115"/>
      <c r="T38" s="115"/>
      <c r="U38" s="115"/>
      <c r="V38" s="115"/>
      <c r="W38" s="115"/>
      <c r="X38" s="135"/>
    </row>
    <row r="39" s="1" customFormat="1" ht="58" customHeight="1" spans="1:24">
      <c r="A39" s="48"/>
      <c r="B39" s="48"/>
      <c r="C39" s="48"/>
      <c r="D39" s="48"/>
      <c r="E39" s="49"/>
      <c r="F39" s="49"/>
      <c r="G39" s="72" t="s">
        <v>61</v>
      </c>
      <c r="H39" s="69" t="s">
        <v>62</v>
      </c>
      <c r="I39" s="116">
        <v>12303071.5</v>
      </c>
      <c r="J39" s="117">
        <v>1594936.5</v>
      </c>
      <c r="K39" s="94">
        <f t="shared" si="9"/>
        <v>13898008</v>
      </c>
      <c r="L39" s="94"/>
      <c r="M39" s="94"/>
      <c r="N39" s="94"/>
      <c r="O39" s="94">
        <v>277960.16</v>
      </c>
      <c r="P39" s="94"/>
      <c r="Q39" s="94"/>
      <c r="R39" s="94"/>
      <c r="S39" s="94">
        <f t="shared" si="10"/>
        <v>13620047.84</v>
      </c>
      <c r="T39" s="133"/>
      <c r="U39" s="134">
        <v>13620047.84</v>
      </c>
      <c r="V39" s="133"/>
      <c r="W39" s="133">
        <f t="shared" si="11"/>
        <v>0</v>
      </c>
      <c r="X39" s="135"/>
    </row>
    <row r="40" s="1" customFormat="1" ht="37" customHeight="1" spans="1:24">
      <c r="A40" s="48"/>
      <c r="B40" s="48"/>
      <c r="C40" s="48"/>
      <c r="D40" s="48"/>
      <c r="E40" s="49"/>
      <c r="F40" s="49"/>
      <c r="G40" s="73" t="s">
        <v>63</v>
      </c>
      <c r="H40" s="73" t="s">
        <v>64</v>
      </c>
      <c r="I40" s="99">
        <v>2877914.34</v>
      </c>
      <c r="J40" s="95">
        <v>172674.86</v>
      </c>
      <c r="K40" s="95">
        <f t="shared" si="9"/>
        <v>3050589.2</v>
      </c>
      <c r="L40" s="112"/>
      <c r="M40" s="112"/>
      <c r="N40" s="112"/>
      <c r="O40" s="112">
        <v>335960.16</v>
      </c>
      <c r="P40" s="112"/>
      <c r="Q40" s="112"/>
      <c r="R40" s="112">
        <v>0</v>
      </c>
      <c r="S40" s="112">
        <f>K40-L40-M40-N40-O40+R40+K41-600000</f>
        <v>15862047.84</v>
      </c>
      <c r="T40" s="112">
        <v>600000</v>
      </c>
      <c r="U40" s="112">
        <v>15862047.84</v>
      </c>
      <c r="V40" s="112">
        <v>600000</v>
      </c>
      <c r="W40" s="112">
        <f t="shared" si="11"/>
        <v>0</v>
      </c>
      <c r="X40" s="45"/>
    </row>
    <row r="41" s="1" customFormat="1" ht="37" customHeight="1" spans="1:24">
      <c r="A41" s="48"/>
      <c r="B41" s="48"/>
      <c r="C41" s="48"/>
      <c r="D41" s="48"/>
      <c r="E41" s="49"/>
      <c r="F41" s="49"/>
      <c r="G41" s="73"/>
      <c r="H41" s="73"/>
      <c r="I41" s="99">
        <v>12612310.83</v>
      </c>
      <c r="J41" s="95">
        <v>1135107.97</v>
      </c>
      <c r="K41" s="95">
        <f t="shared" si="9"/>
        <v>13747418.8</v>
      </c>
      <c r="L41" s="113"/>
      <c r="M41" s="113"/>
      <c r="N41" s="113"/>
      <c r="O41" s="113"/>
      <c r="P41" s="113"/>
      <c r="Q41" s="113"/>
      <c r="R41" s="113"/>
      <c r="S41" s="113"/>
      <c r="T41" s="113"/>
      <c r="U41" s="113"/>
      <c r="V41" s="113"/>
      <c r="W41" s="113"/>
      <c r="X41" s="49"/>
    </row>
    <row r="42" s="1" customFormat="1" ht="30" customHeight="1" spans="1:24">
      <c r="A42" s="48"/>
      <c r="B42" s="48"/>
      <c r="C42" s="48"/>
      <c r="D42" s="48"/>
      <c r="E42" s="49"/>
      <c r="F42" s="49"/>
      <c r="G42" s="74" t="s">
        <v>65</v>
      </c>
      <c r="H42" s="74" t="s">
        <v>66</v>
      </c>
      <c r="I42" s="99">
        <v>9272888.15</v>
      </c>
      <c r="J42" s="99"/>
      <c r="K42" s="94">
        <f t="shared" si="9"/>
        <v>9272888.15</v>
      </c>
      <c r="L42" s="94">
        <v>0</v>
      </c>
      <c r="M42" s="94">
        <v>0</v>
      </c>
      <c r="N42" s="94">
        <v>0</v>
      </c>
      <c r="O42" s="94">
        <v>0</v>
      </c>
      <c r="P42" s="94"/>
      <c r="Q42" s="94"/>
      <c r="R42" s="94">
        <v>0</v>
      </c>
      <c r="S42" s="94">
        <f>K42-L42-M42-N42-O42+R42</f>
        <v>9272888.15</v>
      </c>
      <c r="T42" s="94"/>
      <c r="U42" s="94"/>
      <c r="V42" s="94"/>
      <c r="W42" s="94">
        <f>S42+T42-U42-V42</f>
        <v>9272888.15</v>
      </c>
      <c r="X42" s="145"/>
    </row>
    <row r="43" s="1" customFormat="1" ht="30" customHeight="1" spans="1:24">
      <c r="A43" s="48"/>
      <c r="B43" s="48"/>
      <c r="C43" s="48"/>
      <c r="D43" s="48"/>
      <c r="E43" s="49"/>
      <c r="F43" s="52" t="s">
        <v>296</v>
      </c>
      <c r="G43" s="53" t="s">
        <v>328</v>
      </c>
      <c r="H43" s="75" t="s">
        <v>329</v>
      </c>
      <c r="I43" s="118">
        <f>-I42</f>
        <v>-9272888.15</v>
      </c>
      <c r="J43" s="101"/>
      <c r="K43" s="101">
        <f t="shared" si="9"/>
        <v>-9272888.15</v>
      </c>
      <c r="L43" s="101"/>
      <c r="M43" s="101"/>
      <c r="N43" s="101"/>
      <c r="O43" s="101"/>
      <c r="P43" s="101"/>
      <c r="Q43" s="101"/>
      <c r="R43" s="101"/>
      <c r="S43" s="101">
        <f t="shared" ref="S43:S46" si="12">K43</f>
        <v>-9272888.15</v>
      </c>
      <c r="T43" s="101"/>
      <c r="U43" s="101"/>
      <c r="V43" s="101"/>
      <c r="W43" s="101">
        <f>S43</f>
        <v>-9272888.15</v>
      </c>
      <c r="X43" s="145"/>
    </row>
    <row r="44" s="1" customFormat="1" ht="30" customHeight="1" spans="1:24">
      <c r="A44" s="48"/>
      <c r="B44" s="48"/>
      <c r="C44" s="48"/>
      <c r="D44" s="48"/>
      <c r="E44" s="49"/>
      <c r="F44" s="52"/>
      <c r="G44" s="76" t="s">
        <v>330</v>
      </c>
      <c r="H44" s="76" t="s">
        <v>331</v>
      </c>
      <c r="I44" s="118">
        <v>8318111.97</v>
      </c>
      <c r="J44" s="118">
        <v>748630.08</v>
      </c>
      <c r="K44" s="101">
        <f t="shared" si="9"/>
        <v>9066742.05</v>
      </c>
      <c r="L44" s="101"/>
      <c r="M44" s="101"/>
      <c r="N44" s="101"/>
      <c r="O44" s="101">
        <v>201576.1</v>
      </c>
      <c r="P44" s="101"/>
      <c r="Q44" s="101"/>
      <c r="R44" s="101"/>
      <c r="S44" s="101">
        <f t="shared" si="12"/>
        <v>9066742.05</v>
      </c>
      <c r="T44" s="103"/>
      <c r="U44" s="103"/>
      <c r="V44" s="103">
        <v>1756800</v>
      </c>
      <c r="W44" s="103">
        <f>S44+S45-O44-V44</f>
        <v>8120428.7</v>
      </c>
      <c r="X44" s="145"/>
    </row>
    <row r="45" s="1" customFormat="1" ht="30" customHeight="1" spans="1:24">
      <c r="A45" s="48"/>
      <c r="B45" s="48"/>
      <c r="C45" s="48"/>
      <c r="D45" s="48"/>
      <c r="E45" s="49"/>
      <c r="F45" s="52"/>
      <c r="G45" s="76"/>
      <c r="H45" s="76"/>
      <c r="I45" s="118">
        <v>954776.18</v>
      </c>
      <c r="J45" s="118">
        <v>57286.57</v>
      </c>
      <c r="K45" s="101">
        <f t="shared" si="9"/>
        <v>1012062.75</v>
      </c>
      <c r="L45" s="101"/>
      <c r="M45" s="101"/>
      <c r="N45" s="101"/>
      <c r="O45" s="101"/>
      <c r="P45" s="101"/>
      <c r="Q45" s="101"/>
      <c r="R45" s="101"/>
      <c r="S45" s="101">
        <f t="shared" si="12"/>
        <v>1012062.75</v>
      </c>
      <c r="T45" s="106"/>
      <c r="U45" s="106"/>
      <c r="V45" s="106"/>
      <c r="W45" s="106"/>
      <c r="X45" s="145"/>
    </row>
    <row r="46" s="1" customFormat="1" ht="58" customHeight="1" spans="1:24">
      <c r="A46" s="48"/>
      <c r="B46" s="48"/>
      <c r="C46" s="48"/>
      <c r="D46" s="48"/>
      <c r="E46" s="49"/>
      <c r="F46" s="52"/>
      <c r="G46" s="76" t="s">
        <v>354</v>
      </c>
      <c r="H46" s="76" t="s">
        <v>355</v>
      </c>
      <c r="I46" s="118"/>
      <c r="J46" s="118"/>
      <c r="K46" s="101"/>
      <c r="L46" s="101"/>
      <c r="M46" s="101"/>
      <c r="N46" s="101"/>
      <c r="O46" s="101"/>
      <c r="P46" s="101"/>
      <c r="Q46" s="101"/>
      <c r="R46" s="101"/>
      <c r="S46" s="101">
        <f t="shared" si="12"/>
        <v>0</v>
      </c>
      <c r="T46" s="101"/>
      <c r="U46" s="101">
        <v>7196228.7</v>
      </c>
      <c r="V46" s="101">
        <v>924200</v>
      </c>
      <c r="W46" s="101">
        <f>-(U46+V46)</f>
        <v>-8120428.7</v>
      </c>
      <c r="X46" s="145"/>
    </row>
    <row r="47" s="1" customFormat="1" ht="58" customHeight="1" spans="1:24">
      <c r="A47" s="48"/>
      <c r="B47" s="48"/>
      <c r="C47" s="48"/>
      <c r="D47" s="48"/>
      <c r="E47" s="49"/>
      <c r="F47" s="52"/>
      <c r="G47" s="76" t="s">
        <v>409</v>
      </c>
      <c r="H47" s="76" t="s">
        <v>54</v>
      </c>
      <c r="I47" s="118"/>
      <c r="J47" s="118"/>
      <c r="K47" s="101">
        <f>J47+I47</f>
        <v>0</v>
      </c>
      <c r="L47" s="101"/>
      <c r="M47" s="101"/>
      <c r="N47" s="101"/>
      <c r="O47" s="101"/>
      <c r="P47" s="101"/>
      <c r="Q47" s="101"/>
      <c r="R47" s="101"/>
      <c r="S47" s="101"/>
      <c r="T47" s="101"/>
      <c r="U47" s="101"/>
      <c r="V47" s="101"/>
      <c r="W47" s="101"/>
      <c r="X47" s="145"/>
    </row>
    <row r="48" s="1" customFormat="1" ht="29" customHeight="1" spans="1:24">
      <c r="A48" s="48"/>
      <c r="B48" s="48"/>
      <c r="C48" s="48"/>
      <c r="D48" s="48"/>
      <c r="E48" s="49"/>
      <c r="F48" s="58" t="s">
        <v>326</v>
      </c>
      <c r="G48" s="59"/>
      <c r="H48" s="60"/>
      <c r="I48" s="108">
        <f t="shared" ref="I48:W48" si="13">SUM(I35:I42)</f>
        <v>43163426</v>
      </c>
      <c r="J48" s="108">
        <f t="shared" si="13"/>
        <v>3524681.35</v>
      </c>
      <c r="K48" s="108">
        <f t="shared" si="13"/>
        <v>46688107.35</v>
      </c>
      <c r="L48" s="108">
        <f t="shared" si="13"/>
        <v>0</v>
      </c>
      <c r="M48" s="108">
        <f t="shared" si="13"/>
        <v>0</v>
      </c>
      <c r="N48" s="108">
        <f t="shared" si="13"/>
        <v>0</v>
      </c>
      <c r="O48" s="108">
        <f t="shared" si="13"/>
        <v>613920.32</v>
      </c>
      <c r="P48" s="108">
        <f t="shared" si="13"/>
        <v>0</v>
      </c>
      <c r="Q48" s="108">
        <f t="shared" si="13"/>
        <v>0</v>
      </c>
      <c r="R48" s="108">
        <f t="shared" si="13"/>
        <v>0</v>
      </c>
      <c r="S48" s="108">
        <f t="shared" si="13"/>
        <v>45474187.03</v>
      </c>
      <c r="T48" s="111">
        <f t="shared" si="13"/>
        <v>600000</v>
      </c>
      <c r="U48" s="111">
        <f t="shared" si="13"/>
        <v>36066914.82</v>
      </c>
      <c r="V48" s="111">
        <f t="shared" si="13"/>
        <v>600000</v>
      </c>
      <c r="W48" s="111">
        <f t="shared" si="13"/>
        <v>9407272.21</v>
      </c>
      <c r="X48" s="146"/>
    </row>
    <row r="49" s="1" customFormat="1" ht="29" customHeight="1" spans="1:24">
      <c r="A49" s="48"/>
      <c r="B49" s="48"/>
      <c r="C49" s="48"/>
      <c r="D49" s="48"/>
      <c r="E49" s="49"/>
      <c r="F49" s="61" t="s">
        <v>327</v>
      </c>
      <c r="G49" s="61"/>
      <c r="H49" s="61"/>
      <c r="I49" s="109">
        <f t="shared" ref="I49:K49" si="14">SUM(I43:I47)</f>
        <v>-5.82076609134674e-10</v>
      </c>
      <c r="J49" s="109">
        <f t="shared" si="14"/>
        <v>805916.65</v>
      </c>
      <c r="K49" s="109">
        <f t="shared" si="14"/>
        <v>805916.649999999</v>
      </c>
      <c r="L49" s="109">
        <f t="shared" ref="L49:W49" si="15">SUM(L43:L46)</f>
        <v>0</v>
      </c>
      <c r="M49" s="109">
        <f t="shared" si="15"/>
        <v>0</v>
      </c>
      <c r="N49" s="109">
        <f t="shared" si="15"/>
        <v>0</v>
      </c>
      <c r="O49" s="109">
        <f t="shared" si="15"/>
        <v>201576.1</v>
      </c>
      <c r="P49" s="109">
        <f t="shared" si="15"/>
        <v>0</v>
      </c>
      <c r="Q49" s="109">
        <f t="shared" si="15"/>
        <v>0</v>
      </c>
      <c r="R49" s="109">
        <f t="shared" si="15"/>
        <v>0</v>
      </c>
      <c r="S49" s="109">
        <f t="shared" si="15"/>
        <v>805916.649999999</v>
      </c>
      <c r="T49" s="109">
        <f t="shared" si="15"/>
        <v>0</v>
      </c>
      <c r="U49" s="109">
        <f t="shared" si="15"/>
        <v>7196228.7</v>
      </c>
      <c r="V49" s="109">
        <f t="shared" si="15"/>
        <v>2681000</v>
      </c>
      <c r="W49" s="109">
        <f t="shared" si="15"/>
        <v>-9272888.15</v>
      </c>
      <c r="X49" s="142"/>
    </row>
    <row r="50" s="1" customFormat="1" ht="39" customHeight="1" spans="1:24">
      <c r="A50" s="43">
        <v>4</v>
      </c>
      <c r="B50" s="43" t="s">
        <v>67</v>
      </c>
      <c r="C50" s="43" t="s">
        <v>68</v>
      </c>
      <c r="D50" s="65" t="s">
        <v>69</v>
      </c>
      <c r="E50" s="45">
        <v>31370181</v>
      </c>
      <c r="F50" s="45" t="s">
        <v>295</v>
      </c>
      <c r="G50" s="66" t="s">
        <v>70</v>
      </c>
      <c r="H50" s="66" t="s">
        <v>71</v>
      </c>
      <c r="I50" s="94"/>
      <c r="J50" s="94"/>
      <c r="K50" s="94">
        <f>I50+J50</f>
        <v>0</v>
      </c>
      <c r="L50" s="94"/>
      <c r="M50" s="94"/>
      <c r="N50" s="94"/>
      <c r="O50" s="94"/>
      <c r="P50" s="94"/>
      <c r="Q50" s="94"/>
      <c r="R50" s="94">
        <v>3137018.1</v>
      </c>
      <c r="S50" s="94">
        <f t="shared" ref="S50:S52" si="16">K50-L50-M50-N50-O50+R50</f>
        <v>3137018.1</v>
      </c>
      <c r="T50" s="94"/>
      <c r="U50" s="94">
        <v>3137018.1</v>
      </c>
      <c r="V50" s="94"/>
      <c r="W50" s="133">
        <f t="shared" ref="W50:W52" si="17">S50+T50-U50-V50</f>
        <v>0</v>
      </c>
      <c r="X50" s="135"/>
    </row>
    <row r="51" s="1" customFormat="1" ht="51" customHeight="1" spans="1:24">
      <c r="A51" s="48"/>
      <c r="B51" s="48"/>
      <c r="C51" s="48"/>
      <c r="D51" s="67"/>
      <c r="E51" s="49"/>
      <c r="F51" s="49"/>
      <c r="G51" s="66" t="s">
        <v>72</v>
      </c>
      <c r="H51" s="78" t="s">
        <v>73</v>
      </c>
      <c r="I51" s="95">
        <v>16656733.21</v>
      </c>
      <c r="J51" s="95">
        <v>2165375.39</v>
      </c>
      <c r="K51" s="95">
        <f>I51+J51</f>
        <v>18822108.6</v>
      </c>
      <c r="L51" s="95"/>
      <c r="M51" s="95"/>
      <c r="N51" s="95"/>
      <c r="O51" s="95"/>
      <c r="P51" s="95"/>
      <c r="Q51" s="95"/>
      <c r="R51" s="95">
        <v>-3137018.1</v>
      </c>
      <c r="S51" s="95">
        <f t="shared" si="16"/>
        <v>15685090.5</v>
      </c>
      <c r="T51" s="95"/>
      <c r="U51" s="95">
        <v>15685090.5</v>
      </c>
      <c r="V51" s="94"/>
      <c r="W51" s="133">
        <f t="shared" si="17"/>
        <v>0</v>
      </c>
      <c r="X51" s="135"/>
    </row>
    <row r="52" s="1" customFormat="1" ht="42" customHeight="1" spans="1:24">
      <c r="A52" s="48"/>
      <c r="B52" s="48"/>
      <c r="C52" s="48"/>
      <c r="D52" s="67"/>
      <c r="E52" s="49"/>
      <c r="F52" s="49"/>
      <c r="G52" s="79" t="s">
        <v>74</v>
      </c>
      <c r="H52" s="80" t="s">
        <v>75</v>
      </c>
      <c r="I52" s="120">
        <v>9253740.7</v>
      </c>
      <c r="J52" s="120">
        <f>K52-I52</f>
        <v>1202986.3</v>
      </c>
      <c r="K52" s="120">
        <v>10456727</v>
      </c>
      <c r="L52" s="120">
        <v>0</v>
      </c>
      <c r="M52" s="94">
        <v>0</v>
      </c>
      <c r="N52" s="94">
        <v>0</v>
      </c>
      <c r="O52" s="94">
        <v>0</v>
      </c>
      <c r="P52" s="94"/>
      <c r="Q52" s="94"/>
      <c r="R52" s="94">
        <v>0</v>
      </c>
      <c r="S52" s="94">
        <f t="shared" si="16"/>
        <v>10456727</v>
      </c>
      <c r="T52" s="94">
        <v>0</v>
      </c>
      <c r="U52" s="94">
        <v>6274036.2</v>
      </c>
      <c r="V52" s="94"/>
      <c r="W52" s="133">
        <f t="shared" si="17"/>
        <v>4182690.8</v>
      </c>
      <c r="X52" s="135"/>
    </row>
    <row r="53" s="1" customFormat="1" ht="42" customHeight="1" spans="1:24">
      <c r="A53" s="48"/>
      <c r="B53" s="48"/>
      <c r="C53" s="48"/>
      <c r="D53" s="67"/>
      <c r="E53" s="49"/>
      <c r="F53" s="52" t="s">
        <v>296</v>
      </c>
      <c r="G53" s="53" t="s">
        <v>356</v>
      </c>
      <c r="H53" s="68" t="s">
        <v>357</v>
      </c>
      <c r="I53" s="101"/>
      <c r="J53" s="101"/>
      <c r="K53" s="101"/>
      <c r="L53" s="101"/>
      <c r="M53" s="101"/>
      <c r="N53" s="101"/>
      <c r="O53" s="101"/>
      <c r="P53" s="101"/>
      <c r="Q53" s="101"/>
      <c r="R53" s="101"/>
      <c r="S53" s="101"/>
      <c r="T53" s="101"/>
      <c r="U53" s="101">
        <v>3130000</v>
      </c>
      <c r="V53" s="101"/>
      <c r="W53" s="143">
        <f>-U53</f>
        <v>-3130000</v>
      </c>
      <c r="X53" s="135"/>
    </row>
    <row r="54" s="1" customFormat="1" ht="42" customHeight="1" spans="1:24">
      <c r="A54" s="48"/>
      <c r="B54" s="48"/>
      <c r="C54" s="48"/>
      <c r="D54" s="67"/>
      <c r="E54" s="49"/>
      <c r="F54" s="52"/>
      <c r="G54" s="53"/>
      <c r="H54" s="68"/>
      <c r="I54" s="101"/>
      <c r="J54" s="101"/>
      <c r="K54" s="101"/>
      <c r="L54" s="101"/>
      <c r="M54" s="101"/>
      <c r="N54" s="101"/>
      <c r="O54" s="101"/>
      <c r="P54" s="101"/>
      <c r="Q54" s="101"/>
      <c r="R54" s="101"/>
      <c r="S54" s="101"/>
      <c r="T54" s="101"/>
      <c r="U54" s="101"/>
      <c r="V54" s="101"/>
      <c r="W54" s="143"/>
      <c r="X54" s="135"/>
    </row>
    <row r="55" s="1" customFormat="1" ht="42" customHeight="1" spans="1:24">
      <c r="A55" s="48"/>
      <c r="B55" s="48"/>
      <c r="C55" s="48"/>
      <c r="D55" s="67"/>
      <c r="E55" s="49"/>
      <c r="F55" s="52"/>
      <c r="G55" s="53"/>
      <c r="H55" s="68"/>
      <c r="I55" s="101"/>
      <c r="J55" s="101"/>
      <c r="K55" s="101"/>
      <c r="L55" s="101"/>
      <c r="M55" s="101"/>
      <c r="N55" s="101"/>
      <c r="O55" s="101"/>
      <c r="P55" s="101"/>
      <c r="Q55" s="101"/>
      <c r="R55" s="101"/>
      <c r="S55" s="101"/>
      <c r="T55" s="101"/>
      <c r="U55" s="101"/>
      <c r="V55" s="101"/>
      <c r="W55" s="143"/>
      <c r="X55" s="135"/>
    </row>
    <row r="56" s="1" customFormat="1" ht="42" customHeight="1" spans="1:24">
      <c r="A56" s="48"/>
      <c r="B56" s="48"/>
      <c r="C56" s="48"/>
      <c r="D56" s="67"/>
      <c r="E56" s="49"/>
      <c r="F56" s="52"/>
      <c r="G56" s="53"/>
      <c r="H56" s="68"/>
      <c r="I56" s="101"/>
      <c r="J56" s="101"/>
      <c r="K56" s="101"/>
      <c r="L56" s="101"/>
      <c r="M56" s="101"/>
      <c r="N56" s="101"/>
      <c r="O56" s="101"/>
      <c r="P56" s="101"/>
      <c r="Q56" s="101"/>
      <c r="R56" s="101"/>
      <c r="S56" s="101"/>
      <c r="T56" s="101"/>
      <c r="U56" s="101"/>
      <c r="V56" s="101"/>
      <c r="W56" s="143"/>
      <c r="X56" s="135"/>
    </row>
    <row r="57" s="1" customFormat="1" ht="26" customHeight="1" spans="1:24">
      <c r="A57" s="48"/>
      <c r="B57" s="48"/>
      <c r="C57" s="48"/>
      <c r="D57" s="67"/>
      <c r="E57" s="49"/>
      <c r="F57" s="58" t="s">
        <v>326</v>
      </c>
      <c r="G57" s="59"/>
      <c r="H57" s="60"/>
      <c r="I57" s="108">
        <f>SUM(I50:I52)</f>
        <v>25910473.91</v>
      </c>
      <c r="J57" s="108">
        <f>SUM(J50:J52)</f>
        <v>3368361.69</v>
      </c>
      <c r="K57" s="111">
        <f>I57+J57</f>
        <v>29278835.6</v>
      </c>
      <c r="L57" s="111"/>
      <c r="M57" s="111"/>
      <c r="N57" s="111"/>
      <c r="O57" s="111"/>
      <c r="P57" s="111"/>
      <c r="Q57" s="111"/>
      <c r="R57" s="111">
        <f t="shared" ref="R57:W57" si="18">SUM(R50:R52)</f>
        <v>0</v>
      </c>
      <c r="S57" s="147">
        <f t="shared" ref="S57:S60" si="19">K57-L57-M57-N57-O57+R57</f>
        <v>29278835.6</v>
      </c>
      <c r="T57" s="147"/>
      <c r="U57" s="111">
        <f t="shared" si="18"/>
        <v>25096144.8</v>
      </c>
      <c r="V57" s="111">
        <f t="shared" si="18"/>
        <v>0</v>
      </c>
      <c r="W57" s="111">
        <f t="shared" si="18"/>
        <v>4182690.8</v>
      </c>
      <c r="X57" s="146"/>
    </row>
    <row r="58" s="1" customFormat="1" ht="26" customHeight="1" spans="1:24">
      <c r="A58" s="48"/>
      <c r="B58" s="48"/>
      <c r="C58" s="48"/>
      <c r="D58" s="67"/>
      <c r="E58" s="81"/>
      <c r="F58" s="61" t="s">
        <v>327</v>
      </c>
      <c r="G58" s="61"/>
      <c r="H58" s="61"/>
      <c r="I58" s="109">
        <f t="shared" ref="I58:W58" si="20">SUM(I53:I56)</f>
        <v>0</v>
      </c>
      <c r="J58" s="109">
        <f t="shared" si="20"/>
        <v>0</v>
      </c>
      <c r="K58" s="109">
        <f t="shared" si="20"/>
        <v>0</v>
      </c>
      <c r="L58" s="109">
        <f t="shared" si="20"/>
        <v>0</v>
      </c>
      <c r="M58" s="109">
        <f t="shared" si="20"/>
        <v>0</v>
      </c>
      <c r="N58" s="109">
        <f t="shared" si="20"/>
        <v>0</v>
      </c>
      <c r="O58" s="109">
        <f t="shared" si="20"/>
        <v>0</v>
      </c>
      <c r="P58" s="109">
        <f t="shared" si="20"/>
        <v>0</v>
      </c>
      <c r="Q58" s="109">
        <f t="shared" si="20"/>
        <v>0</v>
      </c>
      <c r="R58" s="109">
        <f t="shared" si="20"/>
        <v>0</v>
      </c>
      <c r="S58" s="109">
        <f t="shared" si="20"/>
        <v>0</v>
      </c>
      <c r="T58" s="109">
        <f t="shared" si="20"/>
        <v>0</v>
      </c>
      <c r="U58" s="109">
        <f t="shared" si="20"/>
        <v>3130000</v>
      </c>
      <c r="V58" s="109">
        <f t="shared" si="20"/>
        <v>0</v>
      </c>
      <c r="W58" s="109">
        <f t="shared" si="20"/>
        <v>-3130000</v>
      </c>
      <c r="X58" s="146"/>
    </row>
    <row r="59" s="1" customFormat="1" ht="38" customHeight="1" spans="1:24">
      <c r="A59" s="43">
        <v>5</v>
      </c>
      <c r="B59" s="43" t="s">
        <v>76</v>
      </c>
      <c r="C59" s="43" t="s">
        <v>77</v>
      </c>
      <c r="D59" s="43" t="s">
        <v>78</v>
      </c>
      <c r="E59" s="45">
        <v>98880000</v>
      </c>
      <c r="F59" s="45" t="s">
        <v>301</v>
      </c>
      <c r="G59" s="82" t="s">
        <v>79</v>
      </c>
      <c r="H59" s="82" t="s">
        <v>80</v>
      </c>
      <c r="I59" s="94"/>
      <c r="J59" s="94"/>
      <c r="K59" s="94">
        <f>I59+J59</f>
        <v>0</v>
      </c>
      <c r="L59" s="94"/>
      <c r="M59" s="94"/>
      <c r="N59" s="94"/>
      <c r="O59" s="94"/>
      <c r="P59" s="94"/>
      <c r="Q59" s="94"/>
      <c r="R59" s="94">
        <v>9888000</v>
      </c>
      <c r="S59" s="94">
        <f t="shared" si="19"/>
        <v>9888000</v>
      </c>
      <c r="T59" s="94"/>
      <c r="U59" s="94">
        <v>9888000</v>
      </c>
      <c r="V59" s="94"/>
      <c r="W59" s="94">
        <f>S59+T59-U59-V59</f>
        <v>0</v>
      </c>
      <c r="X59" s="145"/>
    </row>
    <row r="60" s="1" customFormat="1" ht="47" customHeight="1" spans="1:24">
      <c r="A60" s="48"/>
      <c r="B60" s="48"/>
      <c r="C60" s="48"/>
      <c r="D60" s="48"/>
      <c r="E60" s="49"/>
      <c r="F60" s="49"/>
      <c r="G60" s="50" t="s">
        <v>81</v>
      </c>
      <c r="H60" s="83" t="s">
        <v>82</v>
      </c>
      <c r="I60" s="112">
        <f>K60-J60</f>
        <v>70003539.82</v>
      </c>
      <c r="J60" s="112">
        <v>9100460.18</v>
      </c>
      <c r="K60" s="112">
        <v>79104000</v>
      </c>
      <c r="L60" s="112"/>
      <c r="M60" s="112"/>
      <c r="N60" s="112"/>
      <c r="O60" s="112"/>
      <c r="P60" s="112"/>
      <c r="Q60" s="112"/>
      <c r="R60" s="112">
        <v>-9888000</v>
      </c>
      <c r="S60" s="112">
        <f t="shared" si="19"/>
        <v>69216000</v>
      </c>
      <c r="T60" s="45"/>
      <c r="U60" s="148">
        <v>29664000</v>
      </c>
      <c r="V60" s="45"/>
      <c r="W60" s="45">
        <f>S60+T60-U60-U62</f>
        <v>0</v>
      </c>
      <c r="X60" s="45"/>
    </row>
    <row r="61" s="1" customFormat="1" ht="47" customHeight="1" spans="1:24">
      <c r="A61" s="48"/>
      <c r="B61" s="48"/>
      <c r="C61" s="48"/>
      <c r="D61" s="48"/>
      <c r="E61" s="49"/>
      <c r="F61" s="49"/>
      <c r="G61" s="50" t="s">
        <v>83</v>
      </c>
      <c r="H61" s="83" t="s">
        <v>84</v>
      </c>
      <c r="I61" s="113"/>
      <c r="J61" s="113"/>
      <c r="K61" s="113"/>
      <c r="L61" s="113"/>
      <c r="M61" s="113"/>
      <c r="N61" s="113"/>
      <c r="O61" s="113"/>
      <c r="P61" s="113"/>
      <c r="Q61" s="113"/>
      <c r="R61" s="113"/>
      <c r="S61" s="113"/>
      <c r="T61" s="49"/>
      <c r="U61" s="149"/>
      <c r="V61" s="49"/>
      <c r="W61" s="49"/>
      <c r="X61" s="49"/>
    </row>
    <row r="62" s="1" customFormat="1" ht="47" customHeight="1" spans="1:24">
      <c r="A62" s="48"/>
      <c r="B62" s="48"/>
      <c r="C62" s="48"/>
      <c r="D62" s="48"/>
      <c r="E62" s="49"/>
      <c r="F62" s="81"/>
      <c r="G62" s="50" t="s">
        <v>85</v>
      </c>
      <c r="H62" s="83" t="s">
        <v>86</v>
      </c>
      <c r="I62" s="114"/>
      <c r="J62" s="114"/>
      <c r="K62" s="114"/>
      <c r="L62" s="114"/>
      <c r="M62" s="114"/>
      <c r="N62" s="114"/>
      <c r="O62" s="114"/>
      <c r="P62" s="114"/>
      <c r="Q62" s="114"/>
      <c r="R62" s="114"/>
      <c r="S62" s="114"/>
      <c r="T62" s="81"/>
      <c r="U62" s="149">
        <v>39552000</v>
      </c>
      <c r="V62" s="81"/>
      <c r="W62" s="81"/>
      <c r="X62" s="81"/>
    </row>
    <row r="63" s="1" customFormat="1" ht="47" customHeight="1" spans="1:24">
      <c r="A63" s="48"/>
      <c r="B63" s="48"/>
      <c r="C63" s="48"/>
      <c r="D63" s="48"/>
      <c r="E63" s="49"/>
      <c r="F63" s="103" t="s">
        <v>319</v>
      </c>
      <c r="G63" s="53" t="s">
        <v>358</v>
      </c>
      <c r="H63" s="150" t="s">
        <v>359</v>
      </c>
      <c r="I63" s="202">
        <v>17500884.96</v>
      </c>
      <c r="J63" s="202">
        <v>2275115.04</v>
      </c>
      <c r="K63" s="202">
        <f>J63+I63</f>
        <v>19776000</v>
      </c>
      <c r="L63" s="202"/>
      <c r="M63" s="202"/>
      <c r="N63" s="202"/>
      <c r="O63" s="202"/>
      <c r="P63" s="202"/>
      <c r="Q63" s="202"/>
      <c r="R63" s="202"/>
      <c r="S63" s="202">
        <f>K63</f>
        <v>19776000</v>
      </c>
      <c r="T63" s="106"/>
      <c r="U63" s="206">
        <v>2432415.3</v>
      </c>
      <c r="V63" s="106"/>
      <c r="W63" s="106">
        <f>S63-U63</f>
        <v>17343584.7</v>
      </c>
      <c r="X63" s="81"/>
    </row>
    <row r="64" s="1" customFormat="1" ht="47" customHeight="1" spans="1:24">
      <c r="A64" s="48"/>
      <c r="B64" s="48"/>
      <c r="C64" s="48"/>
      <c r="D64" s="48"/>
      <c r="E64" s="49"/>
      <c r="F64" s="105"/>
      <c r="G64" s="53"/>
      <c r="H64" s="151"/>
      <c r="I64" s="202"/>
      <c r="J64" s="202"/>
      <c r="K64" s="202"/>
      <c r="L64" s="202"/>
      <c r="M64" s="202"/>
      <c r="N64" s="202"/>
      <c r="O64" s="202"/>
      <c r="P64" s="202"/>
      <c r="Q64" s="202"/>
      <c r="R64" s="202"/>
      <c r="S64" s="202"/>
      <c r="T64" s="106"/>
      <c r="U64" s="206"/>
      <c r="V64" s="106"/>
      <c r="W64" s="106"/>
      <c r="X64" s="81"/>
    </row>
    <row r="65" s="1" customFormat="1" ht="47" customHeight="1" spans="1:24">
      <c r="A65" s="48"/>
      <c r="B65" s="48"/>
      <c r="C65" s="48"/>
      <c r="D65" s="48"/>
      <c r="E65" s="49"/>
      <c r="F65" s="105"/>
      <c r="G65" s="53"/>
      <c r="H65" s="151"/>
      <c r="I65" s="202"/>
      <c r="J65" s="202"/>
      <c r="K65" s="202"/>
      <c r="L65" s="202"/>
      <c r="M65" s="202"/>
      <c r="N65" s="202"/>
      <c r="O65" s="202"/>
      <c r="P65" s="202"/>
      <c r="Q65" s="202"/>
      <c r="R65" s="202"/>
      <c r="S65" s="202"/>
      <c r="T65" s="106"/>
      <c r="U65" s="206"/>
      <c r="V65" s="106"/>
      <c r="W65" s="106"/>
      <c r="X65" s="81"/>
    </row>
    <row r="66" s="1" customFormat="1" ht="47" customHeight="1" spans="1:24">
      <c r="A66" s="48"/>
      <c r="B66" s="48"/>
      <c r="C66" s="48"/>
      <c r="D66" s="48"/>
      <c r="E66" s="49"/>
      <c r="F66" s="106"/>
      <c r="G66" s="53"/>
      <c r="H66" s="151"/>
      <c r="I66" s="202"/>
      <c r="J66" s="202"/>
      <c r="K66" s="202"/>
      <c r="L66" s="202"/>
      <c r="M66" s="202"/>
      <c r="N66" s="202"/>
      <c r="O66" s="202"/>
      <c r="P66" s="202"/>
      <c r="Q66" s="202"/>
      <c r="R66" s="202"/>
      <c r="S66" s="202"/>
      <c r="T66" s="106"/>
      <c r="U66" s="206"/>
      <c r="V66" s="106"/>
      <c r="W66" s="106"/>
      <c r="X66" s="81"/>
    </row>
    <row r="67" s="1" customFormat="1" ht="39" customHeight="1" spans="1:24">
      <c r="A67" s="48"/>
      <c r="B67" s="48"/>
      <c r="C67" s="48"/>
      <c r="D67" s="48"/>
      <c r="E67" s="49"/>
      <c r="F67" s="58" t="s">
        <v>326</v>
      </c>
      <c r="G67" s="59"/>
      <c r="H67" s="60"/>
      <c r="I67" s="108">
        <f t="shared" ref="I67:O67" si="21">SUM(I59:I62)</f>
        <v>70003539.82</v>
      </c>
      <c r="J67" s="108">
        <f t="shared" si="21"/>
        <v>9100460.18</v>
      </c>
      <c r="K67" s="108">
        <f t="shared" si="21"/>
        <v>79104000</v>
      </c>
      <c r="L67" s="108">
        <f t="shared" si="21"/>
        <v>0</v>
      </c>
      <c r="M67" s="108">
        <f t="shared" si="21"/>
        <v>0</v>
      </c>
      <c r="N67" s="108">
        <f t="shared" si="21"/>
        <v>0</v>
      </c>
      <c r="O67" s="108">
        <f t="shared" si="21"/>
        <v>0</v>
      </c>
      <c r="P67" s="108"/>
      <c r="Q67" s="108">
        <f t="shared" ref="Q67:U67" si="22">SUM(Q59:Q62)</f>
        <v>0</v>
      </c>
      <c r="R67" s="108">
        <f t="shared" si="22"/>
        <v>0</v>
      </c>
      <c r="S67" s="108">
        <f t="shared" si="22"/>
        <v>79104000</v>
      </c>
      <c r="T67" s="108">
        <f t="shared" si="22"/>
        <v>0</v>
      </c>
      <c r="U67" s="108">
        <f t="shared" si="22"/>
        <v>79104000</v>
      </c>
      <c r="V67" s="108"/>
      <c r="W67" s="108">
        <f t="shared" ref="W67:W79" si="23">S67+T67-U67-V67</f>
        <v>0</v>
      </c>
      <c r="X67" s="188"/>
    </row>
    <row r="68" s="1" customFormat="1" ht="39" customHeight="1" spans="1:24">
      <c r="A68" s="48"/>
      <c r="B68" s="48"/>
      <c r="C68" s="48"/>
      <c r="D68" s="48"/>
      <c r="E68" s="49"/>
      <c r="F68" s="61" t="s">
        <v>327</v>
      </c>
      <c r="G68" s="61"/>
      <c r="H68" s="61"/>
      <c r="I68" s="109">
        <f t="shared" ref="I68:W68" si="24">SUM(I63:I66)</f>
        <v>17500884.96</v>
      </c>
      <c r="J68" s="109">
        <f t="shared" si="24"/>
        <v>2275115.04</v>
      </c>
      <c r="K68" s="109">
        <f t="shared" si="24"/>
        <v>19776000</v>
      </c>
      <c r="L68" s="109">
        <f t="shared" si="24"/>
        <v>0</v>
      </c>
      <c r="M68" s="109">
        <f t="shared" si="24"/>
        <v>0</v>
      </c>
      <c r="N68" s="109">
        <f t="shared" si="24"/>
        <v>0</v>
      </c>
      <c r="O68" s="109">
        <f t="shared" si="24"/>
        <v>0</v>
      </c>
      <c r="P68" s="109">
        <f t="shared" si="24"/>
        <v>0</v>
      </c>
      <c r="Q68" s="109">
        <f t="shared" si="24"/>
        <v>0</v>
      </c>
      <c r="R68" s="109">
        <f t="shared" si="24"/>
        <v>0</v>
      </c>
      <c r="S68" s="109">
        <f t="shared" si="24"/>
        <v>19776000</v>
      </c>
      <c r="T68" s="109">
        <f t="shared" si="24"/>
        <v>0</v>
      </c>
      <c r="U68" s="109">
        <f t="shared" si="24"/>
        <v>2432415.3</v>
      </c>
      <c r="V68" s="109">
        <f t="shared" si="24"/>
        <v>0</v>
      </c>
      <c r="W68" s="109">
        <f t="shared" si="24"/>
        <v>17343584.7</v>
      </c>
      <c r="X68" s="188"/>
    </row>
    <row r="69" s="1" customFormat="1" ht="39" customHeight="1" spans="1:24">
      <c r="A69" s="43">
        <v>6</v>
      </c>
      <c r="B69" s="44" t="s">
        <v>87</v>
      </c>
      <c r="C69" s="43" t="s">
        <v>88</v>
      </c>
      <c r="D69" s="44" t="s">
        <v>35</v>
      </c>
      <c r="E69" s="45">
        <v>950000</v>
      </c>
      <c r="F69" s="46">
        <v>285000</v>
      </c>
      <c r="G69" s="152" t="s">
        <v>89</v>
      </c>
      <c r="H69" s="66" t="s">
        <v>90</v>
      </c>
      <c r="I69" s="94">
        <v>627358.49</v>
      </c>
      <c r="J69" s="94">
        <v>37641.51</v>
      </c>
      <c r="K69" s="94">
        <f t="shared" ref="K69:K79" si="25">I69+J69</f>
        <v>665000</v>
      </c>
      <c r="L69" s="94"/>
      <c r="M69" s="94"/>
      <c r="N69" s="94"/>
      <c r="O69" s="94"/>
      <c r="P69" s="94"/>
      <c r="Q69" s="94"/>
      <c r="R69" s="94"/>
      <c r="S69" s="94">
        <f t="shared" ref="S69:S79" si="26">K69-L69-M69-N69-O69+R69</f>
        <v>665000</v>
      </c>
      <c r="T69" s="94"/>
      <c r="U69" s="94">
        <v>665000</v>
      </c>
      <c r="V69" s="94"/>
      <c r="W69" s="94">
        <f t="shared" si="23"/>
        <v>0</v>
      </c>
      <c r="X69" s="145"/>
    </row>
    <row r="70" s="1" customFormat="1" ht="30" customHeight="1" spans="1:24">
      <c r="A70" s="153"/>
      <c r="B70" s="153"/>
      <c r="C70" s="153"/>
      <c r="D70" s="153"/>
      <c r="E70" s="81"/>
      <c r="F70" s="46"/>
      <c r="G70" s="154" t="s">
        <v>46</v>
      </c>
      <c r="H70" s="155"/>
      <c r="I70" s="108">
        <f t="shared" ref="I70:K70" si="27">SUM(I69)</f>
        <v>627358.49</v>
      </c>
      <c r="J70" s="111">
        <f t="shared" si="27"/>
        <v>37641.51</v>
      </c>
      <c r="K70" s="111">
        <f t="shared" si="27"/>
        <v>665000</v>
      </c>
      <c r="L70" s="111"/>
      <c r="M70" s="111"/>
      <c r="N70" s="111"/>
      <c r="O70" s="111"/>
      <c r="P70" s="111"/>
      <c r="Q70" s="111"/>
      <c r="R70" s="111">
        <f t="shared" ref="R70:W70" si="28">SUM(R69)</f>
        <v>0</v>
      </c>
      <c r="S70" s="147">
        <f t="shared" si="26"/>
        <v>665000</v>
      </c>
      <c r="T70" s="147"/>
      <c r="U70" s="111">
        <f t="shared" si="28"/>
        <v>665000</v>
      </c>
      <c r="V70" s="111">
        <f t="shared" si="28"/>
        <v>0</v>
      </c>
      <c r="W70" s="111">
        <f t="shared" si="28"/>
        <v>0</v>
      </c>
      <c r="X70" s="146"/>
    </row>
    <row r="71" s="1" customFormat="1" ht="84" customHeight="1" spans="1:24">
      <c r="A71" s="156">
        <v>7</v>
      </c>
      <c r="B71" s="157" t="s">
        <v>91</v>
      </c>
      <c r="C71" s="158" t="s">
        <v>92</v>
      </c>
      <c r="D71" s="157" t="s">
        <v>93</v>
      </c>
      <c r="E71" s="145">
        <v>299000</v>
      </c>
      <c r="F71" s="145">
        <v>89700</v>
      </c>
      <c r="G71" s="66" t="s">
        <v>94</v>
      </c>
      <c r="H71" s="66" t="s">
        <v>95</v>
      </c>
      <c r="I71" s="94">
        <v>197452.83</v>
      </c>
      <c r="J71" s="94">
        <v>11847.17</v>
      </c>
      <c r="K71" s="94">
        <f t="shared" si="25"/>
        <v>209300</v>
      </c>
      <c r="L71" s="94"/>
      <c r="M71" s="94"/>
      <c r="N71" s="94"/>
      <c r="O71" s="94"/>
      <c r="P71" s="94"/>
      <c r="Q71" s="94"/>
      <c r="R71" s="94"/>
      <c r="S71" s="94">
        <f t="shared" si="26"/>
        <v>209300</v>
      </c>
      <c r="T71" s="94"/>
      <c r="U71" s="94">
        <v>209300</v>
      </c>
      <c r="V71" s="94"/>
      <c r="W71" s="94">
        <f t="shared" si="23"/>
        <v>0</v>
      </c>
      <c r="X71" s="145"/>
    </row>
    <row r="72" s="1" customFormat="1" ht="36" customHeight="1" spans="1:24">
      <c r="A72" s="156">
        <v>8</v>
      </c>
      <c r="B72" s="157" t="s">
        <v>96</v>
      </c>
      <c r="C72" s="158" t="s">
        <v>97</v>
      </c>
      <c r="D72" s="157" t="s">
        <v>98</v>
      </c>
      <c r="E72" s="145">
        <v>75800</v>
      </c>
      <c r="F72" s="145">
        <v>37900</v>
      </c>
      <c r="G72" s="66" t="s">
        <v>99</v>
      </c>
      <c r="H72" s="66" t="s">
        <v>100</v>
      </c>
      <c r="I72" s="94">
        <v>35754.72</v>
      </c>
      <c r="J72" s="94">
        <v>2145.28</v>
      </c>
      <c r="K72" s="94">
        <f t="shared" si="25"/>
        <v>37900</v>
      </c>
      <c r="L72" s="94"/>
      <c r="M72" s="94"/>
      <c r="N72" s="94"/>
      <c r="O72" s="94"/>
      <c r="P72" s="94"/>
      <c r="Q72" s="94"/>
      <c r="R72" s="94"/>
      <c r="S72" s="94">
        <f t="shared" si="26"/>
        <v>37900</v>
      </c>
      <c r="T72" s="94"/>
      <c r="U72" s="94">
        <f t="shared" ref="U72:U78" si="29">K72+R72</f>
        <v>37900</v>
      </c>
      <c r="V72" s="94"/>
      <c r="W72" s="94">
        <f t="shared" si="23"/>
        <v>0</v>
      </c>
      <c r="X72" s="145"/>
    </row>
    <row r="73" s="1" customFormat="1" ht="45" customHeight="1" spans="1:24">
      <c r="A73" s="156">
        <v>9</v>
      </c>
      <c r="B73" s="157" t="s">
        <v>101</v>
      </c>
      <c r="C73" s="158" t="s">
        <v>102</v>
      </c>
      <c r="D73" s="157" t="s">
        <v>103</v>
      </c>
      <c r="E73" s="145">
        <v>139000</v>
      </c>
      <c r="F73" s="145">
        <v>0</v>
      </c>
      <c r="G73" s="66" t="s">
        <v>104</v>
      </c>
      <c r="H73" s="66" t="s">
        <v>105</v>
      </c>
      <c r="I73" s="94">
        <v>131132.08</v>
      </c>
      <c r="J73" s="94">
        <v>7867.92000000001</v>
      </c>
      <c r="K73" s="94">
        <f t="shared" si="25"/>
        <v>139000</v>
      </c>
      <c r="L73" s="94"/>
      <c r="M73" s="94"/>
      <c r="N73" s="94"/>
      <c r="O73" s="94"/>
      <c r="P73" s="94"/>
      <c r="Q73" s="94"/>
      <c r="R73" s="94"/>
      <c r="S73" s="94">
        <f t="shared" si="26"/>
        <v>139000</v>
      </c>
      <c r="T73" s="94"/>
      <c r="U73" s="94">
        <f t="shared" si="29"/>
        <v>139000</v>
      </c>
      <c r="V73" s="94"/>
      <c r="W73" s="94">
        <f t="shared" si="23"/>
        <v>0</v>
      </c>
      <c r="X73" s="145"/>
    </row>
    <row r="74" s="1" customFormat="1" ht="36" customHeight="1" spans="1:24">
      <c r="A74" s="156">
        <v>10</v>
      </c>
      <c r="B74" s="157" t="s">
        <v>106</v>
      </c>
      <c r="C74" s="158" t="s">
        <v>107</v>
      </c>
      <c r="D74" s="157" t="s">
        <v>108</v>
      </c>
      <c r="E74" s="145">
        <v>147000</v>
      </c>
      <c r="F74" s="145">
        <v>58800</v>
      </c>
      <c r="G74" s="66" t="s">
        <v>109</v>
      </c>
      <c r="H74" s="66" t="s">
        <v>110</v>
      </c>
      <c r="I74" s="94">
        <v>83207.55</v>
      </c>
      <c r="J74" s="94">
        <v>4992.45</v>
      </c>
      <c r="K74" s="94">
        <f t="shared" si="25"/>
        <v>88200</v>
      </c>
      <c r="L74" s="94"/>
      <c r="M74" s="94"/>
      <c r="N74" s="94"/>
      <c r="O74" s="94"/>
      <c r="P74" s="94"/>
      <c r="Q74" s="94"/>
      <c r="R74" s="94"/>
      <c r="S74" s="94">
        <f t="shared" si="26"/>
        <v>88200</v>
      </c>
      <c r="T74" s="94"/>
      <c r="U74" s="94">
        <f t="shared" si="29"/>
        <v>88200</v>
      </c>
      <c r="V74" s="94"/>
      <c r="W74" s="94">
        <f t="shared" si="23"/>
        <v>0</v>
      </c>
      <c r="X74" s="145"/>
    </row>
    <row r="75" s="1" customFormat="1" ht="36" customHeight="1" spans="1:24">
      <c r="A75" s="156">
        <v>11</v>
      </c>
      <c r="B75" s="157" t="s">
        <v>111</v>
      </c>
      <c r="C75" s="158" t="s">
        <v>112</v>
      </c>
      <c r="D75" s="157" t="s">
        <v>113</v>
      </c>
      <c r="E75" s="145">
        <v>350000</v>
      </c>
      <c r="F75" s="145">
        <v>175000</v>
      </c>
      <c r="G75" s="66" t="s">
        <v>114</v>
      </c>
      <c r="H75" s="66" t="s">
        <v>115</v>
      </c>
      <c r="I75" s="94">
        <v>165094.34</v>
      </c>
      <c r="J75" s="94">
        <v>9905.66</v>
      </c>
      <c r="K75" s="94">
        <f t="shared" si="25"/>
        <v>175000</v>
      </c>
      <c r="L75" s="94"/>
      <c r="M75" s="94"/>
      <c r="N75" s="94"/>
      <c r="O75" s="94"/>
      <c r="P75" s="94"/>
      <c r="Q75" s="94"/>
      <c r="R75" s="94"/>
      <c r="S75" s="94">
        <f t="shared" si="26"/>
        <v>175000</v>
      </c>
      <c r="T75" s="94"/>
      <c r="U75" s="94">
        <f t="shared" si="29"/>
        <v>175000</v>
      </c>
      <c r="V75" s="94"/>
      <c r="W75" s="94">
        <f t="shared" si="23"/>
        <v>0</v>
      </c>
      <c r="X75" s="145"/>
    </row>
    <row r="76" s="1" customFormat="1" ht="71" customHeight="1" spans="1:24">
      <c r="A76" s="156">
        <v>12</v>
      </c>
      <c r="B76" s="157" t="s">
        <v>116</v>
      </c>
      <c r="C76" s="158" t="s">
        <v>117</v>
      </c>
      <c r="D76" s="157" t="s">
        <v>113</v>
      </c>
      <c r="E76" s="145">
        <v>372000</v>
      </c>
      <c r="F76" s="145"/>
      <c r="G76" s="66" t="s">
        <v>118</v>
      </c>
      <c r="H76" s="66" t="s">
        <v>119</v>
      </c>
      <c r="I76" s="94">
        <v>350943.4</v>
      </c>
      <c r="J76" s="94">
        <v>21056.6</v>
      </c>
      <c r="K76" s="94">
        <f t="shared" si="25"/>
        <v>372000</v>
      </c>
      <c r="L76" s="94"/>
      <c r="M76" s="94"/>
      <c r="N76" s="94"/>
      <c r="O76" s="94"/>
      <c r="P76" s="94"/>
      <c r="Q76" s="94"/>
      <c r="R76" s="94"/>
      <c r="S76" s="94">
        <f t="shared" si="26"/>
        <v>372000</v>
      </c>
      <c r="T76" s="94"/>
      <c r="U76" s="94">
        <f t="shared" si="29"/>
        <v>372000</v>
      </c>
      <c r="V76" s="94"/>
      <c r="W76" s="94">
        <f t="shared" si="23"/>
        <v>0</v>
      </c>
      <c r="X76" s="145"/>
    </row>
    <row r="77" s="1" customFormat="1" ht="59" customHeight="1" spans="1:24">
      <c r="A77" s="156">
        <v>13</v>
      </c>
      <c r="B77" s="157" t="s">
        <v>120</v>
      </c>
      <c r="C77" s="157" t="s">
        <v>121</v>
      </c>
      <c r="D77" s="157" t="s">
        <v>122</v>
      </c>
      <c r="E77" s="145">
        <v>472680</v>
      </c>
      <c r="F77" s="145"/>
      <c r="G77" s="66" t="s">
        <v>123</v>
      </c>
      <c r="H77" s="66" t="s">
        <v>124</v>
      </c>
      <c r="I77" s="94">
        <v>472680</v>
      </c>
      <c r="J77" s="94">
        <v>0</v>
      </c>
      <c r="K77" s="94">
        <f t="shared" si="25"/>
        <v>472680</v>
      </c>
      <c r="L77" s="94"/>
      <c r="M77" s="94"/>
      <c r="N77" s="94"/>
      <c r="O77" s="94"/>
      <c r="P77" s="94"/>
      <c r="Q77" s="94"/>
      <c r="R77" s="94"/>
      <c r="S77" s="94">
        <f t="shared" si="26"/>
        <v>472680</v>
      </c>
      <c r="T77" s="94"/>
      <c r="U77" s="94">
        <f t="shared" si="29"/>
        <v>472680</v>
      </c>
      <c r="V77" s="94"/>
      <c r="W77" s="94">
        <f t="shared" si="23"/>
        <v>0</v>
      </c>
      <c r="X77" s="145"/>
    </row>
    <row r="78" s="1" customFormat="1" ht="46" customHeight="1" spans="1:24">
      <c r="A78" s="43">
        <v>14</v>
      </c>
      <c r="B78" s="43" t="s">
        <v>125</v>
      </c>
      <c r="C78" s="43" t="s">
        <v>126</v>
      </c>
      <c r="D78" s="43" t="s">
        <v>127</v>
      </c>
      <c r="E78" s="43">
        <v>20718782.9686351</v>
      </c>
      <c r="F78" s="43"/>
      <c r="G78" s="159" t="s">
        <v>128</v>
      </c>
      <c r="H78" s="160" t="s">
        <v>129</v>
      </c>
      <c r="I78" s="94">
        <v>10000000</v>
      </c>
      <c r="J78" s="94">
        <v>0</v>
      </c>
      <c r="K78" s="94">
        <f t="shared" si="25"/>
        <v>10000000</v>
      </c>
      <c r="L78" s="94">
        <v>0</v>
      </c>
      <c r="M78" s="94">
        <v>0</v>
      </c>
      <c r="N78" s="94">
        <v>0</v>
      </c>
      <c r="O78" s="94">
        <v>0</v>
      </c>
      <c r="P78" s="94"/>
      <c r="Q78" s="94"/>
      <c r="R78" s="94">
        <v>0</v>
      </c>
      <c r="S78" s="94">
        <f t="shared" si="26"/>
        <v>10000000</v>
      </c>
      <c r="T78" s="94"/>
      <c r="U78" s="94">
        <f t="shared" si="29"/>
        <v>10000000</v>
      </c>
      <c r="V78" s="94"/>
      <c r="W78" s="94">
        <f t="shared" si="23"/>
        <v>0</v>
      </c>
      <c r="X78" s="145"/>
    </row>
    <row r="79" s="17" customFormat="1" ht="59" customHeight="1" spans="1:24">
      <c r="A79" s="48"/>
      <c r="B79" s="48"/>
      <c r="C79" s="48"/>
      <c r="D79" s="48"/>
      <c r="E79" s="48"/>
      <c r="F79" s="48"/>
      <c r="G79" s="159" t="s">
        <v>130</v>
      </c>
      <c r="H79" s="161" t="s">
        <v>131</v>
      </c>
      <c r="I79" s="94">
        <v>8350000</v>
      </c>
      <c r="J79" s="94">
        <v>0</v>
      </c>
      <c r="K79" s="94">
        <f t="shared" si="25"/>
        <v>8350000</v>
      </c>
      <c r="L79" s="94">
        <v>0</v>
      </c>
      <c r="M79" s="94">
        <v>0</v>
      </c>
      <c r="N79" s="94">
        <v>0</v>
      </c>
      <c r="O79" s="94">
        <v>0</v>
      </c>
      <c r="P79" s="94"/>
      <c r="Q79" s="94"/>
      <c r="R79" s="94">
        <v>0</v>
      </c>
      <c r="S79" s="94">
        <f t="shared" si="26"/>
        <v>8350000</v>
      </c>
      <c r="T79" s="94"/>
      <c r="U79" s="94">
        <v>8350000</v>
      </c>
      <c r="V79" s="94"/>
      <c r="W79" s="94">
        <f t="shared" si="23"/>
        <v>0</v>
      </c>
      <c r="X79" s="145"/>
    </row>
    <row r="80" s="18" customFormat="1" spans="1:24">
      <c r="A80" s="48"/>
      <c r="B80" s="48"/>
      <c r="C80" s="48"/>
      <c r="D80" s="48"/>
      <c r="E80" s="48"/>
      <c r="F80" s="48"/>
      <c r="G80" s="162" t="s">
        <v>410</v>
      </c>
      <c r="H80" s="163" t="s">
        <v>411</v>
      </c>
      <c r="I80" s="174">
        <v>1011228</v>
      </c>
      <c r="J80" s="174"/>
      <c r="K80" s="174">
        <f>J80+I80</f>
        <v>1011228</v>
      </c>
      <c r="L80" s="94"/>
      <c r="M80" s="94"/>
      <c r="N80" s="94"/>
      <c r="O80" s="94"/>
      <c r="P80" s="94"/>
      <c r="Q80" s="94"/>
      <c r="R80" s="94"/>
      <c r="S80" s="94"/>
      <c r="T80" s="94"/>
      <c r="U80" s="94"/>
      <c r="V80" s="94"/>
      <c r="W80" s="94"/>
      <c r="X80" s="145"/>
    </row>
    <row r="81" s="18" customFormat="1" spans="1:24">
      <c r="A81" s="153"/>
      <c r="B81" s="153"/>
      <c r="C81" s="153"/>
      <c r="D81" s="153"/>
      <c r="E81" s="153"/>
      <c r="F81" s="153"/>
      <c r="G81" s="162"/>
      <c r="H81" s="164"/>
      <c r="I81" s="174">
        <v>247850</v>
      </c>
      <c r="J81" s="174"/>
      <c r="K81" s="174">
        <f>I81</f>
        <v>247850</v>
      </c>
      <c r="L81" s="94"/>
      <c r="M81" s="94"/>
      <c r="N81" s="94"/>
      <c r="O81" s="94"/>
      <c r="P81" s="94"/>
      <c r="Q81" s="94"/>
      <c r="R81" s="94"/>
      <c r="S81" s="94"/>
      <c r="T81" s="94"/>
      <c r="U81" s="94"/>
      <c r="V81" s="94"/>
      <c r="W81" s="94"/>
      <c r="X81" s="145"/>
    </row>
    <row r="82" s="1" customFormat="1" ht="134" customHeight="1" spans="1:24">
      <c r="A82" s="156">
        <v>15</v>
      </c>
      <c r="B82" s="157" t="s">
        <v>132</v>
      </c>
      <c r="C82" s="157" t="s">
        <v>133</v>
      </c>
      <c r="D82" s="157" t="s">
        <v>134</v>
      </c>
      <c r="E82" s="145">
        <v>125290</v>
      </c>
      <c r="F82" s="145"/>
      <c r="G82" s="66" t="s">
        <v>135</v>
      </c>
      <c r="H82" s="66" t="s">
        <v>136</v>
      </c>
      <c r="I82" s="94">
        <v>125290</v>
      </c>
      <c r="J82" s="94">
        <v>0</v>
      </c>
      <c r="K82" s="94">
        <f t="shared" ref="K82:K89" si="30">I82+J82</f>
        <v>125290</v>
      </c>
      <c r="L82" s="94"/>
      <c r="M82" s="94"/>
      <c r="N82" s="94"/>
      <c r="O82" s="94"/>
      <c r="P82" s="94"/>
      <c r="Q82" s="94"/>
      <c r="R82" s="94"/>
      <c r="S82" s="94">
        <f t="shared" ref="S82:S94" si="31">K82-L82-M82-N82-O82+R82</f>
        <v>125290</v>
      </c>
      <c r="T82" s="94"/>
      <c r="U82" s="94">
        <f t="shared" ref="U82:U91" si="32">K82+R82</f>
        <v>125290</v>
      </c>
      <c r="V82" s="94"/>
      <c r="W82" s="94">
        <f t="shared" ref="W82:W94" si="33">S82+T82-U82-V82</f>
        <v>0</v>
      </c>
      <c r="X82" s="145"/>
    </row>
    <row r="83" s="1" customFormat="1" ht="36" customHeight="1" spans="1:24">
      <c r="A83" s="156">
        <v>16</v>
      </c>
      <c r="B83" s="157" t="s">
        <v>137</v>
      </c>
      <c r="C83" s="158" t="s">
        <v>138</v>
      </c>
      <c r="D83" s="157" t="s">
        <v>139</v>
      </c>
      <c r="E83" s="145">
        <v>750000</v>
      </c>
      <c r="F83" s="145">
        <v>300000</v>
      </c>
      <c r="G83" s="66" t="s">
        <v>140</v>
      </c>
      <c r="H83" s="66" t="s">
        <v>141</v>
      </c>
      <c r="I83" s="94">
        <v>424528.3</v>
      </c>
      <c r="J83" s="94">
        <v>25471.7</v>
      </c>
      <c r="K83" s="94">
        <f t="shared" si="30"/>
        <v>450000</v>
      </c>
      <c r="L83" s="94"/>
      <c r="M83" s="94"/>
      <c r="N83" s="94"/>
      <c r="O83" s="94"/>
      <c r="P83" s="94"/>
      <c r="Q83" s="94"/>
      <c r="R83" s="94"/>
      <c r="S83" s="94">
        <f t="shared" si="31"/>
        <v>450000</v>
      </c>
      <c r="T83" s="94"/>
      <c r="U83" s="94">
        <f t="shared" si="32"/>
        <v>450000</v>
      </c>
      <c r="V83" s="94"/>
      <c r="W83" s="94">
        <f t="shared" si="33"/>
        <v>0</v>
      </c>
      <c r="X83" s="145"/>
    </row>
    <row r="84" s="17" customFormat="1" ht="36" customHeight="1" spans="1:24">
      <c r="A84" s="156">
        <v>17</v>
      </c>
      <c r="B84" s="157" t="s">
        <v>142</v>
      </c>
      <c r="C84" s="158" t="s">
        <v>143</v>
      </c>
      <c r="D84" s="157" t="s">
        <v>144</v>
      </c>
      <c r="E84" s="145">
        <v>95000</v>
      </c>
      <c r="F84" s="145"/>
      <c r="G84" s="74" t="s">
        <v>145</v>
      </c>
      <c r="H84" s="74" t="s">
        <v>146</v>
      </c>
      <c r="I84" s="94">
        <f>K84-J84</f>
        <v>89622.64</v>
      </c>
      <c r="J84" s="94">
        <v>5377.36</v>
      </c>
      <c r="K84" s="94">
        <v>95000</v>
      </c>
      <c r="L84" s="94">
        <v>0</v>
      </c>
      <c r="M84" s="94">
        <v>0</v>
      </c>
      <c r="N84" s="94">
        <v>0</v>
      </c>
      <c r="O84" s="94">
        <v>0</v>
      </c>
      <c r="P84" s="94"/>
      <c r="Q84" s="94"/>
      <c r="R84" s="94">
        <v>0</v>
      </c>
      <c r="S84" s="94">
        <f t="shared" si="31"/>
        <v>95000</v>
      </c>
      <c r="T84" s="94"/>
      <c r="U84" s="94">
        <f t="shared" si="32"/>
        <v>95000</v>
      </c>
      <c r="V84" s="94"/>
      <c r="W84" s="94">
        <f t="shared" si="33"/>
        <v>0</v>
      </c>
      <c r="X84" s="145"/>
    </row>
    <row r="85" s="17" customFormat="1" ht="36" customHeight="1" spans="1:24">
      <c r="A85" s="156">
        <v>18</v>
      </c>
      <c r="B85" s="157" t="s">
        <v>147</v>
      </c>
      <c r="C85" s="157" t="s">
        <v>148</v>
      </c>
      <c r="D85" s="157" t="s">
        <v>149</v>
      </c>
      <c r="E85" s="145">
        <v>680000</v>
      </c>
      <c r="F85" s="145"/>
      <c r="G85" s="50" t="s">
        <v>150</v>
      </c>
      <c r="H85" s="66" t="s">
        <v>151</v>
      </c>
      <c r="I85" s="94">
        <f>K85-J85</f>
        <v>641509.43</v>
      </c>
      <c r="J85" s="94">
        <v>38490.57</v>
      </c>
      <c r="K85" s="94">
        <v>680000</v>
      </c>
      <c r="L85" s="94">
        <v>0</v>
      </c>
      <c r="M85" s="94">
        <v>0</v>
      </c>
      <c r="N85" s="94">
        <v>0</v>
      </c>
      <c r="O85" s="94">
        <v>0</v>
      </c>
      <c r="P85" s="94"/>
      <c r="Q85" s="94"/>
      <c r="R85" s="94">
        <v>0</v>
      </c>
      <c r="S85" s="94">
        <f t="shared" si="31"/>
        <v>680000</v>
      </c>
      <c r="T85" s="94"/>
      <c r="U85" s="94">
        <f t="shared" si="32"/>
        <v>680000</v>
      </c>
      <c r="V85" s="94"/>
      <c r="W85" s="94">
        <f t="shared" si="33"/>
        <v>0</v>
      </c>
      <c r="X85" s="145"/>
    </row>
    <row r="86" s="1" customFormat="1" ht="46" customHeight="1" spans="1:24">
      <c r="A86" s="156">
        <v>19</v>
      </c>
      <c r="B86" s="157" t="s">
        <v>152</v>
      </c>
      <c r="C86" s="158" t="s">
        <v>153</v>
      </c>
      <c r="D86" s="165" t="s">
        <v>154</v>
      </c>
      <c r="E86" s="145">
        <v>150000</v>
      </c>
      <c r="F86" s="145"/>
      <c r="G86" s="66" t="s">
        <v>155</v>
      </c>
      <c r="H86" s="66" t="s">
        <v>156</v>
      </c>
      <c r="I86" s="94">
        <v>141509.43</v>
      </c>
      <c r="J86" s="94">
        <v>8490.57000000001</v>
      </c>
      <c r="K86" s="94">
        <f t="shared" si="30"/>
        <v>150000</v>
      </c>
      <c r="L86" s="94"/>
      <c r="M86" s="94"/>
      <c r="N86" s="94"/>
      <c r="O86" s="94"/>
      <c r="P86" s="94"/>
      <c r="Q86" s="94"/>
      <c r="R86" s="94"/>
      <c r="S86" s="94">
        <f t="shared" si="31"/>
        <v>150000</v>
      </c>
      <c r="T86" s="94"/>
      <c r="U86" s="94">
        <f t="shared" si="32"/>
        <v>150000</v>
      </c>
      <c r="V86" s="94"/>
      <c r="W86" s="94">
        <f t="shared" si="33"/>
        <v>0</v>
      </c>
      <c r="X86" s="145"/>
    </row>
    <row r="87" s="1" customFormat="1" ht="69" customHeight="1" spans="1:24">
      <c r="A87" s="156">
        <v>20</v>
      </c>
      <c r="B87" s="157" t="s">
        <v>157</v>
      </c>
      <c r="C87" s="158" t="s">
        <v>158</v>
      </c>
      <c r="D87" s="157" t="s">
        <v>159</v>
      </c>
      <c r="E87" s="145">
        <v>238000</v>
      </c>
      <c r="F87" s="145"/>
      <c r="G87" s="66" t="s">
        <v>160</v>
      </c>
      <c r="H87" s="66" t="s">
        <v>161</v>
      </c>
      <c r="I87" s="94">
        <v>231067.96</v>
      </c>
      <c r="J87" s="94">
        <v>6932.04000000001</v>
      </c>
      <c r="K87" s="94">
        <f t="shared" si="30"/>
        <v>238000</v>
      </c>
      <c r="L87" s="94"/>
      <c r="M87" s="94"/>
      <c r="N87" s="94"/>
      <c r="O87" s="94"/>
      <c r="P87" s="94"/>
      <c r="Q87" s="94"/>
      <c r="R87" s="94"/>
      <c r="S87" s="94">
        <f t="shared" si="31"/>
        <v>238000</v>
      </c>
      <c r="T87" s="94"/>
      <c r="U87" s="94">
        <f t="shared" si="32"/>
        <v>238000</v>
      </c>
      <c r="V87" s="94"/>
      <c r="W87" s="94">
        <f t="shared" si="33"/>
        <v>0</v>
      </c>
      <c r="X87" s="145"/>
    </row>
    <row r="88" s="1" customFormat="1" ht="60" customHeight="1" spans="1:24">
      <c r="A88" s="156">
        <v>21</v>
      </c>
      <c r="B88" s="157" t="s">
        <v>162</v>
      </c>
      <c r="C88" s="158" t="s">
        <v>163</v>
      </c>
      <c r="D88" s="157" t="s">
        <v>159</v>
      </c>
      <c r="E88" s="145">
        <v>180000</v>
      </c>
      <c r="F88" s="145"/>
      <c r="G88" s="66" t="s">
        <v>164</v>
      </c>
      <c r="H88" s="66" t="s">
        <v>165</v>
      </c>
      <c r="I88" s="94">
        <v>174757.28</v>
      </c>
      <c r="J88" s="94">
        <v>5242.72</v>
      </c>
      <c r="K88" s="94">
        <f t="shared" si="30"/>
        <v>180000</v>
      </c>
      <c r="L88" s="94"/>
      <c r="M88" s="94"/>
      <c r="N88" s="94"/>
      <c r="O88" s="94"/>
      <c r="P88" s="94"/>
      <c r="Q88" s="94"/>
      <c r="R88" s="94"/>
      <c r="S88" s="94">
        <f t="shared" si="31"/>
        <v>180000</v>
      </c>
      <c r="T88" s="94"/>
      <c r="U88" s="94">
        <f t="shared" si="32"/>
        <v>180000</v>
      </c>
      <c r="V88" s="94"/>
      <c r="W88" s="94">
        <f t="shared" si="33"/>
        <v>0</v>
      </c>
      <c r="X88" s="145"/>
    </row>
    <row r="89" s="1" customFormat="1" ht="53" customHeight="1" spans="1:24">
      <c r="A89" s="156">
        <v>22</v>
      </c>
      <c r="B89" s="157" t="s">
        <v>166</v>
      </c>
      <c r="C89" s="496" t="s">
        <v>167</v>
      </c>
      <c r="D89" s="157" t="s">
        <v>168</v>
      </c>
      <c r="E89" s="145">
        <v>168838.18</v>
      </c>
      <c r="F89" s="145"/>
      <c r="G89" s="66" t="s">
        <v>169</v>
      </c>
      <c r="H89" s="66" t="s">
        <v>170</v>
      </c>
      <c r="I89" s="94">
        <v>159281.3</v>
      </c>
      <c r="J89" s="94">
        <v>9556.88</v>
      </c>
      <c r="K89" s="94">
        <f t="shared" si="30"/>
        <v>168838.18</v>
      </c>
      <c r="L89" s="94"/>
      <c r="M89" s="94"/>
      <c r="N89" s="94"/>
      <c r="O89" s="94"/>
      <c r="P89" s="94"/>
      <c r="Q89" s="94"/>
      <c r="R89" s="94"/>
      <c r="S89" s="94">
        <f t="shared" si="31"/>
        <v>168838.18</v>
      </c>
      <c r="T89" s="94"/>
      <c r="U89" s="94">
        <f t="shared" si="32"/>
        <v>168838.18</v>
      </c>
      <c r="V89" s="94"/>
      <c r="W89" s="94">
        <f t="shared" si="33"/>
        <v>0</v>
      </c>
      <c r="X89" s="145"/>
    </row>
    <row r="90" s="17" customFormat="1" ht="47" customHeight="1" spans="1:24">
      <c r="A90" s="156">
        <v>23</v>
      </c>
      <c r="B90" s="157" t="s">
        <v>171</v>
      </c>
      <c r="C90" s="158" t="s">
        <v>172</v>
      </c>
      <c r="D90" s="157" t="s">
        <v>173</v>
      </c>
      <c r="E90" s="145">
        <v>533200</v>
      </c>
      <c r="F90" s="145"/>
      <c r="G90" s="50" t="s">
        <v>174</v>
      </c>
      <c r="H90" s="66" t="s">
        <v>175</v>
      </c>
      <c r="I90" s="94">
        <v>471858.4</v>
      </c>
      <c r="J90" s="94">
        <f>K90-I90</f>
        <v>61341.6</v>
      </c>
      <c r="K90" s="94">
        <v>533200</v>
      </c>
      <c r="L90" s="94">
        <v>0</v>
      </c>
      <c r="M90" s="94">
        <v>0</v>
      </c>
      <c r="N90" s="94">
        <v>0</v>
      </c>
      <c r="O90" s="94">
        <v>0</v>
      </c>
      <c r="P90" s="94"/>
      <c r="Q90" s="94"/>
      <c r="R90" s="94">
        <v>0</v>
      </c>
      <c r="S90" s="94">
        <f t="shared" si="31"/>
        <v>533200</v>
      </c>
      <c r="T90" s="94"/>
      <c r="U90" s="94">
        <f t="shared" si="32"/>
        <v>533200</v>
      </c>
      <c r="V90" s="94"/>
      <c r="W90" s="94">
        <f t="shared" si="33"/>
        <v>0</v>
      </c>
      <c r="X90" s="145"/>
    </row>
    <row r="91" s="1" customFormat="1" ht="59" customHeight="1" spans="1:24">
      <c r="A91" s="156">
        <v>24</v>
      </c>
      <c r="B91" s="166" t="s">
        <v>176</v>
      </c>
      <c r="C91" s="167" t="s">
        <v>177</v>
      </c>
      <c r="D91" s="166" t="s">
        <v>178</v>
      </c>
      <c r="E91" s="145">
        <v>87000</v>
      </c>
      <c r="F91" s="145">
        <v>87000</v>
      </c>
      <c r="G91" s="145"/>
      <c r="H91" s="145"/>
      <c r="I91" s="94"/>
      <c r="J91" s="94"/>
      <c r="K91" s="94"/>
      <c r="L91" s="94"/>
      <c r="M91" s="94"/>
      <c r="N91" s="94"/>
      <c r="O91" s="94"/>
      <c r="P91" s="94"/>
      <c r="Q91" s="94"/>
      <c r="R91" s="94"/>
      <c r="S91" s="94">
        <f t="shared" si="31"/>
        <v>0</v>
      </c>
      <c r="T91" s="94"/>
      <c r="U91" s="94">
        <f t="shared" si="32"/>
        <v>0</v>
      </c>
      <c r="V91" s="94"/>
      <c r="W91" s="94">
        <f t="shared" si="33"/>
        <v>0</v>
      </c>
      <c r="X91" s="145"/>
    </row>
    <row r="92" s="1" customFormat="1" ht="59" customHeight="1" spans="1:24">
      <c r="A92" s="156">
        <v>25</v>
      </c>
      <c r="B92" s="166" t="s">
        <v>179</v>
      </c>
      <c r="C92" s="167"/>
      <c r="D92" s="168" t="s">
        <v>180</v>
      </c>
      <c r="E92" s="145">
        <v>79600</v>
      </c>
      <c r="F92" s="145"/>
      <c r="G92" s="74" t="s">
        <v>181</v>
      </c>
      <c r="H92" s="161" t="s">
        <v>182</v>
      </c>
      <c r="I92" s="94">
        <v>22528.3</v>
      </c>
      <c r="J92" s="94">
        <v>1351.7</v>
      </c>
      <c r="K92" s="94">
        <f>J92+I92</f>
        <v>23880</v>
      </c>
      <c r="L92" s="94">
        <v>0</v>
      </c>
      <c r="M92" s="94">
        <v>0</v>
      </c>
      <c r="N92" s="94">
        <v>0</v>
      </c>
      <c r="O92" s="94">
        <v>0</v>
      </c>
      <c r="P92" s="94"/>
      <c r="Q92" s="94"/>
      <c r="R92" s="94">
        <v>0</v>
      </c>
      <c r="S92" s="94">
        <f t="shared" si="31"/>
        <v>23880</v>
      </c>
      <c r="T92" s="94"/>
      <c r="U92" s="94">
        <f>S92</f>
        <v>23880</v>
      </c>
      <c r="V92" s="94"/>
      <c r="W92" s="94">
        <f t="shared" si="33"/>
        <v>0</v>
      </c>
      <c r="X92" s="145"/>
    </row>
    <row r="93" s="1" customFormat="1" ht="59" customHeight="1" spans="1:24">
      <c r="A93" s="169">
        <v>26</v>
      </c>
      <c r="B93" s="166" t="s">
        <v>183</v>
      </c>
      <c r="C93" s="167"/>
      <c r="D93" s="166" t="s">
        <v>122</v>
      </c>
      <c r="E93" s="145"/>
      <c r="F93" s="145"/>
      <c r="G93" s="47" t="s">
        <v>184</v>
      </c>
      <c r="H93" s="47" t="s">
        <v>185</v>
      </c>
      <c r="I93" s="94">
        <v>48750</v>
      </c>
      <c r="J93" s="94">
        <v>0</v>
      </c>
      <c r="K93" s="94">
        <f>I93+J93</f>
        <v>48750</v>
      </c>
      <c r="L93" s="94">
        <v>0</v>
      </c>
      <c r="M93" s="94">
        <v>0</v>
      </c>
      <c r="N93" s="94">
        <v>0</v>
      </c>
      <c r="O93" s="94">
        <v>0</v>
      </c>
      <c r="P93" s="94"/>
      <c r="Q93" s="94"/>
      <c r="R93" s="94">
        <v>0</v>
      </c>
      <c r="S93" s="94">
        <f t="shared" si="31"/>
        <v>48750</v>
      </c>
      <c r="T93" s="94">
        <v>0</v>
      </c>
      <c r="U93" s="94">
        <v>48750</v>
      </c>
      <c r="V93" s="94">
        <v>0</v>
      </c>
      <c r="W93" s="94">
        <f t="shared" si="33"/>
        <v>0</v>
      </c>
      <c r="X93" s="145"/>
    </row>
    <row r="94" s="1" customFormat="1" ht="59" customHeight="1" spans="1:24">
      <c r="A94" s="170">
        <v>27</v>
      </c>
      <c r="B94" s="44" t="s">
        <v>186</v>
      </c>
      <c r="C94" s="43"/>
      <c r="D94" s="44" t="s">
        <v>187</v>
      </c>
      <c r="E94" s="145"/>
      <c r="F94" s="145"/>
      <c r="G94" s="47" t="s">
        <v>188</v>
      </c>
      <c r="H94" s="47" t="s">
        <v>189</v>
      </c>
      <c r="I94" s="99"/>
      <c r="J94" s="94"/>
      <c r="K94" s="94"/>
      <c r="L94" s="94">
        <v>0</v>
      </c>
      <c r="M94" s="94">
        <v>0</v>
      </c>
      <c r="N94" s="94">
        <v>0</v>
      </c>
      <c r="O94" s="94">
        <v>0</v>
      </c>
      <c r="P94" s="94"/>
      <c r="Q94" s="94"/>
      <c r="R94" s="207">
        <v>755500</v>
      </c>
      <c r="S94" s="112">
        <f t="shared" si="31"/>
        <v>755500</v>
      </c>
      <c r="T94" s="112">
        <v>0</v>
      </c>
      <c r="U94" s="112">
        <f>S94</f>
        <v>755500</v>
      </c>
      <c r="V94" s="112">
        <v>0</v>
      </c>
      <c r="W94" s="45">
        <f t="shared" si="33"/>
        <v>0</v>
      </c>
      <c r="X94" s="45"/>
    </row>
    <row r="95" s="1" customFormat="1" ht="59" customHeight="1" spans="1:24">
      <c r="A95" s="171"/>
      <c r="B95" s="153"/>
      <c r="C95" s="153"/>
      <c r="D95" s="153"/>
      <c r="E95" s="145"/>
      <c r="F95" s="145"/>
      <c r="G95" s="74" t="s">
        <v>190</v>
      </c>
      <c r="H95" s="47" t="s">
        <v>191</v>
      </c>
      <c r="I95" s="99">
        <v>755500</v>
      </c>
      <c r="J95" s="94"/>
      <c r="K95" s="94">
        <f>I95+J95</f>
        <v>755500</v>
      </c>
      <c r="L95" s="94"/>
      <c r="M95" s="94"/>
      <c r="N95" s="94"/>
      <c r="O95" s="94"/>
      <c r="P95" s="94"/>
      <c r="Q95" s="94"/>
      <c r="R95" s="208">
        <f>-R94</f>
        <v>-755500</v>
      </c>
      <c r="S95" s="114"/>
      <c r="T95" s="114"/>
      <c r="U95" s="114"/>
      <c r="V95" s="114"/>
      <c r="W95" s="81"/>
      <c r="X95" s="81"/>
    </row>
    <row r="96" s="1" customFormat="1" ht="59" customHeight="1" spans="1:24">
      <c r="A96" s="48">
        <v>28</v>
      </c>
      <c r="B96" s="172" t="s">
        <v>192</v>
      </c>
      <c r="C96" s="48"/>
      <c r="D96" s="65" t="s">
        <v>193</v>
      </c>
      <c r="E96" s="45">
        <v>488544.07</v>
      </c>
      <c r="F96" s="145"/>
      <c r="G96" s="47" t="s">
        <v>412</v>
      </c>
      <c r="H96" s="47" t="s">
        <v>194</v>
      </c>
      <c r="I96" s="203">
        <v>460890.63</v>
      </c>
      <c r="J96" s="94">
        <v>27653.44</v>
      </c>
      <c r="K96" s="94">
        <f t="shared" ref="K96:K101" si="34">J96+I96</f>
        <v>488544.07</v>
      </c>
      <c r="L96" s="94"/>
      <c r="M96" s="94"/>
      <c r="N96" s="94"/>
      <c r="O96" s="94"/>
      <c r="P96" s="94"/>
      <c r="Q96" s="94"/>
      <c r="R96" s="208"/>
      <c r="S96" s="45">
        <f>K96-L96-M96-N96-O96+R96-Q96</f>
        <v>488544.07</v>
      </c>
      <c r="T96" s="45"/>
      <c r="U96" s="114"/>
      <c r="V96" s="45"/>
      <c r="W96" s="94">
        <f>S96+T96-U96-V96</f>
        <v>488544.07</v>
      </c>
      <c r="X96" s="145"/>
    </row>
    <row r="97" s="1" customFormat="1" ht="59" customHeight="1" spans="1:24">
      <c r="A97" s="153"/>
      <c r="B97" s="153"/>
      <c r="C97" s="153"/>
      <c r="D97" s="173"/>
      <c r="E97" s="81"/>
      <c r="F97" s="174" t="s">
        <v>319</v>
      </c>
      <c r="G97" s="76" t="s">
        <v>332</v>
      </c>
      <c r="H97" s="68" t="s">
        <v>333</v>
      </c>
      <c r="I97" s="118"/>
      <c r="J97" s="101"/>
      <c r="K97" s="101"/>
      <c r="L97" s="101"/>
      <c r="M97" s="101"/>
      <c r="N97" s="101"/>
      <c r="O97" s="101"/>
      <c r="P97" s="101"/>
      <c r="Q97" s="101"/>
      <c r="R97" s="209"/>
      <c r="S97" s="81"/>
      <c r="T97" s="81"/>
      <c r="U97" s="202">
        <v>488544.07</v>
      </c>
      <c r="V97" s="81"/>
      <c r="W97" s="101">
        <f>-U97</f>
        <v>-488544.07</v>
      </c>
      <c r="X97" s="145"/>
    </row>
    <row r="98" s="1" customFormat="1" ht="59" customHeight="1" spans="1:24">
      <c r="A98" s="48">
        <v>29</v>
      </c>
      <c r="B98" s="172" t="s">
        <v>192</v>
      </c>
      <c r="C98" s="48"/>
      <c r="D98" s="65" t="s">
        <v>195</v>
      </c>
      <c r="E98" s="45">
        <v>1990753.91</v>
      </c>
      <c r="F98" s="145"/>
      <c r="G98" s="47" t="s">
        <v>413</v>
      </c>
      <c r="H98" s="47" t="s">
        <v>194</v>
      </c>
      <c r="I98" s="203">
        <v>1878069.73</v>
      </c>
      <c r="J98" s="94">
        <v>112684.18</v>
      </c>
      <c r="K98" s="94">
        <f t="shared" si="34"/>
        <v>1990753.91</v>
      </c>
      <c r="L98" s="94"/>
      <c r="M98" s="94"/>
      <c r="N98" s="94"/>
      <c r="O98" s="94"/>
      <c r="P98" s="94"/>
      <c r="Q98" s="94"/>
      <c r="R98" s="208"/>
      <c r="S98" s="45">
        <f>K98-L98-M98-N98-O98+R98-Q98</f>
        <v>1990753.91</v>
      </c>
      <c r="T98" s="45"/>
      <c r="U98" s="114"/>
      <c r="V98" s="45"/>
      <c r="W98" s="94">
        <f>S98+T98-U98-V98</f>
        <v>1990753.91</v>
      </c>
      <c r="X98" s="145"/>
    </row>
    <row r="99" s="1" customFormat="1" ht="59" customHeight="1" spans="1:24">
      <c r="A99" s="153"/>
      <c r="B99" s="153"/>
      <c r="C99" s="153"/>
      <c r="D99" s="173"/>
      <c r="E99" s="81"/>
      <c r="F99" s="174" t="s">
        <v>319</v>
      </c>
      <c r="G99" s="76" t="s">
        <v>334</v>
      </c>
      <c r="H99" s="68" t="s">
        <v>335</v>
      </c>
      <c r="I99" s="118"/>
      <c r="J99" s="101"/>
      <c r="K99" s="101"/>
      <c r="L99" s="101"/>
      <c r="M99" s="101"/>
      <c r="N99" s="101"/>
      <c r="O99" s="101"/>
      <c r="P99" s="101"/>
      <c r="Q99" s="101"/>
      <c r="R99" s="209"/>
      <c r="S99" s="81"/>
      <c r="T99" s="81"/>
      <c r="U99" s="202">
        <v>1990753.91</v>
      </c>
      <c r="V99" s="81"/>
      <c r="W99" s="101">
        <f>-U99</f>
        <v>-1990753.91</v>
      </c>
      <c r="X99" s="145"/>
    </row>
    <row r="100" s="1" customFormat="1" ht="59" customHeight="1" spans="1:24">
      <c r="A100" s="171">
        <v>30</v>
      </c>
      <c r="B100" s="159" t="s">
        <v>302</v>
      </c>
      <c r="C100" s="175"/>
      <c r="D100" s="159" t="s">
        <v>303</v>
      </c>
      <c r="E100" s="145">
        <v>100000</v>
      </c>
      <c r="F100" s="174" t="s">
        <v>319</v>
      </c>
      <c r="G100" s="76" t="s">
        <v>360</v>
      </c>
      <c r="H100" s="68" t="s">
        <v>361</v>
      </c>
      <c r="I100" s="118">
        <v>94339.62</v>
      </c>
      <c r="J100" s="101">
        <v>5660.38</v>
      </c>
      <c r="K100" s="101">
        <f t="shared" si="34"/>
        <v>100000</v>
      </c>
      <c r="L100" s="101"/>
      <c r="M100" s="101"/>
      <c r="N100" s="101"/>
      <c r="O100" s="101"/>
      <c r="P100" s="101"/>
      <c r="Q100" s="101"/>
      <c r="R100" s="209"/>
      <c r="S100" s="101">
        <f>K100</f>
        <v>100000</v>
      </c>
      <c r="T100" s="202"/>
      <c r="U100" s="202">
        <v>100000</v>
      </c>
      <c r="V100" s="202"/>
      <c r="W100" s="143">
        <f t="shared" ref="W100:W102" si="35">S100-U100+T100-V100</f>
        <v>0</v>
      </c>
      <c r="X100" s="145"/>
    </row>
    <row r="101" s="1" customFormat="1" ht="59" customHeight="1" spans="1:24">
      <c r="A101" s="171">
        <v>31</v>
      </c>
      <c r="B101" s="159" t="s">
        <v>375</v>
      </c>
      <c r="C101" s="175"/>
      <c r="D101" s="159" t="s">
        <v>376</v>
      </c>
      <c r="E101" s="145">
        <v>135000</v>
      </c>
      <c r="F101" s="174" t="s">
        <v>296</v>
      </c>
      <c r="G101" s="76" t="s">
        <v>377</v>
      </c>
      <c r="H101" s="68" t="s">
        <v>378</v>
      </c>
      <c r="I101" s="118">
        <v>127358.49</v>
      </c>
      <c r="J101" s="101">
        <v>7641.51</v>
      </c>
      <c r="K101" s="101">
        <f t="shared" si="34"/>
        <v>135000</v>
      </c>
      <c r="L101" s="101"/>
      <c r="M101" s="101"/>
      <c r="N101" s="101"/>
      <c r="O101" s="101"/>
      <c r="P101" s="101"/>
      <c r="Q101" s="101"/>
      <c r="R101" s="209"/>
      <c r="S101" s="101">
        <v>135000</v>
      </c>
      <c r="T101" s="202"/>
      <c r="U101" s="202"/>
      <c r="V101" s="202"/>
      <c r="W101" s="143">
        <f t="shared" si="35"/>
        <v>135000</v>
      </c>
      <c r="X101" s="145"/>
    </row>
    <row r="102" s="1" customFormat="1" ht="59" customHeight="1" spans="1:24">
      <c r="A102" s="171"/>
      <c r="B102" s="159" t="s">
        <v>379</v>
      </c>
      <c r="C102" s="175"/>
      <c r="D102" s="159" t="s">
        <v>380</v>
      </c>
      <c r="E102" s="145" t="s">
        <v>381</v>
      </c>
      <c r="F102" s="174" t="s">
        <v>296</v>
      </c>
      <c r="G102" s="76" t="s">
        <v>371</v>
      </c>
      <c r="H102" s="68" t="s">
        <v>382</v>
      </c>
      <c r="I102" s="118">
        <v>149900.94</v>
      </c>
      <c r="J102" s="101">
        <v>8994.06</v>
      </c>
      <c r="K102" s="101">
        <v>158895</v>
      </c>
      <c r="L102" s="101"/>
      <c r="M102" s="101"/>
      <c r="N102" s="101"/>
      <c r="O102" s="101"/>
      <c r="P102" s="101"/>
      <c r="Q102" s="101"/>
      <c r="R102" s="209"/>
      <c r="S102" s="101">
        <v>158895</v>
      </c>
      <c r="T102" s="202"/>
      <c r="U102" s="202"/>
      <c r="V102" s="202"/>
      <c r="W102" s="143">
        <f t="shared" si="35"/>
        <v>158895</v>
      </c>
      <c r="X102" s="145"/>
    </row>
    <row r="103" s="1" customFormat="1" ht="59" customHeight="1" spans="1:24">
      <c r="A103" s="171">
        <v>31</v>
      </c>
      <c r="B103" s="159" t="s">
        <v>304</v>
      </c>
      <c r="C103" s="175"/>
      <c r="D103" s="159" t="s">
        <v>305</v>
      </c>
      <c r="E103" s="145">
        <v>232250</v>
      </c>
      <c r="F103" s="174"/>
      <c r="G103" s="76" t="s">
        <v>414</v>
      </c>
      <c r="H103" s="68" t="s">
        <v>415</v>
      </c>
      <c r="I103" s="118">
        <v>229950.5</v>
      </c>
      <c r="J103" s="101">
        <f>K103-I103</f>
        <v>2299.5</v>
      </c>
      <c r="K103" s="101">
        <f>232250</f>
        <v>232250</v>
      </c>
      <c r="L103" s="94"/>
      <c r="M103" s="94"/>
      <c r="N103" s="94"/>
      <c r="O103" s="94"/>
      <c r="P103" s="94"/>
      <c r="Q103" s="94"/>
      <c r="R103" s="208"/>
      <c r="S103" s="94"/>
      <c r="T103" s="114"/>
      <c r="U103" s="114"/>
      <c r="V103" s="114"/>
      <c r="W103" s="94"/>
      <c r="X103" s="145"/>
    </row>
    <row r="104" s="1" customFormat="1" ht="59" customHeight="1" spans="1:24">
      <c r="A104" s="171">
        <v>33</v>
      </c>
      <c r="B104" s="159" t="s">
        <v>416</v>
      </c>
      <c r="C104" s="176"/>
      <c r="D104" s="177"/>
      <c r="E104" s="145"/>
      <c r="F104" s="174"/>
      <c r="G104" s="76" t="s">
        <v>417</v>
      </c>
      <c r="H104" s="68" t="s">
        <v>416</v>
      </c>
      <c r="I104" s="118">
        <v>1538584.07</v>
      </c>
      <c r="J104" s="101">
        <v>0</v>
      </c>
      <c r="K104" s="101">
        <f t="shared" ref="K104:K110" si="36">I104+J104</f>
        <v>1538584.07</v>
      </c>
      <c r="L104" s="101"/>
      <c r="M104" s="94"/>
      <c r="N104" s="94"/>
      <c r="O104" s="94"/>
      <c r="P104" s="94"/>
      <c r="Q104" s="94"/>
      <c r="R104" s="208"/>
      <c r="S104" s="94"/>
      <c r="T104" s="114"/>
      <c r="U104" s="114"/>
      <c r="V104" s="114"/>
      <c r="W104" s="94"/>
      <c r="X104" s="145"/>
    </row>
    <row r="105" s="1" customFormat="1" ht="59" customHeight="1" spans="1:24">
      <c r="A105" s="178"/>
      <c r="B105" s="159" t="s">
        <v>418</v>
      </c>
      <c r="C105" s="176"/>
      <c r="D105" s="177"/>
      <c r="E105" s="145"/>
      <c r="F105" s="174"/>
      <c r="G105" s="76" t="s">
        <v>419</v>
      </c>
      <c r="H105" s="68" t="s">
        <v>418</v>
      </c>
      <c r="I105" s="118">
        <v>245283.02</v>
      </c>
      <c r="J105" s="101">
        <v>14716.98</v>
      </c>
      <c r="K105" s="101">
        <f>J105+I105</f>
        <v>260000</v>
      </c>
      <c r="L105" s="101"/>
      <c r="M105" s="94"/>
      <c r="N105" s="94"/>
      <c r="O105" s="94"/>
      <c r="P105" s="94"/>
      <c r="Q105" s="94"/>
      <c r="R105" s="208"/>
      <c r="S105" s="94"/>
      <c r="T105" s="114"/>
      <c r="U105" s="114"/>
      <c r="V105" s="114"/>
      <c r="W105" s="94"/>
      <c r="X105" s="145"/>
    </row>
    <row r="106" s="1" customFormat="1" ht="59" customHeight="1" spans="1:24">
      <c r="A106" s="178"/>
      <c r="B106" s="159" t="s">
        <v>420</v>
      </c>
      <c r="C106" s="175"/>
      <c r="D106" s="159"/>
      <c r="E106" s="145"/>
      <c r="F106" s="174"/>
      <c r="G106" s="76" t="s">
        <v>421</v>
      </c>
      <c r="H106" s="68" t="s">
        <v>420</v>
      </c>
      <c r="I106" s="118">
        <v>4117077.53</v>
      </c>
      <c r="J106" s="101">
        <v>0</v>
      </c>
      <c r="K106" s="101">
        <f>J106+I106</f>
        <v>4117077.53</v>
      </c>
      <c r="L106" s="101"/>
      <c r="M106" s="94"/>
      <c r="N106" s="94"/>
      <c r="O106" s="94"/>
      <c r="P106" s="94"/>
      <c r="Q106" s="94"/>
      <c r="R106" s="208"/>
      <c r="S106" s="94"/>
      <c r="T106" s="114"/>
      <c r="U106" s="114"/>
      <c r="V106" s="114"/>
      <c r="W106" s="94"/>
      <c r="X106" s="145"/>
    </row>
    <row r="107" s="1" customFormat="1" ht="36" customHeight="1" spans="1:24">
      <c r="A107" s="178">
        <v>34</v>
      </c>
      <c r="B107" s="185" t="s">
        <v>196</v>
      </c>
      <c r="C107" s="186"/>
      <c r="D107" s="187"/>
      <c r="E107" s="188">
        <v>98000</v>
      </c>
      <c r="F107" s="188" t="s">
        <v>309</v>
      </c>
      <c r="G107" s="50" t="s">
        <v>197</v>
      </c>
      <c r="H107" s="51" t="s">
        <v>198</v>
      </c>
      <c r="I107" s="108">
        <v>61468.44</v>
      </c>
      <c r="J107" s="108">
        <v>0</v>
      </c>
      <c r="K107" s="108">
        <f t="shared" si="36"/>
        <v>61468.44</v>
      </c>
      <c r="L107" s="108"/>
      <c r="M107" s="108"/>
      <c r="N107" s="108"/>
      <c r="O107" s="108"/>
      <c r="P107" s="108"/>
      <c r="Q107" s="108">
        <f>M107-O107</f>
        <v>0</v>
      </c>
      <c r="R107" s="108"/>
      <c r="S107" s="94">
        <f>K107-L107-M107-N107-O107+R107-Q107</f>
        <v>61468.44</v>
      </c>
      <c r="T107" s="94">
        <v>0</v>
      </c>
      <c r="U107" s="94">
        <f>S107</f>
        <v>61468.44</v>
      </c>
      <c r="V107" s="94">
        <v>0</v>
      </c>
      <c r="W107" s="94">
        <f>S107+T107-U107-V107</f>
        <v>0</v>
      </c>
      <c r="X107" s="145"/>
    </row>
    <row r="108" s="1" customFormat="1" ht="36" customHeight="1" spans="1:24">
      <c r="A108" s="178"/>
      <c r="B108" s="189"/>
      <c r="C108" s="190"/>
      <c r="D108" s="191"/>
      <c r="E108" s="192"/>
      <c r="F108" s="193" t="s">
        <v>310</v>
      </c>
      <c r="G108" s="53"/>
      <c r="H108" s="194"/>
      <c r="I108" s="109"/>
      <c r="J108" s="109"/>
      <c r="K108" s="109">
        <f t="shared" si="36"/>
        <v>0</v>
      </c>
      <c r="L108" s="109"/>
      <c r="M108" s="109"/>
      <c r="N108" s="109"/>
      <c r="O108" s="109"/>
      <c r="P108" s="109"/>
      <c r="Q108" s="109"/>
      <c r="R108" s="109"/>
      <c r="S108" s="101"/>
      <c r="T108" s="101"/>
      <c r="U108" s="210"/>
      <c r="V108" s="210"/>
      <c r="W108" s="101"/>
      <c r="X108" s="145"/>
    </row>
    <row r="109" s="1" customFormat="1" ht="36" customHeight="1" spans="1:24">
      <c r="A109" s="178"/>
      <c r="B109" s="189"/>
      <c r="C109" s="190"/>
      <c r="D109" s="191"/>
      <c r="E109" s="192"/>
      <c r="F109" s="195"/>
      <c r="G109" s="53"/>
      <c r="H109" s="194"/>
      <c r="I109" s="109"/>
      <c r="J109" s="109"/>
      <c r="K109" s="109">
        <f t="shared" si="36"/>
        <v>0</v>
      </c>
      <c r="L109" s="109"/>
      <c r="M109" s="109"/>
      <c r="N109" s="109"/>
      <c r="O109" s="109"/>
      <c r="P109" s="109"/>
      <c r="Q109" s="109"/>
      <c r="R109" s="109"/>
      <c r="S109" s="101"/>
      <c r="T109" s="101"/>
      <c r="U109" s="210"/>
      <c r="V109" s="210"/>
      <c r="W109" s="101"/>
      <c r="X109" s="145"/>
    </row>
    <row r="110" s="1" customFormat="1" ht="36" customHeight="1" spans="1:24">
      <c r="A110" s="178"/>
      <c r="B110" s="189"/>
      <c r="C110" s="190"/>
      <c r="D110" s="191"/>
      <c r="E110" s="192"/>
      <c r="F110" s="195"/>
      <c r="G110" s="53"/>
      <c r="H110" s="194"/>
      <c r="I110" s="109"/>
      <c r="J110" s="109"/>
      <c r="K110" s="109">
        <f t="shared" si="36"/>
        <v>0</v>
      </c>
      <c r="L110" s="109"/>
      <c r="M110" s="109"/>
      <c r="N110" s="109"/>
      <c r="O110" s="109"/>
      <c r="P110" s="109"/>
      <c r="Q110" s="109"/>
      <c r="R110" s="109"/>
      <c r="S110" s="101"/>
      <c r="T110" s="101"/>
      <c r="U110" s="210"/>
      <c r="V110" s="210"/>
      <c r="W110" s="101"/>
      <c r="X110" s="145"/>
    </row>
    <row r="111" s="1" customFormat="1" ht="36" customHeight="1" spans="1:24">
      <c r="A111" s="43">
        <v>35</v>
      </c>
      <c r="B111" s="185" t="s">
        <v>199</v>
      </c>
      <c r="C111" s="186"/>
      <c r="D111" s="187"/>
      <c r="E111" s="192"/>
      <c r="F111" s="192" t="s">
        <v>309</v>
      </c>
      <c r="G111" s="196" t="s">
        <v>248</v>
      </c>
      <c r="H111" s="197" t="s">
        <v>200</v>
      </c>
      <c r="I111" s="188">
        <f>630506.8-220</f>
        <v>630286.8</v>
      </c>
      <c r="J111" s="108"/>
      <c r="K111" s="108">
        <f t="shared" ref="K111:K115" si="37">J111+I111</f>
        <v>630286.8</v>
      </c>
      <c r="L111" s="108"/>
      <c r="M111" s="108"/>
      <c r="N111" s="108"/>
      <c r="O111" s="108"/>
      <c r="P111" s="108"/>
      <c r="Q111" s="108"/>
      <c r="R111" s="108"/>
      <c r="S111" s="94">
        <v>630286.8</v>
      </c>
      <c r="T111" s="94"/>
      <c r="U111" s="211">
        <f t="shared" ref="U111:U114" si="38">S111</f>
        <v>630286.8</v>
      </c>
      <c r="V111" s="211"/>
      <c r="W111" s="101">
        <f>S111+T111-U111-V111+S112-U112</f>
        <v>0</v>
      </c>
      <c r="X111" s="174"/>
    </row>
    <row r="112" s="1" customFormat="1" ht="36" customHeight="1" spans="1:24">
      <c r="A112" s="48"/>
      <c r="B112" s="189"/>
      <c r="C112" s="190"/>
      <c r="D112" s="191"/>
      <c r="E112" s="198"/>
      <c r="F112" s="198"/>
      <c r="G112" s="196"/>
      <c r="H112" s="197" t="s">
        <v>201</v>
      </c>
      <c r="I112" s="188">
        <v>-6746.65</v>
      </c>
      <c r="J112" s="108"/>
      <c r="K112" s="108">
        <f t="shared" ref="K112:K117" si="39">I112+J112</f>
        <v>-6746.65</v>
      </c>
      <c r="L112" s="108"/>
      <c r="M112" s="108"/>
      <c r="N112" s="108"/>
      <c r="O112" s="108"/>
      <c r="P112" s="108"/>
      <c r="Q112" s="108"/>
      <c r="R112" s="108"/>
      <c r="S112" s="94">
        <v>-6746.65</v>
      </c>
      <c r="T112" s="94"/>
      <c r="U112" s="211">
        <v>-6746.65</v>
      </c>
      <c r="V112" s="211"/>
      <c r="W112" s="94">
        <f t="shared" ref="W112:W117" si="40">S112+T112-U112-V112</f>
        <v>0</v>
      </c>
      <c r="X112" s="145"/>
    </row>
    <row r="113" s="1" customFormat="1" ht="36" customHeight="1" spans="1:24">
      <c r="A113" s="48"/>
      <c r="B113" s="189"/>
      <c r="C113" s="190"/>
      <c r="D113" s="191"/>
      <c r="E113" s="198"/>
      <c r="F113" s="199"/>
      <c r="G113" s="196"/>
      <c r="H113" s="197" t="s">
        <v>202</v>
      </c>
      <c r="I113" s="204">
        <f>1133+220</f>
        <v>1353</v>
      </c>
      <c r="J113" s="108"/>
      <c r="K113" s="108">
        <f t="shared" si="39"/>
        <v>1353</v>
      </c>
      <c r="L113" s="108"/>
      <c r="M113" s="108"/>
      <c r="N113" s="108"/>
      <c r="O113" s="108"/>
      <c r="P113" s="108"/>
      <c r="Q113" s="108"/>
      <c r="R113" s="108"/>
      <c r="S113" s="94">
        <v>1353</v>
      </c>
      <c r="T113" s="94"/>
      <c r="U113" s="211">
        <f t="shared" si="38"/>
        <v>1353</v>
      </c>
      <c r="V113" s="211"/>
      <c r="W113" s="94">
        <f t="shared" si="40"/>
        <v>0</v>
      </c>
      <c r="X113" s="145"/>
    </row>
    <row r="114" s="1" customFormat="1" ht="36" customHeight="1" spans="1:24">
      <c r="A114" s="48"/>
      <c r="B114" s="189"/>
      <c r="C114" s="190"/>
      <c r="D114" s="191"/>
      <c r="E114" s="198"/>
      <c r="F114" s="193" t="s">
        <v>310</v>
      </c>
      <c r="G114" s="193" t="s">
        <v>311</v>
      </c>
      <c r="H114" s="200" t="s">
        <v>200</v>
      </c>
      <c r="I114" s="205">
        <v>476200.01</v>
      </c>
      <c r="J114" s="109"/>
      <c r="K114" s="109">
        <f t="shared" si="37"/>
        <v>476200.01</v>
      </c>
      <c r="L114" s="109"/>
      <c r="M114" s="109"/>
      <c r="N114" s="109"/>
      <c r="O114" s="109"/>
      <c r="P114" s="109"/>
      <c r="Q114" s="109"/>
      <c r="R114" s="109"/>
      <c r="S114" s="101">
        <v>476200.01</v>
      </c>
      <c r="T114" s="101"/>
      <c r="U114" s="102">
        <f t="shared" si="38"/>
        <v>476200.01</v>
      </c>
      <c r="V114" s="102"/>
      <c r="W114" s="101">
        <f t="shared" si="40"/>
        <v>0</v>
      </c>
      <c r="X114" s="174"/>
    </row>
    <row r="115" s="1" customFormat="1" ht="36" customHeight="1" spans="1:24">
      <c r="A115" s="153"/>
      <c r="B115" s="189"/>
      <c r="C115" s="190"/>
      <c r="D115" s="191"/>
      <c r="E115" s="198"/>
      <c r="F115" s="195"/>
      <c r="G115" s="201"/>
      <c r="H115" s="200" t="s">
        <v>202</v>
      </c>
      <c r="I115" s="205">
        <v>832.96</v>
      </c>
      <c r="J115" s="109"/>
      <c r="K115" s="109">
        <f t="shared" si="37"/>
        <v>832.96</v>
      </c>
      <c r="L115" s="109"/>
      <c r="M115" s="109"/>
      <c r="N115" s="109"/>
      <c r="O115" s="109"/>
      <c r="P115" s="109"/>
      <c r="Q115" s="109"/>
      <c r="R115" s="109"/>
      <c r="S115" s="101">
        <v>832.96</v>
      </c>
      <c r="T115" s="101"/>
      <c r="U115" s="102">
        <v>832.96</v>
      </c>
      <c r="V115" s="102"/>
      <c r="W115" s="102">
        <f t="shared" si="40"/>
        <v>0</v>
      </c>
      <c r="X115" s="145"/>
    </row>
    <row r="116" s="1" customFormat="1" ht="36" customHeight="1" spans="1:24">
      <c r="A116" s="153"/>
      <c r="B116" s="189"/>
      <c r="C116" s="190"/>
      <c r="D116" s="191"/>
      <c r="E116" s="198"/>
      <c r="F116" s="195"/>
      <c r="G116" s="193" t="s">
        <v>336</v>
      </c>
      <c r="H116" s="200" t="s">
        <v>200</v>
      </c>
      <c r="I116" s="205">
        <v>446922.22</v>
      </c>
      <c r="J116" s="109"/>
      <c r="K116" s="109">
        <f t="shared" si="39"/>
        <v>446922.22</v>
      </c>
      <c r="L116" s="109"/>
      <c r="M116" s="109"/>
      <c r="N116" s="109"/>
      <c r="O116" s="109"/>
      <c r="P116" s="109"/>
      <c r="Q116" s="109"/>
      <c r="R116" s="109"/>
      <c r="S116" s="101">
        <f t="shared" ref="S116:S120" si="41">K116</f>
        <v>446922.22</v>
      </c>
      <c r="T116" s="101"/>
      <c r="U116" s="102">
        <f>S116</f>
        <v>446922.22</v>
      </c>
      <c r="V116" s="102"/>
      <c r="W116" s="102">
        <f t="shared" si="40"/>
        <v>0</v>
      </c>
      <c r="X116" s="145"/>
    </row>
    <row r="117" s="1" customFormat="1" ht="36" customHeight="1" spans="1:24">
      <c r="A117" s="153"/>
      <c r="B117" s="189"/>
      <c r="C117" s="190"/>
      <c r="D117" s="191"/>
      <c r="E117" s="199"/>
      <c r="F117" s="195"/>
      <c r="G117" s="201"/>
      <c r="H117" s="200" t="s">
        <v>202</v>
      </c>
      <c r="I117" s="205">
        <v>200</v>
      </c>
      <c r="J117" s="109"/>
      <c r="K117" s="109">
        <f t="shared" si="39"/>
        <v>200</v>
      </c>
      <c r="L117" s="109"/>
      <c r="M117" s="109"/>
      <c r="N117" s="109"/>
      <c r="O117" s="109"/>
      <c r="P117" s="109"/>
      <c r="Q117" s="109"/>
      <c r="R117" s="109"/>
      <c r="S117" s="101">
        <f t="shared" si="41"/>
        <v>200</v>
      </c>
      <c r="T117" s="101"/>
      <c r="U117" s="102">
        <v>200</v>
      </c>
      <c r="V117" s="102"/>
      <c r="W117" s="102">
        <f t="shared" si="40"/>
        <v>0</v>
      </c>
      <c r="X117" s="145"/>
    </row>
    <row r="118" s="1" customFormat="1" ht="36" customHeight="1" spans="1:24">
      <c r="A118" s="153"/>
      <c r="B118" s="189"/>
      <c r="C118" s="190"/>
      <c r="D118" s="191"/>
      <c r="E118" s="199"/>
      <c r="F118" s="195"/>
      <c r="G118" s="193" t="s">
        <v>362</v>
      </c>
      <c r="H118" s="200" t="s">
        <v>200</v>
      </c>
      <c r="I118" s="205">
        <v>480822.22</v>
      </c>
      <c r="J118" s="109"/>
      <c r="K118" s="109">
        <f>J118+I118</f>
        <v>480822.22</v>
      </c>
      <c r="L118" s="109"/>
      <c r="M118" s="109"/>
      <c r="N118" s="109"/>
      <c r="O118" s="109"/>
      <c r="P118" s="109"/>
      <c r="Q118" s="109"/>
      <c r="R118" s="109"/>
      <c r="S118" s="101">
        <f t="shared" si="41"/>
        <v>480822.22</v>
      </c>
      <c r="T118" s="101"/>
      <c r="U118" s="102"/>
      <c r="V118" s="102"/>
      <c r="W118" s="102">
        <v>172600</v>
      </c>
      <c r="X118" s="145"/>
    </row>
    <row r="119" s="1" customFormat="1" ht="36" customHeight="1" spans="1:24">
      <c r="A119" s="153"/>
      <c r="B119" s="189"/>
      <c r="C119" s="190"/>
      <c r="D119" s="191"/>
      <c r="E119" s="199"/>
      <c r="F119" s="195"/>
      <c r="G119" s="201"/>
      <c r="H119" s="200" t="s">
        <v>201</v>
      </c>
      <c r="I119" s="205">
        <f>-4185.98</f>
        <v>-4185.98</v>
      </c>
      <c r="J119" s="109"/>
      <c r="K119" s="109">
        <f>I119</f>
        <v>-4185.98</v>
      </c>
      <c r="L119" s="109"/>
      <c r="M119" s="109"/>
      <c r="N119" s="109"/>
      <c r="O119" s="109"/>
      <c r="P119" s="109"/>
      <c r="Q119" s="109"/>
      <c r="R119" s="109"/>
      <c r="S119" s="101">
        <f t="shared" si="41"/>
        <v>-4185.98</v>
      </c>
      <c r="T119" s="101"/>
      <c r="U119" s="102"/>
      <c r="V119" s="102"/>
      <c r="W119" s="102"/>
      <c r="X119" s="145"/>
    </row>
    <row r="120" s="1" customFormat="1" ht="36" customHeight="1" spans="1:24">
      <c r="A120" s="153"/>
      <c r="B120" s="189"/>
      <c r="C120" s="190"/>
      <c r="D120" s="191"/>
      <c r="E120" s="199"/>
      <c r="F120" s="195"/>
      <c r="G120" s="212" t="s">
        <v>383</v>
      </c>
      <c r="H120" s="200" t="s">
        <v>200</v>
      </c>
      <c r="I120" s="205">
        <v>351860.25</v>
      </c>
      <c r="J120" s="109"/>
      <c r="K120" s="109">
        <f>I120</f>
        <v>351860.25</v>
      </c>
      <c r="L120" s="109"/>
      <c r="M120" s="109"/>
      <c r="N120" s="109"/>
      <c r="O120" s="109"/>
      <c r="P120" s="109"/>
      <c r="Q120" s="109"/>
      <c r="R120" s="109"/>
      <c r="S120" s="101">
        <f t="shared" si="41"/>
        <v>351860.25</v>
      </c>
      <c r="T120" s="101"/>
      <c r="U120" s="102"/>
      <c r="V120" s="102"/>
      <c r="W120" s="102">
        <f>S120</f>
        <v>351860.25</v>
      </c>
      <c r="X120" s="145"/>
    </row>
    <row r="121" s="1" customFormat="1" ht="36" customHeight="1" spans="1:24">
      <c r="A121" s="153"/>
      <c r="B121" s="189"/>
      <c r="C121" s="190"/>
      <c r="D121" s="191"/>
      <c r="E121" s="199"/>
      <c r="F121" s="195"/>
      <c r="G121" s="212" t="s">
        <v>422</v>
      </c>
      <c r="H121" s="200" t="s">
        <v>200</v>
      </c>
      <c r="I121" s="205">
        <f>456616.98+27084.45</f>
        <v>483701.43</v>
      </c>
      <c r="J121" s="109"/>
      <c r="K121" s="109">
        <f>I121+J121</f>
        <v>483701.43</v>
      </c>
      <c r="L121" s="109"/>
      <c r="M121" s="109"/>
      <c r="N121" s="109"/>
      <c r="O121" s="109"/>
      <c r="P121" s="109"/>
      <c r="Q121" s="109"/>
      <c r="R121" s="109"/>
      <c r="S121" s="101"/>
      <c r="T121" s="101"/>
      <c r="U121" s="102"/>
      <c r="V121" s="102"/>
      <c r="W121" s="102"/>
      <c r="X121" s="145"/>
    </row>
    <row r="122" s="1" customFormat="1" ht="36" customHeight="1" spans="1:24">
      <c r="A122" s="153"/>
      <c r="B122" s="189"/>
      <c r="C122" s="190"/>
      <c r="D122" s="191"/>
      <c r="E122" s="199"/>
      <c r="F122" s="195"/>
      <c r="G122" s="201"/>
      <c r="H122" s="200"/>
      <c r="I122" s="205"/>
      <c r="J122" s="109"/>
      <c r="K122" s="109"/>
      <c r="L122" s="109"/>
      <c r="M122" s="109"/>
      <c r="N122" s="109"/>
      <c r="O122" s="109"/>
      <c r="P122" s="109"/>
      <c r="Q122" s="109"/>
      <c r="R122" s="109"/>
      <c r="S122" s="101"/>
      <c r="T122" s="101"/>
      <c r="U122" s="102"/>
      <c r="V122" s="102"/>
      <c r="W122" s="102"/>
      <c r="X122" s="145"/>
    </row>
    <row r="123" s="1" customFormat="1" ht="36" customHeight="1" spans="1:24">
      <c r="A123" s="153"/>
      <c r="B123" s="189"/>
      <c r="C123" s="190"/>
      <c r="D123" s="191"/>
      <c r="E123" s="199"/>
      <c r="F123" s="195"/>
      <c r="G123" s="201"/>
      <c r="H123" s="200"/>
      <c r="I123" s="205"/>
      <c r="J123" s="109"/>
      <c r="K123" s="109"/>
      <c r="L123" s="109"/>
      <c r="M123" s="109"/>
      <c r="N123" s="109"/>
      <c r="O123" s="109"/>
      <c r="P123" s="109"/>
      <c r="Q123" s="109"/>
      <c r="R123" s="109"/>
      <c r="S123" s="101"/>
      <c r="T123" s="101"/>
      <c r="U123" s="102"/>
      <c r="V123" s="102"/>
      <c r="W123" s="102"/>
      <c r="X123" s="145"/>
    </row>
    <row r="124" s="1" customFormat="1" ht="36" customHeight="1" spans="1:24">
      <c r="A124" s="153"/>
      <c r="B124" s="189"/>
      <c r="C124" s="190"/>
      <c r="D124" s="191"/>
      <c r="E124" s="199"/>
      <c r="F124" s="195"/>
      <c r="G124" s="201"/>
      <c r="H124" s="200"/>
      <c r="I124" s="205"/>
      <c r="J124" s="109"/>
      <c r="K124" s="109"/>
      <c r="L124" s="109"/>
      <c r="M124" s="109"/>
      <c r="N124" s="109"/>
      <c r="O124" s="109"/>
      <c r="P124" s="109"/>
      <c r="Q124" s="109"/>
      <c r="R124" s="109"/>
      <c r="S124" s="101"/>
      <c r="T124" s="101"/>
      <c r="U124" s="102"/>
      <c r="V124" s="102"/>
      <c r="W124" s="102"/>
      <c r="X124" s="145"/>
    </row>
    <row r="125" s="1" customFormat="1" ht="36" customHeight="1" spans="1:24">
      <c r="A125" s="153"/>
      <c r="B125" s="213"/>
      <c r="C125" s="214"/>
      <c r="D125" s="215"/>
      <c r="E125" s="199"/>
      <c r="F125" s="201"/>
      <c r="G125" s="201"/>
      <c r="H125" s="200"/>
      <c r="I125" s="205"/>
      <c r="J125" s="109"/>
      <c r="K125" s="109"/>
      <c r="L125" s="109"/>
      <c r="M125" s="109"/>
      <c r="N125" s="109"/>
      <c r="O125" s="109"/>
      <c r="P125" s="109"/>
      <c r="Q125" s="109"/>
      <c r="R125" s="109"/>
      <c r="S125" s="101"/>
      <c r="T125" s="101"/>
      <c r="U125" s="102"/>
      <c r="V125" s="102"/>
      <c r="W125" s="102"/>
      <c r="X125" s="145"/>
    </row>
    <row r="126" s="1" customFormat="1" ht="36" customHeight="1" spans="1:24">
      <c r="A126" s="156">
        <v>36</v>
      </c>
      <c r="B126" s="216" t="s">
        <v>312</v>
      </c>
      <c r="C126" s="217"/>
      <c r="D126" s="218"/>
      <c r="E126" s="188"/>
      <c r="F126" s="188"/>
      <c r="G126" s="219"/>
      <c r="H126" s="188"/>
      <c r="I126" s="108">
        <f t="shared" ref="I126:K126" si="42">SUM(I127:I176)</f>
        <v>2078339.98</v>
      </c>
      <c r="J126" s="108">
        <f t="shared" si="42"/>
        <v>211834.180000001</v>
      </c>
      <c r="K126" s="108">
        <f t="shared" si="42"/>
        <v>2290174.16</v>
      </c>
      <c r="L126" s="108">
        <f t="shared" ref="L126:O126" si="43">L127+L134+L139+L140+L147</f>
        <v>0</v>
      </c>
      <c r="M126" s="108">
        <f t="shared" si="43"/>
        <v>0</v>
      </c>
      <c r="N126" s="108">
        <f t="shared" si="43"/>
        <v>0</v>
      </c>
      <c r="O126" s="108">
        <f t="shared" si="43"/>
        <v>0</v>
      </c>
      <c r="P126" s="108"/>
      <c r="Q126" s="108"/>
      <c r="R126" s="108">
        <f>R127+R134+R139+R140+R147</f>
        <v>0</v>
      </c>
      <c r="S126" s="108">
        <f t="shared" ref="S126:S128" si="44">K126-L126-M126-N126-O126+R126-Q126</f>
        <v>2290174.16</v>
      </c>
      <c r="T126" s="108"/>
      <c r="U126" s="108">
        <f t="shared" ref="U126:U132" si="45">S126</f>
        <v>2290174.16</v>
      </c>
      <c r="V126" s="108"/>
      <c r="W126" s="108">
        <f t="shared" ref="W126:W135" si="46">S126+T126-U126-V126</f>
        <v>0</v>
      </c>
      <c r="X126" s="145"/>
    </row>
    <row r="127" s="19" customFormat="1" ht="36" customHeight="1" spans="1:24">
      <c r="A127" s="175"/>
      <c r="B127" s="220" t="s">
        <v>205</v>
      </c>
      <c r="C127" s="221"/>
      <c r="D127" s="222"/>
      <c r="E127" s="45"/>
      <c r="F127" s="46" t="s">
        <v>295</v>
      </c>
      <c r="G127" s="145" t="s">
        <v>206</v>
      </c>
      <c r="H127" s="94"/>
      <c r="I127" s="94">
        <v>46517</v>
      </c>
      <c r="J127" s="94">
        <v>0</v>
      </c>
      <c r="K127" s="94">
        <f t="shared" ref="K127:K132" si="47">J127+I127</f>
        <v>46517</v>
      </c>
      <c r="L127" s="235"/>
      <c r="M127" s="235"/>
      <c r="N127" s="235"/>
      <c r="O127" s="237"/>
      <c r="P127" s="237"/>
      <c r="Q127" s="237"/>
      <c r="R127" s="94"/>
      <c r="S127" s="94">
        <f t="shared" si="44"/>
        <v>46517</v>
      </c>
      <c r="T127" s="94"/>
      <c r="U127" s="94">
        <f t="shared" si="45"/>
        <v>46517</v>
      </c>
      <c r="V127" s="94"/>
      <c r="W127" s="94">
        <f t="shared" si="46"/>
        <v>0</v>
      </c>
      <c r="X127" s="145"/>
    </row>
    <row r="128" s="19" customFormat="1" ht="36" customHeight="1" spans="1:24">
      <c r="A128" s="175"/>
      <c r="B128" s="223"/>
      <c r="C128" s="224"/>
      <c r="D128" s="225"/>
      <c r="E128" s="49"/>
      <c r="F128" s="46"/>
      <c r="G128" s="145" t="s">
        <v>207</v>
      </c>
      <c r="H128" s="94"/>
      <c r="I128" s="94">
        <v>30516</v>
      </c>
      <c r="J128" s="94">
        <v>0</v>
      </c>
      <c r="K128" s="94">
        <f t="shared" si="47"/>
        <v>30516</v>
      </c>
      <c r="L128" s="235"/>
      <c r="M128" s="235"/>
      <c r="N128" s="235"/>
      <c r="O128" s="237"/>
      <c r="P128" s="237"/>
      <c r="Q128" s="237"/>
      <c r="R128" s="94"/>
      <c r="S128" s="94">
        <f t="shared" si="44"/>
        <v>30516</v>
      </c>
      <c r="T128" s="94"/>
      <c r="U128" s="94">
        <f t="shared" si="45"/>
        <v>30516</v>
      </c>
      <c r="V128" s="94"/>
      <c r="W128" s="94">
        <f t="shared" si="46"/>
        <v>0</v>
      </c>
      <c r="X128" s="145"/>
    </row>
    <row r="129" s="19" customFormat="1" ht="36" customHeight="1" spans="1:24">
      <c r="A129" s="175"/>
      <c r="B129" s="223"/>
      <c r="C129" s="224"/>
      <c r="D129" s="225"/>
      <c r="E129" s="49"/>
      <c r="F129" s="52" t="s">
        <v>296</v>
      </c>
      <c r="G129" s="174" t="s">
        <v>313</v>
      </c>
      <c r="H129" s="101"/>
      <c r="I129" s="101">
        <v>13017</v>
      </c>
      <c r="J129" s="101"/>
      <c r="K129" s="101">
        <f t="shared" si="47"/>
        <v>13017</v>
      </c>
      <c r="L129" s="238"/>
      <c r="M129" s="238"/>
      <c r="N129" s="238"/>
      <c r="O129" s="239"/>
      <c r="P129" s="239"/>
      <c r="Q129" s="239"/>
      <c r="R129" s="101"/>
      <c r="S129" s="101">
        <f t="shared" ref="S129:S132" si="48">K129</f>
        <v>13017</v>
      </c>
      <c r="T129" s="101"/>
      <c r="U129" s="101">
        <f t="shared" si="45"/>
        <v>13017</v>
      </c>
      <c r="V129" s="101"/>
      <c r="W129" s="101">
        <f t="shared" si="46"/>
        <v>0</v>
      </c>
      <c r="X129" s="145"/>
    </row>
    <row r="130" s="19" customFormat="1" ht="36" customHeight="1" spans="1:24">
      <c r="A130" s="175"/>
      <c r="B130" s="223"/>
      <c r="C130" s="224"/>
      <c r="D130" s="225"/>
      <c r="E130" s="49"/>
      <c r="F130" s="52"/>
      <c r="G130" s="174" t="s">
        <v>337</v>
      </c>
      <c r="H130" s="101"/>
      <c r="I130" s="101">
        <v>1700</v>
      </c>
      <c r="J130" s="101"/>
      <c r="K130" s="101">
        <f t="shared" si="47"/>
        <v>1700</v>
      </c>
      <c r="L130" s="238"/>
      <c r="M130" s="238"/>
      <c r="N130" s="238"/>
      <c r="O130" s="239"/>
      <c r="P130" s="239"/>
      <c r="Q130" s="239"/>
      <c r="R130" s="101"/>
      <c r="S130" s="101">
        <f t="shared" si="48"/>
        <v>1700</v>
      </c>
      <c r="T130" s="101"/>
      <c r="U130" s="101">
        <f t="shared" si="45"/>
        <v>1700</v>
      </c>
      <c r="V130" s="101"/>
      <c r="W130" s="101">
        <f t="shared" si="46"/>
        <v>0</v>
      </c>
      <c r="X130" s="145"/>
    </row>
    <row r="131" s="19" customFormat="1" ht="36" customHeight="1" spans="1:24">
      <c r="A131" s="175"/>
      <c r="B131" s="223"/>
      <c r="C131" s="224"/>
      <c r="D131" s="225"/>
      <c r="E131" s="49"/>
      <c r="F131" s="52"/>
      <c r="G131" s="174" t="s">
        <v>363</v>
      </c>
      <c r="H131" s="101"/>
      <c r="I131" s="101">
        <v>10747</v>
      </c>
      <c r="J131" s="101"/>
      <c r="K131" s="101">
        <f t="shared" si="47"/>
        <v>10747</v>
      </c>
      <c r="L131" s="238"/>
      <c r="M131" s="238"/>
      <c r="N131" s="238"/>
      <c r="O131" s="239"/>
      <c r="P131" s="239"/>
      <c r="Q131" s="239"/>
      <c r="R131" s="101"/>
      <c r="S131" s="101">
        <f t="shared" si="48"/>
        <v>10747</v>
      </c>
      <c r="T131" s="101"/>
      <c r="U131" s="101">
        <f t="shared" si="45"/>
        <v>10747</v>
      </c>
      <c r="V131" s="101"/>
      <c r="W131" s="101">
        <f t="shared" si="46"/>
        <v>0</v>
      </c>
      <c r="X131" s="145"/>
    </row>
    <row r="132" s="19" customFormat="1" ht="36" customHeight="1" spans="1:24">
      <c r="A132" s="175"/>
      <c r="B132" s="223"/>
      <c r="C132" s="224"/>
      <c r="D132" s="225"/>
      <c r="E132" s="49"/>
      <c r="F132" s="52"/>
      <c r="G132" s="174" t="s">
        <v>384</v>
      </c>
      <c r="H132" s="101"/>
      <c r="I132" s="101">
        <v>3699</v>
      </c>
      <c r="J132" s="101"/>
      <c r="K132" s="101">
        <f t="shared" si="47"/>
        <v>3699</v>
      </c>
      <c r="L132" s="238"/>
      <c r="M132" s="238"/>
      <c r="N132" s="238"/>
      <c r="O132" s="239"/>
      <c r="P132" s="239"/>
      <c r="Q132" s="239"/>
      <c r="R132" s="101"/>
      <c r="S132" s="101">
        <f t="shared" si="48"/>
        <v>3699</v>
      </c>
      <c r="T132" s="101"/>
      <c r="U132" s="101">
        <f t="shared" si="45"/>
        <v>3699</v>
      </c>
      <c r="V132" s="101"/>
      <c r="W132" s="101">
        <f t="shared" si="46"/>
        <v>0</v>
      </c>
      <c r="X132" s="145"/>
    </row>
    <row r="133" s="19" customFormat="1" ht="36" customHeight="1" spans="1:24">
      <c r="A133" s="175"/>
      <c r="B133" s="223"/>
      <c r="C133" s="224"/>
      <c r="D133" s="225"/>
      <c r="E133" s="49"/>
      <c r="F133" s="52"/>
      <c r="G133" s="174"/>
      <c r="H133" s="101"/>
      <c r="I133" s="101"/>
      <c r="J133" s="101"/>
      <c r="K133" s="101"/>
      <c r="L133" s="238"/>
      <c r="M133" s="238"/>
      <c r="N133" s="238"/>
      <c r="O133" s="239"/>
      <c r="P133" s="239"/>
      <c r="Q133" s="239"/>
      <c r="R133" s="101"/>
      <c r="S133" s="101"/>
      <c r="T133" s="101"/>
      <c r="U133" s="101"/>
      <c r="V133" s="101"/>
      <c r="W133" s="101">
        <f t="shared" si="46"/>
        <v>0</v>
      </c>
      <c r="X133" s="145"/>
    </row>
    <row r="134" s="19" customFormat="1" ht="36" customHeight="1" spans="1:24">
      <c r="A134" s="175"/>
      <c r="B134" s="220" t="s">
        <v>208</v>
      </c>
      <c r="C134" s="221"/>
      <c r="D134" s="222"/>
      <c r="E134" s="45"/>
      <c r="F134" s="46" t="s">
        <v>295</v>
      </c>
      <c r="G134" s="145" t="s">
        <v>206</v>
      </c>
      <c r="H134" s="94"/>
      <c r="I134" s="94">
        <f>287.12</f>
        <v>287.12</v>
      </c>
      <c r="J134" s="94">
        <v>2.88</v>
      </c>
      <c r="K134" s="94">
        <f t="shared" ref="K134:K139" si="49">J134+I134</f>
        <v>290</v>
      </c>
      <c r="L134" s="94"/>
      <c r="M134" s="94"/>
      <c r="N134" s="94"/>
      <c r="O134" s="94"/>
      <c r="P134" s="94"/>
      <c r="Q134" s="94"/>
      <c r="R134" s="94"/>
      <c r="S134" s="94">
        <f>K134-L134-M134-N134-O134+R134-Q134</f>
        <v>290</v>
      </c>
      <c r="T134" s="94"/>
      <c r="U134" s="94">
        <f t="shared" ref="U134:U145" si="50">S134</f>
        <v>290</v>
      </c>
      <c r="V134" s="94"/>
      <c r="W134" s="94">
        <f t="shared" si="46"/>
        <v>0</v>
      </c>
      <c r="X134" s="145"/>
    </row>
    <row r="135" s="19" customFormat="1" ht="36" customHeight="1" spans="1:24">
      <c r="A135" s="175"/>
      <c r="B135" s="223"/>
      <c r="C135" s="224"/>
      <c r="D135" s="225"/>
      <c r="E135" s="49"/>
      <c r="F135" s="52" t="s">
        <v>296</v>
      </c>
      <c r="G135" s="174" t="s">
        <v>337</v>
      </c>
      <c r="H135" s="226"/>
      <c r="I135" s="109"/>
      <c r="J135" s="109"/>
      <c r="K135" s="101">
        <f t="shared" si="49"/>
        <v>0</v>
      </c>
      <c r="L135" s="101"/>
      <c r="M135" s="101"/>
      <c r="N135" s="101"/>
      <c r="O135" s="101"/>
      <c r="P135" s="101"/>
      <c r="Q135" s="101"/>
      <c r="R135" s="101"/>
      <c r="S135" s="101">
        <f>K135</f>
        <v>0</v>
      </c>
      <c r="T135" s="101"/>
      <c r="U135" s="101">
        <f t="shared" si="50"/>
        <v>0</v>
      </c>
      <c r="V135" s="101"/>
      <c r="W135" s="101">
        <f t="shared" si="46"/>
        <v>0</v>
      </c>
      <c r="X135" s="145"/>
    </row>
    <row r="136" s="19" customFormat="1" ht="36" customHeight="1" spans="1:24">
      <c r="A136" s="175"/>
      <c r="B136" s="223"/>
      <c r="C136" s="224"/>
      <c r="D136" s="225"/>
      <c r="E136" s="49"/>
      <c r="F136" s="52"/>
      <c r="G136" s="174"/>
      <c r="H136" s="101"/>
      <c r="I136" s="101"/>
      <c r="J136" s="101"/>
      <c r="K136" s="101"/>
      <c r="L136" s="101"/>
      <c r="M136" s="101"/>
      <c r="N136" s="101"/>
      <c r="O136" s="101"/>
      <c r="P136" s="101"/>
      <c r="Q136" s="101"/>
      <c r="R136" s="101"/>
      <c r="S136" s="101"/>
      <c r="T136" s="101"/>
      <c r="U136" s="101"/>
      <c r="V136" s="101"/>
      <c r="W136" s="101"/>
      <c r="X136" s="145"/>
    </row>
    <row r="137" s="19" customFormat="1" ht="36" customHeight="1" spans="1:24">
      <c r="A137" s="175"/>
      <c r="B137" s="223"/>
      <c r="C137" s="224"/>
      <c r="D137" s="225"/>
      <c r="E137" s="49"/>
      <c r="F137" s="52"/>
      <c r="G137" s="174"/>
      <c r="H137" s="101"/>
      <c r="I137" s="101"/>
      <c r="J137" s="101"/>
      <c r="K137" s="101"/>
      <c r="L137" s="101"/>
      <c r="M137" s="101"/>
      <c r="N137" s="101"/>
      <c r="O137" s="101"/>
      <c r="P137" s="101"/>
      <c r="Q137" s="101"/>
      <c r="R137" s="101"/>
      <c r="S137" s="101"/>
      <c r="T137" s="101"/>
      <c r="U137" s="101"/>
      <c r="V137" s="101"/>
      <c r="W137" s="101"/>
      <c r="X137" s="145"/>
    </row>
    <row r="138" s="19" customFormat="1" ht="36" customHeight="1" spans="1:24">
      <c r="A138" s="175"/>
      <c r="B138" s="223"/>
      <c r="C138" s="224"/>
      <c r="D138" s="225"/>
      <c r="E138" s="49"/>
      <c r="F138" s="52"/>
      <c r="G138" s="174"/>
      <c r="H138" s="101"/>
      <c r="I138" s="101"/>
      <c r="J138" s="101"/>
      <c r="K138" s="101"/>
      <c r="L138" s="101"/>
      <c r="M138" s="101"/>
      <c r="N138" s="101"/>
      <c r="O138" s="101"/>
      <c r="P138" s="101"/>
      <c r="Q138" s="101"/>
      <c r="R138" s="101"/>
      <c r="S138" s="101"/>
      <c r="T138" s="101"/>
      <c r="U138" s="101"/>
      <c r="V138" s="101"/>
      <c r="W138" s="102"/>
      <c r="X138" s="145"/>
    </row>
    <row r="139" s="19" customFormat="1" ht="36" customHeight="1" spans="1:24">
      <c r="A139" s="175"/>
      <c r="B139" s="227" t="s">
        <v>209</v>
      </c>
      <c r="C139" s="228"/>
      <c r="D139" s="229"/>
      <c r="E139" s="45"/>
      <c r="F139" s="45" t="s">
        <v>295</v>
      </c>
      <c r="G139" s="145" t="s">
        <v>206</v>
      </c>
      <c r="H139" s="94"/>
      <c r="I139" s="94">
        <v>116605.74</v>
      </c>
      <c r="J139" s="94">
        <v>3317.86000000048</v>
      </c>
      <c r="K139" s="94">
        <f t="shared" si="49"/>
        <v>119923.6</v>
      </c>
      <c r="L139" s="94"/>
      <c r="M139" s="94"/>
      <c r="N139" s="94"/>
      <c r="O139" s="94"/>
      <c r="P139" s="94"/>
      <c r="Q139" s="94"/>
      <c r="R139" s="94"/>
      <c r="S139" s="94">
        <f t="shared" ref="S139:S141" si="51">K139-L139-M139-N139-O139+R139-Q139</f>
        <v>119923.6</v>
      </c>
      <c r="T139" s="94"/>
      <c r="U139" s="94">
        <f t="shared" si="50"/>
        <v>119923.6</v>
      </c>
      <c r="V139" s="94"/>
      <c r="W139" s="94">
        <f t="shared" ref="W139:W142" si="52">S139+T139-U139-V139</f>
        <v>0</v>
      </c>
      <c r="X139" s="145"/>
    </row>
    <row r="140" s="19" customFormat="1" ht="36" customHeight="1" spans="1:24">
      <c r="A140" s="175"/>
      <c r="B140" s="230"/>
      <c r="C140" s="231"/>
      <c r="D140" s="232"/>
      <c r="E140" s="49"/>
      <c r="F140" s="49"/>
      <c r="G140" s="45" t="s">
        <v>207</v>
      </c>
      <c r="H140" s="94"/>
      <c r="I140" s="108">
        <v>89025.62</v>
      </c>
      <c r="J140" s="108">
        <f>2148.43-100.78-401.06</f>
        <v>1646.59</v>
      </c>
      <c r="K140" s="94">
        <f>I140+J140</f>
        <v>90672.21</v>
      </c>
      <c r="L140" s="94"/>
      <c r="M140" s="94"/>
      <c r="N140" s="94"/>
      <c r="O140" s="94"/>
      <c r="P140" s="94"/>
      <c r="Q140" s="94"/>
      <c r="R140" s="94"/>
      <c r="S140" s="94">
        <f t="shared" si="51"/>
        <v>90672.21</v>
      </c>
      <c r="T140" s="94"/>
      <c r="U140" s="94">
        <f t="shared" si="50"/>
        <v>90672.21</v>
      </c>
      <c r="V140" s="94"/>
      <c r="W140" s="94">
        <f t="shared" si="52"/>
        <v>0</v>
      </c>
      <c r="X140" s="145"/>
    </row>
    <row r="141" s="19" customFormat="1" ht="36" customHeight="1" spans="1:24">
      <c r="A141" s="175"/>
      <c r="B141" s="230"/>
      <c r="C141" s="231"/>
      <c r="D141" s="232"/>
      <c r="E141" s="49"/>
      <c r="F141" s="49"/>
      <c r="G141" s="81"/>
      <c r="H141" s="233" t="s">
        <v>210</v>
      </c>
      <c r="I141" s="108">
        <v>6579.94</v>
      </c>
      <c r="J141" s="108">
        <f>3620-3408.78+3361-3171.16</f>
        <v>401.06</v>
      </c>
      <c r="K141" s="94">
        <f t="shared" ref="K141:K144" si="53">J141+I141</f>
        <v>6981</v>
      </c>
      <c r="L141" s="94"/>
      <c r="M141" s="94"/>
      <c r="N141" s="94"/>
      <c r="O141" s="94"/>
      <c r="P141" s="94"/>
      <c r="Q141" s="94"/>
      <c r="R141" s="94"/>
      <c r="S141" s="94">
        <f t="shared" si="51"/>
        <v>6981</v>
      </c>
      <c r="T141" s="94"/>
      <c r="U141" s="94">
        <f t="shared" si="50"/>
        <v>6981</v>
      </c>
      <c r="V141" s="94"/>
      <c r="W141" s="94">
        <f t="shared" si="52"/>
        <v>0</v>
      </c>
      <c r="X141" s="145"/>
    </row>
    <row r="142" s="19" customFormat="1" ht="36" customHeight="1" spans="1:24">
      <c r="A142" s="175"/>
      <c r="B142" s="230"/>
      <c r="C142" s="231"/>
      <c r="D142" s="232"/>
      <c r="E142" s="49"/>
      <c r="F142" s="103" t="s">
        <v>296</v>
      </c>
      <c r="G142" s="174" t="s">
        <v>313</v>
      </c>
      <c r="H142" s="226"/>
      <c r="I142" s="109">
        <v>65309.79</v>
      </c>
      <c r="J142" s="109">
        <v>909.39</v>
      </c>
      <c r="K142" s="101">
        <f t="shared" si="53"/>
        <v>66219.18</v>
      </c>
      <c r="L142" s="101"/>
      <c r="M142" s="101"/>
      <c r="N142" s="101"/>
      <c r="O142" s="101"/>
      <c r="P142" s="101"/>
      <c r="Q142" s="101"/>
      <c r="R142" s="101"/>
      <c r="S142" s="101">
        <f t="shared" ref="S142:S145" si="54">K142</f>
        <v>66219.18</v>
      </c>
      <c r="T142" s="101"/>
      <c r="U142" s="101">
        <f t="shared" si="50"/>
        <v>66219.18</v>
      </c>
      <c r="V142" s="101"/>
      <c r="W142" s="101">
        <f t="shared" si="52"/>
        <v>0</v>
      </c>
      <c r="X142" s="145"/>
    </row>
    <row r="143" s="19" customFormat="1" ht="36" customHeight="1" spans="1:24">
      <c r="A143" s="175"/>
      <c r="B143" s="230"/>
      <c r="C143" s="231"/>
      <c r="D143" s="232"/>
      <c r="E143" s="49"/>
      <c r="F143" s="105"/>
      <c r="G143" s="174" t="s">
        <v>337</v>
      </c>
      <c r="H143" s="226"/>
      <c r="I143" s="109">
        <v>9521.42</v>
      </c>
      <c r="J143" s="109">
        <f>810.89-771.11+7.68+790-750.83+15.37+30.37+758.4-721.26+2052-2036.63+591.63</f>
        <v>776.51</v>
      </c>
      <c r="K143" s="101">
        <f t="shared" si="53"/>
        <v>10297.93</v>
      </c>
      <c r="L143" s="101"/>
      <c r="M143" s="101"/>
      <c r="N143" s="101"/>
      <c r="O143" s="101"/>
      <c r="P143" s="101"/>
      <c r="Q143" s="101"/>
      <c r="R143" s="101"/>
      <c r="S143" s="101">
        <f t="shared" si="54"/>
        <v>10297.93</v>
      </c>
      <c r="T143" s="101"/>
      <c r="U143" s="101">
        <f t="shared" si="50"/>
        <v>10297.93</v>
      </c>
      <c r="V143" s="101"/>
      <c r="W143" s="101"/>
      <c r="X143" s="145"/>
    </row>
    <row r="144" s="19" customFormat="1" ht="36" customHeight="1" spans="1:24">
      <c r="A144" s="175"/>
      <c r="B144" s="230"/>
      <c r="C144" s="231"/>
      <c r="D144" s="232"/>
      <c r="E144" s="49"/>
      <c r="F144" s="105"/>
      <c r="G144" s="174" t="s">
        <v>338</v>
      </c>
      <c r="H144" s="226"/>
      <c r="I144" s="109">
        <v>26021.1</v>
      </c>
      <c r="J144" s="109">
        <v>430.410000000149</v>
      </c>
      <c r="K144" s="101">
        <f t="shared" si="53"/>
        <v>26451.5100000001</v>
      </c>
      <c r="L144" s="101"/>
      <c r="M144" s="101"/>
      <c r="N144" s="101"/>
      <c r="O144" s="101"/>
      <c r="P144" s="101"/>
      <c r="Q144" s="101"/>
      <c r="R144" s="101"/>
      <c r="S144" s="101">
        <f t="shared" si="54"/>
        <v>26451.5100000001</v>
      </c>
      <c r="T144" s="101"/>
      <c r="U144" s="101">
        <f t="shared" si="50"/>
        <v>26451.5100000001</v>
      </c>
      <c r="V144" s="101"/>
      <c r="W144" s="101"/>
      <c r="X144" s="145"/>
    </row>
    <row r="145" s="19" customFormat="1" ht="36" customHeight="1" spans="1:24">
      <c r="A145" s="175"/>
      <c r="B145" s="230"/>
      <c r="C145" s="231"/>
      <c r="D145" s="232"/>
      <c r="E145" s="49"/>
      <c r="F145" s="105"/>
      <c r="G145" s="174" t="s">
        <v>339</v>
      </c>
      <c r="H145" s="226"/>
      <c r="I145" s="109">
        <v>19271.4</v>
      </c>
      <c r="J145" s="109">
        <f>2132.03-2035.28+3242.03-3044.15+14.97+10623.25-10272.17+11.23</f>
        <v>671.91</v>
      </c>
      <c r="K145" s="101">
        <f t="shared" ref="K145:K148" si="55">I145+J145</f>
        <v>19943.31</v>
      </c>
      <c r="L145" s="101"/>
      <c r="M145" s="101"/>
      <c r="N145" s="101"/>
      <c r="O145" s="101"/>
      <c r="P145" s="101"/>
      <c r="Q145" s="101"/>
      <c r="R145" s="101"/>
      <c r="S145" s="101">
        <f t="shared" si="54"/>
        <v>19943.31</v>
      </c>
      <c r="T145" s="101"/>
      <c r="U145" s="101">
        <f t="shared" si="50"/>
        <v>19943.31</v>
      </c>
      <c r="V145" s="101"/>
      <c r="W145" s="101"/>
      <c r="X145" s="145"/>
    </row>
    <row r="146" s="19" customFormat="1" ht="36" customHeight="1" spans="1:24">
      <c r="A146" s="175"/>
      <c r="B146" s="230"/>
      <c r="C146" s="231"/>
      <c r="D146" s="232"/>
      <c r="E146" s="49"/>
      <c r="F146" s="106"/>
      <c r="G146" s="174" t="s">
        <v>423</v>
      </c>
      <c r="H146" s="226"/>
      <c r="I146" s="109">
        <v>1555.85</v>
      </c>
      <c r="J146" s="109">
        <f>7.49+4.21+5.45</f>
        <v>17.15</v>
      </c>
      <c r="K146" s="101">
        <f t="shared" si="55"/>
        <v>1573</v>
      </c>
      <c r="L146" s="101"/>
      <c r="M146" s="101"/>
      <c r="N146" s="101"/>
      <c r="O146" s="101"/>
      <c r="P146" s="101"/>
      <c r="Q146" s="101"/>
      <c r="R146" s="101"/>
      <c r="S146" s="101"/>
      <c r="T146" s="101"/>
      <c r="U146" s="101"/>
      <c r="V146" s="101"/>
      <c r="W146" s="101"/>
      <c r="X146" s="145"/>
    </row>
    <row r="147" s="19" customFormat="1" ht="36" customHeight="1" spans="1:24">
      <c r="A147" s="175"/>
      <c r="B147" s="220" t="s">
        <v>211</v>
      </c>
      <c r="C147" s="221"/>
      <c r="D147" s="222"/>
      <c r="E147" s="45"/>
      <c r="F147" s="211" t="s">
        <v>295</v>
      </c>
      <c r="G147" s="145" t="s">
        <v>207</v>
      </c>
      <c r="H147" s="94"/>
      <c r="I147" s="108">
        <f>22857.94+11.28</f>
        <v>22869.22</v>
      </c>
      <c r="J147" s="108">
        <f>11.28+29.7+24.26*2</f>
        <v>89.5</v>
      </c>
      <c r="K147" s="94">
        <f t="shared" si="55"/>
        <v>22958.72</v>
      </c>
      <c r="L147" s="94"/>
      <c r="M147" s="94"/>
      <c r="N147" s="94"/>
      <c r="O147" s="94"/>
      <c r="P147" s="94"/>
      <c r="Q147" s="94"/>
      <c r="R147" s="94"/>
      <c r="S147" s="94">
        <f>K147-L147-M147-N147-O147+R147-Q147</f>
        <v>22958.72</v>
      </c>
      <c r="T147" s="108"/>
      <c r="U147" s="94">
        <f>S147</f>
        <v>22958.72</v>
      </c>
      <c r="V147" s="94"/>
      <c r="W147" s="94">
        <f t="shared" ref="W147:W154" si="56">S147+T147-U147-V147</f>
        <v>0</v>
      </c>
      <c r="X147" s="145"/>
    </row>
    <row r="148" s="19" customFormat="1" ht="36" customHeight="1" spans="1:24">
      <c r="A148" s="175"/>
      <c r="B148" s="223"/>
      <c r="C148" s="224"/>
      <c r="D148" s="225"/>
      <c r="E148" s="81"/>
      <c r="F148" s="103" t="s">
        <v>296</v>
      </c>
      <c r="G148" s="174" t="s">
        <v>313</v>
      </c>
      <c r="H148" s="234" t="s">
        <v>314</v>
      </c>
      <c r="I148" s="109">
        <v>11785.05</v>
      </c>
      <c r="J148" s="109">
        <v>38.95</v>
      </c>
      <c r="K148" s="101">
        <f t="shared" si="55"/>
        <v>11824</v>
      </c>
      <c r="L148" s="101"/>
      <c r="M148" s="101"/>
      <c r="N148" s="101"/>
      <c r="O148" s="101"/>
      <c r="P148" s="101"/>
      <c r="Q148" s="101"/>
      <c r="R148" s="101"/>
      <c r="S148" s="101">
        <v>11824</v>
      </c>
      <c r="T148" s="109"/>
      <c r="U148" s="101">
        <v>11824</v>
      </c>
      <c r="V148" s="101"/>
      <c r="W148" s="101">
        <f t="shared" si="56"/>
        <v>0</v>
      </c>
      <c r="X148" s="145"/>
    </row>
    <row r="149" s="19" customFormat="1" ht="36" customHeight="1" spans="1:24">
      <c r="A149" s="175"/>
      <c r="B149" s="223"/>
      <c r="C149" s="224"/>
      <c r="D149" s="225"/>
      <c r="E149" s="81"/>
      <c r="F149" s="105"/>
      <c r="G149" s="174"/>
      <c r="H149" s="234"/>
      <c r="I149" s="109"/>
      <c r="J149" s="109"/>
      <c r="K149" s="101"/>
      <c r="L149" s="101"/>
      <c r="M149" s="101"/>
      <c r="N149" s="101"/>
      <c r="O149" s="101"/>
      <c r="P149" s="101"/>
      <c r="Q149" s="101"/>
      <c r="R149" s="101"/>
      <c r="S149" s="101"/>
      <c r="T149" s="109"/>
      <c r="U149" s="101"/>
      <c r="V149" s="101"/>
      <c r="W149" s="101"/>
      <c r="X149" s="145"/>
    </row>
    <row r="150" s="19" customFormat="1" ht="36" customHeight="1" spans="1:24">
      <c r="A150" s="175"/>
      <c r="B150" s="223"/>
      <c r="C150" s="224"/>
      <c r="D150" s="225"/>
      <c r="E150" s="81"/>
      <c r="F150" s="105"/>
      <c r="G150" s="174"/>
      <c r="H150" s="234"/>
      <c r="I150" s="109"/>
      <c r="J150" s="109"/>
      <c r="K150" s="101"/>
      <c r="L150" s="101"/>
      <c r="M150" s="101"/>
      <c r="N150" s="101"/>
      <c r="O150" s="101"/>
      <c r="P150" s="101"/>
      <c r="Q150" s="101"/>
      <c r="R150" s="101"/>
      <c r="S150" s="101"/>
      <c r="T150" s="109"/>
      <c r="U150" s="101"/>
      <c r="V150" s="101"/>
      <c r="W150" s="101"/>
      <c r="X150" s="145"/>
    </row>
    <row r="151" s="19" customFormat="1" ht="36" customHeight="1" spans="1:24">
      <c r="A151" s="175"/>
      <c r="B151" s="223"/>
      <c r="C151" s="224"/>
      <c r="D151" s="225"/>
      <c r="E151" s="81"/>
      <c r="F151" s="105"/>
      <c r="G151" s="174"/>
      <c r="H151" s="234"/>
      <c r="I151" s="109"/>
      <c r="J151" s="109"/>
      <c r="K151" s="101"/>
      <c r="L151" s="101"/>
      <c r="M151" s="101"/>
      <c r="N151" s="101"/>
      <c r="O151" s="101"/>
      <c r="P151" s="101"/>
      <c r="Q151" s="101"/>
      <c r="R151" s="101"/>
      <c r="S151" s="101"/>
      <c r="T151" s="109"/>
      <c r="U151" s="101"/>
      <c r="V151" s="101"/>
      <c r="W151" s="101"/>
      <c r="X151" s="145"/>
    </row>
    <row r="152" s="19" customFormat="1" ht="36" customHeight="1" spans="1:24">
      <c r="A152" s="175"/>
      <c r="B152" s="185" t="s">
        <v>210</v>
      </c>
      <c r="C152" s="186"/>
      <c r="D152" s="187"/>
      <c r="E152" s="94"/>
      <c r="F152" s="103" t="s">
        <v>296</v>
      </c>
      <c r="G152" s="174" t="s">
        <v>313</v>
      </c>
      <c r="H152" s="234" t="s">
        <v>315</v>
      </c>
      <c r="I152" s="109">
        <v>84328.41</v>
      </c>
      <c r="J152" s="109">
        <v>10962.71</v>
      </c>
      <c r="K152" s="101">
        <f t="shared" ref="K152:K175" si="57">J152+I152</f>
        <v>95291.12</v>
      </c>
      <c r="L152" s="101"/>
      <c r="M152" s="101"/>
      <c r="N152" s="101"/>
      <c r="O152" s="101"/>
      <c r="P152" s="101"/>
      <c r="Q152" s="101"/>
      <c r="R152" s="101"/>
      <c r="S152" s="101">
        <f t="shared" ref="S152:S156" si="58">K152</f>
        <v>95291.12</v>
      </c>
      <c r="T152" s="101"/>
      <c r="U152" s="101">
        <f t="shared" ref="U152:U156" si="59">S152</f>
        <v>95291.12</v>
      </c>
      <c r="V152" s="101"/>
      <c r="W152" s="101">
        <f t="shared" si="56"/>
        <v>0</v>
      </c>
      <c r="X152" s="145"/>
    </row>
    <row r="153" s="19" customFormat="1" ht="36" customHeight="1" spans="1:24">
      <c r="A153" s="175"/>
      <c r="B153" s="189"/>
      <c r="C153" s="190"/>
      <c r="D153" s="191"/>
      <c r="E153" s="94"/>
      <c r="F153" s="105"/>
      <c r="G153" s="174" t="s">
        <v>337</v>
      </c>
      <c r="H153" s="234" t="s">
        <v>340</v>
      </c>
      <c r="I153" s="109">
        <v>31416.34</v>
      </c>
      <c r="J153" s="109">
        <f>1041.5</f>
        <v>1041.5</v>
      </c>
      <c r="K153" s="101">
        <f t="shared" si="57"/>
        <v>32457.84</v>
      </c>
      <c r="L153" s="101"/>
      <c r="M153" s="101"/>
      <c r="N153" s="101"/>
      <c r="O153" s="101"/>
      <c r="P153" s="101"/>
      <c r="Q153" s="101"/>
      <c r="R153" s="101"/>
      <c r="S153" s="101">
        <f t="shared" si="58"/>
        <v>32457.84</v>
      </c>
      <c r="T153" s="101"/>
      <c r="U153" s="101">
        <f t="shared" si="59"/>
        <v>32457.84</v>
      </c>
      <c r="V153" s="101"/>
      <c r="W153" s="101">
        <f t="shared" si="56"/>
        <v>0</v>
      </c>
      <c r="X153" s="145"/>
    </row>
    <row r="154" s="19" customFormat="1" ht="36" customHeight="1" spans="1:24">
      <c r="A154" s="175"/>
      <c r="B154" s="189"/>
      <c r="C154" s="190"/>
      <c r="D154" s="191"/>
      <c r="E154" s="94"/>
      <c r="F154" s="105"/>
      <c r="G154" s="174" t="s">
        <v>337</v>
      </c>
      <c r="H154" s="226"/>
      <c r="I154" s="109">
        <v>3345.19</v>
      </c>
      <c r="J154" s="109">
        <v>434.87</v>
      </c>
      <c r="K154" s="101">
        <f t="shared" si="57"/>
        <v>3780.06</v>
      </c>
      <c r="L154" s="101"/>
      <c r="M154" s="101"/>
      <c r="N154" s="101"/>
      <c r="O154" s="101"/>
      <c r="P154" s="101"/>
      <c r="Q154" s="101"/>
      <c r="R154" s="101"/>
      <c r="S154" s="101">
        <f t="shared" si="58"/>
        <v>3780.06</v>
      </c>
      <c r="T154" s="101"/>
      <c r="U154" s="101">
        <f t="shared" si="59"/>
        <v>3780.06</v>
      </c>
      <c r="V154" s="101"/>
      <c r="W154" s="101">
        <f t="shared" si="56"/>
        <v>0</v>
      </c>
      <c r="X154" s="145"/>
    </row>
    <row r="155" s="19" customFormat="1" ht="36" customHeight="1" spans="1:24">
      <c r="A155" s="175"/>
      <c r="B155" s="189"/>
      <c r="C155" s="190"/>
      <c r="D155" s="191"/>
      <c r="E155" s="94"/>
      <c r="F155" s="105"/>
      <c r="G155" s="174" t="s">
        <v>338</v>
      </c>
      <c r="H155" s="234" t="s">
        <v>364</v>
      </c>
      <c r="I155" s="109">
        <v>273547.38</v>
      </c>
      <c r="J155" s="109">
        <f>28647.01+1189.56+5407.38+317.52</f>
        <v>35561.47</v>
      </c>
      <c r="K155" s="101">
        <f t="shared" si="57"/>
        <v>309108.85</v>
      </c>
      <c r="L155" s="101"/>
      <c r="M155" s="101"/>
      <c r="N155" s="101"/>
      <c r="O155" s="101"/>
      <c r="P155" s="101"/>
      <c r="Q155" s="101"/>
      <c r="R155" s="101"/>
      <c r="S155" s="101">
        <f t="shared" si="58"/>
        <v>309108.85</v>
      </c>
      <c r="T155" s="101"/>
      <c r="U155" s="101">
        <f t="shared" si="59"/>
        <v>309108.85</v>
      </c>
      <c r="V155" s="101"/>
      <c r="W155" s="101">
        <f>S155-U155</f>
        <v>0</v>
      </c>
      <c r="X155" s="145"/>
    </row>
    <row r="156" s="19" customFormat="1" ht="36" customHeight="1" spans="1:24">
      <c r="A156" s="175"/>
      <c r="B156" s="189"/>
      <c r="C156" s="190"/>
      <c r="D156" s="191"/>
      <c r="E156" s="94"/>
      <c r="F156" s="105"/>
      <c r="G156" s="174" t="s">
        <v>339</v>
      </c>
      <c r="H156" s="234" t="s">
        <v>368</v>
      </c>
      <c r="I156" s="109">
        <v>688.77</v>
      </c>
      <c r="J156" s="109">
        <f>727.9-688.77</f>
        <v>39.13</v>
      </c>
      <c r="K156" s="101">
        <f t="shared" si="57"/>
        <v>727.9</v>
      </c>
      <c r="L156" s="101"/>
      <c r="M156" s="101"/>
      <c r="N156" s="101"/>
      <c r="O156" s="101"/>
      <c r="P156" s="101"/>
      <c r="Q156" s="101"/>
      <c r="R156" s="101"/>
      <c r="S156" s="101">
        <f t="shared" si="58"/>
        <v>727.9</v>
      </c>
      <c r="T156" s="101"/>
      <c r="U156" s="101">
        <f t="shared" si="59"/>
        <v>727.9</v>
      </c>
      <c r="V156" s="101"/>
      <c r="W156" s="101"/>
      <c r="X156" s="145"/>
    </row>
    <row r="157" s="19" customFormat="1" ht="36" customHeight="1" spans="1:24">
      <c r="A157" s="175"/>
      <c r="B157" s="189"/>
      <c r="C157" s="190"/>
      <c r="D157" s="191"/>
      <c r="E157" s="94"/>
      <c r="F157" s="105"/>
      <c r="G157" s="174" t="s">
        <v>424</v>
      </c>
      <c r="H157" s="234" t="s">
        <v>425</v>
      </c>
      <c r="I157" s="109">
        <v>13396.23</v>
      </c>
      <c r="J157" s="109">
        <v>803.77</v>
      </c>
      <c r="K157" s="101">
        <f t="shared" si="57"/>
        <v>14200</v>
      </c>
      <c r="L157" s="101"/>
      <c r="M157" s="101"/>
      <c r="N157" s="101"/>
      <c r="O157" s="101"/>
      <c r="P157" s="101"/>
      <c r="Q157" s="101"/>
      <c r="R157" s="101"/>
      <c r="S157" s="101"/>
      <c r="T157" s="101"/>
      <c r="U157" s="101"/>
      <c r="V157" s="101"/>
      <c r="W157" s="101"/>
      <c r="X157" s="145"/>
    </row>
    <row r="158" s="19" customFormat="1" ht="36" customHeight="1" spans="1:24">
      <c r="A158" s="175"/>
      <c r="B158" s="189"/>
      <c r="C158" s="190"/>
      <c r="D158" s="191"/>
      <c r="E158" s="94"/>
      <c r="F158" s="105"/>
      <c r="G158" s="174" t="s">
        <v>426</v>
      </c>
      <c r="H158" s="234" t="s">
        <v>427</v>
      </c>
      <c r="I158" s="109">
        <v>5299.15</v>
      </c>
      <c r="J158" s="109">
        <v>688.89</v>
      </c>
      <c r="K158" s="101">
        <f t="shared" si="57"/>
        <v>5988.04</v>
      </c>
      <c r="L158" s="101"/>
      <c r="M158" s="101"/>
      <c r="N158" s="101"/>
      <c r="O158" s="101"/>
      <c r="P158" s="101"/>
      <c r="Q158" s="101"/>
      <c r="R158" s="101"/>
      <c r="S158" s="101"/>
      <c r="T158" s="101"/>
      <c r="U158" s="101"/>
      <c r="V158" s="101"/>
      <c r="W158" s="101"/>
      <c r="X158" s="145"/>
    </row>
    <row r="159" s="19" customFormat="1" ht="36" customHeight="1" spans="1:24">
      <c r="A159" s="175"/>
      <c r="B159" s="189"/>
      <c r="C159" s="190"/>
      <c r="D159" s="191"/>
      <c r="E159" s="94"/>
      <c r="F159" s="105"/>
      <c r="G159" s="174" t="s">
        <v>428</v>
      </c>
      <c r="H159" s="234" t="s">
        <v>429</v>
      </c>
      <c r="I159" s="109">
        <v>1196.7</v>
      </c>
      <c r="J159" s="109">
        <v>155.57</v>
      </c>
      <c r="K159" s="101">
        <f t="shared" si="57"/>
        <v>1352.27</v>
      </c>
      <c r="L159" s="101"/>
      <c r="M159" s="101"/>
      <c r="N159" s="101"/>
      <c r="O159" s="101"/>
      <c r="P159" s="101"/>
      <c r="Q159" s="101"/>
      <c r="R159" s="101"/>
      <c r="S159" s="101"/>
      <c r="T159" s="101"/>
      <c r="U159" s="101"/>
      <c r="V159" s="101"/>
      <c r="W159" s="101"/>
      <c r="X159" s="145"/>
    </row>
    <row r="160" s="19" customFormat="1" ht="36" customHeight="1" spans="1:24">
      <c r="A160" s="175"/>
      <c r="B160" s="189"/>
      <c r="C160" s="190"/>
      <c r="D160" s="191"/>
      <c r="E160" s="94"/>
      <c r="F160" s="105"/>
      <c r="G160" s="174" t="s">
        <v>430</v>
      </c>
      <c r="H160" s="234" t="s">
        <v>431</v>
      </c>
      <c r="I160" s="109">
        <v>10045.06</v>
      </c>
      <c r="J160" s="109">
        <v>1305.86</v>
      </c>
      <c r="K160" s="101">
        <f t="shared" si="57"/>
        <v>11350.92</v>
      </c>
      <c r="L160" s="101"/>
      <c r="M160" s="101"/>
      <c r="N160" s="101"/>
      <c r="O160" s="101"/>
      <c r="P160" s="101"/>
      <c r="Q160" s="101"/>
      <c r="R160" s="101"/>
      <c r="S160" s="101"/>
      <c r="T160" s="101"/>
      <c r="U160" s="101"/>
      <c r="V160" s="101"/>
      <c r="W160" s="101"/>
      <c r="X160" s="145"/>
    </row>
    <row r="161" s="19" customFormat="1" ht="36" customHeight="1" spans="1:24">
      <c r="A161" s="175"/>
      <c r="B161" s="189"/>
      <c r="C161" s="190"/>
      <c r="D161" s="191"/>
      <c r="E161" s="94"/>
      <c r="F161" s="105"/>
      <c r="G161" s="174" t="s">
        <v>432</v>
      </c>
      <c r="H161" s="234" t="s">
        <v>433</v>
      </c>
      <c r="I161" s="109">
        <v>2654.87</v>
      </c>
      <c r="J161" s="109">
        <v>345.13</v>
      </c>
      <c r="K161" s="101">
        <f t="shared" si="57"/>
        <v>3000</v>
      </c>
      <c r="L161" s="101"/>
      <c r="M161" s="101"/>
      <c r="N161" s="101"/>
      <c r="O161" s="101"/>
      <c r="P161" s="101"/>
      <c r="Q161" s="101"/>
      <c r="R161" s="101"/>
      <c r="S161" s="101"/>
      <c r="T161" s="101"/>
      <c r="U161" s="101"/>
      <c r="V161" s="101"/>
      <c r="W161" s="101"/>
      <c r="X161" s="145"/>
    </row>
    <row r="162" s="19" customFormat="1" ht="36" customHeight="1" spans="1:24">
      <c r="A162" s="175"/>
      <c r="B162" s="189"/>
      <c r="C162" s="190"/>
      <c r="D162" s="191"/>
      <c r="E162" s="94"/>
      <c r="F162" s="105"/>
      <c r="G162" s="174" t="s">
        <v>434</v>
      </c>
      <c r="H162" s="234" t="s">
        <v>435</v>
      </c>
      <c r="I162" s="109">
        <v>9551.14</v>
      </c>
      <c r="J162" s="109">
        <v>1241.65</v>
      </c>
      <c r="K162" s="101">
        <f t="shared" si="57"/>
        <v>10792.79</v>
      </c>
      <c r="L162" s="101"/>
      <c r="M162" s="101"/>
      <c r="N162" s="101"/>
      <c r="O162" s="101"/>
      <c r="P162" s="101"/>
      <c r="Q162" s="101"/>
      <c r="R162" s="101"/>
      <c r="S162" s="101"/>
      <c r="T162" s="101"/>
      <c r="U162" s="101"/>
      <c r="V162" s="101"/>
      <c r="W162" s="101"/>
      <c r="X162" s="145"/>
    </row>
    <row r="163" s="19" customFormat="1" ht="36" customHeight="1" spans="1:24">
      <c r="A163" s="175"/>
      <c r="B163" s="189"/>
      <c r="C163" s="190"/>
      <c r="D163" s="191"/>
      <c r="E163" s="94"/>
      <c r="F163" s="105"/>
      <c r="G163" s="174" t="s">
        <v>436</v>
      </c>
      <c r="H163" s="234" t="s">
        <v>437</v>
      </c>
      <c r="I163" s="109">
        <v>19400.34</v>
      </c>
      <c r="J163" s="109">
        <v>2522.01</v>
      </c>
      <c r="K163" s="101">
        <f t="shared" si="57"/>
        <v>21922.35</v>
      </c>
      <c r="L163" s="101"/>
      <c r="M163" s="101"/>
      <c r="N163" s="101"/>
      <c r="O163" s="101"/>
      <c r="P163" s="101"/>
      <c r="Q163" s="101"/>
      <c r="R163" s="101"/>
      <c r="S163" s="101"/>
      <c r="T163" s="101"/>
      <c r="U163" s="101"/>
      <c r="V163" s="101"/>
      <c r="W163" s="101"/>
      <c r="X163" s="145"/>
    </row>
    <row r="164" s="19" customFormat="1" ht="36" customHeight="1" spans="1:24">
      <c r="A164" s="175"/>
      <c r="B164" s="189"/>
      <c r="C164" s="190"/>
      <c r="D164" s="191"/>
      <c r="E164" s="94"/>
      <c r="F164" s="105"/>
      <c r="G164" s="174" t="s">
        <v>438</v>
      </c>
      <c r="H164" s="234" t="s">
        <v>439</v>
      </c>
      <c r="I164" s="109">
        <v>1078587.67</v>
      </c>
      <c r="J164" s="109">
        <v>140216.33</v>
      </c>
      <c r="K164" s="101">
        <f t="shared" si="57"/>
        <v>1218804</v>
      </c>
      <c r="L164" s="101"/>
      <c r="M164" s="101"/>
      <c r="N164" s="101"/>
      <c r="O164" s="101"/>
      <c r="P164" s="101"/>
      <c r="Q164" s="101"/>
      <c r="R164" s="101"/>
      <c r="S164" s="101"/>
      <c r="T164" s="101"/>
      <c r="U164" s="101"/>
      <c r="V164" s="101"/>
      <c r="W164" s="101"/>
      <c r="X164" s="145"/>
    </row>
    <row r="165" s="19" customFormat="1" ht="36" customHeight="1" spans="1:24">
      <c r="A165" s="175"/>
      <c r="B165" s="189"/>
      <c r="C165" s="190"/>
      <c r="D165" s="191"/>
      <c r="E165" s="94"/>
      <c r="F165" s="105"/>
      <c r="G165" s="174" t="s">
        <v>440</v>
      </c>
      <c r="H165" s="234" t="s">
        <v>429</v>
      </c>
      <c r="I165" s="109">
        <v>756.79</v>
      </c>
      <c r="J165" s="109">
        <v>68.11</v>
      </c>
      <c r="K165" s="101">
        <f t="shared" si="57"/>
        <v>824.9</v>
      </c>
      <c r="L165" s="101"/>
      <c r="M165" s="101"/>
      <c r="N165" s="101"/>
      <c r="O165" s="101"/>
      <c r="P165" s="101"/>
      <c r="Q165" s="101"/>
      <c r="R165" s="101"/>
      <c r="S165" s="101"/>
      <c r="T165" s="101"/>
      <c r="U165" s="101"/>
      <c r="V165" s="101"/>
      <c r="W165" s="101"/>
      <c r="X165" s="145"/>
    </row>
    <row r="166" s="19" customFormat="1" ht="36" customHeight="1" spans="1:24">
      <c r="A166" s="175"/>
      <c r="B166" s="189"/>
      <c r="C166" s="190"/>
      <c r="D166" s="191"/>
      <c r="E166" s="94"/>
      <c r="F166" s="105"/>
      <c r="G166" s="174" t="s">
        <v>440</v>
      </c>
      <c r="H166" s="234" t="s">
        <v>429</v>
      </c>
      <c r="I166" s="109">
        <v>20121.04</v>
      </c>
      <c r="J166" s="109">
        <v>2615.72</v>
      </c>
      <c r="K166" s="101">
        <f t="shared" si="57"/>
        <v>22736.76</v>
      </c>
      <c r="L166" s="101"/>
      <c r="M166" s="101"/>
      <c r="N166" s="101"/>
      <c r="O166" s="101"/>
      <c r="P166" s="101"/>
      <c r="Q166" s="101"/>
      <c r="R166" s="101"/>
      <c r="S166" s="101"/>
      <c r="T166" s="101"/>
      <c r="U166" s="101"/>
      <c r="V166" s="101"/>
      <c r="W166" s="101"/>
      <c r="X166" s="145"/>
    </row>
    <row r="167" s="19" customFormat="1" ht="36" customHeight="1" spans="1:24">
      <c r="A167" s="175"/>
      <c r="B167" s="189"/>
      <c r="C167" s="190"/>
      <c r="D167" s="191"/>
      <c r="E167" s="94"/>
      <c r="F167" s="105"/>
      <c r="G167" s="174" t="s">
        <v>441</v>
      </c>
      <c r="H167" s="234" t="s">
        <v>442</v>
      </c>
      <c r="I167" s="109">
        <v>8264.3</v>
      </c>
      <c r="J167" s="109">
        <v>1074.36</v>
      </c>
      <c r="K167" s="101">
        <f t="shared" si="57"/>
        <v>9338.66</v>
      </c>
      <c r="L167" s="101"/>
      <c r="M167" s="101"/>
      <c r="N167" s="101"/>
      <c r="O167" s="101"/>
      <c r="P167" s="101"/>
      <c r="Q167" s="101"/>
      <c r="R167" s="101"/>
      <c r="S167" s="101"/>
      <c r="T167" s="101"/>
      <c r="U167" s="101"/>
      <c r="V167" s="101"/>
      <c r="W167" s="101"/>
      <c r="X167" s="145"/>
    </row>
    <row r="168" s="19" customFormat="1" ht="36" customHeight="1" spans="1:24">
      <c r="A168" s="175"/>
      <c r="B168" s="189"/>
      <c r="C168" s="190"/>
      <c r="D168" s="191"/>
      <c r="E168" s="94"/>
      <c r="F168" s="105"/>
      <c r="G168" s="174" t="s">
        <v>443</v>
      </c>
      <c r="H168" s="234" t="s">
        <v>444</v>
      </c>
      <c r="I168" s="109">
        <v>9327.44</v>
      </c>
      <c r="J168" s="109">
        <v>1212.56</v>
      </c>
      <c r="K168" s="101">
        <f t="shared" si="57"/>
        <v>10540</v>
      </c>
      <c r="L168" s="101"/>
      <c r="M168" s="101"/>
      <c r="N168" s="101"/>
      <c r="O168" s="101"/>
      <c r="P168" s="101"/>
      <c r="Q168" s="101"/>
      <c r="R168" s="101"/>
      <c r="S168" s="101"/>
      <c r="T168" s="101"/>
      <c r="U168" s="101"/>
      <c r="V168" s="101"/>
      <c r="W168" s="101"/>
      <c r="X168" s="145"/>
    </row>
    <row r="169" s="19" customFormat="1" ht="36" customHeight="1" spans="1:24">
      <c r="A169" s="175"/>
      <c r="B169" s="189"/>
      <c r="C169" s="190"/>
      <c r="D169" s="191"/>
      <c r="E169" s="94"/>
      <c r="F169" s="105"/>
      <c r="G169" s="174" t="s">
        <v>445</v>
      </c>
      <c r="H169" s="234" t="s">
        <v>446</v>
      </c>
      <c r="I169" s="109">
        <v>18304.91</v>
      </c>
      <c r="J169" s="109">
        <v>2379.64</v>
      </c>
      <c r="K169" s="101">
        <f t="shared" si="57"/>
        <v>20684.55</v>
      </c>
      <c r="L169" s="101"/>
      <c r="M169" s="101"/>
      <c r="N169" s="101"/>
      <c r="O169" s="101"/>
      <c r="P169" s="101"/>
      <c r="Q169" s="101"/>
      <c r="R169" s="101"/>
      <c r="S169" s="101"/>
      <c r="T169" s="101"/>
      <c r="U169" s="101"/>
      <c r="V169" s="101"/>
      <c r="W169" s="101"/>
      <c r="X169" s="145"/>
    </row>
    <row r="170" s="19" customFormat="1" ht="36" customHeight="1" spans="1:24">
      <c r="A170" s="175"/>
      <c r="B170" s="189"/>
      <c r="C170" s="190"/>
      <c r="D170" s="191"/>
      <c r="E170" s="94"/>
      <c r="F170" s="105"/>
      <c r="G170" s="174" t="s">
        <v>447</v>
      </c>
      <c r="H170" s="234" t="s">
        <v>448</v>
      </c>
      <c r="I170" s="109">
        <v>546.9</v>
      </c>
      <c r="J170" s="109">
        <v>71.1</v>
      </c>
      <c r="K170" s="101">
        <f t="shared" si="57"/>
        <v>618</v>
      </c>
      <c r="L170" s="101"/>
      <c r="M170" s="101"/>
      <c r="N170" s="101"/>
      <c r="O170" s="101"/>
      <c r="P170" s="101"/>
      <c r="Q170" s="101"/>
      <c r="R170" s="101"/>
      <c r="S170" s="101"/>
      <c r="T170" s="101"/>
      <c r="U170" s="101"/>
      <c r="V170" s="101"/>
      <c r="W170" s="101"/>
      <c r="X170" s="145"/>
    </row>
    <row r="171" s="19" customFormat="1" ht="36" customHeight="1" spans="1:24">
      <c r="A171" s="175"/>
      <c r="B171" s="189"/>
      <c r="C171" s="190"/>
      <c r="D171" s="191"/>
      <c r="E171" s="94"/>
      <c r="F171" s="105"/>
      <c r="G171" s="174" t="s">
        <v>449</v>
      </c>
      <c r="H171" s="234" t="s">
        <v>450</v>
      </c>
      <c r="I171" s="109">
        <v>1191.13</v>
      </c>
      <c r="J171" s="109">
        <v>154.86</v>
      </c>
      <c r="K171" s="101">
        <f t="shared" si="57"/>
        <v>1345.99</v>
      </c>
      <c r="L171" s="101"/>
      <c r="M171" s="101"/>
      <c r="N171" s="101"/>
      <c r="O171" s="101"/>
      <c r="P171" s="101"/>
      <c r="Q171" s="101"/>
      <c r="R171" s="101"/>
      <c r="S171" s="101"/>
      <c r="T171" s="101"/>
      <c r="U171" s="101"/>
      <c r="V171" s="101"/>
      <c r="W171" s="101"/>
      <c r="X171" s="145"/>
    </row>
    <row r="172" s="19" customFormat="1" ht="36" customHeight="1" spans="1:24">
      <c r="A172" s="175"/>
      <c r="B172" s="189"/>
      <c r="C172" s="190"/>
      <c r="D172" s="191"/>
      <c r="E172" s="94"/>
      <c r="F172" s="105"/>
      <c r="G172" s="174" t="s">
        <v>451</v>
      </c>
      <c r="H172" s="234" t="s">
        <v>452</v>
      </c>
      <c r="I172" s="109">
        <v>2079.21</v>
      </c>
      <c r="J172" s="109">
        <v>20.79</v>
      </c>
      <c r="K172" s="101">
        <f t="shared" si="57"/>
        <v>2100</v>
      </c>
      <c r="L172" s="101"/>
      <c r="M172" s="101"/>
      <c r="N172" s="101"/>
      <c r="O172" s="101"/>
      <c r="P172" s="101"/>
      <c r="Q172" s="101"/>
      <c r="R172" s="101"/>
      <c r="S172" s="101"/>
      <c r="T172" s="101"/>
      <c r="U172" s="101"/>
      <c r="V172" s="101"/>
      <c r="W172" s="101"/>
      <c r="X172" s="145"/>
    </row>
    <row r="173" s="19" customFormat="1" ht="36" customHeight="1" spans="1:24">
      <c r="A173" s="175"/>
      <c r="B173" s="189"/>
      <c r="C173" s="190"/>
      <c r="D173" s="191"/>
      <c r="E173" s="94"/>
      <c r="F173" s="105"/>
      <c r="G173" s="174" t="s">
        <v>453</v>
      </c>
      <c r="H173" s="234" t="s">
        <v>454</v>
      </c>
      <c r="I173" s="109">
        <v>154.15</v>
      </c>
      <c r="J173" s="109">
        <v>20.03</v>
      </c>
      <c r="K173" s="101">
        <f t="shared" si="57"/>
        <v>174.18</v>
      </c>
      <c r="L173" s="101"/>
      <c r="M173" s="101"/>
      <c r="N173" s="101"/>
      <c r="O173" s="101"/>
      <c r="P173" s="101"/>
      <c r="Q173" s="101"/>
      <c r="R173" s="101"/>
      <c r="S173" s="101"/>
      <c r="T173" s="101"/>
      <c r="U173" s="101"/>
      <c r="V173" s="101"/>
      <c r="W173" s="101"/>
      <c r="X173" s="145"/>
    </row>
    <row r="174" s="19" customFormat="1" ht="36" customHeight="1" spans="1:24">
      <c r="A174" s="175"/>
      <c r="B174" s="189"/>
      <c r="C174" s="190"/>
      <c r="D174" s="191"/>
      <c r="E174" s="94"/>
      <c r="F174" s="105"/>
      <c r="G174" s="174" t="s">
        <v>455</v>
      </c>
      <c r="H174" s="234" t="s">
        <v>456</v>
      </c>
      <c r="I174" s="109">
        <v>784.07</v>
      </c>
      <c r="J174" s="109">
        <v>101.93</v>
      </c>
      <c r="K174" s="101">
        <f t="shared" si="57"/>
        <v>886</v>
      </c>
      <c r="L174" s="101"/>
      <c r="M174" s="101"/>
      <c r="N174" s="101"/>
      <c r="O174" s="101"/>
      <c r="P174" s="101"/>
      <c r="Q174" s="101"/>
      <c r="R174" s="101"/>
      <c r="S174" s="101"/>
      <c r="T174" s="101"/>
      <c r="U174" s="101"/>
      <c r="V174" s="101"/>
      <c r="W174" s="101"/>
      <c r="X174" s="145"/>
    </row>
    <row r="175" s="19" customFormat="1" ht="36" customHeight="1" spans="1:24">
      <c r="A175" s="175"/>
      <c r="B175" s="213"/>
      <c r="C175" s="214"/>
      <c r="D175" s="215"/>
      <c r="E175" s="94"/>
      <c r="F175" s="106"/>
      <c r="G175" s="174" t="s">
        <v>423</v>
      </c>
      <c r="H175" s="234" t="s">
        <v>457</v>
      </c>
      <c r="I175" s="109">
        <f>690.54+7634</f>
        <v>8324.54</v>
      </c>
      <c r="J175" s="109">
        <f>712.34-690.54+8106.18-7634</f>
        <v>493.98</v>
      </c>
      <c r="K175" s="101">
        <f t="shared" si="57"/>
        <v>8818.52</v>
      </c>
      <c r="L175" s="101"/>
      <c r="M175" s="101"/>
      <c r="N175" s="101"/>
      <c r="O175" s="101"/>
      <c r="P175" s="101"/>
      <c r="Q175" s="101"/>
      <c r="R175" s="101"/>
      <c r="S175" s="101"/>
      <c r="T175" s="101"/>
      <c r="U175" s="101"/>
      <c r="V175" s="101"/>
      <c r="W175" s="101"/>
      <c r="X175" s="145"/>
    </row>
    <row r="176" s="19" customFormat="1" ht="36" customHeight="1" spans="1:24">
      <c r="A176" s="175"/>
      <c r="B176" s="235"/>
      <c r="C176" s="235"/>
      <c r="D176" s="235"/>
      <c r="E176" s="94"/>
      <c r="F176" s="94"/>
      <c r="G176" s="145"/>
      <c r="H176" s="236"/>
      <c r="I176" s="108"/>
      <c r="J176" s="108"/>
      <c r="K176" s="94"/>
      <c r="L176" s="94"/>
      <c r="M176" s="94"/>
      <c r="N176" s="94"/>
      <c r="O176" s="94"/>
      <c r="P176" s="94"/>
      <c r="Q176" s="94"/>
      <c r="R176" s="94"/>
      <c r="S176" s="94"/>
      <c r="T176" s="108"/>
      <c r="U176" s="94"/>
      <c r="V176" s="94"/>
      <c r="W176" s="94">
        <f>S176+T176-U176-V176</f>
        <v>0</v>
      </c>
      <c r="X176" s="145"/>
    </row>
    <row r="177" s="20" customFormat="1" ht="36" customHeight="1" spans="1:24">
      <c r="A177" s="240" t="s">
        <v>212</v>
      </c>
      <c r="B177" s="241"/>
      <c r="C177" s="241"/>
      <c r="D177" s="241"/>
      <c r="E177" s="242"/>
      <c r="F177" s="242"/>
      <c r="G177" s="243"/>
      <c r="H177" s="244" t="s">
        <v>316</v>
      </c>
      <c r="I177" s="300">
        <f>I147+I141+I140+I139+I134+I128+I127+I113+I112+I111+I107+I98+I96+I95+I94+I93+I92+I91+I90+I89+I88+I87+I86+I85+I84+I83+I82+I79+I78+I77+I76+I75+I74+I73+I72+I71+I70+I67+I57+I48+I33+I24-I198</f>
        <v>260576325.45</v>
      </c>
      <c r="J177" s="300">
        <f t="shared" ref="J177:W177" si="60">J147+J141+J140+J139+J134+J128+J127+J113+J112+J111+J107+J98+J96+J95+J94+J93+J92+J91+J90+J89+J88+J87+J86+J85+J84+J83+J82+J79+J78+J77+J76+J75+J74+J73+J72+J71+J70+J67+J57+J48+J33+J24</f>
        <v>25791352.63</v>
      </c>
      <c r="K177" s="300">
        <f>K147+K141+K140+K139+K134+K128+K127+K113+K112+K111+K107+K98+K96+K95+K94+K93+K92+K91+K90+K89+K88+K87+K86+K85+K84+K83+K82+K79+K78+K77+K76+K75+K74+K73+K72+K71+K70+K67+K57+K48+K33+K24-K198</f>
        <v>286367678.08</v>
      </c>
      <c r="L177" s="300">
        <f t="shared" si="60"/>
        <v>2208694.43</v>
      </c>
      <c r="M177" s="300">
        <f t="shared" si="60"/>
        <v>0</v>
      </c>
      <c r="N177" s="300">
        <f t="shared" si="60"/>
        <v>0</v>
      </c>
      <c r="O177" s="300">
        <f t="shared" si="60"/>
        <v>613920.32</v>
      </c>
      <c r="P177" s="300">
        <f t="shared" si="60"/>
        <v>0</v>
      </c>
      <c r="Q177" s="300">
        <f t="shared" si="60"/>
        <v>3100</v>
      </c>
      <c r="R177" s="300">
        <f t="shared" si="60"/>
        <v>116593.5</v>
      </c>
      <c r="S177" s="300">
        <f t="shared" si="60"/>
        <v>281826803.67</v>
      </c>
      <c r="T177" s="300">
        <f t="shared" si="60"/>
        <v>1855000</v>
      </c>
      <c r="U177" s="300">
        <f t="shared" si="60"/>
        <v>250263880.12</v>
      </c>
      <c r="V177" s="300">
        <f t="shared" si="60"/>
        <v>1855000</v>
      </c>
      <c r="W177" s="300">
        <f t="shared" si="60"/>
        <v>31562923.55</v>
      </c>
      <c r="X177" s="307"/>
    </row>
    <row r="178" s="21" customFormat="1" ht="36" customHeight="1" spans="1:24">
      <c r="A178" s="245"/>
      <c r="B178" s="246"/>
      <c r="C178" s="246"/>
      <c r="D178" s="246"/>
      <c r="E178" s="247"/>
      <c r="F178" s="247"/>
      <c r="G178" s="212"/>
      <c r="H178" s="205" t="s">
        <v>317</v>
      </c>
      <c r="I178" s="301">
        <f t="shared" ref="I178:K178" si="61">SUM(I148:I175,I142:I146,I135:I138,I129:I133,I114:I125,I104:I106,I108:I110,I100:I103,I99,I97,I80:I81,I68,I58,I49,I34,I25)</f>
        <v>36249338.31</v>
      </c>
      <c r="J178" s="301">
        <f t="shared" si="61"/>
        <v>4031090.98</v>
      </c>
      <c r="K178" s="301">
        <f t="shared" si="61"/>
        <v>40280429.29</v>
      </c>
      <c r="L178" s="301">
        <f t="shared" ref="L178:V178" si="62">L25+L34+L49+L58+L68+L97+L99+L108+L109+L110+L114+L115+L116+L117+L129+L130+L131+L132+L133+L135+L136+L137+L138+L142+L143+L144+L145+L148+L149+L150+L151+L152+L153+L154+L155+L118+L119+L100</f>
        <v>0</v>
      </c>
      <c r="M178" s="301">
        <f t="shared" si="62"/>
        <v>0</v>
      </c>
      <c r="N178" s="301">
        <f t="shared" si="62"/>
        <v>0</v>
      </c>
      <c r="O178" s="301">
        <f t="shared" si="62"/>
        <v>201576.1</v>
      </c>
      <c r="P178" s="301">
        <f t="shared" si="62"/>
        <v>0</v>
      </c>
      <c r="Q178" s="301">
        <f t="shared" si="62"/>
        <v>0</v>
      </c>
      <c r="R178" s="301">
        <f t="shared" si="62"/>
        <v>-116593.5</v>
      </c>
      <c r="S178" s="301">
        <f t="shared" si="62"/>
        <v>23913179.88</v>
      </c>
      <c r="T178" s="301">
        <f t="shared" si="62"/>
        <v>0</v>
      </c>
      <c r="U178" s="301">
        <f t="shared" si="62"/>
        <v>33329909.03</v>
      </c>
      <c r="V178" s="301">
        <f t="shared" si="62"/>
        <v>2681000</v>
      </c>
      <c r="W178" s="301">
        <f>W25+W34+W49+W58+W68+W97+W99+W108+W109+W110+W114+W115+W116+W117+W129+W130+W131+W132+W133+W135+W136+W137+W138+W142+W143+W144+W145+W148+W149+W150+W151+W152+W153+W154+W155+W118+W119+W101+W102+W100+W120+W156</f>
        <v>-11957586.24</v>
      </c>
      <c r="X178" s="308"/>
    </row>
    <row r="179" s="21" customFormat="1" ht="36" customHeight="1" spans="1:24">
      <c r="A179" s="245"/>
      <c r="B179" s="246"/>
      <c r="C179" s="246"/>
      <c r="D179" s="246"/>
      <c r="E179" s="247"/>
      <c r="F179" s="247"/>
      <c r="G179" s="248"/>
      <c r="H179" s="249"/>
      <c r="I179" s="301"/>
      <c r="J179" s="301"/>
      <c r="K179" s="301"/>
      <c r="L179" s="301"/>
      <c r="M179" s="301"/>
      <c r="N179" s="301"/>
      <c r="O179" s="301"/>
      <c r="P179" s="301"/>
      <c r="Q179" s="301"/>
      <c r="R179" s="301"/>
      <c r="S179" s="301"/>
      <c r="T179" s="301"/>
      <c r="U179" s="301"/>
      <c r="V179" s="301"/>
      <c r="W179" s="301"/>
      <c r="X179" s="308"/>
    </row>
    <row r="180" s="21" customFormat="1" ht="36" customHeight="1" spans="1:24">
      <c r="A180" s="245"/>
      <c r="B180" s="246"/>
      <c r="C180" s="246"/>
      <c r="D180" s="246"/>
      <c r="E180" s="247"/>
      <c r="F180" s="247"/>
      <c r="G180" s="248"/>
      <c r="H180" s="249"/>
      <c r="I180" s="301">
        <f t="shared" ref="I180:K180" si="63">I178+I177</f>
        <v>296825663.76</v>
      </c>
      <c r="J180" s="301">
        <f t="shared" si="63"/>
        <v>29822443.61</v>
      </c>
      <c r="K180" s="301">
        <f t="shared" si="63"/>
        <v>326648107.37</v>
      </c>
      <c r="L180" s="301"/>
      <c r="M180" s="301"/>
      <c r="N180" s="301"/>
      <c r="O180" s="301"/>
      <c r="P180" s="301"/>
      <c r="Q180" s="301"/>
      <c r="R180" s="301"/>
      <c r="S180" s="301"/>
      <c r="T180" s="301"/>
      <c r="U180" s="301">
        <f t="shared" ref="U180:W180" si="64">U178+U177</f>
        <v>283593789.15</v>
      </c>
      <c r="V180" s="301">
        <f t="shared" si="64"/>
        <v>4536000</v>
      </c>
      <c r="W180" s="301">
        <f t="shared" si="64"/>
        <v>19605337.31</v>
      </c>
      <c r="X180" s="308"/>
    </row>
    <row r="181" s="1" customFormat="1" ht="36" customHeight="1" spans="1:24">
      <c r="A181" s="250" t="s">
        <v>213</v>
      </c>
      <c r="B181" s="251" t="s">
        <v>214</v>
      </c>
      <c r="C181" s="252"/>
      <c r="D181" s="252"/>
      <c r="E181" s="253"/>
      <c r="F181" s="253"/>
      <c r="G181" s="217"/>
      <c r="H181" s="218"/>
      <c r="I181" s="94"/>
      <c r="J181" s="94"/>
      <c r="K181" s="94"/>
      <c r="L181" s="94"/>
      <c r="M181" s="94"/>
      <c r="N181" s="94"/>
      <c r="O181" s="94"/>
      <c r="P181" s="94"/>
      <c r="Q181" s="94"/>
      <c r="R181" s="94"/>
      <c r="S181" s="94">
        <f>K181-L181-M181-N181-O181+R181</f>
        <v>0</v>
      </c>
      <c r="T181" s="94"/>
      <c r="U181" s="94"/>
      <c r="V181" s="94"/>
      <c r="W181" s="94"/>
      <c r="X181" s="145"/>
    </row>
    <row r="182" s="22" customFormat="1" ht="42" customHeight="1" spans="1:235">
      <c r="A182" s="43">
        <v>22</v>
      </c>
      <c r="B182" s="44" t="s">
        <v>215</v>
      </c>
      <c r="C182" s="43" t="s">
        <v>216</v>
      </c>
      <c r="D182" s="44" t="s">
        <v>217</v>
      </c>
      <c r="E182" s="45">
        <v>9968383.94</v>
      </c>
      <c r="F182" s="45"/>
      <c r="G182" s="66" t="s">
        <v>218</v>
      </c>
      <c r="H182" s="66" t="s">
        <v>219</v>
      </c>
      <c r="I182" s="94"/>
      <c r="J182" s="94"/>
      <c r="K182" s="94">
        <f>I182+J182</f>
        <v>0</v>
      </c>
      <c r="L182" s="94"/>
      <c r="M182" s="94"/>
      <c r="N182" s="94"/>
      <c r="O182" s="94"/>
      <c r="P182" s="94"/>
      <c r="Q182" s="94"/>
      <c r="R182" s="94">
        <v>2990515.18</v>
      </c>
      <c r="S182" s="94">
        <f>K182-L182-M182-N182-O182+R182</f>
        <v>2990515.18</v>
      </c>
      <c r="T182" s="94"/>
      <c r="U182" s="94">
        <v>2990515.18</v>
      </c>
      <c r="V182" s="94"/>
      <c r="W182" s="94">
        <f t="shared" ref="W182:W193" si="65">S182+T182-U182-V182</f>
        <v>0</v>
      </c>
      <c r="X182" s="145"/>
      <c r="Y182" s="311"/>
      <c r="Z182" s="311"/>
      <c r="AA182" s="311"/>
      <c r="AB182" s="311"/>
      <c r="AC182" s="311"/>
      <c r="AD182" s="311"/>
      <c r="AE182" s="311"/>
      <c r="AF182" s="311"/>
      <c r="AG182" s="311"/>
      <c r="AH182" s="311"/>
      <c r="AI182" s="311"/>
      <c r="AJ182" s="311"/>
      <c r="AK182" s="311"/>
      <c r="AL182" s="311"/>
      <c r="AM182" s="311"/>
      <c r="AN182" s="311"/>
      <c r="AO182" s="311"/>
      <c r="AP182" s="311"/>
      <c r="AQ182" s="311"/>
      <c r="AR182" s="311"/>
      <c r="AS182" s="311"/>
      <c r="AT182" s="311"/>
      <c r="AU182" s="311"/>
      <c r="AV182" s="311"/>
      <c r="AW182" s="311"/>
      <c r="AX182" s="311"/>
      <c r="AY182" s="311"/>
      <c r="AZ182" s="311"/>
      <c r="BA182" s="311"/>
      <c r="BB182" s="311"/>
      <c r="BC182" s="311"/>
      <c r="BD182" s="311"/>
      <c r="BE182" s="311"/>
      <c r="BF182" s="311"/>
      <c r="BG182" s="311"/>
      <c r="BH182" s="311"/>
      <c r="BI182" s="311"/>
      <c r="BJ182" s="311"/>
      <c r="BK182" s="311"/>
      <c r="BL182" s="311"/>
      <c r="BM182" s="311"/>
      <c r="BN182" s="311"/>
      <c r="BO182" s="311"/>
      <c r="BP182" s="311"/>
      <c r="BQ182" s="311"/>
      <c r="BR182" s="311"/>
      <c r="BS182" s="311"/>
      <c r="BT182" s="311"/>
      <c r="BU182" s="311"/>
      <c r="BV182" s="311"/>
      <c r="BW182" s="311"/>
      <c r="BX182" s="311"/>
      <c r="BY182" s="311"/>
      <c r="BZ182" s="311"/>
      <c r="CA182" s="311"/>
      <c r="CB182" s="311"/>
      <c r="CC182" s="311"/>
      <c r="CD182" s="311"/>
      <c r="CE182" s="311"/>
      <c r="CF182" s="311"/>
      <c r="CG182" s="311"/>
      <c r="CH182" s="311"/>
      <c r="CI182" s="311"/>
      <c r="CJ182" s="311"/>
      <c r="CK182" s="311"/>
      <c r="CL182" s="311"/>
      <c r="CM182" s="311"/>
      <c r="CN182" s="311"/>
      <c r="CO182" s="311"/>
      <c r="CP182" s="311"/>
      <c r="CQ182" s="311"/>
      <c r="CR182" s="311"/>
      <c r="CS182" s="311"/>
      <c r="CT182" s="311"/>
      <c r="CU182" s="311"/>
      <c r="CV182" s="311"/>
      <c r="CW182" s="311"/>
      <c r="CX182" s="311"/>
      <c r="CY182" s="311"/>
      <c r="CZ182" s="311"/>
      <c r="DA182" s="311"/>
      <c r="DB182" s="311"/>
      <c r="DC182" s="311"/>
      <c r="DD182" s="311"/>
      <c r="DE182" s="311"/>
      <c r="DF182" s="311"/>
      <c r="DG182" s="311"/>
      <c r="DH182" s="311"/>
      <c r="DI182" s="311"/>
      <c r="DJ182" s="311"/>
      <c r="DK182" s="311"/>
      <c r="DL182" s="311"/>
      <c r="DM182" s="311"/>
      <c r="DN182" s="311"/>
      <c r="DO182" s="311"/>
      <c r="DP182" s="311"/>
      <c r="DQ182" s="311"/>
      <c r="DR182" s="311"/>
      <c r="DS182" s="311"/>
      <c r="DT182" s="311"/>
      <c r="DU182" s="311"/>
      <c r="DV182" s="311"/>
      <c r="DW182" s="311"/>
      <c r="DX182" s="311"/>
      <c r="DY182" s="311"/>
      <c r="DZ182" s="311"/>
      <c r="EA182" s="311"/>
      <c r="EB182" s="311"/>
      <c r="EC182" s="311"/>
      <c r="ED182" s="311"/>
      <c r="EE182" s="311"/>
      <c r="EF182" s="311"/>
      <c r="EG182" s="311"/>
      <c r="EH182" s="311"/>
      <c r="EI182" s="311"/>
      <c r="EJ182" s="311"/>
      <c r="EK182" s="311"/>
      <c r="EL182" s="311"/>
      <c r="EM182" s="311"/>
      <c r="EN182" s="311"/>
      <c r="EO182" s="311"/>
      <c r="EP182" s="311"/>
      <c r="EQ182" s="311"/>
      <c r="ER182" s="311"/>
      <c r="ES182" s="311"/>
      <c r="ET182" s="311"/>
      <c r="EU182" s="311"/>
      <c r="EV182" s="311"/>
      <c r="EW182" s="311"/>
      <c r="EX182" s="311"/>
      <c r="EY182" s="311"/>
      <c r="EZ182" s="311"/>
      <c r="FA182" s="311"/>
      <c r="FB182" s="311"/>
      <c r="FC182" s="311"/>
      <c r="FD182" s="311"/>
      <c r="FE182" s="311"/>
      <c r="FF182" s="311"/>
      <c r="FG182" s="311"/>
      <c r="FH182" s="311"/>
      <c r="FI182" s="311"/>
      <c r="FJ182" s="311"/>
      <c r="FK182" s="311"/>
      <c r="FL182" s="311"/>
      <c r="FM182" s="311"/>
      <c r="FN182" s="311"/>
      <c r="FO182" s="311"/>
      <c r="FP182" s="311"/>
      <c r="FQ182" s="311"/>
      <c r="FR182" s="311"/>
      <c r="FS182" s="311"/>
      <c r="FT182" s="311"/>
      <c r="FU182" s="311"/>
      <c r="FV182" s="311"/>
      <c r="FW182" s="311"/>
      <c r="FX182" s="311"/>
      <c r="FY182" s="311"/>
      <c r="FZ182" s="311"/>
      <c r="GA182" s="311"/>
      <c r="GB182" s="311"/>
      <c r="GC182" s="311"/>
      <c r="GD182" s="311"/>
      <c r="GE182" s="311"/>
      <c r="GF182" s="311"/>
      <c r="GG182" s="311"/>
      <c r="GH182" s="311"/>
      <c r="GI182" s="311"/>
      <c r="GJ182" s="311"/>
      <c r="GK182" s="311"/>
      <c r="GL182" s="311"/>
      <c r="GM182" s="311"/>
      <c r="GN182" s="311"/>
      <c r="GO182" s="311"/>
      <c r="GP182" s="311"/>
      <c r="GQ182" s="311"/>
      <c r="GR182" s="311"/>
      <c r="GS182" s="311"/>
      <c r="GT182" s="311"/>
      <c r="GU182" s="311"/>
      <c r="GV182" s="311"/>
      <c r="GW182" s="311"/>
      <c r="GX182" s="311"/>
      <c r="GY182" s="311"/>
      <c r="GZ182" s="311"/>
      <c r="HA182" s="311"/>
      <c r="HB182" s="311"/>
      <c r="HC182" s="311"/>
      <c r="HD182" s="311"/>
      <c r="HE182" s="311"/>
      <c r="HF182" s="311"/>
      <c r="HG182" s="311"/>
      <c r="HH182" s="311"/>
      <c r="HI182" s="311"/>
      <c r="HJ182" s="311"/>
      <c r="HK182" s="311"/>
      <c r="HL182" s="311"/>
      <c r="HM182" s="311"/>
      <c r="HN182" s="311"/>
      <c r="HO182" s="311"/>
      <c r="HP182" s="311"/>
      <c r="HQ182" s="311"/>
      <c r="HR182" s="311"/>
      <c r="HS182" s="311"/>
      <c r="HT182" s="311"/>
      <c r="HU182" s="311"/>
      <c r="HV182" s="311"/>
      <c r="HW182" s="311"/>
      <c r="HX182" s="311"/>
      <c r="HY182" s="311"/>
      <c r="HZ182" s="311"/>
      <c r="IA182" s="311"/>
    </row>
    <row r="183" s="22" customFormat="1" ht="42" customHeight="1" spans="1:235">
      <c r="A183" s="48"/>
      <c r="B183" s="172"/>
      <c r="C183" s="48"/>
      <c r="D183" s="48"/>
      <c r="E183" s="49"/>
      <c r="F183" s="49"/>
      <c r="G183" s="159" t="s">
        <v>220</v>
      </c>
      <c r="H183" s="73" t="s">
        <v>221</v>
      </c>
      <c r="I183" s="99">
        <v>3814289</v>
      </c>
      <c r="J183" s="99">
        <v>495857.57</v>
      </c>
      <c r="K183" s="94">
        <f t="shared" ref="K183:K186" si="66">J183+I183</f>
        <v>4310146.57</v>
      </c>
      <c r="L183" s="112"/>
      <c r="M183" s="112"/>
      <c r="N183" s="112"/>
      <c r="O183" s="112"/>
      <c r="P183" s="45"/>
      <c r="Q183" s="112"/>
      <c r="R183" s="112">
        <v>-2990515.18</v>
      </c>
      <c r="S183" s="112">
        <f>K183-L183-M183-N183-O183+R183+K184+K185+K186</f>
        <v>4984191.97</v>
      </c>
      <c r="T183" s="112">
        <v>0</v>
      </c>
      <c r="U183" s="112">
        <v>4984191.97</v>
      </c>
      <c r="V183" s="112">
        <v>0</v>
      </c>
      <c r="W183" s="112">
        <f t="shared" si="65"/>
        <v>0</v>
      </c>
      <c r="X183" s="45"/>
      <c r="Y183" s="311"/>
      <c r="Z183" s="311"/>
      <c r="AA183" s="311"/>
      <c r="AB183" s="311"/>
      <c r="AC183" s="311"/>
      <c r="AD183" s="311"/>
      <c r="AE183" s="311"/>
      <c r="AF183" s="311"/>
      <c r="AG183" s="311"/>
      <c r="AH183" s="311"/>
      <c r="AI183" s="311"/>
      <c r="AJ183" s="311"/>
      <c r="AK183" s="311"/>
      <c r="AL183" s="311"/>
      <c r="AM183" s="311"/>
      <c r="AN183" s="311"/>
      <c r="AO183" s="311"/>
      <c r="AP183" s="311"/>
      <c r="AQ183" s="311"/>
      <c r="AR183" s="311"/>
      <c r="AS183" s="311"/>
      <c r="AT183" s="311"/>
      <c r="AU183" s="311"/>
      <c r="AV183" s="311"/>
      <c r="AW183" s="311"/>
      <c r="AX183" s="311"/>
      <c r="AY183" s="311"/>
      <c r="AZ183" s="311"/>
      <c r="BA183" s="311"/>
      <c r="BB183" s="311"/>
      <c r="BC183" s="311"/>
      <c r="BD183" s="311"/>
      <c r="BE183" s="311"/>
      <c r="BF183" s="311"/>
      <c r="BG183" s="311"/>
      <c r="BH183" s="311"/>
      <c r="BI183" s="311"/>
      <c r="BJ183" s="311"/>
      <c r="BK183" s="311"/>
      <c r="BL183" s="311"/>
      <c r="BM183" s="311"/>
      <c r="BN183" s="311"/>
      <c r="BO183" s="311"/>
      <c r="BP183" s="311"/>
      <c r="BQ183" s="311"/>
      <c r="BR183" s="311"/>
      <c r="BS183" s="311"/>
      <c r="BT183" s="311"/>
      <c r="BU183" s="311"/>
      <c r="BV183" s="311"/>
      <c r="BW183" s="311"/>
      <c r="BX183" s="311"/>
      <c r="BY183" s="311"/>
      <c r="BZ183" s="311"/>
      <c r="CA183" s="311"/>
      <c r="CB183" s="311"/>
      <c r="CC183" s="311"/>
      <c r="CD183" s="311"/>
      <c r="CE183" s="311"/>
      <c r="CF183" s="311"/>
      <c r="CG183" s="311"/>
      <c r="CH183" s="311"/>
      <c r="CI183" s="311"/>
      <c r="CJ183" s="311"/>
      <c r="CK183" s="311"/>
      <c r="CL183" s="311"/>
      <c r="CM183" s="311"/>
      <c r="CN183" s="311"/>
      <c r="CO183" s="311"/>
      <c r="CP183" s="311"/>
      <c r="CQ183" s="311"/>
      <c r="CR183" s="311"/>
      <c r="CS183" s="311"/>
      <c r="CT183" s="311"/>
      <c r="CU183" s="311"/>
      <c r="CV183" s="311"/>
      <c r="CW183" s="311"/>
      <c r="CX183" s="311"/>
      <c r="CY183" s="311"/>
      <c r="CZ183" s="311"/>
      <c r="DA183" s="311"/>
      <c r="DB183" s="311"/>
      <c r="DC183" s="311"/>
      <c r="DD183" s="311"/>
      <c r="DE183" s="311"/>
      <c r="DF183" s="311"/>
      <c r="DG183" s="311"/>
      <c r="DH183" s="311"/>
      <c r="DI183" s="311"/>
      <c r="DJ183" s="311"/>
      <c r="DK183" s="311"/>
      <c r="DL183" s="311"/>
      <c r="DM183" s="311"/>
      <c r="DN183" s="311"/>
      <c r="DO183" s="311"/>
      <c r="DP183" s="311"/>
      <c r="DQ183" s="311"/>
      <c r="DR183" s="311"/>
      <c r="DS183" s="311"/>
      <c r="DT183" s="311"/>
      <c r="DU183" s="311"/>
      <c r="DV183" s="311"/>
      <c r="DW183" s="311"/>
      <c r="DX183" s="311"/>
      <c r="DY183" s="311"/>
      <c r="DZ183" s="311"/>
      <c r="EA183" s="311"/>
      <c r="EB183" s="311"/>
      <c r="EC183" s="311"/>
      <c r="ED183" s="311"/>
      <c r="EE183" s="311"/>
      <c r="EF183" s="311"/>
      <c r="EG183" s="311"/>
      <c r="EH183" s="311"/>
      <c r="EI183" s="311"/>
      <c r="EJ183" s="311"/>
      <c r="EK183" s="311"/>
      <c r="EL183" s="311"/>
      <c r="EM183" s="311"/>
      <c r="EN183" s="311"/>
      <c r="EO183" s="311"/>
      <c r="EP183" s="311"/>
      <c r="EQ183" s="311"/>
      <c r="ER183" s="311"/>
      <c r="ES183" s="311"/>
      <c r="ET183" s="311"/>
      <c r="EU183" s="311"/>
      <c r="EV183" s="311"/>
      <c r="EW183" s="311"/>
      <c r="EX183" s="311"/>
      <c r="EY183" s="311"/>
      <c r="EZ183" s="311"/>
      <c r="FA183" s="311"/>
      <c r="FB183" s="311"/>
      <c r="FC183" s="311"/>
      <c r="FD183" s="311"/>
      <c r="FE183" s="311"/>
      <c r="FF183" s="311"/>
      <c r="FG183" s="311"/>
      <c r="FH183" s="311"/>
      <c r="FI183" s="311"/>
      <c r="FJ183" s="311"/>
      <c r="FK183" s="311"/>
      <c r="FL183" s="311"/>
      <c r="FM183" s="311"/>
      <c r="FN183" s="311"/>
      <c r="FO183" s="311"/>
      <c r="FP183" s="311"/>
      <c r="FQ183" s="311"/>
      <c r="FR183" s="311"/>
      <c r="FS183" s="311"/>
      <c r="FT183" s="311"/>
      <c r="FU183" s="311"/>
      <c r="FV183" s="311"/>
      <c r="FW183" s="311"/>
      <c r="FX183" s="311"/>
      <c r="FY183" s="311"/>
      <c r="FZ183" s="311"/>
      <c r="GA183" s="311"/>
      <c r="GB183" s="311"/>
      <c r="GC183" s="311"/>
      <c r="GD183" s="311"/>
      <c r="GE183" s="311"/>
      <c r="GF183" s="311"/>
      <c r="GG183" s="311"/>
      <c r="GH183" s="311"/>
      <c r="GI183" s="311"/>
      <c r="GJ183" s="311"/>
      <c r="GK183" s="311"/>
      <c r="GL183" s="311"/>
      <c r="GM183" s="311"/>
      <c r="GN183" s="311"/>
      <c r="GO183" s="311"/>
      <c r="GP183" s="311"/>
      <c r="GQ183" s="311"/>
      <c r="GR183" s="311"/>
      <c r="GS183" s="311"/>
      <c r="GT183" s="311"/>
      <c r="GU183" s="311"/>
      <c r="GV183" s="311"/>
      <c r="GW183" s="311"/>
      <c r="GX183" s="311"/>
      <c r="GY183" s="311"/>
      <c r="GZ183" s="311"/>
      <c r="HA183" s="311"/>
      <c r="HB183" s="311"/>
      <c r="HC183" s="311"/>
      <c r="HD183" s="311"/>
      <c r="HE183" s="311"/>
      <c r="HF183" s="311"/>
      <c r="HG183" s="311"/>
      <c r="HH183" s="311"/>
      <c r="HI183" s="311"/>
      <c r="HJ183" s="311"/>
      <c r="HK183" s="311"/>
      <c r="HL183" s="311"/>
      <c r="HM183" s="311"/>
      <c r="HN183" s="311"/>
      <c r="HO183" s="311"/>
      <c r="HP183" s="311"/>
      <c r="HQ183" s="311"/>
      <c r="HR183" s="311"/>
      <c r="HS183" s="311"/>
      <c r="HT183" s="311"/>
      <c r="HU183" s="311"/>
      <c r="HV183" s="311"/>
      <c r="HW183" s="311"/>
      <c r="HX183" s="311"/>
      <c r="HY183" s="311"/>
      <c r="HZ183" s="311"/>
      <c r="IA183" s="311"/>
    </row>
    <row r="184" s="23" customFormat="1" ht="42" customHeight="1" spans="1:235">
      <c r="A184" s="48"/>
      <c r="B184" s="172"/>
      <c r="C184" s="48"/>
      <c r="D184" s="48"/>
      <c r="E184" s="49"/>
      <c r="F184" s="49"/>
      <c r="G184" s="175"/>
      <c r="H184" s="73"/>
      <c r="I184" s="99">
        <v>2581578.51</v>
      </c>
      <c r="J184" s="203">
        <v>269332.9</v>
      </c>
      <c r="K184" s="94">
        <f t="shared" si="66"/>
        <v>2850911.41</v>
      </c>
      <c r="L184" s="113"/>
      <c r="M184" s="113"/>
      <c r="N184" s="113"/>
      <c r="O184" s="113"/>
      <c r="P184" s="49"/>
      <c r="Q184" s="113"/>
      <c r="R184" s="113"/>
      <c r="S184" s="113"/>
      <c r="T184" s="113"/>
      <c r="U184" s="113"/>
      <c r="V184" s="113"/>
      <c r="W184" s="113"/>
      <c r="X184" s="49"/>
      <c r="Y184" s="312"/>
      <c r="Z184" s="312"/>
      <c r="AA184" s="312"/>
      <c r="AB184" s="312"/>
      <c r="AC184" s="312"/>
      <c r="AD184" s="312"/>
      <c r="AE184" s="312"/>
      <c r="AF184" s="312"/>
      <c r="AG184" s="312"/>
      <c r="AH184" s="312"/>
      <c r="AI184" s="312"/>
      <c r="AJ184" s="312"/>
      <c r="AK184" s="312"/>
      <c r="AL184" s="312"/>
      <c r="AM184" s="312"/>
      <c r="AN184" s="312"/>
      <c r="AO184" s="312"/>
      <c r="AP184" s="312"/>
      <c r="AQ184" s="312"/>
      <c r="AR184" s="312"/>
      <c r="AS184" s="312"/>
      <c r="AT184" s="312"/>
      <c r="AU184" s="312"/>
      <c r="AV184" s="312"/>
      <c r="AW184" s="312"/>
      <c r="AX184" s="312"/>
      <c r="AY184" s="312"/>
      <c r="AZ184" s="312"/>
      <c r="BA184" s="312"/>
      <c r="BB184" s="312"/>
      <c r="BC184" s="312"/>
      <c r="BD184" s="312"/>
      <c r="BE184" s="312"/>
      <c r="BF184" s="312"/>
      <c r="BG184" s="312"/>
      <c r="BH184" s="312"/>
      <c r="BI184" s="312"/>
      <c r="BJ184" s="312"/>
      <c r="BK184" s="312"/>
      <c r="BL184" s="312"/>
      <c r="BM184" s="312"/>
      <c r="BN184" s="312"/>
      <c r="BO184" s="312"/>
      <c r="BP184" s="312"/>
      <c r="BQ184" s="312"/>
      <c r="BR184" s="312"/>
      <c r="BS184" s="312"/>
      <c r="BT184" s="312"/>
      <c r="BU184" s="312"/>
      <c r="BV184" s="312"/>
      <c r="BW184" s="312"/>
      <c r="BX184" s="312"/>
      <c r="BY184" s="312"/>
      <c r="BZ184" s="312"/>
      <c r="CA184" s="312"/>
      <c r="CB184" s="312"/>
      <c r="CC184" s="312"/>
      <c r="CD184" s="312"/>
      <c r="CE184" s="312"/>
      <c r="CF184" s="312"/>
      <c r="CG184" s="312"/>
      <c r="CH184" s="312"/>
      <c r="CI184" s="312"/>
      <c r="CJ184" s="312"/>
      <c r="CK184" s="312"/>
      <c r="CL184" s="312"/>
      <c r="CM184" s="312"/>
      <c r="CN184" s="312"/>
      <c r="CO184" s="312"/>
      <c r="CP184" s="312"/>
      <c r="CQ184" s="312"/>
      <c r="CR184" s="312"/>
      <c r="CS184" s="312"/>
      <c r="CT184" s="312"/>
      <c r="CU184" s="312"/>
      <c r="CV184" s="312"/>
      <c r="CW184" s="312"/>
      <c r="CX184" s="312"/>
      <c r="CY184" s="312"/>
      <c r="CZ184" s="312"/>
      <c r="DA184" s="312"/>
      <c r="DB184" s="312"/>
      <c r="DC184" s="312"/>
      <c r="DD184" s="312"/>
      <c r="DE184" s="312"/>
      <c r="DF184" s="312"/>
      <c r="DG184" s="312"/>
      <c r="DH184" s="312"/>
      <c r="DI184" s="312"/>
      <c r="DJ184" s="312"/>
      <c r="DK184" s="312"/>
      <c r="DL184" s="312"/>
      <c r="DM184" s="312"/>
      <c r="DN184" s="312"/>
      <c r="DO184" s="312"/>
      <c r="DP184" s="312"/>
      <c r="DQ184" s="312"/>
      <c r="DR184" s="312"/>
      <c r="DS184" s="312"/>
      <c r="DT184" s="312"/>
      <c r="DU184" s="312"/>
      <c r="DV184" s="312"/>
      <c r="DW184" s="312"/>
      <c r="DX184" s="312"/>
      <c r="DY184" s="312"/>
      <c r="DZ184" s="312"/>
      <c r="EA184" s="312"/>
      <c r="EB184" s="312"/>
      <c r="EC184" s="312"/>
      <c r="ED184" s="312"/>
      <c r="EE184" s="312"/>
      <c r="EF184" s="312"/>
      <c r="EG184" s="312"/>
      <c r="EH184" s="312"/>
      <c r="EI184" s="312"/>
      <c r="EJ184" s="312"/>
      <c r="EK184" s="312"/>
      <c r="EL184" s="312"/>
      <c r="EM184" s="312"/>
      <c r="EN184" s="312"/>
      <c r="EO184" s="312"/>
      <c r="EP184" s="312"/>
      <c r="EQ184" s="312"/>
      <c r="ER184" s="312"/>
      <c r="ES184" s="312"/>
      <c r="ET184" s="312"/>
      <c r="EU184" s="312"/>
      <c r="EV184" s="312"/>
      <c r="EW184" s="312"/>
      <c r="EX184" s="312"/>
      <c r="EY184" s="312"/>
      <c r="EZ184" s="312"/>
      <c r="FA184" s="312"/>
      <c r="FB184" s="312"/>
      <c r="FC184" s="312"/>
      <c r="FD184" s="312"/>
      <c r="FE184" s="312"/>
      <c r="FF184" s="312"/>
      <c r="FG184" s="312"/>
      <c r="FH184" s="312"/>
      <c r="FI184" s="312"/>
      <c r="FJ184" s="312"/>
      <c r="FK184" s="312"/>
      <c r="FL184" s="312"/>
      <c r="FM184" s="312"/>
      <c r="FN184" s="312"/>
      <c r="FO184" s="312"/>
      <c r="FP184" s="312"/>
      <c r="FQ184" s="312"/>
      <c r="FR184" s="312"/>
      <c r="FS184" s="312"/>
      <c r="FT184" s="312"/>
      <c r="FU184" s="312"/>
      <c r="FV184" s="312"/>
      <c r="FW184" s="312"/>
      <c r="FX184" s="312"/>
      <c r="FY184" s="312"/>
      <c r="FZ184" s="312"/>
      <c r="GA184" s="312"/>
      <c r="GB184" s="312"/>
      <c r="GC184" s="312"/>
      <c r="GD184" s="312"/>
      <c r="GE184" s="312"/>
      <c r="GF184" s="312"/>
      <c r="GG184" s="312"/>
      <c r="GH184" s="312"/>
      <c r="GI184" s="312"/>
      <c r="GJ184" s="312"/>
      <c r="GK184" s="312"/>
      <c r="GL184" s="312"/>
      <c r="GM184" s="312"/>
      <c r="GN184" s="312"/>
      <c r="GO184" s="312"/>
      <c r="GP184" s="312"/>
      <c r="GQ184" s="312"/>
      <c r="GR184" s="312"/>
      <c r="GS184" s="312"/>
      <c r="GT184" s="312"/>
      <c r="GU184" s="312"/>
      <c r="GV184" s="312"/>
      <c r="GW184" s="312"/>
      <c r="GX184" s="312"/>
      <c r="GY184" s="312"/>
      <c r="GZ184" s="312"/>
      <c r="HA184" s="312"/>
      <c r="HB184" s="312"/>
      <c r="HC184" s="312"/>
      <c r="HD184" s="312"/>
      <c r="HE184" s="312"/>
      <c r="HF184" s="312"/>
      <c r="HG184" s="312"/>
      <c r="HH184" s="312"/>
      <c r="HI184" s="312"/>
      <c r="HJ184" s="312"/>
      <c r="HK184" s="312"/>
      <c r="HL184" s="312"/>
      <c r="HM184" s="312"/>
      <c r="HN184" s="312"/>
      <c r="HO184" s="312"/>
      <c r="HP184" s="312"/>
      <c r="HQ184" s="312"/>
      <c r="HR184" s="312"/>
      <c r="HS184" s="312"/>
      <c r="HT184" s="312"/>
      <c r="HU184" s="312"/>
      <c r="HV184" s="312"/>
      <c r="HW184" s="312"/>
      <c r="HX184" s="312"/>
      <c r="HY184" s="312"/>
      <c r="HZ184" s="312"/>
      <c r="IA184" s="312"/>
    </row>
    <row r="185" s="23" customFormat="1" ht="42" customHeight="1" spans="1:235">
      <c r="A185" s="48"/>
      <c r="B185" s="172"/>
      <c r="C185" s="48"/>
      <c r="D185" s="48"/>
      <c r="E185" s="49"/>
      <c r="F185" s="49"/>
      <c r="G185" s="175"/>
      <c r="H185" s="73"/>
      <c r="I185" s="99">
        <v>411009.17</v>
      </c>
      <c r="J185" s="203"/>
      <c r="K185" s="94">
        <f t="shared" si="66"/>
        <v>411009.17</v>
      </c>
      <c r="L185" s="113"/>
      <c r="M185" s="113"/>
      <c r="N185" s="113"/>
      <c r="O185" s="113"/>
      <c r="P185" s="49"/>
      <c r="Q185" s="113"/>
      <c r="R185" s="113"/>
      <c r="S185" s="113"/>
      <c r="T185" s="113"/>
      <c r="U185" s="113"/>
      <c r="V185" s="113"/>
      <c r="W185" s="113"/>
      <c r="X185" s="49"/>
      <c r="Y185" s="312"/>
      <c r="Z185" s="312"/>
      <c r="AA185" s="312"/>
      <c r="AB185" s="312"/>
      <c r="AC185" s="312"/>
      <c r="AD185" s="312"/>
      <c r="AE185" s="312"/>
      <c r="AF185" s="312"/>
      <c r="AG185" s="312"/>
      <c r="AH185" s="312"/>
      <c r="AI185" s="312"/>
      <c r="AJ185" s="312"/>
      <c r="AK185" s="312"/>
      <c r="AL185" s="312"/>
      <c r="AM185" s="312"/>
      <c r="AN185" s="312"/>
      <c r="AO185" s="312"/>
      <c r="AP185" s="312"/>
      <c r="AQ185" s="312"/>
      <c r="AR185" s="312"/>
      <c r="AS185" s="312"/>
      <c r="AT185" s="312"/>
      <c r="AU185" s="312"/>
      <c r="AV185" s="312"/>
      <c r="AW185" s="312"/>
      <c r="AX185" s="312"/>
      <c r="AY185" s="312"/>
      <c r="AZ185" s="312"/>
      <c r="BA185" s="312"/>
      <c r="BB185" s="312"/>
      <c r="BC185" s="312"/>
      <c r="BD185" s="312"/>
      <c r="BE185" s="312"/>
      <c r="BF185" s="312"/>
      <c r="BG185" s="312"/>
      <c r="BH185" s="312"/>
      <c r="BI185" s="312"/>
      <c r="BJ185" s="312"/>
      <c r="BK185" s="312"/>
      <c r="BL185" s="312"/>
      <c r="BM185" s="312"/>
      <c r="BN185" s="312"/>
      <c r="BO185" s="312"/>
      <c r="BP185" s="312"/>
      <c r="BQ185" s="312"/>
      <c r="BR185" s="312"/>
      <c r="BS185" s="312"/>
      <c r="BT185" s="312"/>
      <c r="BU185" s="312"/>
      <c r="BV185" s="312"/>
      <c r="BW185" s="312"/>
      <c r="BX185" s="312"/>
      <c r="BY185" s="312"/>
      <c r="BZ185" s="312"/>
      <c r="CA185" s="312"/>
      <c r="CB185" s="312"/>
      <c r="CC185" s="312"/>
      <c r="CD185" s="312"/>
      <c r="CE185" s="312"/>
      <c r="CF185" s="312"/>
      <c r="CG185" s="312"/>
      <c r="CH185" s="312"/>
      <c r="CI185" s="312"/>
      <c r="CJ185" s="312"/>
      <c r="CK185" s="312"/>
      <c r="CL185" s="312"/>
      <c r="CM185" s="312"/>
      <c r="CN185" s="312"/>
      <c r="CO185" s="312"/>
      <c r="CP185" s="312"/>
      <c r="CQ185" s="312"/>
      <c r="CR185" s="312"/>
      <c r="CS185" s="312"/>
      <c r="CT185" s="312"/>
      <c r="CU185" s="312"/>
      <c r="CV185" s="312"/>
      <c r="CW185" s="312"/>
      <c r="CX185" s="312"/>
      <c r="CY185" s="312"/>
      <c r="CZ185" s="312"/>
      <c r="DA185" s="312"/>
      <c r="DB185" s="312"/>
      <c r="DC185" s="312"/>
      <c r="DD185" s="312"/>
      <c r="DE185" s="312"/>
      <c r="DF185" s="312"/>
      <c r="DG185" s="312"/>
      <c r="DH185" s="312"/>
      <c r="DI185" s="312"/>
      <c r="DJ185" s="312"/>
      <c r="DK185" s="312"/>
      <c r="DL185" s="312"/>
      <c r="DM185" s="312"/>
      <c r="DN185" s="312"/>
      <c r="DO185" s="312"/>
      <c r="DP185" s="312"/>
      <c r="DQ185" s="312"/>
      <c r="DR185" s="312"/>
      <c r="DS185" s="312"/>
      <c r="DT185" s="312"/>
      <c r="DU185" s="312"/>
      <c r="DV185" s="312"/>
      <c r="DW185" s="312"/>
      <c r="DX185" s="312"/>
      <c r="DY185" s="312"/>
      <c r="DZ185" s="312"/>
      <c r="EA185" s="312"/>
      <c r="EB185" s="312"/>
      <c r="EC185" s="312"/>
      <c r="ED185" s="312"/>
      <c r="EE185" s="312"/>
      <c r="EF185" s="312"/>
      <c r="EG185" s="312"/>
      <c r="EH185" s="312"/>
      <c r="EI185" s="312"/>
      <c r="EJ185" s="312"/>
      <c r="EK185" s="312"/>
      <c r="EL185" s="312"/>
      <c r="EM185" s="312"/>
      <c r="EN185" s="312"/>
      <c r="EO185" s="312"/>
      <c r="EP185" s="312"/>
      <c r="EQ185" s="312"/>
      <c r="ER185" s="312"/>
      <c r="ES185" s="312"/>
      <c r="ET185" s="312"/>
      <c r="EU185" s="312"/>
      <c r="EV185" s="312"/>
      <c r="EW185" s="312"/>
      <c r="EX185" s="312"/>
      <c r="EY185" s="312"/>
      <c r="EZ185" s="312"/>
      <c r="FA185" s="312"/>
      <c r="FB185" s="312"/>
      <c r="FC185" s="312"/>
      <c r="FD185" s="312"/>
      <c r="FE185" s="312"/>
      <c r="FF185" s="312"/>
      <c r="FG185" s="312"/>
      <c r="FH185" s="312"/>
      <c r="FI185" s="312"/>
      <c r="FJ185" s="312"/>
      <c r="FK185" s="312"/>
      <c r="FL185" s="312"/>
      <c r="FM185" s="312"/>
      <c r="FN185" s="312"/>
      <c r="FO185" s="312"/>
      <c r="FP185" s="312"/>
      <c r="FQ185" s="312"/>
      <c r="FR185" s="312"/>
      <c r="FS185" s="312"/>
      <c r="FT185" s="312"/>
      <c r="FU185" s="312"/>
      <c r="FV185" s="312"/>
      <c r="FW185" s="312"/>
      <c r="FX185" s="312"/>
      <c r="FY185" s="312"/>
      <c r="FZ185" s="312"/>
      <c r="GA185" s="312"/>
      <c r="GB185" s="312"/>
      <c r="GC185" s="312"/>
      <c r="GD185" s="312"/>
      <c r="GE185" s="312"/>
      <c r="GF185" s="312"/>
      <c r="GG185" s="312"/>
      <c r="GH185" s="312"/>
      <c r="GI185" s="312"/>
      <c r="GJ185" s="312"/>
      <c r="GK185" s="312"/>
      <c r="GL185" s="312"/>
      <c r="GM185" s="312"/>
      <c r="GN185" s="312"/>
      <c r="GO185" s="312"/>
      <c r="GP185" s="312"/>
      <c r="GQ185" s="312"/>
      <c r="GR185" s="312"/>
      <c r="GS185" s="312"/>
      <c r="GT185" s="312"/>
      <c r="GU185" s="312"/>
      <c r="GV185" s="312"/>
      <c r="GW185" s="312"/>
      <c r="GX185" s="312"/>
      <c r="GY185" s="312"/>
      <c r="GZ185" s="312"/>
      <c r="HA185" s="312"/>
      <c r="HB185" s="312"/>
      <c r="HC185" s="312"/>
      <c r="HD185" s="312"/>
      <c r="HE185" s="312"/>
      <c r="HF185" s="312"/>
      <c r="HG185" s="312"/>
      <c r="HH185" s="312"/>
      <c r="HI185" s="312"/>
      <c r="HJ185" s="312"/>
      <c r="HK185" s="312"/>
      <c r="HL185" s="312"/>
      <c r="HM185" s="312"/>
      <c r="HN185" s="312"/>
      <c r="HO185" s="312"/>
      <c r="HP185" s="312"/>
      <c r="HQ185" s="312"/>
      <c r="HR185" s="312"/>
      <c r="HS185" s="312"/>
      <c r="HT185" s="312"/>
      <c r="HU185" s="312"/>
      <c r="HV185" s="312"/>
      <c r="HW185" s="312"/>
      <c r="HX185" s="312"/>
      <c r="HY185" s="312"/>
      <c r="HZ185" s="312"/>
      <c r="IA185" s="312"/>
    </row>
    <row r="186" s="23" customFormat="1" ht="42" customHeight="1" spans="1:235">
      <c r="A186" s="48"/>
      <c r="B186" s="172"/>
      <c r="C186" s="48"/>
      <c r="D186" s="48"/>
      <c r="E186" s="49"/>
      <c r="F186" s="49"/>
      <c r="G186" s="175"/>
      <c r="H186" s="73"/>
      <c r="I186" s="99">
        <v>379849.06</v>
      </c>
      <c r="J186" s="99">
        <v>22790.94</v>
      </c>
      <c r="K186" s="94">
        <f t="shared" si="66"/>
        <v>402640</v>
      </c>
      <c r="L186" s="114"/>
      <c r="M186" s="114"/>
      <c r="N186" s="114"/>
      <c r="O186" s="114"/>
      <c r="P186" s="81"/>
      <c r="Q186" s="114"/>
      <c r="R186" s="114"/>
      <c r="S186" s="114"/>
      <c r="T186" s="114"/>
      <c r="U186" s="114"/>
      <c r="V186" s="114"/>
      <c r="W186" s="114"/>
      <c r="X186" s="81"/>
      <c r="Y186" s="312"/>
      <c r="Z186" s="312"/>
      <c r="AA186" s="312"/>
      <c r="AB186" s="312"/>
      <c r="AC186" s="312"/>
      <c r="AD186" s="312"/>
      <c r="AE186" s="312"/>
      <c r="AF186" s="312"/>
      <c r="AG186" s="312"/>
      <c r="AH186" s="312"/>
      <c r="AI186" s="312"/>
      <c r="AJ186" s="312"/>
      <c r="AK186" s="312"/>
      <c r="AL186" s="312"/>
      <c r="AM186" s="312"/>
      <c r="AN186" s="312"/>
      <c r="AO186" s="312"/>
      <c r="AP186" s="312"/>
      <c r="AQ186" s="312"/>
      <c r="AR186" s="312"/>
      <c r="AS186" s="312"/>
      <c r="AT186" s="312"/>
      <c r="AU186" s="312"/>
      <c r="AV186" s="312"/>
      <c r="AW186" s="312"/>
      <c r="AX186" s="312"/>
      <c r="AY186" s="312"/>
      <c r="AZ186" s="312"/>
      <c r="BA186" s="312"/>
      <c r="BB186" s="312"/>
      <c r="BC186" s="312"/>
      <c r="BD186" s="312"/>
      <c r="BE186" s="312"/>
      <c r="BF186" s="312"/>
      <c r="BG186" s="312"/>
      <c r="BH186" s="312"/>
      <c r="BI186" s="312"/>
      <c r="BJ186" s="312"/>
      <c r="BK186" s="312"/>
      <c r="BL186" s="312"/>
      <c r="BM186" s="312"/>
      <c r="BN186" s="312"/>
      <c r="BO186" s="312"/>
      <c r="BP186" s="312"/>
      <c r="BQ186" s="312"/>
      <c r="BR186" s="312"/>
      <c r="BS186" s="312"/>
      <c r="BT186" s="312"/>
      <c r="BU186" s="312"/>
      <c r="BV186" s="312"/>
      <c r="BW186" s="312"/>
      <c r="BX186" s="312"/>
      <c r="BY186" s="312"/>
      <c r="BZ186" s="312"/>
      <c r="CA186" s="312"/>
      <c r="CB186" s="312"/>
      <c r="CC186" s="312"/>
      <c r="CD186" s="312"/>
      <c r="CE186" s="312"/>
      <c r="CF186" s="312"/>
      <c r="CG186" s="312"/>
      <c r="CH186" s="312"/>
      <c r="CI186" s="312"/>
      <c r="CJ186" s="312"/>
      <c r="CK186" s="312"/>
      <c r="CL186" s="312"/>
      <c r="CM186" s="312"/>
      <c r="CN186" s="312"/>
      <c r="CO186" s="312"/>
      <c r="CP186" s="312"/>
      <c r="CQ186" s="312"/>
      <c r="CR186" s="312"/>
      <c r="CS186" s="312"/>
      <c r="CT186" s="312"/>
      <c r="CU186" s="312"/>
      <c r="CV186" s="312"/>
      <c r="CW186" s="312"/>
      <c r="CX186" s="312"/>
      <c r="CY186" s="312"/>
      <c r="CZ186" s="312"/>
      <c r="DA186" s="312"/>
      <c r="DB186" s="312"/>
      <c r="DC186" s="312"/>
      <c r="DD186" s="312"/>
      <c r="DE186" s="312"/>
      <c r="DF186" s="312"/>
      <c r="DG186" s="312"/>
      <c r="DH186" s="312"/>
      <c r="DI186" s="312"/>
      <c r="DJ186" s="312"/>
      <c r="DK186" s="312"/>
      <c r="DL186" s="312"/>
      <c r="DM186" s="312"/>
      <c r="DN186" s="312"/>
      <c r="DO186" s="312"/>
      <c r="DP186" s="312"/>
      <c r="DQ186" s="312"/>
      <c r="DR186" s="312"/>
      <c r="DS186" s="312"/>
      <c r="DT186" s="312"/>
      <c r="DU186" s="312"/>
      <c r="DV186" s="312"/>
      <c r="DW186" s="312"/>
      <c r="DX186" s="312"/>
      <c r="DY186" s="312"/>
      <c r="DZ186" s="312"/>
      <c r="EA186" s="312"/>
      <c r="EB186" s="312"/>
      <c r="EC186" s="312"/>
      <c r="ED186" s="312"/>
      <c r="EE186" s="312"/>
      <c r="EF186" s="312"/>
      <c r="EG186" s="312"/>
      <c r="EH186" s="312"/>
      <c r="EI186" s="312"/>
      <c r="EJ186" s="312"/>
      <c r="EK186" s="312"/>
      <c r="EL186" s="312"/>
      <c r="EM186" s="312"/>
      <c r="EN186" s="312"/>
      <c r="EO186" s="312"/>
      <c r="EP186" s="312"/>
      <c r="EQ186" s="312"/>
      <c r="ER186" s="312"/>
      <c r="ES186" s="312"/>
      <c r="ET186" s="312"/>
      <c r="EU186" s="312"/>
      <c r="EV186" s="312"/>
      <c r="EW186" s="312"/>
      <c r="EX186" s="312"/>
      <c r="EY186" s="312"/>
      <c r="EZ186" s="312"/>
      <c r="FA186" s="312"/>
      <c r="FB186" s="312"/>
      <c r="FC186" s="312"/>
      <c r="FD186" s="312"/>
      <c r="FE186" s="312"/>
      <c r="FF186" s="312"/>
      <c r="FG186" s="312"/>
      <c r="FH186" s="312"/>
      <c r="FI186" s="312"/>
      <c r="FJ186" s="312"/>
      <c r="FK186" s="312"/>
      <c r="FL186" s="312"/>
      <c r="FM186" s="312"/>
      <c r="FN186" s="312"/>
      <c r="FO186" s="312"/>
      <c r="FP186" s="312"/>
      <c r="FQ186" s="312"/>
      <c r="FR186" s="312"/>
      <c r="FS186" s="312"/>
      <c r="FT186" s="312"/>
      <c r="FU186" s="312"/>
      <c r="FV186" s="312"/>
      <c r="FW186" s="312"/>
      <c r="FX186" s="312"/>
      <c r="FY186" s="312"/>
      <c r="FZ186" s="312"/>
      <c r="GA186" s="312"/>
      <c r="GB186" s="312"/>
      <c r="GC186" s="312"/>
      <c r="GD186" s="312"/>
      <c r="GE186" s="312"/>
      <c r="GF186" s="312"/>
      <c r="GG186" s="312"/>
      <c r="GH186" s="312"/>
      <c r="GI186" s="312"/>
      <c r="GJ186" s="312"/>
      <c r="GK186" s="312"/>
      <c r="GL186" s="312"/>
      <c r="GM186" s="312"/>
      <c r="GN186" s="312"/>
      <c r="GO186" s="312"/>
      <c r="GP186" s="312"/>
      <c r="GQ186" s="312"/>
      <c r="GR186" s="312"/>
      <c r="GS186" s="312"/>
      <c r="GT186" s="312"/>
      <c r="GU186" s="312"/>
      <c r="GV186" s="312"/>
      <c r="GW186" s="312"/>
      <c r="GX186" s="312"/>
      <c r="GY186" s="312"/>
      <c r="GZ186" s="312"/>
      <c r="HA186" s="312"/>
      <c r="HB186" s="312"/>
      <c r="HC186" s="312"/>
      <c r="HD186" s="312"/>
      <c r="HE186" s="312"/>
      <c r="HF186" s="312"/>
      <c r="HG186" s="312"/>
      <c r="HH186" s="312"/>
      <c r="HI186" s="312"/>
      <c r="HJ186" s="312"/>
      <c r="HK186" s="312"/>
      <c r="HL186" s="312"/>
      <c r="HM186" s="312"/>
      <c r="HN186" s="312"/>
      <c r="HO186" s="312"/>
      <c r="HP186" s="312"/>
      <c r="HQ186" s="312"/>
      <c r="HR186" s="312"/>
      <c r="HS186" s="312"/>
      <c r="HT186" s="312"/>
      <c r="HU186" s="312"/>
      <c r="HV186" s="312"/>
      <c r="HW186" s="312"/>
      <c r="HX186" s="312"/>
      <c r="HY186" s="312"/>
      <c r="HZ186" s="312"/>
      <c r="IA186" s="312"/>
    </row>
    <row r="187" s="23" customFormat="1" ht="42" customHeight="1" spans="1:235">
      <c r="A187" s="153"/>
      <c r="B187" s="254"/>
      <c r="C187" s="153"/>
      <c r="D187" s="153"/>
      <c r="E187" s="81"/>
      <c r="F187" s="81"/>
      <c r="G187" s="255" t="s">
        <v>385</v>
      </c>
      <c r="H187" s="76" t="s">
        <v>386</v>
      </c>
      <c r="I187" s="118">
        <v>2255101.87</v>
      </c>
      <c r="J187" s="118">
        <v>0</v>
      </c>
      <c r="K187" s="101">
        <v>2255101.87</v>
      </c>
      <c r="L187" s="202"/>
      <c r="M187" s="202"/>
      <c r="N187" s="202"/>
      <c r="O187" s="202"/>
      <c r="P187" s="106"/>
      <c r="Q187" s="114"/>
      <c r="R187" s="114"/>
      <c r="S187" s="114">
        <f>K187</f>
        <v>2255101.87</v>
      </c>
      <c r="T187" s="114"/>
      <c r="U187" s="114">
        <f>0</f>
        <v>0</v>
      </c>
      <c r="V187" s="114"/>
      <c r="W187" s="114">
        <f t="shared" si="65"/>
        <v>2255101.87</v>
      </c>
      <c r="X187" s="81"/>
      <c r="Y187" s="312"/>
      <c r="Z187" s="312"/>
      <c r="AA187" s="312"/>
      <c r="AB187" s="312"/>
      <c r="AC187" s="312"/>
      <c r="AD187" s="312"/>
      <c r="AE187" s="312"/>
      <c r="AF187" s="312"/>
      <c r="AG187" s="312"/>
      <c r="AH187" s="312"/>
      <c r="AI187" s="312"/>
      <c r="AJ187" s="312"/>
      <c r="AK187" s="312"/>
      <c r="AL187" s="312"/>
      <c r="AM187" s="312"/>
      <c r="AN187" s="312"/>
      <c r="AO187" s="312"/>
      <c r="AP187" s="312"/>
      <c r="AQ187" s="312"/>
      <c r="AR187" s="312"/>
      <c r="AS187" s="312"/>
      <c r="AT187" s="312"/>
      <c r="AU187" s="312"/>
      <c r="AV187" s="312"/>
      <c r="AW187" s="312"/>
      <c r="AX187" s="312"/>
      <c r="AY187" s="312"/>
      <c r="AZ187" s="312"/>
      <c r="BA187" s="312"/>
      <c r="BB187" s="312"/>
      <c r="BC187" s="312"/>
      <c r="BD187" s="312"/>
      <c r="BE187" s="312"/>
      <c r="BF187" s="312"/>
      <c r="BG187" s="312"/>
      <c r="BH187" s="312"/>
      <c r="BI187" s="312"/>
      <c r="BJ187" s="312"/>
      <c r="BK187" s="312"/>
      <c r="BL187" s="312"/>
      <c r="BM187" s="312"/>
      <c r="BN187" s="312"/>
      <c r="BO187" s="312"/>
      <c r="BP187" s="312"/>
      <c r="BQ187" s="312"/>
      <c r="BR187" s="312"/>
      <c r="BS187" s="312"/>
      <c r="BT187" s="312"/>
      <c r="BU187" s="312"/>
      <c r="BV187" s="312"/>
      <c r="BW187" s="312"/>
      <c r="BX187" s="312"/>
      <c r="BY187" s="312"/>
      <c r="BZ187" s="312"/>
      <c r="CA187" s="312"/>
      <c r="CB187" s="312"/>
      <c r="CC187" s="312"/>
      <c r="CD187" s="312"/>
      <c r="CE187" s="312"/>
      <c r="CF187" s="312"/>
      <c r="CG187" s="312"/>
      <c r="CH187" s="312"/>
      <c r="CI187" s="312"/>
      <c r="CJ187" s="312"/>
      <c r="CK187" s="312"/>
      <c r="CL187" s="312"/>
      <c r="CM187" s="312"/>
      <c r="CN187" s="312"/>
      <c r="CO187" s="312"/>
      <c r="CP187" s="312"/>
      <c r="CQ187" s="312"/>
      <c r="CR187" s="312"/>
      <c r="CS187" s="312"/>
      <c r="CT187" s="312"/>
      <c r="CU187" s="312"/>
      <c r="CV187" s="312"/>
      <c r="CW187" s="312"/>
      <c r="CX187" s="312"/>
      <c r="CY187" s="312"/>
      <c r="CZ187" s="312"/>
      <c r="DA187" s="312"/>
      <c r="DB187" s="312"/>
      <c r="DC187" s="312"/>
      <c r="DD187" s="312"/>
      <c r="DE187" s="312"/>
      <c r="DF187" s="312"/>
      <c r="DG187" s="312"/>
      <c r="DH187" s="312"/>
      <c r="DI187" s="312"/>
      <c r="DJ187" s="312"/>
      <c r="DK187" s="312"/>
      <c r="DL187" s="312"/>
      <c r="DM187" s="312"/>
      <c r="DN187" s="312"/>
      <c r="DO187" s="312"/>
      <c r="DP187" s="312"/>
      <c r="DQ187" s="312"/>
      <c r="DR187" s="312"/>
      <c r="DS187" s="312"/>
      <c r="DT187" s="312"/>
      <c r="DU187" s="312"/>
      <c r="DV187" s="312"/>
      <c r="DW187" s="312"/>
      <c r="DX187" s="312"/>
      <c r="DY187" s="312"/>
      <c r="DZ187" s="312"/>
      <c r="EA187" s="312"/>
      <c r="EB187" s="312"/>
      <c r="EC187" s="312"/>
      <c r="ED187" s="312"/>
      <c r="EE187" s="312"/>
      <c r="EF187" s="312"/>
      <c r="EG187" s="312"/>
      <c r="EH187" s="312"/>
      <c r="EI187" s="312"/>
      <c r="EJ187" s="312"/>
      <c r="EK187" s="312"/>
      <c r="EL187" s="312"/>
      <c r="EM187" s="312"/>
      <c r="EN187" s="312"/>
      <c r="EO187" s="312"/>
      <c r="EP187" s="312"/>
      <c r="EQ187" s="312"/>
      <c r="ER187" s="312"/>
      <c r="ES187" s="312"/>
      <c r="ET187" s="312"/>
      <c r="EU187" s="312"/>
      <c r="EV187" s="312"/>
      <c r="EW187" s="312"/>
      <c r="EX187" s="312"/>
      <c r="EY187" s="312"/>
      <c r="EZ187" s="312"/>
      <c r="FA187" s="312"/>
      <c r="FB187" s="312"/>
      <c r="FC187" s="312"/>
      <c r="FD187" s="312"/>
      <c r="FE187" s="312"/>
      <c r="FF187" s="312"/>
      <c r="FG187" s="312"/>
      <c r="FH187" s="312"/>
      <c r="FI187" s="312"/>
      <c r="FJ187" s="312"/>
      <c r="FK187" s="312"/>
      <c r="FL187" s="312"/>
      <c r="FM187" s="312"/>
      <c r="FN187" s="312"/>
      <c r="FO187" s="312"/>
      <c r="FP187" s="312"/>
      <c r="FQ187" s="312"/>
      <c r="FR187" s="312"/>
      <c r="FS187" s="312"/>
      <c r="FT187" s="312"/>
      <c r="FU187" s="312"/>
      <c r="FV187" s="312"/>
      <c r="FW187" s="312"/>
      <c r="FX187" s="312"/>
      <c r="FY187" s="312"/>
      <c r="FZ187" s="312"/>
      <c r="GA187" s="312"/>
      <c r="GB187" s="312"/>
      <c r="GC187" s="312"/>
      <c r="GD187" s="312"/>
      <c r="GE187" s="312"/>
      <c r="GF187" s="312"/>
      <c r="GG187" s="312"/>
      <c r="GH187" s="312"/>
      <c r="GI187" s="312"/>
      <c r="GJ187" s="312"/>
      <c r="GK187" s="312"/>
      <c r="GL187" s="312"/>
      <c r="GM187" s="312"/>
      <c r="GN187" s="312"/>
      <c r="GO187" s="312"/>
      <c r="GP187" s="312"/>
      <c r="GQ187" s="312"/>
      <c r="GR187" s="312"/>
      <c r="GS187" s="312"/>
      <c r="GT187" s="312"/>
      <c r="GU187" s="312"/>
      <c r="GV187" s="312"/>
      <c r="GW187" s="312"/>
      <c r="GX187" s="312"/>
      <c r="GY187" s="312"/>
      <c r="GZ187" s="312"/>
      <c r="HA187" s="312"/>
      <c r="HB187" s="312"/>
      <c r="HC187" s="312"/>
      <c r="HD187" s="312"/>
      <c r="HE187" s="312"/>
      <c r="HF187" s="312"/>
      <c r="HG187" s="312"/>
      <c r="HH187" s="312"/>
      <c r="HI187" s="312"/>
      <c r="HJ187" s="312"/>
      <c r="HK187" s="312"/>
      <c r="HL187" s="312"/>
      <c r="HM187" s="312"/>
      <c r="HN187" s="312"/>
      <c r="HO187" s="312"/>
      <c r="HP187" s="312"/>
      <c r="HQ187" s="312"/>
      <c r="HR187" s="312"/>
      <c r="HS187" s="312"/>
      <c r="HT187" s="312"/>
      <c r="HU187" s="312"/>
      <c r="HV187" s="312"/>
      <c r="HW187" s="312"/>
      <c r="HX187" s="312"/>
      <c r="HY187" s="312"/>
      <c r="HZ187" s="312"/>
      <c r="IA187" s="312"/>
    </row>
    <row r="188" s="23" customFormat="1" ht="45" customHeight="1" spans="1:24">
      <c r="A188" s="156">
        <v>26</v>
      </c>
      <c r="B188" s="157" t="s">
        <v>222</v>
      </c>
      <c r="C188" s="158"/>
      <c r="D188" s="157" t="s">
        <v>223</v>
      </c>
      <c r="E188" s="145">
        <v>104523.9</v>
      </c>
      <c r="F188" s="145"/>
      <c r="G188" s="66" t="s">
        <v>224</v>
      </c>
      <c r="H188" s="66" t="s">
        <v>225</v>
      </c>
      <c r="I188" s="94">
        <v>104523.9</v>
      </c>
      <c r="J188" s="94">
        <v>0</v>
      </c>
      <c r="K188" s="94">
        <f t="shared" ref="K188:K192" si="67">I188+J188</f>
        <v>104523.9</v>
      </c>
      <c r="L188" s="94"/>
      <c r="M188" s="94"/>
      <c r="N188" s="94"/>
      <c r="O188" s="94"/>
      <c r="P188" s="94"/>
      <c r="Q188" s="94"/>
      <c r="R188" s="94"/>
      <c r="S188" s="94">
        <f t="shared" ref="S188:S193" si="68">K188-L188-M188-N188-O188+R188</f>
        <v>104523.9</v>
      </c>
      <c r="T188" s="108">
        <v>0</v>
      </c>
      <c r="U188" s="94">
        <f>K188</f>
        <v>104523.9</v>
      </c>
      <c r="V188" s="94"/>
      <c r="W188" s="94">
        <f t="shared" si="65"/>
        <v>0</v>
      </c>
      <c r="X188" s="145"/>
    </row>
    <row r="189" s="22" customFormat="1" ht="40.9" spans="1:235">
      <c r="A189" s="156">
        <v>23</v>
      </c>
      <c r="B189" s="157" t="s">
        <v>226</v>
      </c>
      <c r="C189" s="158" t="s">
        <v>227</v>
      </c>
      <c r="D189" s="157" t="s">
        <v>228</v>
      </c>
      <c r="E189" s="256">
        <v>7588343.88</v>
      </c>
      <c r="F189" s="256"/>
      <c r="G189" s="74" t="s">
        <v>229</v>
      </c>
      <c r="H189" s="74" t="s">
        <v>230</v>
      </c>
      <c r="I189" s="99">
        <v>6715348.57</v>
      </c>
      <c r="J189" s="99">
        <v>872995.31</v>
      </c>
      <c r="K189" s="94">
        <f>J189+I189</f>
        <v>7588343.88</v>
      </c>
      <c r="L189" s="94"/>
      <c r="M189" s="94">
        <v>379417.19</v>
      </c>
      <c r="N189" s="94"/>
      <c r="O189" s="94"/>
      <c r="P189" s="94"/>
      <c r="Q189" s="94"/>
      <c r="R189" s="94"/>
      <c r="S189" s="94">
        <f t="shared" si="68"/>
        <v>7208926.69</v>
      </c>
      <c r="T189" s="108">
        <v>0</v>
      </c>
      <c r="U189" s="302">
        <v>7208926.69</v>
      </c>
      <c r="V189" s="302"/>
      <c r="W189" s="94">
        <f t="shared" si="65"/>
        <v>0</v>
      </c>
      <c r="X189" s="145"/>
      <c r="Y189" s="313"/>
      <c r="Z189" s="313"/>
      <c r="AA189" s="313"/>
      <c r="AB189" s="313"/>
      <c r="AC189" s="313"/>
      <c r="AD189" s="313"/>
      <c r="AE189" s="313"/>
      <c r="AF189" s="313"/>
      <c r="AG189" s="313"/>
      <c r="AH189" s="313"/>
      <c r="AI189" s="313"/>
      <c r="AJ189" s="313"/>
      <c r="AK189" s="313"/>
      <c r="AL189" s="313"/>
      <c r="AM189" s="313"/>
      <c r="AN189" s="313"/>
      <c r="AO189" s="313"/>
      <c r="AP189" s="313"/>
      <c r="AQ189" s="313"/>
      <c r="AR189" s="313"/>
      <c r="AS189" s="313"/>
      <c r="AT189" s="313"/>
      <c r="AU189" s="313"/>
      <c r="AV189" s="313"/>
      <c r="AW189" s="313"/>
      <c r="AX189" s="313"/>
      <c r="AY189" s="313"/>
      <c r="AZ189" s="313"/>
      <c r="BA189" s="313"/>
      <c r="BB189" s="313"/>
      <c r="BC189" s="313"/>
      <c r="BD189" s="313"/>
      <c r="BE189" s="313"/>
      <c r="BF189" s="313"/>
      <c r="BG189" s="313"/>
      <c r="BH189" s="313"/>
      <c r="BI189" s="313"/>
      <c r="BJ189" s="313"/>
      <c r="BK189" s="313"/>
      <c r="BL189" s="313"/>
      <c r="BM189" s="313"/>
      <c r="BN189" s="313"/>
      <c r="BO189" s="313"/>
      <c r="BP189" s="313"/>
      <c r="BQ189" s="313"/>
      <c r="BR189" s="313"/>
      <c r="BS189" s="313"/>
      <c r="BT189" s="313"/>
      <c r="BU189" s="313"/>
      <c r="BV189" s="313"/>
      <c r="BW189" s="313"/>
      <c r="BX189" s="313"/>
      <c r="BY189" s="313"/>
      <c r="BZ189" s="313"/>
      <c r="CA189" s="313"/>
      <c r="CB189" s="313"/>
      <c r="CC189" s="313"/>
      <c r="CD189" s="313"/>
      <c r="CE189" s="313"/>
      <c r="CF189" s="313"/>
      <c r="CG189" s="313"/>
      <c r="CH189" s="313"/>
      <c r="CI189" s="313"/>
      <c r="CJ189" s="313"/>
      <c r="CK189" s="313"/>
      <c r="CL189" s="313"/>
      <c r="CM189" s="313"/>
      <c r="CN189" s="313"/>
      <c r="CO189" s="313"/>
      <c r="CP189" s="313"/>
      <c r="CQ189" s="313"/>
      <c r="CR189" s="313"/>
      <c r="CS189" s="313"/>
      <c r="CT189" s="313"/>
      <c r="CU189" s="313"/>
      <c r="CV189" s="313"/>
      <c r="CW189" s="313"/>
      <c r="CX189" s="313"/>
      <c r="CY189" s="313"/>
      <c r="CZ189" s="313"/>
      <c r="DA189" s="313"/>
      <c r="DB189" s="313"/>
      <c r="DC189" s="313"/>
      <c r="DD189" s="313"/>
      <c r="DE189" s="313"/>
      <c r="DF189" s="313"/>
      <c r="DG189" s="313"/>
      <c r="DH189" s="313"/>
      <c r="DI189" s="313"/>
      <c r="DJ189" s="313"/>
      <c r="DK189" s="313"/>
      <c r="DL189" s="313"/>
      <c r="DM189" s="313"/>
      <c r="DN189" s="313"/>
      <c r="DO189" s="313"/>
      <c r="DP189" s="313"/>
      <c r="DQ189" s="313"/>
      <c r="DR189" s="313"/>
      <c r="DS189" s="313"/>
      <c r="DT189" s="313"/>
      <c r="DU189" s="313"/>
      <c r="DV189" s="313"/>
      <c r="DW189" s="313"/>
      <c r="DX189" s="313"/>
      <c r="DY189" s="313"/>
      <c r="DZ189" s="313"/>
      <c r="EA189" s="313"/>
      <c r="EB189" s="313"/>
      <c r="EC189" s="313"/>
      <c r="ED189" s="313"/>
      <c r="EE189" s="313"/>
      <c r="EF189" s="313"/>
      <c r="EG189" s="313"/>
      <c r="EH189" s="313"/>
      <c r="EI189" s="313"/>
      <c r="EJ189" s="313"/>
      <c r="EK189" s="313"/>
      <c r="EL189" s="313"/>
      <c r="EM189" s="313"/>
      <c r="EN189" s="313"/>
      <c r="EO189" s="313"/>
      <c r="EP189" s="313"/>
      <c r="EQ189" s="313"/>
      <c r="ER189" s="313"/>
      <c r="ES189" s="313"/>
      <c r="ET189" s="313"/>
      <c r="EU189" s="313"/>
      <c r="EV189" s="313"/>
      <c r="EW189" s="313"/>
      <c r="EX189" s="313"/>
      <c r="EY189" s="313"/>
      <c r="EZ189" s="313"/>
      <c r="FA189" s="313"/>
      <c r="FB189" s="313"/>
      <c r="FC189" s="313"/>
      <c r="FD189" s="313"/>
      <c r="FE189" s="313"/>
      <c r="FF189" s="313"/>
      <c r="FG189" s="313"/>
      <c r="FH189" s="313"/>
      <c r="FI189" s="313"/>
      <c r="FJ189" s="313"/>
      <c r="FK189" s="313"/>
      <c r="FL189" s="313"/>
      <c r="FM189" s="313"/>
      <c r="FN189" s="313"/>
      <c r="FO189" s="313"/>
      <c r="FP189" s="313"/>
      <c r="FQ189" s="313"/>
      <c r="FR189" s="313"/>
      <c r="FS189" s="313"/>
      <c r="FT189" s="313"/>
      <c r="FU189" s="313"/>
      <c r="FV189" s="313"/>
      <c r="FW189" s="313"/>
      <c r="FX189" s="313"/>
      <c r="FY189" s="313"/>
      <c r="FZ189" s="313"/>
      <c r="GA189" s="313"/>
      <c r="GB189" s="313"/>
      <c r="GC189" s="313"/>
      <c r="GD189" s="313"/>
      <c r="GE189" s="313"/>
      <c r="GF189" s="313"/>
      <c r="GG189" s="313"/>
      <c r="GH189" s="313"/>
      <c r="GI189" s="313"/>
      <c r="GJ189" s="313"/>
      <c r="GK189" s="313"/>
      <c r="GL189" s="313"/>
      <c r="GM189" s="313"/>
      <c r="GN189" s="313"/>
      <c r="GO189" s="313"/>
      <c r="GP189" s="313"/>
      <c r="GQ189" s="313"/>
      <c r="GR189" s="313"/>
      <c r="GS189" s="313"/>
      <c r="GT189" s="313"/>
      <c r="GU189" s="313"/>
      <c r="GV189" s="313"/>
      <c r="GW189" s="313"/>
      <c r="GX189" s="313"/>
      <c r="GY189" s="313"/>
      <c r="GZ189" s="313"/>
      <c r="HA189" s="313"/>
      <c r="HB189" s="313"/>
      <c r="HC189" s="313"/>
      <c r="HD189" s="313"/>
      <c r="HE189" s="313"/>
      <c r="HF189" s="313"/>
      <c r="HG189" s="313"/>
      <c r="HH189" s="313"/>
      <c r="HI189" s="313"/>
      <c r="HJ189" s="313"/>
      <c r="HK189" s="313"/>
      <c r="HL189" s="313"/>
      <c r="HM189" s="313"/>
      <c r="HN189" s="313"/>
      <c r="HO189" s="313"/>
      <c r="HP189" s="313"/>
      <c r="HQ189" s="313"/>
      <c r="HR189" s="313"/>
      <c r="HS189" s="313"/>
      <c r="HT189" s="313"/>
      <c r="HU189" s="313"/>
      <c r="HV189" s="313"/>
      <c r="HW189" s="313"/>
      <c r="HX189" s="313"/>
      <c r="HY189" s="313"/>
      <c r="HZ189" s="313"/>
      <c r="IA189" s="313"/>
    </row>
    <row r="190" s="22" customFormat="1" ht="40.5" spans="1:24">
      <c r="A190" s="156">
        <v>24</v>
      </c>
      <c r="B190" s="157" t="s">
        <v>231</v>
      </c>
      <c r="C190" s="158" t="s">
        <v>232</v>
      </c>
      <c r="D190" s="157" t="s">
        <v>233</v>
      </c>
      <c r="E190" s="145">
        <v>371000</v>
      </c>
      <c r="F190" s="145"/>
      <c r="G190" s="72" t="s">
        <v>234</v>
      </c>
      <c r="H190" s="66" t="s">
        <v>235</v>
      </c>
      <c r="I190" s="94">
        <f>K190-J190</f>
        <v>349999.99</v>
      </c>
      <c r="J190" s="94">
        <v>21000.01</v>
      </c>
      <c r="K190" s="94">
        <v>371000</v>
      </c>
      <c r="L190" s="94">
        <v>0</v>
      </c>
      <c r="M190" s="94">
        <v>0</v>
      </c>
      <c r="N190" s="94">
        <v>0</v>
      </c>
      <c r="O190" s="94">
        <v>0</v>
      </c>
      <c r="P190" s="94"/>
      <c r="Q190" s="94"/>
      <c r="R190" s="94">
        <v>0</v>
      </c>
      <c r="S190" s="94">
        <f t="shared" si="68"/>
        <v>371000</v>
      </c>
      <c r="T190" s="108">
        <v>0</v>
      </c>
      <c r="U190" s="94">
        <v>371000</v>
      </c>
      <c r="V190" s="94"/>
      <c r="W190" s="94">
        <f t="shared" si="65"/>
        <v>0</v>
      </c>
      <c r="X190" s="145"/>
    </row>
    <row r="191" s="22" customFormat="1" ht="61" customHeight="1" spans="1:24">
      <c r="A191" s="156">
        <v>25</v>
      </c>
      <c r="B191" s="157" t="s">
        <v>236</v>
      </c>
      <c r="C191" s="158" t="s">
        <v>237</v>
      </c>
      <c r="D191" s="165" t="s">
        <v>154</v>
      </c>
      <c r="E191" s="145">
        <v>98000</v>
      </c>
      <c r="F191" s="145"/>
      <c r="G191" s="72" t="s">
        <v>238</v>
      </c>
      <c r="H191" s="66" t="s">
        <v>239</v>
      </c>
      <c r="I191" s="94">
        <f>98000-J191</f>
        <v>92452.83</v>
      </c>
      <c r="J191" s="94">
        <v>5547.17</v>
      </c>
      <c r="K191" s="94">
        <f t="shared" si="67"/>
        <v>98000</v>
      </c>
      <c r="L191" s="94"/>
      <c r="M191" s="94"/>
      <c r="N191" s="94"/>
      <c r="O191" s="94"/>
      <c r="P191" s="94"/>
      <c r="Q191" s="94"/>
      <c r="R191" s="94"/>
      <c r="S191" s="94">
        <f t="shared" si="68"/>
        <v>98000</v>
      </c>
      <c r="T191" s="108">
        <v>0</v>
      </c>
      <c r="U191" s="94">
        <f>K191+R191</f>
        <v>98000</v>
      </c>
      <c r="V191" s="94"/>
      <c r="W191" s="94">
        <f t="shared" si="65"/>
        <v>0</v>
      </c>
      <c r="X191" s="145"/>
    </row>
    <row r="192" s="23" customFormat="1" ht="45" customHeight="1" spans="1:24">
      <c r="A192" s="156">
        <v>26</v>
      </c>
      <c r="B192" s="157" t="s">
        <v>166</v>
      </c>
      <c r="C192" s="257" t="s">
        <v>240</v>
      </c>
      <c r="D192" s="157" t="s">
        <v>168</v>
      </c>
      <c r="E192" s="258">
        <v>9654.85</v>
      </c>
      <c r="F192" s="258"/>
      <c r="G192" s="50" t="s">
        <v>241</v>
      </c>
      <c r="H192" s="50" t="s">
        <v>242</v>
      </c>
      <c r="I192" s="108">
        <v>9108.34905660377</v>
      </c>
      <c r="J192" s="108">
        <v>546.5</v>
      </c>
      <c r="K192" s="94">
        <f t="shared" si="67"/>
        <v>9654.84905660377</v>
      </c>
      <c r="L192" s="94">
        <v>0</v>
      </c>
      <c r="M192" s="94">
        <v>0</v>
      </c>
      <c r="N192" s="94">
        <v>0</v>
      </c>
      <c r="O192" s="94">
        <v>0</v>
      </c>
      <c r="P192" s="94"/>
      <c r="Q192" s="94"/>
      <c r="R192" s="94">
        <v>0</v>
      </c>
      <c r="S192" s="94">
        <f t="shared" si="68"/>
        <v>9654.84905660377</v>
      </c>
      <c r="T192" s="108">
        <v>0</v>
      </c>
      <c r="U192" s="108">
        <v>9654.85</v>
      </c>
      <c r="V192" s="108"/>
      <c r="W192" s="94">
        <f t="shared" si="65"/>
        <v>-0.000943396225920878</v>
      </c>
      <c r="X192" s="145"/>
    </row>
    <row r="193" s="23" customFormat="1" ht="45" customHeight="1" spans="1:24">
      <c r="A193" s="43">
        <v>27</v>
      </c>
      <c r="B193" s="259" t="s">
        <v>318</v>
      </c>
      <c r="C193" s="259"/>
      <c r="D193" s="259" t="s">
        <v>244</v>
      </c>
      <c r="E193" s="69">
        <v>722880</v>
      </c>
      <c r="F193" s="69"/>
      <c r="G193" s="74" t="s">
        <v>245</v>
      </c>
      <c r="H193" s="74" t="s">
        <v>246</v>
      </c>
      <c r="I193" s="94">
        <v>575745.13</v>
      </c>
      <c r="J193" s="94">
        <f>K193-I193</f>
        <v>74846.87</v>
      </c>
      <c r="K193" s="94">
        <v>650592</v>
      </c>
      <c r="L193" s="94">
        <v>0</v>
      </c>
      <c r="M193" s="94">
        <v>0</v>
      </c>
      <c r="N193" s="94">
        <v>0</v>
      </c>
      <c r="O193" s="94">
        <v>72288</v>
      </c>
      <c r="P193" s="94"/>
      <c r="Q193" s="94"/>
      <c r="R193" s="108">
        <v>0</v>
      </c>
      <c r="S193" s="94">
        <f t="shared" si="68"/>
        <v>578304</v>
      </c>
      <c r="T193" s="108">
        <v>0</v>
      </c>
      <c r="U193" s="108">
        <v>379417.19</v>
      </c>
      <c r="V193" s="108"/>
      <c r="W193" s="94">
        <f t="shared" si="65"/>
        <v>198886.81</v>
      </c>
      <c r="X193" s="145"/>
    </row>
    <row r="194" s="23" customFormat="1" ht="45" customHeight="1" spans="1:24">
      <c r="A194" s="153"/>
      <c r="B194" s="260"/>
      <c r="C194" s="261"/>
      <c r="D194" s="261"/>
      <c r="E194" s="71"/>
      <c r="F194" s="71"/>
      <c r="G194" s="76" t="s">
        <v>387</v>
      </c>
      <c r="H194" s="76" t="s">
        <v>388</v>
      </c>
      <c r="I194" s="101">
        <v>63971.68</v>
      </c>
      <c r="J194" s="101"/>
      <c r="K194" s="101">
        <f>I194</f>
        <v>63971.68</v>
      </c>
      <c r="L194" s="101"/>
      <c r="M194" s="101"/>
      <c r="N194" s="101"/>
      <c r="O194" s="101"/>
      <c r="P194" s="101"/>
      <c r="Q194" s="94"/>
      <c r="R194" s="108"/>
      <c r="S194" s="101">
        <v>63971.68</v>
      </c>
      <c r="T194" s="108"/>
      <c r="U194" s="108"/>
      <c r="V194" s="108"/>
      <c r="W194" s="309">
        <f t="shared" ref="W194:W196" si="69">S194</f>
        <v>63971.68</v>
      </c>
      <c r="X194" s="145"/>
    </row>
    <row r="195" s="23" customFormat="1" ht="45" customHeight="1" spans="1:24">
      <c r="A195" s="156"/>
      <c r="B195" s="262" t="s">
        <v>389</v>
      </c>
      <c r="C195" s="166"/>
      <c r="D195" s="166" t="s">
        <v>49</v>
      </c>
      <c r="E195" s="47"/>
      <c r="F195" s="47"/>
      <c r="G195" s="76" t="s">
        <v>385</v>
      </c>
      <c r="H195" s="76" t="s">
        <v>390</v>
      </c>
      <c r="I195" s="101">
        <v>225148.11</v>
      </c>
      <c r="J195" s="101"/>
      <c r="K195" s="101">
        <f>I195</f>
        <v>225148.11</v>
      </c>
      <c r="L195" s="101"/>
      <c r="M195" s="101"/>
      <c r="N195" s="101"/>
      <c r="O195" s="101"/>
      <c r="P195" s="101"/>
      <c r="Q195" s="94"/>
      <c r="R195" s="108"/>
      <c r="S195" s="101">
        <f>K195</f>
        <v>225148.11</v>
      </c>
      <c r="T195" s="108"/>
      <c r="U195" s="108"/>
      <c r="V195" s="108"/>
      <c r="W195" s="309">
        <f t="shared" si="69"/>
        <v>225148.11</v>
      </c>
      <c r="X195" s="145"/>
    </row>
    <row r="196" s="23" customFormat="1" ht="45" customHeight="1" spans="1:24">
      <c r="A196" s="156"/>
      <c r="B196" s="262" t="s">
        <v>391</v>
      </c>
      <c r="C196" s="166"/>
      <c r="D196" s="166" t="s">
        <v>103</v>
      </c>
      <c r="E196" s="47"/>
      <c r="F196" s="47"/>
      <c r="G196" s="76" t="s">
        <v>392</v>
      </c>
      <c r="H196" s="76" t="s">
        <v>393</v>
      </c>
      <c r="I196" s="101">
        <v>61320.75</v>
      </c>
      <c r="J196" s="101"/>
      <c r="K196" s="101">
        <f t="shared" ref="K196:K214" si="70">I196+J196</f>
        <v>61320.75</v>
      </c>
      <c r="L196" s="101"/>
      <c r="M196" s="101"/>
      <c r="N196" s="101"/>
      <c r="O196" s="101"/>
      <c r="P196" s="101"/>
      <c r="Q196" s="94"/>
      <c r="R196" s="108"/>
      <c r="S196" s="101">
        <f>K196</f>
        <v>61320.75</v>
      </c>
      <c r="T196" s="108"/>
      <c r="U196" s="108"/>
      <c r="V196" s="108"/>
      <c r="W196" s="309">
        <f t="shared" si="69"/>
        <v>61320.75</v>
      </c>
      <c r="X196" s="145"/>
    </row>
    <row r="197" s="23" customFormat="1" ht="45" customHeight="1" spans="1:24">
      <c r="A197" s="156">
        <v>28</v>
      </c>
      <c r="B197" s="216" t="s">
        <v>196</v>
      </c>
      <c r="C197" s="217"/>
      <c r="D197" s="218"/>
      <c r="E197" s="258">
        <v>10000</v>
      </c>
      <c r="F197" s="258"/>
      <c r="G197" s="50" t="s">
        <v>197</v>
      </c>
      <c r="H197" s="51" t="s">
        <v>198</v>
      </c>
      <c r="I197" s="108">
        <v>3952.44</v>
      </c>
      <c r="J197" s="108"/>
      <c r="K197" s="94">
        <f t="shared" si="70"/>
        <v>3952.44</v>
      </c>
      <c r="L197" s="94">
        <v>0</v>
      </c>
      <c r="M197" s="94">
        <v>0</v>
      </c>
      <c r="N197" s="94">
        <v>0</v>
      </c>
      <c r="O197" s="94">
        <v>0</v>
      </c>
      <c r="P197" s="94"/>
      <c r="Q197" s="94"/>
      <c r="R197" s="94">
        <v>0</v>
      </c>
      <c r="S197" s="94">
        <f t="shared" ref="S197:S200" si="71">K197-L197-M197-N197-O197+R197</f>
        <v>3952.44</v>
      </c>
      <c r="T197" s="108">
        <v>0</v>
      </c>
      <c r="U197" s="108">
        <v>3952.44</v>
      </c>
      <c r="V197" s="108"/>
      <c r="W197" s="94">
        <f t="shared" ref="W197:W214" si="72">S197+T197-U197-V197</f>
        <v>0</v>
      </c>
      <c r="X197" s="145"/>
    </row>
    <row r="198" s="23" customFormat="1" ht="45" customHeight="1" spans="1:24">
      <c r="A198" s="156"/>
      <c r="B198" s="216"/>
      <c r="C198" s="217"/>
      <c r="D198" s="218"/>
      <c r="E198" s="258"/>
      <c r="F198" s="258"/>
      <c r="G198" s="212" t="s">
        <v>458</v>
      </c>
      <c r="H198" s="200" t="s">
        <v>200</v>
      </c>
      <c r="I198" s="109">
        <v>23246.84</v>
      </c>
      <c r="J198" s="109"/>
      <c r="K198" s="101">
        <f t="shared" si="70"/>
        <v>23246.84</v>
      </c>
      <c r="L198" s="94"/>
      <c r="M198" s="94"/>
      <c r="N198" s="94"/>
      <c r="O198" s="94"/>
      <c r="P198" s="94"/>
      <c r="Q198" s="94"/>
      <c r="R198" s="94"/>
      <c r="S198" s="94"/>
      <c r="T198" s="108"/>
      <c r="U198" s="108"/>
      <c r="V198" s="108"/>
      <c r="W198" s="94"/>
      <c r="X198" s="145"/>
    </row>
    <row r="199" s="23" customFormat="1" ht="45" customHeight="1" spans="1:24">
      <c r="A199" s="156">
        <v>29</v>
      </c>
      <c r="B199" s="216" t="s">
        <v>312</v>
      </c>
      <c r="C199" s="217"/>
      <c r="D199" s="218"/>
      <c r="E199" s="258"/>
      <c r="F199" s="258"/>
      <c r="G199" s="188" t="s">
        <v>248</v>
      </c>
      <c r="H199" s="258"/>
      <c r="I199" s="108">
        <f>SUM(I200:I214)</f>
        <v>60083.7</v>
      </c>
      <c r="J199" s="108">
        <f>J200+J207+J208</f>
        <v>0</v>
      </c>
      <c r="K199" s="108">
        <f t="shared" si="70"/>
        <v>60083.7</v>
      </c>
      <c r="L199" s="94"/>
      <c r="M199" s="94"/>
      <c r="N199" s="94"/>
      <c r="O199" s="94"/>
      <c r="P199" s="94"/>
      <c r="Q199" s="94"/>
      <c r="R199" s="108"/>
      <c r="S199" s="108">
        <f t="shared" si="71"/>
        <v>60083.7</v>
      </c>
      <c r="T199" s="108">
        <v>0</v>
      </c>
      <c r="U199" s="108">
        <f>K199+R199</f>
        <v>60083.7</v>
      </c>
      <c r="V199" s="94"/>
      <c r="W199" s="94">
        <f t="shared" si="72"/>
        <v>0</v>
      </c>
      <c r="X199" s="145"/>
    </row>
    <row r="200" s="23" customFormat="1" ht="45" customHeight="1" spans="1:24">
      <c r="A200" s="175"/>
      <c r="B200" s="263" t="s">
        <v>249</v>
      </c>
      <c r="C200" s="264"/>
      <c r="D200" s="265"/>
      <c r="E200" s="192"/>
      <c r="F200" s="192">
        <v>2023</v>
      </c>
      <c r="G200" s="188" t="s">
        <v>250</v>
      </c>
      <c r="H200" s="258"/>
      <c r="I200" s="108">
        <v>3770</v>
      </c>
      <c r="J200" s="108"/>
      <c r="K200" s="94">
        <f t="shared" si="70"/>
        <v>3770</v>
      </c>
      <c r="L200" s="94"/>
      <c r="M200" s="94"/>
      <c r="N200" s="94"/>
      <c r="O200" s="94"/>
      <c r="P200" s="94"/>
      <c r="Q200" s="94"/>
      <c r="R200" s="108"/>
      <c r="S200" s="94">
        <f t="shared" si="71"/>
        <v>3770</v>
      </c>
      <c r="T200" s="108">
        <v>0</v>
      </c>
      <c r="U200" s="94">
        <f>K200+R200</f>
        <v>3770</v>
      </c>
      <c r="V200" s="94"/>
      <c r="W200" s="94">
        <f t="shared" si="72"/>
        <v>0</v>
      </c>
      <c r="X200" s="145"/>
    </row>
    <row r="201" s="23" customFormat="1" ht="45" customHeight="1" spans="1:24">
      <c r="A201" s="175"/>
      <c r="B201" s="266"/>
      <c r="C201" s="267"/>
      <c r="D201" s="268"/>
      <c r="E201" s="198"/>
      <c r="F201" s="198"/>
      <c r="G201" s="188" t="s">
        <v>251</v>
      </c>
      <c r="H201" s="258"/>
      <c r="I201" s="108">
        <v>8043</v>
      </c>
      <c r="J201" s="108"/>
      <c r="K201" s="94">
        <f t="shared" si="70"/>
        <v>8043</v>
      </c>
      <c r="L201" s="94"/>
      <c r="M201" s="94"/>
      <c r="N201" s="94"/>
      <c r="O201" s="94"/>
      <c r="P201" s="94"/>
      <c r="Q201" s="94"/>
      <c r="R201" s="108"/>
      <c r="S201" s="94">
        <v>8043</v>
      </c>
      <c r="T201" s="108"/>
      <c r="U201" s="94">
        <v>8043</v>
      </c>
      <c r="V201" s="94"/>
      <c r="W201" s="94">
        <f t="shared" si="72"/>
        <v>0</v>
      </c>
      <c r="X201" s="145"/>
    </row>
    <row r="202" s="23" customFormat="1" ht="45" customHeight="1" spans="1:24">
      <c r="A202" s="175"/>
      <c r="B202" s="266"/>
      <c r="C202" s="267"/>
      <c r="D202" s="268"/>
      <c r="E202" s="198"/>
      <c r="F202" s="198">
        <v>2024</v>
      </c>
      <c r="G202" s="188" t="s">
        <v>320</v>
      </c>
      <c r="H202" s="258"/>
      <c r="I202" s="108">
        <v>9579</v>
      </c>
      <c r="J202" s="108">
        <v>0</v>
      </c>
      <c r="K202" s="94">
        <f t="shared" si="70"/>
        <v>9579</v>
      </c>
      <c r="L202" s="94"/>
      <c r="M202" s="94"/>
      <c r="N202" s="94"/>
      <c r="O202" s="94"/>
      <c r="P202" s="94"/>
      <c r="Q202" s="94"/>
      <c r="R202" s="108"/>
      <c r="S202" s="94">
        <f t="shared" ref="S202:S204" si="73">K202</f>
        <v>9579</v>
      </c>
      <c r="T202" s="108"/>
      <c r="U202" s="94">
        <f t="shared" ref="U202:U207" si="74">S202</f>
        <v>9579</v>
      </c>
      <c r="V202" s="94"/>
      <c r="W202" s="94">
        <f t="shared" si="72"/>
        <v>0</v>
      </c>
      <c r="X202" s="145"/>
    </row>
    <row r="203" s="23" customFormat="1" ht="45" customHeight="1" spans="1:24">
      <c r="A203" s="175"/>
      <c r="B203" s="266"/>
      <c r="C203" s="267"/>
      <c r="D203" s="268"/>
      <c r="E203" s="198"/>
      <c r="F203" s="198"/>
      <c r="G203" s="188" t="s">
        <v>341</v>
      </c>
      <c r="H203" s="258"/>
      <c r="I203" s="108">
        <v>7041</v>
      </c>
      <c r="J203" s="108"/>
      <c r="K203" s="94">
        <f t="shared" si="70"/>
        <v>7041</v>
      </c>
      <c r="L203" s="94"/>
      <c r="M203" s="94"/>
      <c r="N203" s="94"/>
      <c r="O203" s="94"/>
      <c r="P203" s="94"/>
      <c r="Q203" s="94"/>
      <c r="R203" s="108"/>
      <c r="S203" s="94">
        <f t="shared" si="73"/>
        <v>7041</v>
      </c>
      <c r="T203" s="108"/>
      <c r="U203" s="94">
        <f t="shared" si="74"/>
        <v>7041</v>
      </c>
      <c r="V203" s="94"/>
      <c r="W203" s="94">
        <f t="shared" si="72"/>
        <v>0</v>
      </c>
      <c r="X203" s="145"/>
    </row>
    <row r="204" s="23" customFormat="1" ht="45" customHeight="1" spans="1:24">
      <c r="A204" s="175"/>
      <c r="B204" s="266"/>
      <c r="C204" s="267"/>
      <c r="D204" s="268"/>
      <c r="E204" s="198"/>
      <c r="F204" s="198"/>
      <c r="G204" s="269" t="s">
        <v>342</v>
      </c>
      <c r="H204" s="270"/>
      <c r="I204" s="109">
        <v>8282</v>
      </c>
      <c r="J204" s="109"/>
      <c r="K204" s="101">
        <f t="shared" si="70"/>
        <v>8282</v>
      </c>
      <c r="L204" s="101"/>
      <c r="M204" s="101"/>
      <c r="N204" s="101"/>
      <c r="O204" s="101"/>
      <c r="P204" s="101"/>
      <c r="Q204" s="101"/>
      <c r="R204" s="109"/>
      <c r="S204" s="94">
        <f t="shared" si="73"/>
        <v>8282</v>
      </c>
      <c r="T204" s="108"/>
      <c r="U204" s="94">
        <f t="shared" si="74"/>
        <v>8282</v>
      </c>
      <c r="V204" s="94"/>
      <c r="W204" s="94">
        <f t="shared" si="72"/>
        <v>0</v>
      </c>
      <c r="X204" s="145"/>
    </row>
    <row r="205" s="23" customFormat="1" ht="45" customHeight="1" spans="1:24">
      <c r="A205" s="175"/>
      <c r="B205" s="266"/>
      <c r="C205" s="267"/>
      <c r="D205" s="268"/>
      <c r="E205" s="198"/>
      <c r="F205" s="198"/>
      <c r="G205" s="269" t="s">
        <v>343</v>
      </c>
      <c r="H205" s="270"/>
      <c r="I205" s="109">
        <v>1800</v>
      </c>
      <c r="J205" s="109"/>
      <c r="K205" s="101">
        <f t="shared" si="70"/>
        <v>1800</v>
      </c>
      <c r="L205" s="101"/>
      <c r="M205" s="101"/>
      <c r="N205" s="101"/>
      <c r="O205" s="101"/>
      <c r="P205" s="101"/>
      <c r="Q205" s="101"/>
      <c r="R205" s="109"/>
      <c r="S205" s="94">
        <v>1800</v>
      </c>
      <c r="T205" s="108"/>
      <c r="U205" s="94">
        <f t="shared" si="74"/>
        <v>1800</v>
      </c>
      <c r="V205" s="94"/>
      <c r="W205" s="94">
        <f t="shared" si="72"/>
        <v>0</v>
      </c>
      <c r="X205" s="145"/>
    </row>
    <row r="206" s="23" customFormat="1" ht="45" customHeight="1" spans="1:24">
      <c r="A206" s="175"/>
      <c r="B206" s="271"/>
      <c r="C206" s="272"/>
      <c r="D206" s="273"/>
      <c r="E206" s="199"/>
      <c r="F206" s="199"/>
      <c r="G206" s="188" t="s">
        <v>344</v>
      </c>
      <c r="H206" s="258"/>
      <c r="I206" s="108"/>
      <c r="J206" s="108"/>
      <c r="K206" s="94">
        <f t="shared" si="70"/>
        <v>0</v>
      </c>
      <c r="L206" s="94"/>
      <c r="M206" s="94"/>
      <c r="N206" s="94"/>
      <c r="O206" s="94"/>
      <c r="P206" s="94"/>
      <c r="Q206" s="94"/>
      <c r="R206" s="108"/>
      <c r="S206" s="94"/>
      <c r="T206" s="108"/>
      <c r="U206" s="94">
        <f t="shared" si="74"/>
        <v>0</v>
      </c>
      <c r="V206" s="94"/>
      <c r="W206" s="94">
        <f t="shared" si="72"/>
        <v>0</v>
      </c>
      <c r="X206" s="145"/>
    </row>
    <row r="207" s="23" customFormat="1" ht="45" customHeight="1" spans="1:24">
      <c r="A207" s="175"/>
      <c r="B207" s="274" t="s">
        <v>252</v>
      </c>
      <c r="C207" s="275"/>
      <c r="D207" s="276"/>
      <c r="E207" s="258"/>
      <c r="F207" s="258"/>
      <c r="G207" s="188" t="s">
        <v>250</v>
      </c>
      <c r="H207" s="258"/>
      <c r="I207" s="108"/>
      <c r="J207" s="108"/>
      <c r="K207" s="94">
        <f t="shared" si="70"/>
        <v>0</v>
      </c>
      <c r="L207" s="94"/>
      <c r="M207" s="94"/>
      <c r="N207" s="94"/>
      <c r="O207" s="94"/>
      <c r="P207" s="94"/>
      <c r="Q207" s="94"/>
      <c r="R207" s="108"/>
      <c r="S207" s="94">
        <f t="shared" ref="S207:S211" si="75">K207</f>
        <v>0</v>
      </c>
      <c r="T207" s="94"/>
      <c r="U207" s="94">
        <f t="shared" si="74"/>
        <v>0</v>
      </c>
      <c r="V207" s="94"/>
      <c r="W207" s="94">
        <f t="shared" si="72"/>
        <v>0</v>
      </c>
      <c r="X207" s="145"/>
    </row>
    <row r="208" s="23" customFormat="1" ht="45" customHeight="1" spans="1:24">
      <c r="A208" s="175"/>
      <c r="B208" s="263" t="s">
        <v>253</v>
      </c>
      <c r="C208" s="264"/>
      <c r="D208" s="265"/>
      <c r="E208" s="192"/>
      <c r="F208" s="192"/>
      <c r="G208" s="188" t="s">
        <v>251</v>
      </c>
      <c r="H208" s="258"/>
      <c r="I208" s="108">
        <v>200</v>
      </c>
      <c r="J208" s="108">
        <v>0</v>
      </c>
      <c r="K208" s="94">
        <f t="shared" si="70"/>
        <v>200</v>
      </c>
      <c r="L208" s="94"/>
      <c r="M208" s="94"/>
      <c r="N208" s="94"/>
      <c r="O208" s="94"/>
      <c r="P208" s="94"/>
      <c r="Q208" s="94"/>
      <c r="R208" s="108"/>
      <c r="S208" s="94">
        <f t="shared" si="75"/>
        <v>200</v>
      </c>
      <c r="T208" s="94"/>
      <c r="U208" s="94">
        <f>K208+R208</f>
        <v>200</v>
      </c>
      <c r="V208" s="94"/>
      <c r="W208" s="94">
        <f t="shared" si="72"/>
        <v>0</v>
      </c>
      <c r="X208" s="145"/>
    </row>
    <row r="209" s="23" customFormat="1" ht="45" customHeight="1" spans="1:24">
      <c r="A209" s="175"/>
      <c r="B209" s="266"/>
      <c r="C209" s="267"/>
      <c r="D209" s="268"/>
      <c r="E209" s="198"/>
      <c r="F209" s="198"/>
      <c r="G209" s="188" t="s">
        <v>320</v>
      </c>
      <c r="H209" s="258"/>
      <c r="I209" s="108">
        <v>800</v>
      </c>
      <c r="J209" s="108">
        <v>0</v>
      </c>
      <c r="K209" s="94">
        <f t="shared" si="70"/>
        <v>800</v>
      </c>
      <c r="L209" s="94"/>
      <c r="M209" s="94"/>
      <c r="N209" s="94"/>
      <c r="O209" s="94"/>
      <c r="P209" s="94"/>
      <c r="Q209" s="94"/>
      <c r="R209" s="108"/>
      <c r="S209" s="94">
        <f t="shared" si="75"/>
        <v>800</v>
      </c>
      <c r="T209" s="94"/>
      <c r="U209" s="94">
        <f t="shared" ref="U209:U211" si="76">S209</f>
        <v>800</v>
      </c>
      <c r="V209" s="94"/>
      <c r="W209" s="94">
        <f t="shared" si="72"/>
        <v>0</v>
      </c>
      <c r="X209" s="145"/>
    </row>
    <row r="210" s="23" customFormat="1" ht="45" customHeight="1" spans="1:24">
      <c r="A210" s="175"/>
      <c r="B210" s="266"/>
      <c r="C210" s="267"/>
      <c r="D210" s="268"/>
      <c r="E210" s="198"/>
      <c r="F210" s="198"/>
      <c r="G210" s="188" t="s">
        <v>341</v>
      </c>
      <c r="H210" s="258"/>
      <c r="I210" s="108">
        <v>8961.68</v>
      </c>
      <c r="J210" s="108">
        <f>3.66+17.77+5.45+3126-2948.99+4653-4369.57</f>
        <v>487.320000000001</v>
      </c>
      <c r="K210" s="94">
        <f t="shared" si="70"/>
        <v>9449</v>
      </c>
      <c r="L210" s="94"/>
      <c r="M210" s="94"/>
      <c r="N210" s="94"/>
      <c r="O210" s="94"/>
      <c r="P210" s="94"/>
      <c r="Q210" s="94"/>
      <c r="R210" s="108"/>
      <c r="S210" s="94">
        <f t="shared" si="75"/>
        <v>9449</v>
      </c>
      <c r="T210" s="94"/>
      <c r="U210" s="94">
        <f t="shared" si="76"/>
        <v>9449</v>
      </c>
      <c r="V210" s="94"/>
      <c r="W210" s="94">
        <f t="shared" si="72"/>
        <v>0</v>
      </c>
      <c r="X210" s="145"/>
    </row>
    <row r="211" s="23" customFormat="1" ht="45" customHeight="1" spans="1:24">
      <c r="A211" s="175"/>
      <c r="B211" s="266"/>
      <c r="C211" s="267"/>
      <c r="D211" s="268"/>
      <c r="E211" s="198"/>
      <c r="F211" s="198"/>
      <c r="G211" s="269" t="s">
        <v>362</v>
      </c>
      <c r="H211" s="270"/>
      <c r="I211" s="109">
        <v>11607.02</v>
      </c>
      <c r="J211" s="109">
        <f>9.17+9.17+20.83+1609.02-1537.11+803.76-768.46+3.81+3.64+3.81+3.64+43.7+3570.6-3331.23</f>
        <v>444.35</v>
      </c>
      <c r="K211" s="101">
        <f t="shared" si="70"/>
        <v>12051.37</v>
      </c>
      <c r="L211" s="101"/>
      <c r="M211" s="101"/>
      <c r="N211" s="101"/>
      <c r="O211" s="101"/>
      <c r="P211" s="101"/>
      <c r="Q211" s="101"/>
      <c r="R211" s="109"/>
      <c r="S211" s="94">
        <f t="shared" si="75"/>
        <v>12051.37</v>
      </c>
      <c r="T211" s="94"/>
      <c r="U211" s="94">
        <f t="shared" si="76"/>
        <v>12051.37</v>
      </c>
      <c r="V211" s="94"/>
      <c r="W211" s="94">
        <f t="shared" si="72"/>
        <v>0</v>
      </c>
      <c r="X211" s="145"/>
    </row>
    <row r="212" s="23" customFormat="1" ht="45" customHeight="1" spans="1:24">
      <c r="A212" s="175"/>
      <c r="B212" s="266"/>
      <c r="C212" s="267"/>
      <c r="D212" s="268"/>
      <c r="E212" s="198"/>
      <c r="F212" s="198"/>
      <c r="G212" s="188"/>
      <c r="H212" s="258"/>
      <c r="I212" s="108"/>
      <c r="J212" s="108"/>
      <c r="K212" s="94">
        <f t="shared" si="70"/>
        <v>0</v>
      </c>
      <c r="L212" s="94"/>
      <c r="M212" s="94"/>
      <c r="N212" s="94"/>
      <c r="O212" s="94"/>
      <c r="P212" s="94"/>
      <c r="Q212" s="94"/>
      <c r="R212" s="108"/>
      <c r="S212" s="94"/>
      <c r="T212" s="94"/>
      <c r="U212" s="94"/>
      <c r="V212" s="94"/>
      <c r="W212" s="94">
        <f t="shared" si="72"/>
        <v>0</v>
      </c>
      <c r="X212" s="145"/>
    </row>
    <row r="213" s="23" customFormat="1" ht="45" customHeight="1" spans="1:24">
      <c r="A213" s="175"/>
      <c r="B213" s="271"/>
      <c r="C213" s="272"/>
      <c r="D213" s="273"/>
      <c r="E213" s="199"/>
      <c r="F213" s="199"/>
      <c r="G213" s="188"/>
      <c r="H213" s="258"/>
      <c r="I213" s="108"/>
      <c r="J213" s="108"/>
      <c r="K213" s="94">
        <f t="shared" si="70"/>
        <v>0</v>
      </c>
      <c r="L213" s="94"/>
      <c r="M213" s="94"/>
      <c r="N213" s="94"/>
      <c r="O213" s="94"/>
      <c r="P213" s="94"/>
      <c r="Q213" s="94"/>
      <c r="R213" s="108"/>
      <c r="S213" s="94"/>
      <c r="T213" s="94"/>
      <c r="U213" s="94"/>
      <c r="V213" s="94"/>
      <c r="W213" s="94">
        <f t="shared" si="72"/>
        <v>0</v>
      </c>
      <c r="X213" s="145"/>
    </row>
    <row r="214" s="23" customFormat="1" ht="45" customHeight="1" spans="1:24">
      <c r="A214" s="175"/>
      <c r="B214" s="274" t="s">
        <v>254</v>
      </c>
      <c r="C214" s="275"/>
      <c r="D214" s="276"/>
      <c r="E214" s="258"/>
      <c r="F214" s="258"/>
      <c r="G214" s="188" t="s">
        <v>250</v>
      </c>
      <c r="H214" s="258"/>
      <c r="I214" s="108"/>
      <c r="J214" s="108"/>
      <c r="K214" s="94">
        <f t="shared" si="70"/>
        <v>0</v>
      </c>
      <c r="L214" s="94"/>
      <c r="M214" s="94"/>
      <c r="N214" s="94"/>
      <c r="O214" s="94"/>
      <c r="P214" s="94"/>
      <c r="Q214" s="94"/>
      <c r="R214" s="108"/>
      <c r="S214" s="94">
        <f>K214</f>
        <v>0</v>
      </c>
      <c r="T214" s="94"/>
      <c r="U214" s="94">
        <f>S214</f>
        <v>0</v>
      </c>
      <c r="V214" s="94"/>
      <c r="W214" s="94">
        <f t="shared" si="72"/>
        <v>0</v>
      </c>
      <c r="X214" s="145"/>
    </row>
    <row r="215" s="20" customFormat="1" ht="36" customHeight="1" spans="1:24">
      <c r="A215" s="277" t="s">
        <v>255</v>
      </c>
      <c r="B215" s="277"/>
      <c r="C215" s="277"/>
      <c r="D215" s="277"/>
      <c r="E215" s="278"/>
      <c r="F215" s="278"/>
      <c r="G215" s="243"/>
      <c r="H215" s="243" t="s">
        <v>316</v>
      </c>
      <c r="I215" s="300">
        <f t="shared" ref="I215:K215" si="77">SUM(I182:I186,I188:I201,I207:I208,I214)-I199-I196-I195-I194</f>
        <v>15073116.7890566</v>
      </c>
      <c r="J215" s="300">
        <f t="shared" si="77"/>
        <v>1762917.27</v>
      </c>
      <c r="K215" s="300">
        <f t="shared" si="77"/>
        <v>16836034.0590566</v>
      </c>
      <c r="L215" s="300">
        <f t="shared" ref="L215:O215" si="78">SUM(L182:L186,L188:L201,L207:L208,L214)-L199</f>
        <v>0</v>
      </c>
      <c r="M215" s="300">
        <f t="shared" si="78"/>
        <v>379417.19</v>
      </c>
      <c r="N215" s="300">
        <f t="shared" si="78"/>
        <v>0</v>
      </c>
      <c r="O215" s="300">
        <f t="shared" si="78"/>
        <v>72288</v>
      </c>
      <c r="P215" s="300"/>
      <c r="Q215" s="300">
        <f t="shared" ref="Q215:V215" si="79">SUM(Q182:Q186,Q188:Q201,Q207:Q208,Q214)-Q199</f>
        <v>0</v>
      </c>
      <c r="R215" s="300">
        <f t="shared" si="79"/>
        <v>0</v>
      </c>
      <c r="S215" s="300">
        <f t="shared" si="79"/>
        <v>16711522.5690566</v>
      </c>
      <c r="T215" s="300">
        <f t="shared" si="79"/>
        <v>0</v>
      </c>
      <c r="U215" s="300">
        <f t="shared" si="79"/>
        <v>16162195.22</v>
      </c>
      <c r="V215" s="300">
        <f t="shared" si="79"/>
        <v>0</v>
      </c>
      <c r="W215" s="300">
        <f>SUM(W182:W186,W188:W201,W207:W208,W214)-W199-W196-W195-W194</f>
        <v>198886.809056604</v>
      </c>
      <c r="X215" s="307"/>
    </row>
    <row r="216" s="21" customFormat="1" ht="36" customHeight="1" spans="1:25">
      <c r="A216" s="277"/>
      <c r="B216" s="277"/>
      <c r="C216" s="277"/>
      <c r="D216" s="277"/>
      <c r="E216" s="278"/>
      <c r="F216" s="278"/>
      <c r="G216" s="212"/>
      <c r="H216" s="212" t="s">
        <v>317</v>
      </c>
      <c r="I216" s="301">
        <f t="shared" ref="I216:K216" si="80">I209+I202+I203+I210+I211+I204+I205+I196+I195+I194+I187</f>
        <v>2653613.11</v>
      </c>
      <c r="J216" s="301">
        <f t="shared" si="80"/>
        <v>931.670000000001</v>
      </c>
      <c r="K216" s="301">
        <f t="shared" si="80"/>
        <v>2654544.78</v>
      </c>
      <c r="L216" s="301">
        <f t="shared" ref="L216:V216" si="81">L209+L202+L203+L210+L211+L204</f>
        <v>0</v>
      </c>
      <c r="M216" s="301">
        <f t="shared" si="81"/>
        <v>0</v>
      </c>
      <c r="N216" s="301">
        <f t="shared" si="81"/>
        <v>0</v>
      </c>
      <c r="O216" s="301">
        <f t="shared" si="81"/>
        <v>0</v>
      </c>
      <c r="P216" s="301">
        <f t="shared" si="81"/>
        <v>0</v>
      </c>
      <c r="Q216" s="301">
        <f t="shared" si="81"/>
        <v>0</v>
      </c>
      <c r="R216" s="301">
        <f t="shared" si="81"/>
        <v>0</v>
      </c>
      <c r="S216" s="301">
        <f t="shared" si="81"/>
        <v>47202.37</v>
      </c>
      <c r="T216" s="301">
        <f t="shared" si="81"/>
        <v>0</v>
      </c>
      <c r="U216" s="301">
        <f t="shared" si="81"/>
        <v>47202.37</v>
      </c>
      <c r="V216" s="301">
        <f t="shared" si="81"/>
        <v>0</v>
      </c>
      <c r="W216" s="301">
        <f>W187+W194+W195+W196</f>
        <v>2605542.41</v>
      </c>
      <c r="X216" s="308"/>
      <c r="Y216" s="21">
        <f>W216+W215</f>
        <v>2804429.2190566</v>
      </c>
    </row>
    <row r="217" s="21" customFormat="1" ht="36" customHeight="1" spans="1:24">
      <c r="A217" s="277"/>
      <c r="B217" s="279"/>
      <c r="C217" s="280"/>
      <c r="D217" s="280"/>
      <c r="E217" s="281"/>
      <c r="F217" s="281"/>
      <c r="G217" s="248"/>
      <c r="H217" s="282"/>
      <c r="I217" s="301"/>
      <c r="J217" s="301"/>
      <c r="K217" s="301"/>
      <c r="L217" s="301">
        <f>SUM(L215:Q215)</f>
        <v>451705.19</v>
      </c>
      <c r="M217" s="301"/>
      <c r="N217" s="301"/>
      <c r="O217" s="301"/>
      <c r="P217" s="301"/>
      <c r="Q217" s="301"/>
      <c r="R217" s="301"/>
      <c r="S217" s="301"/>
      <c r="T217" s="301"/>
      <c r="U217" s="301"/>
      <c r="V217" s="301"/>
      <c r="W217" s="301"/>
      <c r="X217" s="308"/>
    </row>
    <row r="218" s="21" customFormat="1" ht="36" customHeight="1" spans="1:24">
      <c r="A218" s="277"/>
      <c r="B218" s="279"/>
      <c r="C218" s="280"/>
      <c r="D218" s="280"/>
      <c r="E218" s="281"/>
      <c r="F218" s="281"/>
      <c r="G218" s="248"/>
      <c r="H218" s="282"/>
      <c r="I218" s="301">
        <f t="shared" ref="I218:K218" si="82">I216+I215</f>
        <v>17726729.8990566</v>
      </c>
      <c r="J218" s="301">
        <f t="shared" si="82"/>
        <v>1763848.94</v>
      </c>
      <c r="K218" s="301">
        <f t="shared" si="82"/>
        <v>19490578.8390566</v>
      </c>
      <c r="L218" s="301"/>
      <c r="M218" s="301"/>
      <c r="N218" s="301"/>
      <c r="O218" s="301"/>
      <c r="P218" s="301"/>
      <c r="Q218" s="301"/>
      <c r="R218" s="301"/>
      <c r="S218" s="301">
        <f t="shared" ref="S218:W218" si="83">S216+S215</f>
        <v>16758724.9390566</v>
      </c>
      <c r="T218" s="301"/>
      <c r="U218" s="301">
        <f t="shared" si="83"/>
        <v>16209397.59</v>
      </c>
      <c r="V218" s="301">
        <f t="shared" si="83"/>
        <v>0</v>
      </c>
      <c r="W218" s="301">
        <f t="shared" si="83"/>
        <v>2804429.2190566</v>
      </c>
      <c r="X218" s="308"/>
    </row>
    <row r="219" s="1" customFormat="1" ht="36" customHeight="1" spans="1:24">
      <c r="A219" s="283"/>
      <c r="B219" s="216" t="s">
        <v>256</v>
      </c>
      <c r="C219" s="217"/>
      <c r="D219" s="217"/>
      <c r="E219" s="253"/>
      <c r="F219" s="253"/>
      <c r="G219" s="217"/>
      <c r="H219" s="218"/>
      <c r="I219" s="94"/>
      <c r="J219" s="94"/>
      <c r="K219" s="94"/>
      <c r="L219" s="94"/>
      <c r="M219" s="94"/>
      <c r="N219" s="94"/>
      <c r="O219" s="94"/>
      <c r="P219" s="94"/>
      <c r="Q219" s="94"/>
      <c r="R219" s="94"/>
      <c r="S219" s="94">
        <f t="shared" ref="S219:S225" si="84">K219-L219-M219-N219-O219+R219</f>
        <v>0</v>
      </c>
      <c r="T219" s="94"/>
      <c r="U219" s="94"/>
      <c r="V219" s="94"/>
      <c r="W219" s="94"/>
      <c r="X219" s="145"/>
    </row>
    <row r="220" s="22" customFormat="1" ht="42" customHeight="1" spans="1:235">
      <c r="A220" s="156">
        <v>29</v>
      </c>
      <c r="B220" s="157" t="s">
        <v>257</v>
      </c>
      <c r="C220" s="158"/>
      <c r="D220" s="157" t="s">
        <v>98</v>
      </c>
      <c r="E220" s="145">
        <v>58000</v>
      </c>
      <c r="F220" s="145"/>
      <c r="G220" s="157" t="s">
        <v>258</v>
      </c>
      <c r="H220" s="157" t="s">
        <v>259</v>
      </c>
      <c r="I220" s="94">
        <v>54716.98</v>
      </c>
      <c r="J220" s="94">
        <v>3283.02</v>
      </c>
      <c r="K220" s="94">
        <f t="shared" ref="K220:K223" si="85">J220+I220</f>
        <v>58000</v>
      </c>
      <c r="L220" s="237"/>
      <c r="M220" s="237"/>
      <c r="N220" s="237"/>
      <c r="O220" s="237"/>
      <c r="P220" s="237"/>
      <c r="Q220" s="237"/>
      <c r="R220" s="237"/>
      <c r="S220" s="94">
        <f t="shared" si="84"/>
        <v>58000</v>
      </c>
      <c r="T220" s="94"/>
      <c r="U220" s="237">
        <v>58000</v>
      </c>
      <c r="V220" s="237"/>
      <c r="W220" s="237">
        <f t="shared" ref="W220:W226" si="86">S220+T220-U220-V220</f>
        <v>0</v>
      </c>
      <c r="X220" s="158"/>
      <c r="Y220" s="311"/>
      <c r="Z220" s="311"/>
      <c r="AA220" s="311"/>
      <c r="AB220" s="311"/>
      <c r="AC220" s="311"/>
      <c r="AD220" s="311"/>
      <c r="AE220" s="311"/>
      <c r="AF220" s="311"/>
      <c r="AG220" s="311"/>
      <c r="AH220" s="311"/>
      <c r="AI220" s="311"/>
      <c r="AJ220" s="311"/>
      <c r="AK220" s="311"/>
      <c r="AL220" s="311"/>
      <c r="AM220" s="311"/>
      <c r="AN220" s="311"/>
      <c r="AO220" s="311"/>
      <c r="AP220" s="311"/>
      <c r="AQ220" s="311"/>
      <c r="AR220" s="311"/>
      <c r="AS220" s="311"/>
      <c r="AT220" s="311"/>
      <c r="AU220" s="311"/>
      <c r="AV220" s="311"/>
      <c r="AW220" s="311"/>
      <c r="AX220" s="311"/>
      <c r="AY220" s="311"/>
      <c r="AZ220" s="311"/>
      <c r="BA220" s="311"/>
      <c r="BB220" s="311"/>
      <c r="BC220" s="311"/>
      <c r="BD220" s="311"/>
      <c r="BE220" s="311"/>
      <c r="BF220" s="311"/>
      <c r="BG220" s="311"/>
      <c r="BH220" s="311"/>
      <c r="BI220" s="311"/>
      <c r="BJ220" s="311"/>
      <c r="BK220" s="311"/>
      <c r="BL220" s="311"/>
      <c r="BM220" s="311"/>
      <c r="BN220" s="311"/>
      <c r="BO220" s="311"/>
      <c r="BP220" s="311"/>
      <c r="BQ220" s="311"/>
      <c r="BR220" s="311"/>
      <c r="BS220" s="311"/>
      <c r="BT220" s="311"/>
      <c r="BU220" s="311"/>
      <c r="BV220" s="311"/>
      <c r="BW220" s="311"/>
      <c r="BX220" s="311"/>
      <c r="BY220" s="311"/>
      <c r="BZ220" s="311"/>
      <c r="CA220" s="311"/>
      <c r="CB220" s="311"/>
      <c r="CC220" s="311"/>
      <c r="CD220" s="311"/>
      <c r="CE220" s="311"/>
      <c r="CF220" s="311"/>
      <c r="CG220" s="311"/>
      <c r="CH220" s="311"/>
      <c r="CI220" s="311"/>
      <c r="CJ220" s="311"/>
      <c r="CK220" s="311"/>
      <c r="CL220" s="311"/>
      <c r="CM220" s="311"/>
      <c r="CN220" s="311"/>
      <c r="CO220" s="311"/>
      <c r="CP220" s="311"/>
      <c r="CQ220" s="311"/>
      <c r="CR220" s="311"/>
      <c r="CS220" s="311"/>
      <c r="CT220" s="311"/>
      <c r="CU220" s="311"/>
      <c r="CV220" s="311"/>
      <c r="CW220" s="311"/>
      <c r="CX220" s="311"/>
      <c r="CY220" s="311"/>
      <c r="CZ220" s="311"/>
      <c r="DA220" s="311"/>
      <c r="DB220" s="311"/>
      <c r="DC220" s="311"/>
      <c r="DD220" s="311"/>
      <c r="DE220" s="311"/>
      <c r="DF220" s="311"/>
      <c r="DG220" s="311"/>
      <c r="DH220" s="311"/>
      <c r="DI220" s="311"/>
      <c r="DJ220" s="311"/>
      <c r="DK220" s="311"/>
      <c r="DL220" s="311"/>
      <c r="DM220" s="311"/>
      <c r="DN220" s="311"/>
      <c r="DO220" s="311"/>
      <c r="DP220" s="311"/>
      <c r="DQ220" s="311"/>
      <c r="DR220" s="311"/>
      <c r="DS220" s="311"/>
      <c r="DT220" s="311"/>
      <c r="DU220" s="311"/>
      <c r="DV220" s="311"/>
      <c r="DW220" s="311"/>
      <c r="DX220" s="311"/>
      <c r="DY220" s="311"/>
      <c r="DZ220" s="311"/>
      <c r="EA220" s="311"/>
      <c r="EB220" s="311"/>
      <c r="EC220" s="311"/>
      <c r="ED220" s="311"/>
      <c r="EE220" s="311"/>
      <c r="EF220" s="311"/>
      <c r="EG220" s="311"/>
      <c r="EH220" s="311"/>
      <c r="EI220" s="311"/>
      <c r="EJ220" s="311"/>
      <c r="EK220" s="311"/>
      <c r="EL220" s="311"/>
      <c r="EM220" s="311"/>
      <c r="EN220" s="311"/>
      <c r="EO220" s="311"/>
      <c r="EP220" s="311"/>
      <c r="EQ220" s="311"/>
      <c r="ER220" s="311"/>
      <c r="ES220" s="311"/>
      <c r="ET220" s="311"/>
      <c r="EU220" s="311"/>
      <c r="EV220" s="311"/>
      <c r="EW220" s="311"/>
      <c r="EX220" s="311"/>
      <c r="EY220" s="311"/>
      <c r="EZ220" s="311"/>
      <c r="FA220" s="311"/>
      <c r="FB220" s="311"/>
      <c r="FC220" s="311"/>
      <c r="FD220" s="311"/>
      <c r="FE220" s="311"/>
      <c r="FF220" s="311"/>
      <c r="FG220" s="311"/>
      <c r="FH220" s="311"/>
      <c r="FI220" s="311"/>
      <c r="FJ220" s="311"/>
      <c r="FK220" s="311"/>
      <c r="FL220" s="311"/>
      <c r="FM220" s="311"/>
      <c r="FN220" s="311"/>
      <c r="FO220" s="311"/>
      <c r="FP220" s="311"/>
      <c r="FQ220" s="311"/>
      <c r="FR220" s="311"/>
      <c r="FS220" s="311"/>
      <c r="FT220" s="311"/>
      <c r="FU220" s="311"/>
      <c r="FV220" s="311"/>
      <c r="FW220" s="311"/>
      <c r="FX220" s="311"/>
      <c r="FY220" s="311"/>
      <c r="FZ220" s="311"/>
      <c r="GA220" s="311"/>
      <c r="GB220" s="311"/>
      <c r="GC220" s="311"/>
      <c r="GD220" s="311"/>
      <c r="GE220" s="311"/>
      <c r="GF220" s="311"/>
      <c r="GG220" s="311"/>
      <c r="GH220" s="311"/>
      <c r="GI220" s="311"/>
      <c r="GJ220" s="311"/>
      <c r="GK220" s="311"/>
      <c r="GL220" s="311"/>
      <c r="GM220" s="311"/>
      <c r="GN220" s="311"/>
      <c r="GO220" s="311"/>
      <c r="GP220" s="311"/>
      <c r="GQ220" s="311"/>
      <c r="GR220" s="311"/>
      <c r="GS220" s="311"/>
      <c r="GT220" s="311"/>
      <c r="GU220" s="311"/>
      <c r="GV220" s="311"/>
      <c r="GW220" s="311"/>
      <c r="GX220" s="311"/>
      <c r="GY220" s="311"/>
      <c r="GZ220" s="311"/>
      <c r="HA220" s="311"/>
      <c r="HB220" s="311"/>
      <c r="HC220" s="311"/>
      <c r="HD220" s="311"/>
      <c r="HE220" s="311"/>
      <c r="HF220" s="311"/>
      <c r="HG220" s="311"/>
      <c r="HH220" s="311"/>
      <c r="HI220" s="311"/>
      <c r="HJ220" s="311"/>
      <c r="HK220" s="311"/>
      <c r="HL220" s="311"/>
      <c r="HM220" s="311"/>
      <c r="HN220" s="311"/>
      <c r="HO220" s="311"/>
      <c r="HP220" s="311"/>
      <c r="HQ220" s="311"/>
      <c r="HR220" s="311"/>
      <c r="HS220" s="311"/>
      <c r="HT220" s="311"/>
      <c r="HU220" s="311"/>
      <c r="HV220" s="311"/>
      <c r="HW220" s="311"/>
      <c r="HX220" s="311"/>
      <c r="HY220" s="311"/>
      <c r="HZ220" s="311"/>
      <c r="IA220" s="311"/>
    </row>
    <row r="221" s="22" customFormat="1" ht="38" customHeight="1" spans="1:235">
      <c r="A221" s="156">
        <v>30</v>
      </c>
      <c r="B221" s="157" t="s">
        <v>260</v>
      </c>
      <c r="C221" s="158"/>
      <c r="D221" s="157" t="s">
        <v>261</v>
      </c>
      <c r="E221" s="256">
        <v>300000</v>
      </c>
      <c r="F221" s="256"/>
      <c r="G221" s="284" t="s">
        <v>262</v>
      </c>
      <c r="H221" s="284" t="s">
        <v>263</v>
      </c>
      <c r="I221" s="302">
        <v>283018.87</v>
      </c>
      <c r="J221" s="302">
        <v>16981.13</v>
      </c>
      <c r="K221" s="94">
        <f t="shared" si="85"/>
        <v>300000</v>
      </c>
      <c r="L221" s="237"/>
      <c r="M221" s="237"/>
      <c r="N221" s="237"/>
      <c r="O221" s="237"/>
      <c r="P221" s="237"/>
      <c r="Q221" s="237"/>
      <c r="R221" s="310"/>
      <c r="S221" s="94">
        <f t="shared" si="84"/>
        <v>300000</v>
      </c>
      <c r="T221" s="94"/>
      <c r="U221" s="310">
        <v>300000</v>
      </c>
      <c r="V221" s="310"/>
      <c r="W221" s="237">
        <f t="shared" si="86"/>
        <v>0</v>
      </c>
      <c r="X221" s="158"/>
      <c r="Y221" s="313"/>
      <c r="Z221" s="313"/>
      <c r="AA221" s="313"/>
      <c r="AB221" s="313"/>
      <c r="AC221" s="313"/>
      <c r="AD221" s="313"/>
      <c r="AE221" s="313"/>
      <c r="AF221" s="313"/>
      <c r="AG221" s="313"/>
      <c r="AH221" s="313"/>
      <c r="AI221" s="313"/>
      <c r="AJ221" s="313"/>
      <c r="AK221" s="313"/>
      <c r="AL221" s="313"/>
      <c r="AM221" s="313"/>
      <c r="AN221" s="313"/>
      <c r="AO221" s="313"/>
      <c r="AP221" s="313"/>
      <c r="AQ221" s="313"/>
      <c r="AR221" s="313"/>
      <c r="AS221" s="313"/>
      <c r="AT221" s="313"/>
      <c r="AU221" s="313"/>
      <c r="AV221" s="313"/>
      <c r="AW221" s="313"/>
      <c r="AX221" s="313"/>
      <c r="AY221" s="313"/>
      <c r="AZ221" s="313"/>
      <c r="BA221" s="313"/>
      <c r="BB221" s="313"/>
      <c r="BC221" s="313"/>
      <c r="BD221" s="313"/>
      <c r="BE221" s="313"/>
      <c r="BF221" s="313"/>
      <c r="BG221" s="313"/>
      <c r="BH221" s="313"/>
      <c r="BI221" s="313"/>
      <c r="BJ221" s="313"/>
      <c r="BK221" s="313"/>
      <c r="BL221" s="313"/>
      <c r="BM221" s="313"/>
      <c r="BN221" s="313"/>
      <c r="BO221" s="313"/>
      <c r="BP221" s="313"/>
      <c r="BQ221" s="313"/>
      <c r="BR221" s="313"/>
      <c r="BS221" s="313"/>
      <c r="BT221" s="313"/>
      <c r="BU221" s="313"/>
      <c r="BV221" s="313"/>
      <c r="BW221" s="313"/>
      <c r="BX221" s="313"/>
      <c r="BY221" s="313"/>
      <c r="BZ221" s="313"/>
      <c r="CA221" s="313"/>
      <c r="CB221" s="313"/>
      <c r="CC221" s="313"/>
      <c r="CD221" s="313"/>
      <c r="CE221" s="313"/>
      <c r="CF221" s="313"/>
      <c r="CG221" s="313"/>
      <c r="CH221" s="313"/>
      <c r="CI221" s="313"/>
      <c r="CJ221" s="313"/>
      <c r="CK221" s="313"/>
      <c r="CL221" s="313"/>
      <c r="CM221" s="313"/>
      <c r="CN221" s="313"/>
      <c r="CO221" s="313"/>
      <c r="CP221" s="313"/>
      <c r="CQ221" s="313"/>
      <c r="CR221" s="313"/>
      <c r="CS221" s="313"/>
      <c r="CT221" s="313"/>
      <c r="CU221" s="313"/>
      <c r="CV221" s="313"/>
      <c r="CW221" s="313"/>
      <c r="CX221" s="313"/>
      <c r="CY221" s="313"/>
      <c r="CZ221" s="313"/>
      <c r="DA221" s="313"/>
      <c r="DB221" s="313"/>
      <c r="DC221" s="313"/>
      <c r="DD221" s="313"/>
      <c r="DE221" s="313"/>
      <c r="DF221" s="313"/>
      <c r="DG221" s="313"/>
      <c r="DH221" s="313"/>
      <c r="DI221" s="313"/>
      <c r="DJ221" s="313"/>
      <c r="DK221" s="313"/>
      <c r="DL221" s="313"/>
      <c r="DM221" s="313"/>
      <c r="DN221" s="313"/>
      <c r="DO221" s="313"/>
      <c r="DP221" s="313"/>
      <c r="DQ221" s="313"/>
      <c r="DR221" s="313"/>
      <c r="DS221" s="313"/>
      <c r="DT221" s="313"/>
      <c r="DU221" s="313"/>
      <c r="DV221" s="313"/>
      <c r="DW221" s="313"/>
      <c r="DX221" s="313"/>
      <c r="DY221" s="313"/>
      <c r="DZ221" s="313"/>
      <c r="EA221" s="313"/>
      <c r="EB221" s="313"/>
      <c r="EC221" s="313"/>
      <c r="ED221" s="313"/>
      <c r="EE221" s="313"/>
      <c r="EF221" s="313"/>
      <c r="EG221" s="313"/>
      <c r="EH221" s="313"/>
      <c r="EI221" s="313"/>
      <c r="EJ221" s="313"/>
      <c r="EK221" s="313"/>
      <c r="EL221" s="313"/>
      <c r="EM221" s="313"/>
      <c r="EN221" s="313"/>
      <c r="EO221" s="313"/>
      <c r="EP221" s="313"/>
      <c r="EQ221" s="313"/>
      <c r="ER221" s="313"/>
      <c r="ES221" s="313"/>
      <c r="ET221" s="313"/>
      <c r="EU221" s="313"/>
      <c r="EV221" s="313"/>
      <c r="EW221" s="313"/>
      <c r="EX221" s="313"/>
      <c r="EY221" s="313"/>
      <c r="EZ221" s="313"/>
      <c r="FA221" s="313"/>
      <c r="FB221" s="313"/>
      <c r="FC221" s="313"/>
      <c r="FD221" s="313"/>
      <c r="FE221" s="313"/>
      <c r="FF221" s="313"/>
      <c r="FG221" s="313"/>
      <c r="FH221" s="313"/>
      <c r="FI221" s="313"/>
      <c r="FJ221" s="313"/>
      <c r="FK221" s="313"/>
      <c r="FL221" s="313"/>
      <c r="FM221" s="313"/>
      <c r="FN221" s="313"/>
      <c r="FO221" s="313"/>
      <c r="FP221" s="313"/>
      <c r="FQ221" s="313"/>
      <c r="FR221" s="313"/>
      <c r="FS221" s="313"/>
      <c r="FT221" s="313"/>
      <c r="FU221" s="313"/>
      <c r="FV221" s="313"/>
      <c r="FW221" s="313"/>
      <c r="FX221" s="313"/>
      <c r="FY221" s="313"/>
      <c r="FZ221" s="313"/>
      <c r="GA221" s="313"/>
      <c r="GB221" s="313"/>
      <c r="GC221" s="313"/>
      <c r="GD221" s="313"/>
      <c r="GE221" s="313"/>
      <c r="GF221" s="313"/>
      <c r="GG221" s="313"/>
      <c r="GH221" s="313"/>
      <c r="GI221" s="313"/>
      <c r="GJ221" s="313"/>
      <c r="GK221" s="313"/>
      <c r="GL221" s="313"/>
      <c r="GM221" s="313"/>
      <c r="GN221" s="313"/>
      <c r="GO221" s="313"/>
      <c r="GP221" s="313"/>
      <c r="GQ221" s="313"/>
      <c r="GR221" s="313"/>
      <c r="GS221" s="313"/>
      <c r="GT221" s="313"/>
      <c r="GU221" s="313"/>
      <c r="GV221" s="313"/>
      <c r="GW221" s="313"/>
      <c r="GX221" s="313"/>
      <c r="GY221" s="313"/>
      <c r="GZ221" s="313"/>
      <c r="HA221" s="313"/>
      <c r="HB221" s="313"/>
      <c r="HC221" s="313"/>
      <c r="HD221" s="313"/>
      <c r="HE221" s="313"/>
      <c r="HF221" s="313"/>
      <c r="HG221" s="313"/>
      <c r="HH221" s="313"/>
      <c r="HI221" s="313"/>
      <c r="HJ221" s="313"/>
      <c r="HK221" s="313"/>
      <c r="HL221" s="313"/>
      <c r="HM221" s="313"/>
      <c r="HN221" s="313"/>
      <c r="HO221" s="313"/>
      <c r="HP221" s="313"/>
      <c r="HQ221" s="313"/>
      <c r="HR221" s="313"/>
      <c r="HS221" s="313"/>
      <c r="HT221" s="313"/>
      <c r="HU221" s="313"/>
      <c r="HV221" s="313"/>
      <c r="HW221" s="313"/>
      <c r="HX221" s="313"/>
      <c r="HY221" s="313"/>
      <c r="HZ221" s="313"/>
      <c r="IA221" s="313"/>
    </row>
    <row r="222" s="22" customFormat="1" ht="53" customHeight="1" spans="1:24">
      <c r="A222" s="156">
        <v>31</v>
      </c>
      <c r="B222" s="157" t="s">
        <v>264</v>
      </c>
      <c r="C222" s="158"/>
      <c r="D222" s="157" t="s">
        <v>265</v>
      </c>
      <c r="E222" s="145">
        <v>140000</v>
      </c>
      <c r="F222" s="145"/>
      <c r="G222" s="157" t="s">
        <v>266</v>
      </c>
      <c r="H222" s="157" t="s">
        <v>267</v>
      </c>
      <c r="I222" s="94">
        <v>132075.47</v>
      </c>
      <c r="J222" s="94">
        <v>7924.53</v>
      </c>
      <c r="K222" s="94">
        <f t="shared" si="85"/>
        <v>140000</v>
      </c>
      <c r="L222" s="237"/>
      <c r="M222" s="237"/>
      <c r="N222" s="237"/>
      <c r="O222" s="237"/>
      <c r="P222" s="237"/>
      <c r="Q222" s="237"/>
      <c r="R222" s="237"/>
      <c r="S222" s="94">
        <f t="shared" si="84"/>
        <v>140000</v>
      </c>
      <c r="T222" s="94"/>
      <c r="U222" s="237">
        <v>140000</v>
      </c>
      <c r="V222" s="237"/>
      <c r="W222" s="237">
        <f t="shared" si="86"/>
        <v>0</v>
      </c>
      <c r="X222" s="158"/>
    </row>
    <row r="223" s="22" customFormat="1" ht="45" customHeight="1" spans="1:24">
      <c r="A223" s="156">
        <v>32</v>
      </c>
      <c r="B223" s="157" t="s">
        <v>268</v>
      </c>
      <c r="C223" s="158"/>
      <c r="D223" s="157" t="s">
        <v>178</v>
      </c>
      <c r="E223" s="145">
        <v>48000</v>
      </c>
      <c r="F223" s="145"/>
      <c r="G223" s="157" t="s">
        <v>269</v>
      </c>
      <c r="H223" s="157" t="s">
        <v>270</v>
      </c>
      <c r="I223" s="94">
        <v>45283.02</v>
      </c>
      <c r="J223" s="94">
        <v>2716.98</v>
      </c>
      <c r="K223" s="94">
        <f t="shared" si="85"/>
        <v>48000</v>
      </c>
      <c r="L223" s="237"/>
      <c r="M223" s="237"/>
      <c r="N223" s="237"/>
      <c r="O223" s="237"/>
      <c r="P223" s="237"/>
      <c r="Q223" s="237"/>
      <c r="R223" s="237"/>
      <c r="S223" s="94">
        <f t="shared" si="84"/>
        <v>48000</v>
      </c>
      <c r="T223" s="94"/>
      <c r="U223" s="237">
        <v>48000</v>
      </c>
      <c r="V223" s="237"/>
      <c r="W223" s="237">
        <f t="shared" si="86"/>
        <v>0</v>
      </c>
      <c r="X223" s="158"/>
    </row>
    <row r="224" s="22" customFormat="1" ht="45" customHeight="1" spans="1:24">
      <c r="A224" s="156">
        <v>33</v>
      </c>
      <c r="B224" s="157" t="s">
        <v>271</v>
      </c>
      <c r="C224" s="158"/>
      <c r="D224" s="157" t="s">
        <v>272</v>
      </c>
      <c r="E224" s="145">
        <v>23800</v>
      </c>
      <c r="F224" s="145"/>
      <c r="G224" s="285" t="s">
        <v>365</v>
      </c>
      <c r="H224" s="285" t="s">
        <v>366</v>
      </c>
      <c r="I224" s="101">
        <v>22452.83</v>
      </c>
      <c r="J224" s="101">
        <v>1347.17</v>
      </c>
      <c r="K224" s="101">
        <f>I224+J224</f>
        <v>23800</v>
      </c>
      <c r="L224" s="101"/>
      <c r="M224" s="101"/>
      <c r="N224" s="101"/>
      <c r="O224" s="101"/>
      <c r="P224" s="101"/>
      <c r="Q224" s="101"/>
      <c r="R224" s="101"/>
      <c r="S224" s="101">
        <f t="shared" si="84"/>
        <v>23800</v>
      </c>
      <c r="T224" s="101"/>
      <c r="U224" s="101">
        <f>S224</f>
        <v>23800</v>
      </c>
      <c r="V224" s="94"/>
      <c r="W224" s="237">
        <f t="shared" si="86"/>
        <v>0</v>
      </c>
      <c r="X224" s="158"/>
    </row>
    <row r="225" s="22" customFormat="1" ht="45" customHeight="1" spans="1:24">
      <c r="A225" s="156">
        <v>34</v>
      </c>
      <c r="B225" s="157" t="s">
        <v>273</v>
      </c>
      <c r="C225" s="158" t="s">
        <v>274</v>
      </c>
      <c r="D225" s="157" t="s">
        <v>275</v>
      </c>
      <c r="E225" s="145">
        <v>29800</v>
      </c>
      <c r="F225" s="145"/>
      <c r="G225" s="66" t="s">
        <v>276</v>
      </c>
      <c r="H225" s="66" t="s">
        <v>277</v>
      </c>
      <c r="I225" s="94">
        <v>28113.21</v>
      </c>
      <c r="J225" s="94">
        <v>1686.79</v>
      </c>
      <c r="K225" s="94">
        <v>29800</v>
      </c>
      <c r="L225" s="94">
        <v>0</v>
      </c>
      <c r="M225" s="94">
        <v>0</v>
      </c>
      <c r="N225" s="94">
        <v>0</v>
      </c>
      <c r="O225" s="94">
        <v>0</v>
      </c>
      <c r="P225" s="94"/>
      <c r="Q225" s="94"/>
      <c r="R225" s="94">
        <v>0</v>
      </c>
      <c r="S225" s="94">
        <f t="shared" si="84"/>
        <v>29800</v>
      </c>
      <c r="T225" s="94"/>
      <c r="U225" s="94">
        <v>29800</v>
      </c>
      <c r="V225" s="94"/>
      <c r="W225" s="237">
        <f t="shared" si="86"/>
        <v>0</v>
      </c>
      <c r="X225" s="158"/>
    </row>
    <row r="226" s="23" customFormat="1" ht="47" customHeight="1" spans="1:24">
      <c r="A226" s="289"/>
      <c r="B226" s="386" t="s">
        <v>394</v>
      </c>
      <c r="C226" s="387"/>
      <c r="D226" s="292" t="s">
        <v>56</v>
      </c>
      <c r="E226" s="174"/>
      <c r="F226" s="174"/>
      <c r="G226" s="285" t="s">
        <v>459</v>
      </c>
      <c r="H226" s="285" t="s">
        <v>396</v>
      </c>
      <c r="I226" s="101">
        <v>235849.06</v>
      </c>
      <c r="J226" s="101">
        <f>250000-I226</f>
        <v>14150.94</v>
      </c>
      <c r="K226" s="101">
        <f>I226+J226</f>
        <v>250000</v>
      </c>
      <c r="L226" s="101"/>
      <c r="M226" s="101"/>
      <c r="N226" s="101"/>
      <c r="O226" s="101"/>
      <c r="P226" s="101"/>
      <c r="Q226" s="101"/>
      <c r="R226" s="101"/>
      <c r="S226" s="101">
        <f>K226</f>
        <v>250000</v>
      </c>
      <c r="T226" s="101"/>
      <c r="U226" s="94"/>
      <c r="V226" s="94"/>
      <c r="W226" s="94">
        <f t="shared" si="86"/>
        <v>250000</v>
      </c>
      <c r="X226" s="158"/>
    </row>
    <row r="227" s="23" customFormat="1" ht="47" customHeight="1" spans="1:24">
      <c r="A227" s="289"/>
      <c r="B227" s="290" t="s">
        <v>166</v>
      </c>
      <c r="C227" s="291" t="s">
        <v>240</v>
      </c>
      <c r="D227" s="292" t="s">
        <v>168</v>
      </c>
      <c r="E227" s="293"/>
      <c r="F227" s="293"/>
      <c r="G227" s="294" t="s">
        <v>460</v>
      </c>
      <c r="H227" s="285" t="s">
        <v>461</v>
      </c>
      <c r="I227" s="304">
        <v>134916.31</v>
      </c>
      <c r="J227" s="101">
        <v>8094.98</v>
      </c>
      <c r="K227" s="101">
        <f t="shared" ref="K227:K231" si="87">J227+I227</f>
        <v>143011.29</v>
      </c>
      <c r="L227" s="305"/>
      <c r="M227" s="101"/>
      <c r="N227" s="101"/>
      <c r="O227" s="101"/>
      <c r="P227" s="101"/>
      <c r="Q227" s="101"/>
      <c r="R227" s="101"/>
      <c r="S227" s="101"/>
      <c r="T227" s="101"/>
      <c r="U227" s="94"/>
      <c r="V227" s="94"/>
      <c r="W227" s="94"/>
      <c r="X227" s="158"/>
    </row>
    <row r="228" s="23" customFormat="1" ht="47" customHeight="1" spans="1:24">
      <c r="A228" s="289"/>
      <c r="B228" s="290"/>
      <c r="C228" s="291"/>
      <c r="D228" s="292"/>
      <c r="E228" s="293"/>
      <c r="F228" s="293"/>
      <c r="G228" s="294" t="s">
        <v>462</v>
      </c>
      <c r="H228" s="285" t="s">
        <v>463</v>
      </c>
      <c r="I228" s="304">
        <v>476989.43</v>
      </c>
      <c r="J228" s="101">
        <v>28619.37</v>
      </c>
      <c r="K228" s="101">
        <f t="shared" si="87"/>
        <v>505608.8</v>
      </c>
      <c r="L228" s="305"/>
      <c r="M228" s="101"/>
      <c r="N228" s="101"/>
      <c r="O228" s="101"/>
      <c r="P228" s="101"/>
      <c r="Q228" s="101"/>
      <c r="R228" s="101"/>
      <c r="S228" s="101"/>
      <c r="T228" s="101"/>
      <c r="U228" s="94"/>
      <c r="V228" s="94"/>
      <c r="W228" s="94"/>
      <c r="X228" s="158"/>
    </row>
    <row r="229" s="23" customFormat="1" ht="47" customHeight="1" spans="1:24">
      <c r="A229" s="289"/>
      <c r="B229" s="290"/>
      <c r="C229" s="291"/>
      <c r="D229" s="292"/>
      <c r="E229" s="293"/>
      <c r="F229" s="293"/>
      <c r="G229" s="294" t="s">
        <v>464</v>
      </c>
      <c r="H229" s="285" t="s">
        <v>465</v>
      </c>
      <c r="I229" s="304">
        <v>9900000</v>
      </c>
      <c r="J229" s="101">
        <v>0</v>
      </c>
      <c r="K229" s="101">
        <f t="shared" si="87"/>
        <v>9900000</v>
      </c>
      <c r="L229" s="305"/>
      <c r="M229" s="101"/>
      <c r="N229" s="101"/>
      <c r="O229" s="101"/>
      <c r="P229" s="101"/>
      <c r="Q229" s="101"/>
      <c r="R229" s="101"/>
      <c r="S229" s="101"/>
      <c r="T229" s="101"/>
      <c r="U229" s="94"/>
      <c r="V229" s="94"/>
      <c r="W229" s="94"/>
      <c r="X229" s="158"/>
    </row>
    <row r="230" s="23" customFormat="1" ht="47" customHeight="1" spans="1:24">
      <c r="A230" s="289"/>
      <c r="B230" s="290"/>
      <c r="C230" s="291"/>
      <c r="D230" s="292"/>
      <c r="E230" s="293"/>
      <c r="F230" s="293"/>
      <c r="G230" s="294" t="s">
        <v>464</v>
      </c>
      <c r="H230" s="285" t="s">
        <v>465</v>
      </c>
      <c r="I230" s="304">
        <v>100000</v>
      </c>
      <c r="J230" s="101">
        <v>0</v>
      </c>
      <c r="K230" s="101">
        <f t="shared" si="87"/>
        <v>100000</v>
      </c>
      <c r="L230" s="305"/>
      <c r="M230" s="101"/>
      <c r="N230" s="101"/>
      <c r="O230" s="101"/>
      <c r="P230" s="101"/>
      <c r="Q230" s="101"/>
      <c r="R230" s="101"/>
      <c r="S230" s="101"/>
      <c r="T230" s="101"/>
      <c r="U230" s="94"/>
      <c r="V230" s="94"/>
      <c r="W230" s="94"/>
      <c r="X230" s="158"/>
    </row>
    <row r="231" s="23" customFormat="1" ht="45" customHeight="1" spans="1:24">
      <c r="A231" s="289">
        <v>35</v>
      </c>
      <c r="B231" s="263" t="s">
        <v>249</v>
      </c>
      <c r="C231" s="264"/>
      <c r="D231" s="265"/>
      <c r="E231" s="314"/>
      <c r="F231" s="145" t="s">
        <v>295</v>
      </c>
      <c r="G231" s="145" t="s">
        <v>207</v>
      </c>
      <c r="H231" s="66"/>
      <c r="I231" s="94">
        <v>5480</v>
      </c>
      <c r="J231" s="94">
        <v>0</v>
      </c>
      <c r="K231" s="94">
        <f t="shared" si="87"/>
        <v>5480</v>
      </c>
      <c r="L231" s="94"/>
      <c r="M231" s="94"/>
      <c r="N231" s="94"/>
      <c r="O231" s="94"/>
      <c r="P231" s="94"/>
      <c r="Q231" s="94"/>
      <c r="R231" s="94"/>
      <c r="S231" s="94">
        <f>K231-L231-M231-N231-O231+R231</f>
        <v>5480</v>
      </c>
      <c r="T231" s="94"/>
      <c r="U231" s="94">
        <v>5480</v>
      </c>
      <c r="V231" s="94"/>
      <c r="W231" s="237">
        <f t="shared" ref="W231:W250" si="88">S231+T231-U231-V231</f>
        <v>0</v>
      </c>
      <c r="X231" s="158"/>
    </row>
    <row r="232" s="23" customFormat="1" ht="45" customHeight="1" spans="1:24">
      <c r="A232" s="315"/>
      <c r="B232" s="266"/>
      <c r="C232" s="267"/>
      <c r="D232" s="268"/>
      <c r="E232" s="314"/>
      <c r="F232" s="103" t="s">
        <v>296</v>
      </c>
      <c r="G232" s="174" t="s">
        <v>321</v>
      </c>
      <c r="H232" s="285" t="s">
        <v>322</v>
      </c>
      <c r="I232" s="101">
        <v>980</v>
      </c>
      <c r="J232" s="101"/>
      <c r="K232" s="101">
        <f t="shared" ref="K232:K242" si="89">I232+J232</f>
        <v>980</v>
      </c>
      <c r="L232" s="101"/>
      <c r="M232" s="101"/>
      <c r="N232" s="101"/>
      <c r="O232" s="101"/>
      <c r="P232" s="101"/>
      <c r="Q232" s="101"/>
      <c r="R232" s="101"/>
      <c r="S232" s="101">
        <v>980</v>
      </c>
      <c r="T232" s="101"/>
      <c r="U232" s="101">
        <v>980</v>
      </c>
      <c r="V232" s="94"/>
      <c r="W232" s="237">
        <f t="shared" si="88"/>
        <v>0</v>
      </c>
      <c r="X232" s="158"/>
    </row>
    <row r="233" s="23" customFormat="1" ht="45" customHeight="1" spans="1:24">
      <c r="A233" s="315"/>
      <c r="B233" s="266"/>
      <c r="C233" s="267"/>
      <c r="D233" s="268"/>
      <c r="E233" s="314"/>
      <c r="F233" s="105"/>
      <c r="G233" s="174" t="s">
        <v>337</v>
      </c>
      <c r="H233" s="285"/>
      <c r="I233" s="101">
        <v>879</v>
      </c>
      <c r="J233" s="101"/>
      <c r="K233" s="101">
        <f t="shared" si="89"/>
        <v>879</v>
      </c>
      <c r="L233" s="101"/>
      <c r="M233" s="101"/>
      <c r="N233" s="101"/>
      <c r="O233" s="101"/>
      <c r="P233" s="101"/>
      <c r="Q233" s="101"/>
      <c r="R233" s="101"/>
      <c r="S233" s="101">
        <f t="shared" ref="S233:S240" si="90">K233</f>
        <v>879</v>
      </c>
      <c r="T233" s="101"/>
      <c r="U233" s="101">
        <f t="shared" ref="U233:U236" si="91">S233</f>
        <v>879</v>
      </c>
      <c r="V233" s="94"/>
      <c r="W233" s="237">
        <f t="shared" si="88"/>
        <v>0</v>
      </c>
      <c r="X233" s="158"/>
    </row>
    <row r="234" s="23" customFormat="1" ht="45" customHeight="1" spans="1:24">
      <c r="A234" s="315"/>
      <c r="B234" s="266"/>
      <c r="C234" s="267"/>
      <c r="D234" s="268"/>
      <c r="E234" s="314"/>
      <c r="F234" s="105"/>
      <c r="G234" s="174" t="s">
        <v>338</v>
      </c>
      <c r="H234" s="285"/>
      <c r="I234" s="101">
        <v>4442</v>
      </c>
      <c r="J234" s="101"/>
      <c r="K234" s="101">
        <f t="shared" si="89"/>
        <v>4442</v>
      </c>
      <c r="L234" s="101"/>
      <c r="M234" s="101"/>
      <c r="N234" s="101"/>
      <c r="O234" s="101"/>
      <c r="P234" s="101"/>
      <c r="Q234" s="101"/>
      <c r="R234" s="101"/>
      <c r="S234" s="101">
        <f t="shared" si="90"/>
        <v>4442</v>
      </c>
      <c r="T234" s="101"/>
      <c r="U234" s="101">
        <f t="shared" si="91"/>
        <v>4442</v>
      </c>
      <c r="V234" s="94"/>
      <c r="W234" s="237">
        <f t="shared" si="88"/>
        <v>0</v>
      </c>
      <c r="X234" s="158"/>
    </row>
    <row r="235" s="23" customFormat="1" ht="45" customHeight="1" spans="1:24">
      <c r="A235" s="315"/>
      <c r="B235" s="266"/>
      <c r="C235" s="267"/>
      <c r="D235" s="268"/>
      <c r="E235" s="314"/>
      <c r="F235" s="105"/>
      <c r="G235" s="174" t="s">
        <v>339</v>
      </c>
      <c r="H235" s="285"/>
      <c r="I235" s="101">
        <v>1330</v>
      </c>
      <c r="J235" s="101"/>
      <c r="K235" s="101">
        <f t="shared" si="89"/>
        <v>1330</v>
      </c>
      <c r="L235" s="101"/>
      <c r="M235" s="101"/>
      <c r="N235" s="101"/>
      <c r="O235" s="101"/>
      <c r="P235" s="101"/>
      <c r="Q235" s="101"/>
      <c r="R235" s="101"/>
      <c r="S235" s="101">
        <f t="shared" si="90"/>
        <v>1330</v>
      </c>
      <c r="T235" s="101"/>
      <c r="U235" s="101">
        <f t="shared" si="91"/>
        <v>1330</v>
      </c>
      <c r="V235" s="94"/>
      <c r="W235" s="237">
        <f t="shared" si="88"/>
        <v>0</v>
      </c>
      <c r="X235" s="158"/>
    </row>
    <row r="236" s="23" customFormat="1" ht="45" customHeight="1" spans="1:24">
      <c r="A236" s="315"/>
      <c r="B236" s="271"/>
      <c r="C236" s="272"/>
      <c r="D236" s="273"/>
      <c r="E236" s="314"/>
      <c r="F236" s="106"/>
      <c r="G236" s="269" t="s">
        <v>422</v>
      </c>
      <c r="H236" s="285"/>
      <c r="I236" s="101">
        <v>8883</v>
      </c>
      <c r="J236" s="101"/>
      <c r="K236" s="101">
        <f t="shared" si="89"/>
        <v>8883</v>
      </c>
      <c r="L236" s="101"/>
      <c r="M236" s="101"/>
      <c r="N236" s="101"/>
      <c r="O236" s="101"/>
      <c r="P236" s="101"/>
      <c r="Q236" s="101"/>
      <c r="R236" s="101"/>
      <c r="S236" s="101">
        <f t="shared" si="90"/>
        <v>8883</v>
      </c>
      <c r="T236" s="101"/>
      <c r="U236" s="101">
        <f t="shared" si="91"/>
        <v>8883</v>
      </c>
      <c r="V236" s="94"/>
      <c r="W236" s="237">
        <f t="shared" si="88"/>
        <v>0</v>
      </c>
      <c r="X236" s="158"/>
    </row>
    <row r="237" s="23" customFormat="1" ht="45" customHeight="1" spans="1:24">
      <c r="A237" s="175"/>
      <c r="B237" s="263" t="s">
        <v>466</v>
      </c>
      <c r="C237" s="264"/>
      <c r="D237" s="265"/>
      <c r="E237" s="192"/>
      <c r="F237" s="193" t="s">
        <v>310</v>
      </c>
      <c r="G237" s="269" t="s">
        <v>422</v>
      </c>
      <c r="H237" s="316" t="s">
        <v>467</v>
      </c>
      <c r="I237" s="101">
        <v>11037.72</v>
      </c>
      <c r="J237" s="101">
        <v>662.28</v>
      </c>
      <c r="K237" s="101">
        <f t="shared" si="89"/>
        <v>11700</v>
      </c>
      <c r="L237" s="101"/>
      <c r="M237" s="101"/>
      <c r="N237" s="101"/>
      <c r="O237" s="101"/>
      <c r="P237" s="101"/>
      <c r="Q237" s="101"/>
      <c r="R237" s="109"/>
      <c r="S237" s="101">
        <f t="shared" si="90"/>
        <v>11700</v>
      </c>
      <c r="T237" s="94"/>
      <c r="U237" s="94">
        <f>K237+R237</f>
        <v>11700</v>
      </c>
      <c r="V237" s="94"/>
      <c r="W237" s="94">
        <f t="shared" si="88"/>
        <v>0</v>
      </c>
      <c r="X237" s="145"/>
    </row>
    <row r="238" s="23" customFormat="1" ht="45" customHeight="1" spans="1:24">
      <c r="A238" s="175"/>
      <c r="B238" s="266"/>
      <c r="C238" s="267"/>
      <c r="D238" s="268"/>
      <c r="E238" s="198"/>
      <c r="F238" s="195"/>
      <c r="G238" s="269"/>
      <c r="H238" s="270"/>
      <c r="I238" s="109"/>
      <c r="J238" s="109">
        <v>0</v>
      </c>
      <c r="K238" s="101">
        <f t="shared" si="89"/>
        <v>0</v>
      </c>
      <c r="L238" s="101"/>
      <c r="M238" s="101"/>
      <c r="N238" s="101"/>
      <c r="O238" s="101"/>
      <c r="P238" s="101"/>
      <c r="Q238" s="101"/>
      <c r="R238" s="109"/>
      <c r="S238" s="101">
        <f t="shared" si="90"/>
        <v>0</v>
      </c>
      <c r="T238" s="94"/>
      <c r="U238" s="94">
        <f t="shared" ref="U238:U240" si="92">S238</f>
        <v>0</v>
      </c>
      <c r="V238" s="94"/>
      <c r="W238" s="94">
        <f t="shared" si="88"/>
        <v>0</v>
      </c>
      <c r="X238" s="145"/>
    </row>
    <row r="239" s="23" customFormat="1" ht="45" customHeight="1" spans="1:24">
      <c r="A239" s="175"/>
      <c r="B239" s="266"/>
      <c r="C239" s="267"/>
      <c r="D239" s="268"/>
      <c r="E239" s="198"/>
      <c r="F239" s="195"/>
      <c r="G239" s="269"/>
      <c r="H239" s="270"/>
      <c r="I239" s="109"/>
      <c r="J239" s="109"/>
      <c r="K239" s="101">
        <f t="shared" si="89"/>
        <v>0</v>
      </c>
      <c r="L239" s="101"/>
      <c r="M239" s="101"/>
      <c r="N239" s="101"/>
      <c r="O239" s="101"/>
      <c r="P239" s="101"/>
      <c r="Q239" s="101"/>
      <c r="R239" s="109"/>
      <c r="S239" s="101">
        <f t="shared" si="90"/>
        <v>0</v>
      </c>
      <c r="T239" s="94"/>
      <c r="U239" s="94">
        <f t="shared" si="92"/>
        <v>0</v>
      </c>
      <c r="V239" s="94"/>
      <c r="W239" s="94">
        <f t="shared" si="88"/>
        <v>0</v>
      </c>
      <c r="X239" s="145"/>
    </row>
    <row r="240" s="23" customFormat="1" ht="45" customHeight="1" spans="1:24">
      <c r="A240" s="175"/>
      <c r="B240" s="266"/>
      <c r="C240" s="267"/>
      <c r="D240" s="268"/>
      <c r="E240" s="198"/>
      <c r="F240" s="195"/>
      <c r="G240" s="269"/>
      <c r="H240" s="270"/>
      <c r="I240" s="109"/>
      <c r="J240" s="109"/>
      <c r="K240" s="101">
        <f t="shared" si="89"/>
        <v>0</v>
      </c>
      <c r="L240" s="101"/>
      <c r="M240" s="101"/>
      <c r="N240" s="101"/>
      <c r="O240" s="101"/>
      <c r="P240" s="101"/>
      <c r="Q240" s="101"/>
      <c r="R240" s="109"/>
      <c r="S240" s="101">
        <f t="shared" si="90"/>
        <v>0</v>
      </c>
      <c r="T240" s="94"/>
      <c r="U240" s="94">
        <f t="shared" si="92"/>
        <v>0</v>
      </c>
      <c r="V240" s="94"/>
      <c r="W240" s="94">
        <f t="shared" si="88"/>
        <v>0</v>
      </c>
      <c r="X240" s="145"/>
    </row>
    <row r="241" s="23" customFormat="1" ht="45" customHeight="1" spans="1:24">
      <c r="A241" s="175"/>
      <c r="B241" s="266"/>
      <c r="C241" s="267"/>
      <c r="D241" s="268"/>
      <c r="E241" s="198"/>
      <c r="F241" s="195"/>
      <c r="G241" s="269"/>
      <c r="H241" s="270"/>
      <c r="I241" s="109"/>
      <c r="J241" s="109"/>
      <c r="K241" s="101">
        <f t="shared" si="89"/>
        <v>0</v>
      </c>
      <c r="L241" s="101"/>
      <c r="M241" s="101"/>
      <c r="N241" s="101"/>
      <c r="O241" s="101"/>
      <c r="P241" s="101"/>
      <c r="Q241" s="101"/>
      <c r="R241" s="109"/>
      <c r="S241" s="101"/>
      <c r="T241" s="94"/>
      <c r="U241" s="94"/>
      <c r="V241" s="94"/>
      <c r="W241" s="94">
        <f t="shared" si="88"/>
        <v>0</v>
      </c>
      <c r="X241" s="145"/>
    </row>
    <row r="242" s="23" customFormat="1" ht="45" customHeight="1" spans="1:24">
      <c r="A242" s="175"/>
      <c r="B242" s="271"/>
      <c r="C242" s="272"/>
      <c r="D242" s="273"/>
      <c r="E242" s="199"/>
      <c r="F242" s="201"/>
      <c r="G242" s="269"/>
      <c r="H242" s="270"/>
      <c r="I242" s="109"/>
      <c r="J242" s="109"/>
      <c r="K242" s="101">
        <f t="shared" si="89"/>
        <v>0</v>
      </c>
      <c r="L242" s="101"/>
      <c r="M242" s="101"/>
      <c r="N242" s="101"/>
      <c r="O242" s="101"/>
      <c r="P242" s="101"/>
      <c r="Q242" s="101"/>
      <c r="R242" s="109"/>
      <c r="S242" s="101"/>
      <c r="T242" s="94"/>
      <c r="U242" s="94"/>
      <c r="V242" s="94"/>
      <c r="W242" s="94">
        <f t="shared" si="88"/>
        <v>0</v>
      </c>
      <c r="X242" s="145"/>
    </row>
    <row r="243" s="23" customFormat="1" ht="45" customHeight="1" spans="1:24">
      <c r="A243" s="317"/>
      <c r="B243" s="263" t="s">
        <v>254</v>
      </c>
      <c r="C243" s="264"/>
      <c r="D243" s="265"/>
      <c r="E243" s="145"/>
      <c r="F243" s="145" t="s">
        <v>295</v>
      </c>
      <c r="G243" s="66" t="s">
        <v>278</v>
      </c>
      <c r="H243" s="145"/>
      <c r="I243" s="94">
        <v>13509.5</v>
      </c>
      <c r="J243" s="94">
        <f>55.45+15.05</f>
        <v>70.5</v>
      </c>
      <c r="K243" s="94">
        <f t="shared" ref="K243:K247" si="93">J243+I243</f>
        <v>13580</v>
      </c>
      <c r="L243" s="94"/>
      <c r="M243" s="94"/>
      <c r="N243" s="94"/>
      <c r="O243" s="94"/>
      <c r="P243" s="94"/>
      <c r="Q243" s="94"/>
      <c r="R243" s="94"/>
      <c r="S243" s="94">
        <f>K243-L243-M243-N243-O243+R243</f>
        <v>13580</v>
      </c>
      <c r="T243" s="94"/>
      <c r="U243" s="94">
        <v>13580</v>
      </c>
      <c r="V243" s="94"/>
      <c r="W243" s="237">
        <f t="shared" si="88"/>
        <v>0</v>
      </c>
      <c r="X243" s="158"/>
    </row>
    <row r="244" s="23" customFormat="1" ht="45" customHeight="1" spans="1:24">
      <c r="A244" s="317"/>
      <c r="B244" s="266"/>
      <c r="C244" s="267"/>
      <c r="D244" s="268"/>
      <c r="E244" s="145"/>
      <c r="F244" s="103" t="s">
        <v>296</v>
      </c>
      <c r="G244" s="285" t="s">
        <v>468</v>
      </c>
      <c r="H244" s="174"/>
      <c r="I244" s="101">
        <v>15673</v>
      </c>
      <c r="J244" s="101">
        <v>0</v>
      </c>
      <c r="K244" s="101">
        <f>I244+J244</f>
        <v>15673</v>
      </c>
      <c r="L244" s="101"/>
      <c r="M244" s="101"/>
      <c r="N244" s="101"/>
      <c r="O244" s="101"/>
      <c r="P244" s="101"/>
      <c r="Q244" s="101"/>
      <c r="R244" s="101"/>
      <c r="S244" s="101">
        <f t="shared" ref="S244:S250" si="94">K244</f>
        <v>15673</v>
      </c>
      <c r="T244" s="101"/>
      <c r="U244" s="101">
        <f t="shared" ref="U244:U250" si="95">S244</f>
        <v>15673</v>
      </c>
      <c r="V244" s="94"/>
      <c r="W244" s="237">
        <f t="shared" si="88"/>
        <v>0</v>
      </c>
      <c r="X244" s="158"/>
    </row>
    <row r="245" s="23" customFormat="1" ht="45" customHeight="1" spans="1:24">
      <c r="A245" s="317"/>
      <c r="B245" s="271"/>
      <c r="C245" s="272"/>
      <c r="D245" s="273"/>
      <c r="E245" s="145"/>
      <c r="F245" s="105"/>
      <c r="G245" s="285"/>
      <c r="H245" s="174"/>
      <c r="I245" s="101"/>
      <c r="J245" s="101"/>
      <c r="K245" s="101"/>
      <c r="L245" s="101"/>
      <c r="M245" s="101"/>
      <c r="N245" s="101"/>
      <c r="O245" s="101"/>
      <c r="P245" s="101"/>
      <c r="Q245" s="101"/>
      <c r="R245" s="101"/>
      <c r="S245" s="101">
        <f t="shared" si="94"/>
        <v>0</v>
      </c>
      <c r="T245" s="101"/>
      <c r="U245" s="101">
        <f t="shared" si="95"/>
        <v>0</v>
      </c>
      <c r="V245" s="94"/>
      <c r="W245" s="237">
        <f t="shared" si="88"/>
        <v>0</v>
      </c>
      <c r="X245" s="158"/>
    </row>
    <row r="246" s="23" customFormat="1" ht="45" customHeight="1" spans="1:24">
      <c r="A246" s="317"/>
      <c r="B246" s="318" t="s">
        <v>345</v>
      </c>
      <c r="C246" s="275"/>
      <c r="D246" s="276"/>
      <c r="E246" s="145"/>
      <c r="F246" s="103" t="s">
        <v>296</v>
      </c>
      <c r="G246" s="174" t="s">
        <v>337</v>
      </c>
      <c r="H246" s="285" t="s">
        <v>367</v>
      </c>
      <c r="I246" s="101">
        <v>48316.83</v>
      </c>
      <c r="J246" s="101">
        <v>483.17</v>
      </c>
      <c r="K246" s="101">
        <f t="shared" si="93"/>
        <v>48800</v>
      </c>
      <c r="L246" s="101"/>
      <c r="M246" s="101"/>
      <c r="N246" s="101"/>
      <c r="O246" s="101"/>
      <c r="P246" s="101"/>
      <c r="Q246" s="101"/>
      <c r="R246" s="101"/>
      <c r="S246" s="101">
        <f t="shared" si="94"/>
        <v>48800</v>
      </c>
      <c r="T246" s="101"/>
      <c r="U246" s="101">
        <f t="shared" si="95"/>
        <v>48800</v>
      </c>
      <c r="V246" s="94"/>
      <c r="W246" s="237">
        <f t="shared" si="88"/>
        <v>0</v>
      </c>
      <c r="X246" s="158"/>
    </row>
    <row r="247" s="23" customFormat="1" ht="45" customHeight="1" spans="1:24">
      <c r="A247" s="317"/>
      <c r="B247" s="263" t="s">
        <v>253</v>
      </c>
      <c r="C247" s="264"/>
      <c r="D247" s="265"/>
      <c r="E247" s="145"/>
      <c r="F247" s="105"/>
      <c r="G247" s="174" t="s">
        <v>338</v>
      </c>
      <c r="H247" s="285" t="s">
        <v>368</v>
      </c>
      <c r="I247" s="101">
        <v>1166.15</v>
      </c>
      <c r="J247" s="101">
        <f>7.13+3.72</f>
        <v>10.85</v>
      </c>
      <c r="K247" s="101">
        <f t="shared" si="93"/>
        <v>1177</v>
      </c>
      <c r="L247" s="101"/>
      <c r="M247" s="101"/>
      <c r="N247" s="101"/>
      <c r="O247" s="101"/>
      <c r="P247" s="101"/>
      <c r="Q247" s="101"/>
      <c r="R247" s="101"/>
      <c r="S247" s="101">
        <f t="shared" si="94"/>
        <v>1177</v>
      </c>
      <c r="T247" s="101"/>
      <c r="U247" s="101">
        <f t="shared" si="95"/>
        <v>1177</v>
      </c>
      <c r="V247" s="94"/>
      <c r="W247" s="237">
        <f t="shared" si="88"/>
        <v>0</v>
      </c>
      <c r="X247" s="158"/>
    </row>
    <row r="248" s="23" customFormat="1" ht="45" customHeight="1" spans="1:24">
      <c r="A248" s="317"/>
      <c r="B248" s="266"/>
      <c r="C248" s="267"/>
      <c r="D248" s="268"/>
      <c r="E248" s="145"/>
      <c r="F248" s="105"/>
      <c r="G248" s="174" t="s">
        <v>339</v>
      </c>
      <c r="H248" s="285" t="s">
        <v>368</v>
      </c>
      <c r="I248" s="101">
        <v>1523.66</v>
      </c>
      <c r="J248" s="101">
        <f>1453.13-1423.66</f>
        <v>29.47</v>
      </c>
      <c r="K248" s="101">
        <f>I248+J248</f>
        <v>1553.13</v>
      </c>
      <c r="L248" s="101"/>
      <c r="M248" s="101"/>
      <c r="N248" s="101"/>
      <c r="O248" s="101"/>
      <c r="P248" s="101"/>
      <c r="Q248" s="101"/>
      <c r="R248" s="101"/>
      <c r="S248" s="101">
        <f t="shared" si="94"/>
        <v>1553.13</v>
      </c>
      <c r="T248" s="101"/>
      <c r="U248" s="101">
        <f t="shared" si="95"/>
        <v>1553.13</v>
      </c>
      <c r="V248" s="94"/>
      <c r="W248" s="237">
        <f t="shared" si="88"/>
        <v>0</v>
      </c>
      <c r="X248" s="158"/>
    </row>
    <row r="249" s="23" customFormat="1" ht="45" customHeight="1" spans="1:24">
      <c r="A249" s="317"/>
      <c r="B249" s="266"/>
      <c r="C249" s="267"/>
      <c r="D249" s="268"/>
      <c r="E249" s="145"/>
      <c r="F249" s="105"/>
      <c r="G249" s="269" t="s">
        <v>422</v>
      </c>
      <c r="H249" s="285" t="s">
        <v>368</v>
      </c>
      <c r="I249" s="109">
        <v>18807.16</v>
      </c>
      <c r="J249" s="109">
        <f>816.26-775.99+799.49-761.14+3135.89-3002.08+846.74</f>
        <v>1059.17</v>
      </c>
      <c r="K249" s="101">
        <f>J249+I249</f>
        <v>19866.33</v>
      </c>
      <c r="L249" s="101"/>
      <c r="M249" s="101"/>
      <c r="N249" s="101"/>
      <c r="O249" s="101"/>
      <c r="P249" s="101"/>
      <c r="Q249" s="101"/>
      <c r="R249" s="101"/>
      <c r="S249" s="101">
        <f t="shared" si="94"/>
        <v>19866.33</v>
      </c>
      <c r="T249" s="101"/>
      <c r="U249" s="101">
        <f t="shared" si="95"/>
        <v>19866.33</v>
      </c>
      <c r="V249" s="94"/>
      <c r="W249" s="237">
        <f t="shared" si="88"/>
        <v>0</v>
      </c>
      <c r="X249" s="158"/>
    </row>
    <row r="250" s="23" customFormat="1" ht="45" customHeight="1" spans="1:24">
      <c r="A250" s="317"/>
      <c r="B250" s="271"/>
      <c r="C250" s="272"/>
      <c r="D250" s="273"/>
      <c r="E250" s="145"/>
      <c r="F250" s="106"/>
      <c r="G250" s="174"/>
      <c r="H250" s="285"/>
      <c r="I250" s="101"/>
      <c r="J250" s="101"/>
      <c r="K250" s="101"/>
      <c r="L250" s="101"/>
      <c r="M250" s="101"/>
      <c r="N250" s="101"/>
      <c r="O250" s="101"/>
      <c r="P250" s="101"/>
      <c r="Q250" s="101"/>
      <c r="R250" s="101"/>
      <c r="S250" s="101">
        <f t="shared" si="94"/>
        <v>0</v>
      </c>
      <c r="T250" s="101"/>
      <c r="U250" s="101">
        <f t="shared" si="95"/>
        <v>0</v>
      </c>
      <c r="V250" s="94"/>
      <c r="W250" s="237">
        <f t="shared" si="88"/>
        <v>0</v>
      </c>
      <c r="X250" s="158"/>
    </row>
    <row r="251" s="20" customFormat="1" ht="36" customHeight="1" spans="1:24">
      <c r="A251" s="277" t="s">
        <v>323</v>
      </c>
      <c r="B251" s="277"/>
      <c r="C251" s="277"/>
      <c r="D251" s="277"/>
      <c r="E251" s="278"/>
      <c r="F251" s="278"/>
      <c r="G251" s="243"/>
      <c r="H251" s="243" t="s">
        <v>316</v>
      </c>
      <c r="I251" s="300">
        <f t="shared" ref="I251:K251" si="96">SUM(I220:I231,I243)-I224-I226-I230-I229-I228-I227</f>
        <v>562197.049999999</v>
      </c>
      <c r="J251" s="300">
        <f t="shared" si="96"/>
        <v>32662.95</v>
      </c>
      <c r="K251" s="300">
        <f t="shared" si="96"/>
        <v>594860</v>
      </c>
      <c r="L251" s="300">
        <f t="shared" ref="L251:R251" si="97">SUM(L220:L231,L243)-L224</f>
        <v>0</v>
      </c>
      <c r="M251" s="300">
        <f t="shared" si="97"/>
        <v>0</v>
      </c>
      <c r="N251" s="300">
        <f t="shared" si="97"/>
        <v>0</v>
      </c>
      <c r="O251" s="300">
        <f t="shared" si="97"/>
        <v>0</v>
      </c>
      <c r="P251" s="300">
        <f t="shared" si="97"/>
        <v>0</v>
      </c>
      <c r="Q251" s="300">
        <f t="shared" si="97"/>
        <v>0</v>
      </c>
      <c r="R251" s="300">
        <f t="shared" si="97"/>
        <v>0</v>
      </c>
      <c r="S251" s="300">
        <f>SUM(S220:S231,S243)-S224-S226</f>
        <v>594860</v>
      </c>
      <c r="T251" s="300">
        <f t="shared" ref="T251:V251" si="98">SUM(T220:T231,T243)</f>
        <v>0</v>
      </c>
      <c r="U251" s="300">
        <f t="shared" si="98"/>
        <v>618660</v>
      </c>
      <c r="V251" s="300">
        <f t="shared" si="98"/>
        <v>0</v>
      </c>
      <c r="W251" s="300">
        <f>SUM(W220:W231,W243)-W226</f>
        <v>0</v>
      </c>
      <c r="X251" s="307"/>
    </row>
    <row r="252" s="20" customFormat="1" ht="36" customHeight="1" spans="1:24">
      <c r="A252" s="277"/>
      <c r="B252" s="277"/>
      <c r="C252" s="277"/>
      <c r="D252" s="277"/>
      <c r="E252" s="278"/>
      <c r="F252" s="278"/>
      <c r="G252" s="212"/>
      <c r="H252" s="212" t="s">
        <v>317</v>
      </c>
      <c r="I252" s="301">
        <f t="shared" ref="I252:K252" si="99">SUM(I244:I250,I232:I242,I226:I230,I224)</f>
        <v>10983246.15</v>
      </c>
      <c r="J252" s="301">
        <f t="shared" si="99"/>
        <v>54457.4</v>
      </c>
      <c r="K252" s="301">
        <f t="shared" si="99"/>
        <v>11037703.55</v>
      </c>
      <c r="L252" s="301">
        <f t="shared" ref="L252:U252" si="100">L232+L233+L246+L234+L247+L224</f>
        <v>0</v>
      </c>
      <c r="M252" s="301">
        <f t="shared" si="100"/>
        <v>0</v>
      </c>
      <c r="N252" s="301">
        <f t="shared" si="100"/>
        <v>0</v>
      </c>
      <c r="O252" s="301">
        <f t="shared" si="100"/>
        <v>0</v>
      </c>
      <c r="P252" s="301">
        <f t="shared" si="100"/>
        <v>0</v>
      </c>
      <c r="Q252" s="301">
        <f t="shared" si="100"/>
        <v>0</v>
      </c>
      <c r="R252" s="301">
        <f t="shared" si="100"/>
        <v>0</v>
      </c>
      <c r="S252" s="301">
        <f t="shared" si="100"/>
        <v>80078</v>
      </c>
      <c r="T252" s="301">
        <f t="shared" si="100"/>
        <v>0</v>
      </c>
      <c r="U252" s="301">
        <f t="shared" si="100"/>
        <v>80078</v>
      </c>
      <c r="V252" s="301">
        <f>V232</f>
        <v>0</v>
      </c>
      <c r="W252" s="301">
        <f>W226</f>
        <v>250000</v>
      </c>
      <c r="X252" s="308"/>
    </row>
    <row r="253" s="20" customFormat="1" ht="36" customHeight="1" spans="1:24">
      <c r="A253" s="277"/>
      <c r="B253" s="277"/>
      <c r="C253" s="277"/>
      <c r="D253" s="277"/>
      <c r="E253" s="278"/>
      <c r="F253" s="328"/>
      <c r="G253" s="282"/>
      <c r="H253" s="282"/>
      <c r="I253" s="344"/>
      <c r="J253" s="344"/>
      <c r="K253" s="344"/>
      <c r="L253" s="344"/>
      <c r="M253" s="344"/>
      <c r="N253" s="344"/>
      <c r="O253" s="345"/>
      <c r="P253" s="345"/>
      <c r="Q253" s="344"/>
      <c r="R253" s="344"/>
      <c r="S253" s="344"/>
      <c r="T253" s="344"/>
      <c r="U253" s="344"/>
      <c r="V253" s="344"/>
      <c r="W253" s="344"/>
      <c r="X253" s="358"/>
    </row>
    <row r="254" s="20" customFormat="1" ht="36" customHeight="1" spans="1:24">
      <c r="A254" s="277"/>
      <c r="B254" s="277"/>
      <c r="C254" s="277"/>
      <c r="D254" s="277"/>
      <c r="E254" s="278"/>
      <c r="F254" s="328"/>
      <c r="G254" s="282"/>
      <c r="H254" s="282"/>
      <c r="I254" s="344">
        <f t="shared" ref="I254:L254" si="101">I252+I251</f>
        <v>11545443.2</v>
      </c>
      <c r="J254" s="344">
        <f t="shared" si="101"/>
        <v>87120.35</v>
      </c>
      <c r="K254" s="344">
        <f t="shared" si="101"/>
        <v>11632563.55</v>
      </c>
      <c r="L254" s="344">
        <f t="shared" si="101"/>
        <v>0</v>
      </c>
      <c r="M254" s="344"/>
      <c r="N254" s="344"/>
      <c r="O254" s="345"/>
      <c r="P254" s="345"/>
      <c r="Q254" s="344"/>
      <c r="R254" s="344"/>
      <c r="S254" s="344"/>
      <c r="T254" s="344"/>
      <c r="U254" s="344"/>
      <c r="V254" s="344"/>
      <c r="W254" s="344">
        <f>W252+W251</f>
        <v>250000</v>
      </c>
      <c r="X254" s="358"/>
    </row>
    <row r="255" s="20" customFormat="1" ht="36" customHeight="1" spans="1:24">
      <c r="A255" s="277" t="s">
        <v>280</v>
      </c>
      <c r="B255" s="277"/>
      <c r="C255" s="277"/>
      <c r="D255" s="277"/>
      <c r="E255" s="278"/>
      <c r="F255" s="328"/>
      <c r="G255" s="329">
        <f>287000000+17000000+599600</f>
        <v>304599600</v>
      </c>
      <c r="H255" s="329" t="s">
        <v>316</v>
      </c>
      <c r="I255" s="346">
        <f t="shared" ref="I255:N255" si="102">I251+I215+I177</f>
        <v>276211639.289057</v>
      </c>
      <c r="J255" s="346">
        <f t="shared" si="102"/>
        <v>27586932.85</v>
      </c>
      <c r="K255" s="346">
        <f t="shared" si="102"/>
        <v>303798572.139057</v>
      </c>
      <c r="L255" s="346">
        <f t="shared" si="102"/>
        <v>2208694.43</v>
      </c>
      <c r="M255" s="346">
        <f t="shared" si="102"/>
        <v>379417.19</v>
      </c>
      <c r="N255" s="346">
        <f t="shared" si="102"/>
        <v>0</v>
      </c>
      <c r="O255" s="347">
        <f>O251+O215+O177+P251+Q251+P215+Q215+P177+Q177</f>
        <v>689308.32</v>
      </c>
      <c r="P255" s="347"/>
      <c r="Q255" s="329"/>
      <c r="R255" s="346">
        <f t="shared" ref="R255:W255" si="103">R251+R215+R177</f>
        <v>116593.5</v>
      </c>
      <c r="S255" s="346">
        <f t="shared" si="103"/>
        <v>299133186.239057</v>
      </c>
      <c r="T255" s="346">
        <f t="shared" si="103"/>
        <v>1855000</v>
      </c>
      <c r="U255" s="346">
        <f t="shared" si="103"/>
        <v>267044735.34</v>
      </c>
      <c r="V255" s="346">
        <f t="shared" si="103"/>
        <v>1855000</v>
      </c>
      <c r="W255" s="346">
        <f t="shared" si="103"/>
        <v>31761810.3590566</v>
      </c>
      <c r="X255" s="329"/>
    </row>
    <row r="256" s="23" customFormat="1" ht="26" customHeight="1" spans="1:25">
      <c r="A256" s="277"/>
      <c r="B256" s="277"/>
      <c r="C256" s="277"/>
      <c r="D256" s="277"/>
      <c r="E256" s="278"/>
      <c r="F256" s="330"/>
      <c r="G256" s="212"/>
      <c r="H256" s="212" t="s">
        <v>317</v>
      </c>
      <c r="I256" s="301">
        <f t="shared" ref="I256:O256" si="104">I252+I216+I178</f>
        <v>49886197.57</v>
      </c>
      <c r="J256" s="301">
        <f t="shared" si="104"/>
        <v>4086480.05</v>
      </c>
      <c r="K256" s="301">
        <f t="shared" si="104"/>
        <v>53972677.62</v>
      </c>
      <c r="L256" s="301">
        <f t="shared" si="104"/>
        <v>0</v>
      </c>
      <c r="M256" s="301">
        <f t="shared" si="104"/>
        <v>0</v>
      </c>
      <c r="N256" s="301">
        <f t="shared" si="104"/>
        <v>0</v>
      </c>
      <c r="O256" s="301">
        <f t="shared" si="104"/>
        <v>201576.1</v>
      </c>
      <c r="P256" s="301"/>
      <c r="Q256" s="301"/>
      <c r="R256" s="301">
        <f t="shared" ref="R256:W256" si="105">R252+R216+R178</f>
        <v>-116593.5</v>
      </c>
      <c r="S256" s="301">
        <f t="shared" si="105"/>
        <v>24040460.25</v>
      </c>
      <c r="T256" s="301">
        <f t="shared" si="105"/>
        <v>0</v>
      </c>
      <c r="U256" s="301">
        <f t="shared" si="105"/>
        <v>33457189.4</v>
      </c>
      <c r="V256" s="301">
        <f t="shared" si="105"/>
        <v>2681000</v>
      </c>
      <c r="W256" s="301">
        <f t="shared" si="105"/>
        <v>-9102043.83</v>
      </c>
      <c r="X256" s="359"/>
      <c r="Y256" s="1"/>
    </row>
    <row r="257" s="23" customFormat="1" ht="26" customHeight="1" spans="1:25">
      <c r="A257" s="277"/>
      <c r="B257" s="277"/>
      <c r="C257" s="277"/>
      <c r="D257" s="277"/>
      <c r="E257" s="278"/>
      <c r="F257" s="330"/>
      <c r="G257" s="212"/>
      <c r="H257" s="212" t="s">
        <v>469</v>
      </c>
      <c r="I257" s="301"/>
      <c r="J257" s="301"/>
      <c r="K257" s="301"/>
      <c r="L257" s="301"/>
      <c r="M257" s="301"/>
      <c r="N257" s="301"/>
      <c r="O257" s="348"/>
      <c r="P257" s="345"/>
      <c r="Q257" s="344"/>
      <c r="R257" s="301"/>
      <c r="S257" s="301"/>
      <c r="T257" s="301"/>
      <c r="U257" s="301"/>
      <c r="V257" s="360"/>
      <c r="W257" s="360"/>
      <c r="X257" s="361"/>
      <c r="Y257" s="1"/>
    </row>
    <row r="258" s="23" customFormat="1" ht="38" customHeight="1" spans="1:25">
      <c r="A258" s="277"/>
      <c r="B258" s="277"/>
      <c r="C258" s="277"/>
      <c r="D258" s="277"/>
      <c r="E258" s="278"/>
      <c r="F258" s="331"/>
      <c r="G258" s="196"/>
      <c r="H258" s="37" t="s">
        <v>346</v>
      </c>
      <c r="I258" s="349">
        <f>I256+I255-I257</f>
        <v>326097836.859057</v>
      </c>
      <c r="J258" s="349">
        <f t="shared" ref="J258:O258" si="106">J256+J255</f>
        <v>31673412.9</v>
      </c>
      <c r="K258" s="349">
        <f t="shared" si="106"/>
        <v>357771249.759057</v>
      </c>
      <c r="L258" s="350">
        <f t="shared" si="106"/>
        <v>2208694.43</v>
      </c>
      <c r="M258" s="350">
        <f t="shared" si="106"/>
        <v>379417.19</v>
      </c>
      <c r="N258" s="350">
        <f t="shared" si="106"/>
        <v>0</v>
      </c>
      <c r="O258" s="351">
        <f t="shared" si="106"/>
        <v>890884.42</v>
      </c>
      <c r="P258" s="352"/>
      <c r="Q258" s="362"/>
      <c r="R258" s="349">
        <f t="shared" ref="R258:W258" si="107">R256+R255</f>
        <v>0</v>
      </c>
      <c r="S258" s="349">
        <f t="shared" si="107"/>
        <v>323173646.489057</v>
      </c>
      <c r="T258" s="349">
        <f t="shared" si="107"/>
        <v>1855000</v>
      </c>
      <c r="U258" s="349">
        <f t="shared" si="107"/>
        <v>300501924.74</v>
      </c>
      <c r="V258" s="363">
        <f t="shared" si="107"/>
        <v>4536000</v>
      </c>
      <c r="W258" s="364">
        <f t="shared" si="107"/>
        <v>22659766.5290566</v>
      </c>
      <c r="X258" s="365"/>
      <c r="Y258" s="1"/>
    </row>
    <row r="259" s="23" customFormat="1" ht="42" customHeight="1" spans="1:25">
      <c r="A259" s="24"/>
      <c r="B259" s="24"/>
      <c r="C259" s="24"/>
      <c r="D259" s="24"/>
      <c r="E259" s="25"/>
      <c r="F259" s="26"/>
      <c r="G259" s="27"/>
      <c r="H259" s="28"/>
      <c r="I259" s="29">
        <v>282809197.78</v>
      </c>
      <c r="J259" s="29"/>
      <c r="K259" s="29"/>
      <c r="L259" s="353">
        <f>L258+M258+N258+O258</f>
        <v>3478996.04</v>
      </c>
      <c r="M259" s="353"/>
      <c r="N259" s="353"/>
      <c r="O259" s="353"/>
      <c r="P259" s="353"/>
      <c r="Q259" s="353"/>
      <c r="R259" s="29"/>
      <c r="S259" s="366"/>
      <c r="T259" s="367"/>
      <c r="U259" s="29"/>
      <c r="V259" s="368"/>
      <c r="W259" s="368">
        <f>W120+W118</f>
        <v>524460.25</v>
      </c>
      <c r="X259" s="369"/>
      <c r="Y259" s="1"/>
    </row>
    <row r="260" s="23" customFormat="1" ht="40" customHeight="1" spans="1:25">
      <c r="A260" s="24"/>
      <c r="B260" s="24"/>
      <c r="C260" s="24"/>
      <c r="D260" s="24"/>
      <c r="E260" s="25"/>
      <c r="F260" s="26"/>
      <c r="G260" s="27"/>
      <c r="H260" s="332" t="s">
        <v>369</v>
      </c>
      <c r="I260" s="354">
        <v>276211639.289057</v>
      </c>
      <c r="J260" s="354">
        <v>27586932.8509434</v>
      </c>
      <c r="K260" s="354">
        <v>303798572.14</v>
      </c>
      <c r="L260" s="29">
        <v>2208694.43</v>
      </c>
      <c r="M260" s="29">
        <v>379417.19</v>
      </c>
      <c r="N260" s="29"/>
      <c r="O260" s="29"/>
      <c r="P260" s="29"/>
      <c r="Q260" s="29"/>
      <c r="R260" s="29"/>
      <c r="S260" s="367"/>
      <c r="T260" s="367"/>
      <c r="U260" s="29"/>
      <c r="V260" s="368"/>
      <c r="W260" s="370">
        <f>W258-W259</f>
        <v>22135306.2790566</v>
      </c>
      <c r="X260" s="369"/>
      <c r="Y260" s="1"/>
    </row>
    <row r="261" s="23" customFormat="1" spans="1:25">
      <c r="A261" s="24"/>
      <c r="B261" s="24"/>
      <c r="C261" s="24"/>
      <c r="D261" s="24"/>
      <c r="E261" s="25"/>
      <c r="F261" s="26"/>
      <c r="G261" s="27"/>
      <c r="H261" s="28"/>
      <c r="I261" s="29">
        <f t="shared" ref="I261:K261" si="108">I255-I260</f>
        <v>0</v>
      </c>
      <c r="J261" s="29">
        <f t="shared" si="108"/>
        <v>-0.000943399965763092</v>
      </c>
      <c r="K261" s="29">
        <f t="shared" si="108"/>
        <v>-0.000943481922149658</v>
      </c>
      <c r="L261" s="30"/>
      <c r="M261" s="30"/>
      <c r="N261" s="30"/>
      <c r="O261" s="30"/>
      <c r="P261" s="30"/>
      <c r="Q261" s="30"/>
      <c r="R261" s="30"/>
      <c r="S261" s="31"/>
      <c r="T261" s="31"/>
      <c r="U261" s="30"/>
      <c r="V261" s="32"/>
      <c r="W261" s="368"/>
      <c r="X261" s="371"/>
      <c r="Y261" s="1"/>
    </row>
    <row r="262" s="23" customFormat="1" spans="1:25">
      <c r="A262" s="24"/>
      <c r="B262" s="24"/>
      <c r="C262" s="24"/>
      <c r="D262" s="24"/>
      <c r="E262" s="25"/>
      <c r="F262" s="26"/>
      <c r="G262" s="27"/>
      <c r="H262" s="28"/>
      <c r="I262" s="29"/>
      <c r="J262" s="29"/>
      <c r="K262" s="29"/>
      <c r="L262" s="30"/>
      <c r="M262" s="30"/>
      <c r="N262" s="30"/>
      <c r="O262" s="30"/>
      <c r="P262" s="30"/>
      <c r="Q262" s="30"/>
      <c r="R262" s="30"/>
      <c r="S262" s="31"/>
      <c r="T262" s="31"/>
      <c r="U262" s="30"/>
      <c r="V262" s="32"/>
      <c r="W262" s="368"/>
      <c r="X262" s="371"/>
      <c r="Y262" s="1"/>
    </row>
    <row r="263" s="20" customFormat="1" ht="44" customHeight="1" spans="1:25">
      <c r="A263" s="24"/>
      <c r="B263" s="24"/>
      <c r="C263" s="24"/>
      <c r="D263" s="24"/>
      <c r="E263" s="25"/>
      <c r="F263" s="26"/>
      <c r="G263" s="333">
        <f>I258-I218</f>
        <v>308371106.96</v>
      </c>
      <c r="H263" s="332" t="s">
        <v>370</v>
      </c>
      <c r="I263" s="354">
        <f>25279064.57+25579568.94+23276.43</f>
        <v>50881909.94</v>
      </c>
      <c r="J263" s="354">
        <f>4101010.42-14256.7</f>
        <v>4086753.72</v>
      </c>
      <c r="K263" s="354">
        <f>J263+I263</f>
        <v>54968663.66</v>
      </c>
      <c r="L263" s="30"/>
      <c r="M263" s="30"/>
      <c r="N263" s="30"/>
      <c r="O263" s="30"/>
      <c r="P263" s="30"/>
      <c r="Q263" s="29"/>
      <c r="R263" s="29"/>
      <c r="S263" s="367"/>
      <c r="T263" s="31"/>
      <c r="U263" s="355"/>
      <c r="V263" s="32"/>
      <c r="W263" s="368">
        <v>22135306.28</v>
      </c>
      <c r="X263" s="33"/>
      <c r="Y263" s="1"/>
    </row>
    <row r="264" s="20" customFormat="1" ht="35" customHeight="1" spans="1:25">
      <c r="A264" s="24"/>
      <c r="B264" s="24"/>
      <c r="C264" s="24"/>
      <c r="D264" s="24"/>
      <c r="E264" s="25"/>
      <c r="F264" s="26"/>
      <c r="G264" s="333">
        <f>'[2]202405导出'!$C$44</f>
        <v>308412043.15</v>
      </c>
      <c r="H264" s="28"/>
      <c r="I264" s="29"/>
      <c r="J264" s="29"/>
      <c r="K264" s="29"/>
      <c r="L264" s="30"/>
      <c r="M264" s="30"/>
      <c r="N264" s="30"/>
      <c r="O264" s="30"/>
      <c r="P264" s="30"/>
      <c r="Q264" s="29"/>
      <c r="R264" s="29">
        <f>I258-I259</f>
        <v>43288639.0790566</v>
      </c>
      <c r="S264" s="367">
        <f>R266-R264</f>
        <v>-25561909.1790566</v>
      </c>
      <c r="T264" s="31"/>
      <c r="U264" s="30"/>
      <c r="V264" s="32"/>
      <c r="W264" s="368">
        <v>2605542.41</v>
      </c>
      <c r="X264" s="33"/>
      <c r="Y264" s="1"/>
    </row>
    <row r="265" s="20" customFormat="1" ht="15.75" spans="1:25">
      <c r="A265" s="24"/>
      <c r="B265" s="24"/>
      <c r="C265" s="24"/>
      <c r="D265" s="24"/>
      <c r="E265" s="25"/>
      <c r="F265" s="26"/>
      <c r="G265" s="333">
        <f>G263-G264</f>
        <v>-40936.1899999976</v>
      </c>
      <c r="H265" s="28"/>
      <c r="I265" s="29"/>
      <c r="J265" s="29"/>
      <c r="K265" s="29"/>
      <c r="L265" s="30"/>
      <c r="M265" s="30"/>
      <c r="N265" s="30"/>
      <c r="O265" s="30"/>
      <c r="P265" s="30"/>
      <c r="Q265" s="29"/>
      <c r="R265" s="29"/>
      <c r="S265" s="367"/>
      <c r="T265" s="31"/>
      <c r="U265" s="30"/>
      <c r="V265" s="32"/>
      <c r="W265" s="368"/>
      <c r="X265" s="33"/>
      <c r="Y265" s="1"/>
    </row>
    <row r="266" s="20" customFormat="1" ht="27" customHeight="1" spans="1:25">
      <c r="A266" s="24"/>
      <c r="B266" s="24"/>
      <c r="C266" s="24"/>
      <c r="D266" s="24"/>
      <c r="E266" s="25"/>
      <c r="F266" s="26"/>
      <c r="G266" s="27"/>
      <c r="H266" s="28"/>
      <c r="I266" s="356">
        <f>I263-I256-954776.19-I312</f>
        <v>1.22745404951274e-8</v>
      </c>
      <c r="J266" s="29">
        <f>J263-J256-J312</f>
        <v>-7.45217221265193e-11</v>
      </c>
      <c r="K266" s="356">
        <f>K263-K256-954776.19-K312</f>
        <v>1.40644260682166e-8</v>
      </c>
      <c r="L266" s="355"/>
      <c r="M266" s="355"/>
      <c r="N266" s="30"/>
      <c r="O266" s="30"/>
      <c r="P266" s="30"/>
      <c r="Q266" s="29"/>
      <c r="R266" s="29">
        <v>17726729.9</v>
      </c>
      <c r="S266" s="367"/>
      <c r="T266" s="31"/>
      <c r="U266" s="30"/>
      <c r="V266" s="32"/>
      <c r="W266" s="368"/>
      <c r="X266" s="33"/>
      <c r="Y266" s="1"/>
    </row>
    <row r="267" s="20" customFormat="1" ht="15.75" spans="1:25">
      <c r="A267" s="24"/>
      <c r="B267" s="24"/>
      <c r="C267" s="24"/>
      <c r="D267" s="24"/>
      <c r="E267" s="25"/>
      <c r="F267" s="26"/>
      <c r="G267" s="27"/>
      <c r="H267" s="28"/>
      <c r="I267" s="29"/>
      <c r="J267" s="29"/>
      <c r="K267" s="29"/>
      <c r="L267" s="30"/>
      <c r="M267" s="30"/>
      <c r="N267" s="30"/>
      <c r="O267" s="355"/>
      <c r="P267" s="30"/>
      <c r="Q267" s="30"/>
      <c r="R267" s="30"/>
      <c r="S267" s="31"/>
      <c r="T267" s="31"/>
      <c r="U267" s="30"/>
      <c r="V267" s="32"/>
      <c r="W267" s="368">
        <f>W260-W263</f>
        <v>-0.00094340369105339</v>
      </c>
      <c r="X267" s="33"/>
      <c r="Y267" s="1"/>
    </row>
    <row r="268" s="1" customFormat="1" spans="1:24">
      <c r="A268" s="24"/>
      <c r="B268" s="24"/>
      <c r="C268" s="24"/>
      <c r="D268" s="24"/>
      <c r="E268" s="25"/>
      <c r="F268" s="26"/>
      <c r="G268" s="27"/>
      <c r="H268" s="28"/>
      <c r="I268" s="29"/>
      <c r="J268" s="29"/>
      <c r="K268" s="29"/>
      <c r="L268" s="30"/>
      <c r="M268" s="355"/>
      <c r="N268" s="355"/>
      <c r="O268" s="30"/>
      <c r="P268" s="30"/>
      <c r="Q268" s="30"/>
      <c r="R268" s="30"/>
      <c r="S268" s="31"/>
      <c r="T268" s="31"/>
      <c r="U268" s="30"/>
      <c r="V268" s="32"/>
      <c r="W268" s="368"/>
      <c r="X268" s="33"/>
    </row>
    <row r="269" s="1" customFormat="1" spans="1:24">
      <c r="A269" s="24"/>
      <c r="B269" s="24"/>
      <c r="C269" s="24"/>
      <c r="D269" s="24"/>
      <c r="E269" s="25"/>
      <c r="F269" s="26"/>
      <c r="G269" s="27"/>
      <c r="H269" s="28"/>
      <c r="I269" s="29"/>
      <c r="J269" s="29"/>
      <c r="K269" s="29"/>
      <c r="L269" s="30"/>
      <c r="M269" s="30"/>
      <c r="N269" s="30"/>
      <c r="O269" s="30"/>
      <c r="P269" s="30"/>
      <c r="Q269" s="30"/>
      <c r="R269" s="30"/>
      <c r="S269" s="31"/>
      <c r="T269" s="31"/>
      <c r="U269" s="30"/>
      <c r="V269" s="32"/>
      <c r="W269" s="368"/>
      <c r="X269" s="33"/>
    </row>
    <row r="270" s="1" customFormat="1" spans="1:24">
      <c r="A270" s="24"/>
      <c r="B270" s="24"/>
      <c r="C270" s="24"/>
      <c r="D270" s="24"/>
      <c r="E270" s="25"/>
      <c r="F270" s="26"/>
      <c r="G270" s="27"/>
      <c r="H270" s="28"/>
      <c r="I270" s="29"/>
      <c r="J270" s="29"/>
      <c r="K270" s="29"/>
      <c r="L270" s="30"/>
      <c r="M270" s="30"/>
      <c r="N270" s="30"/>
      <c r="O270" s="30"/>
      <c r="P270" s="30"/>
      <c r="Q270" s="30"/>
      <c r="R270" s="30"/>
      <c r="S270" s="31"/>
      <c r="T270" s="31"/>
      <c r="U270" s="30"/>
      <c r="V270" s="32"/>
      <c r="W270" s="368"/>
      <c r="X270" s="33"/>
    </row>
    <row r="271" s="15" customFormat="1" ht="34" customHeight="1" spans="1:24">
      <c r="A271" s="36" t="s">
        <v>1</v>
      </c>
      <c r="B271" s="36" t="s">
        <v>2</v>
      </c>
      <c r="C271" s="36" t="s">
        <v>3</v>
      </c>
      <c r="D271" s="36" t="s">
        <v>4</v>
      </c>
      <c r="E271" s="37" t="s">
        <v>5</v>
      </c>
      <c r="F271" s="37" t="s">
        <v>6</v>
      </c>
      <c r="G271" s="36" t="s">
        <v>7</v>
      </c>
      <c r="H271" s="36" t="s">
        <v>8</v>
      </c>
      <c r="I271" s="86" t="s">
        <v>285</v>
      </c>
      <c r="J271" s="87"/>
      <c r="K271" s="87"/>
      <c r="L271" s="88" t="s">
        <v>286</v>
      </c>
      <c r="M271" s="89"/>
      <c r="N271" s="89"/>
      <c r="O271" s="89"/>
      <c r="P271" s="89"/>
      <c r="Q271" s="89"/>
      <c r="R271" s="122" t="s">
        <v>11</v>
      </c>
      <c r="S271" s="123" t="s">
        <v>12</v>
      </c>
      <c r="T271" s="124"/>
      <c r="U271" s="123" t="s">
        <v>287</v>
      </c>
      <c r="V271" s="124"/>
      <c r="W271" s="122" t="s">
        <v>14</v>
      </c>
      <c r="X271" s="122" t="s">
        <v>289</v>
      </c>
    </row>
    <row r="272" s="16" customFormat="1" ht="32" customHeight="1" spans="1:24">
      <c r="A272" s="36"/>
      <c r="B272" s="36"/>
      <c r="C272" s="36"/>
      <c r="D272" s="36"/>
      <c r="E272" s="37"/>
      <c r="F272" s="37"/>
      <c r="G272" s="36"/>
      <c r="H272" s="36"/>
      <c r="I272" s="36" t="s">
        <v>18</v>
      </c>
      <c r="J272" s="36" t="s">
        <v>19</v>
      </c>
      <c r="K272" s="36" t="s">
        <v>20</v>
      </c>
      <c r="L272" s="36" t="s">
        <v>290</v>
      </c>
      <c r="M272" s="36" t="s">
        <v>291</v>
      </c>
      <c r="N272" s="36" t="s">
        <v>23</v>
      </c>
      <c r="O272" s="90" t="s">
        <v>292</v>
      </c>
      <c r="P272" s="91"/>
      <c r="Q272" s="125"/>
      <c r="R272" s="126"/>
      <c r="S272" s="127" t="s">
        <v>26</v>
      </c>
      <c r="T272" s="92" t="s">
        <v>27</v>
      </c>
      <c r="U272" s="127" t="s">
        <v>28</v>
      </c>
      <c r="V272" s="127" t="s">
        <v>27</v>
      </c>
      <c r="W272" s="126"/>
      <c r="X272" s="126"/>
    </row>
    <row r="273" s="16" customFormat="1" ht="44" customHeight="1" spans="1:24">
      <c r="A273" s="36"/>
      <c r="B273" s="36"/>
      <c r="C273" s="36"/>
      <c r="D273" s="36"/>
      <c r="E273" s="37"/>
      <c r="F273" s="37"/>
      <c r="G273" s="36"/>
      <c r="H273" s="36"/>
      <c r="I273" s="36"/>
      <c r="J273" s="36"/>
      <c r="K273" s="36"/>
      <c r="L273" s="36"/>
      <c r="M273" s="36"/>
      <c r="N273" s="36"/>
      <c r="O273" s="92" t="s">
        <v>293</v>
      </c>
      <c r="P273" s="92" t="s">
        <v>294</v>
      </c>
      <c r="Q273" s="92" t="s">
        <v>25</v>
      </c>
      <c r="R273" s="126"/>
      <c r="S273" s="127"/>
      <c r="T273" s="125"/>
      <c r="U273" s="128"/>
      <c r="V273" s="128"/>
      <c r="W273" s="129"/>
      <c r="X273" s="129"/>
    </row>
    <row r="274" s="1" customFormat="1" ht="36" customHeight="1" spans="1:24">
      <c r="A274" s="216" t="s">
        <v>397</v>
      </c>
      <c r="B274" s="334"/>
      <c r="C274" s="334"/>
      <c r="D274" s="334"/>
      <c r="E274" s="335"/>
      <c r="F274" s="335"/>
      <c r="G274" s="334"/>
      <c r="H274" s="336"/>
      <c r="I274" s="94"/>
      <c r="J274" s="94"/>
      <c r="K274" s="94"/>
      <c r="L274" s="94"/>
      <c r="M274" s="94"/>
      <c r="N274" s="94"/>
      <c r="O274" s="94"/>
      <c r="P274" s="94"/>
      <c r="Q274" s="94"/>
      <c r="R274" s="94"/>
      <c r="S274" s="94">
        <f>K274-L274-M274-N274-O274+R274</f>
        <v>0</v>
      </c>
      <c r="T274" s="94"/>
      <c r="U274" s="94"/>
      <c r="V274" s="94"/>
      <c r="W274" s="94"/>
      <c r="X274" s="145"/>
    </row>
    <row r="275" s="22" customFormat="1" ht="13.9" spans="1:235">
      <c r="A275" s="337" t="s">
        <v>398</v>
      </c>
      <c r="B275" s="338"/>
      <c r="C275" s="338"/>
      <c r="D275" s="338"/>
      <c r="E275" s="339"/>
      <c r="F275" s="103" t="s">
        <v>296</v>
      </c>
      <c r="G275" s="174" t="s">
        <v>339</v>
      </c>
      <c r="H275" s="285" t="s">
        <v>399</v>
      </c>
      <c r="I275" s="94">
        <v>1180</v>
      </c>
      <c r="J275" s="94"/>
      <c r="K275" s="94">
        <f t="shared" ref="K275:K294" si="109">J275+I275</f>
        <v>1180</v>
      </c>
      <c r="L275" s="237"/>
      <c r="M275" s="237"/>
      <c r="N275" s="237"/>
      <c r="O275" s="237"/>
      <c r="P275" s="237"/>
      <c r="Q275" s="237"/>
      <c r="R275" s="237"/>
      <c r="S275" s="94">
        <f t="shared" ref="S275:S280" si="110">K275</f>
        <v>1180</v>
      </c>
      <c r="T275" s="94"/>
      <c r="U275" s="237">
        <f t="shared" ref="U275:U280" si="111">S275</f>
        <v>1180</v>
      </c>
      <c r="V275" s="237"/>
      <c r="W275" s="237">
        <f t="shared" ref="W275:W280" si="112">S275+T275-U275-V275</f>
        <v>0</v>
      </c>
      <c r="X275" s="158"/>
      <c r="Y275" s="311"/>
      <c r="Z275" s="311"/>
      <c r="AA275" s="311"/>
      <c r="AB275" s="311"/>
      <c r="AC275" s="311"/>
      <c r="AD275" s="311"/>
      <c r="AE275" s="311"/>
      <c r="AF275" s="311"/>
      <c r="AG275" s="311"/>
      <c r="AH275" s="311"/>
      <c r="AI275" s="311"/>
      <c r="AJ275" s="311"/>
      <c r="AK275" s="311"/>
      <c r="AL275" s="311"/>
      <c r="AM275" s="311"/>
      <c r="AN275" s="311"/>
      <c r="AO275" s="311"/>
      <c r="AP275" s="311"/>
      <c r="AQ275" s="311"/>
      <c r="AR275" s="311"/>
      <c r="AS275" s="311"/>
      <c r="AT275" s="311"/>
      <c r="AU275" s="311"/>
      <c r="AV275" s="311"/>
      <c r="AW275" s="311"/>
      <c r="AX275" s="311"/>
      <c r="AY275" s="311"/>
      <c r="AZ275" s="311"/>
      <c r="BA275" s="311"/>
      <c r="BB275" s="311"/>
      <c r="BC275" s="311"/>
      <c r="BD275" s="311"/>
      <c r="BE275" s="311"/>
      <c r="BF275" s="311"/>
      <c r="BG275" s="311"/>
      <c r="BH275" s="311"/>
      <c r="BI275" s="311"/>
      <c r="BJ275" s="311"/>
      <c r="BK275" s="311"/>
      <c r="BL275" s="311"/>
      <c r="BM275" s="311"/>
      <c r="BN275" s="311"/>
      <c r="BO275" s="311"/>
      <c r="BP275" s="311"/>
      <c r="BQ275" s="311"/>
      <c r="BR275" s="311"/>
      <c r="BS275" s="311"/>
      <c r="BT275" s="311"/>
      <c r="BU275" s="311"/>
      <c r="BV275" s="311"/>
      <c r="BW275" s="311"/>
      <c r="BX275" s="311"/>
      <c r="BY275" s="311"/>
      <c r="BZ275" s="311"/>
      <c r="CA275" s="311"/>
      <c r="CB275" s="311"/>
      <c r="CC275" s="311"/>
      <c r="CD275" s="311"/>
      <c r="CE275" s="311"/>
      <c r="CF275" s="311"/>
      <c r="CG275" s="311"/>
      <c r="CH275" s="311"/>
      <c r="CI275" s="311"/>
      <c r="CJ275" s="311"/>
      <c r="CK275" s="311"/>
      <c r="CL275" s="311"/>
      <c r="CM275" s="311"/>
      <c r="CN275" s="311"/>
      <c r="CO275" s="311"/>
      <c r="CP275" s="311"/>
      <c r="CQ275" s="311"/>
      <c r="CR275" s="311"/>
      <c r="CS275" s="311"/>
      <c r="CT275" s="311"/>
      <c r="CU275" s="311"/>
      <c r="CV275" s="311"/>
      <c r="CW275" s="311"/>
      <c r="CX275" s="311"/>
      <c r="CY275" s="311"/>
      <c r="CZ275" s="311"/>
      <c r="DA275" s="311"/>
      <c r="DB275" s="311"/>
      <c r="DC275" s="311"/>
      <c r="DD275" s="311"/>
      <c r="DE275" s="311"/>
      <c r="DF275" s="311"/>
      <c r="DG275" s="311"/>
      <c r="DH275" s="311"/>
      <c r="DI275" s="311"/>
      <c r="DJ275" s="311"/>
      <c r="DK275" s="311"/>
      <c r="DL275" s="311"/>
      <c r="DM275" s="311"/>
      <c r="DN275" s="311"/>
      <c r="DO275" s="311"/>
      <c r="DP275" s="311"/>
      <c r="DQ275" s="311"/>
      <c r="DR275" s="311"/>
      <c r="DS275" s="311"/>
      <c r="DT275" s="311"/>
      <c r="DU275" s="311"/>
      <c r="DV275" s="311"/>
      <c r="DW275" s="311"/>
      <c r="DX275" s="311"/>
      <c r="DY275" s="311"/>
      <c r="DZ275" s="311"/>
      <c r="EA275" s="311"/>
      <c r="EB275" s="311"/>
      <c r="EC275" s="311"/>
      <c r="ED275" s="311"/>
      <c r="EE275" s="311"/>
      <c r="EF275" s="311"/>
      <c r="EG275" s="311"/>
      <c r="EH275" s="311"/>
      <c r="EI275" s="311"/>
      <c r="EJ275" s="311"/>
      <c r="EK275" s="311"/>
      <c r="EL275" s="311"/>
      <c r="EM275" s="311"/>
      <c r="EN275" s="311"/>
      <c r="EO275" s="311"/>
      <c r="EP275" s="311"/>
      <c r="EQ275" s="311"/>
      <c r="ER275" s="311"/>
      <c r="ES275" s="311"/>
      <c r="ET275" s="311"/>
      <c r="EU275" s="311"/>
      <c r="EV275" s="311"/>
      <c r="EW275" s="311"/>
      <c r="EX275" s="311"/>
      <c r="EY275" s="311"/>
      <c r="EZ275" s="311"/>
      <c r="FA275" s="311"/>
      <c r="FB275" s="311"/>
      <c r="FC275" s="311"/>
      <c r="FD275" s="311"/>
      <c r="FE275" s="311"/>
      <c r="FF275" s="311"/>
      <c r="FG275" s="311"/>
      <c r="FH275" s="311"/>
      <c r="FI275" s="311"/>
      <c r="FJ275" s="311"/>
      <c r="FK275" s="311"/>
      <c r="FL275" s="311"/>
      <c r="FM275" s="311"/>
      <c r="FN275" s="311"/>
      <c r="FO275" s="311"/>
      <c r="FP275" s="311"/>
      <c r="FQ275" s="311"/>
      <c r="FR275" s="311"/>
      <c r="FS275" s="311"/>
      <c r="FT275" s="311"/>
      <c r="FU275" s="311"/>
      <c r="FV275" s="311"/>
      <c r="FW275" s="311"/>
      <c r="FX275" s="311"/>
      <c r="FY275" s="311"/>
      <c r="FZ275" s="311"/>
      <c r="GA275" s="311"/>
      <c r="GB275" s="311"/>
      <c r="GC275" s="311"/>
      <c r="GD275" s="311"/>
      <c r="GE275" s="311"/>
      <c r="GF275" s="311"/>
      <c r="GG275" s="311"/>
      <c r="GH275" s="311"/>
      <c r="GI275" s="311"/>
      <c r="GJ275" s="311"/>
      <c r="GK275" s="311"/>
      <c r="GL275" s="311"/>
      <c r="GM275" s="311"/>
      <c r="GN275" s="311"/>
      <c r="GO275" s="311"/>
      <c r="GP275" s="311"/>
      <c r="GQ275" s="311"/>
      <c r="GR275" s="311"/>
      <c r="GS275" s="311"/>
      <c r="GT275" s="311"/>
      <c r="GU275" s="311"/>
      <c r="GV275" s="311"/>
      <c r="GW275" s="311"/>
      <c r="GX275" s="311"/>
      <c r="GY275" s="311"/>
      <c r="GZ275" s="311"/>
      <c r="HA275" s="311"/>
      <c r="HB275" s="311"/>
      <c r="HC275" s="311"/>
      <c r="HD275" s="311"/>
      <c r="HE275" s="311"/>
      <c r="HF275" s="311"/>
      <c r="HG275" s="311"/>
      <c r="HH275" s="311"/>
      <c r="HI275" s="311"/>
      <c r="HJ275" s="311"/>
      <c r="HK275" s="311"/>
      <c r="HL275" s="311"/>
      <c r="HM275" s="311"/>
      <c r="HN275" s="311"/>
      <c r="HO275" s="311"/>
      <c r="HP275" s="311"/>
      <c r="HQ275" s="311"/>
      <c r="HR275" s="311"/>
      <c r="HS275" s="311"/>
      <c r="HT275" s="311"/>
      <c r="HU275" s="311"/>
      <c r="HV275" s="311"/>
      <c r="HW275" s="311"/>
      <c r="HX275" s="311"/>
      <c r="HY275" s="311"/>
      <c r="HZ275" s="311"/>
      <c r="IA275" s="311"/>
    </row>
    <row r="276" s="22" customFormat="1" ht="13.9" spans="1:235">
      <c r="A276" s="340"/>
      <c r="B276" s="341"/>
      <c r="C276" s="341"/>
      <c r="D276" s="341"/>
      <c r="E276" s="342"/>
      <c r="F276" s="105"/>
      <c r="G276" s="174" t="s">
        <v>339</v>
      </c>
      <c r="H276" s="285" t="s">
        <v>368</v>
      </c>
      <c r="I276" s="302">
        <v>3519.8</v>
      </c>
      <c r="J276" s="302">
        <f>7.49+18.71</f>
        <v>26.2</v>
      </c>
      <c r="K276" s="94">
        <f t="shared" si="109"/>
        <v>3546</v>
      </c>
      <c r="L276" s="237"/>
      <c r="M276" s="237"/>
      <c r="N276" s="237"/>
      <c r="O276" s="237"/>
      <c r="P276" s="237"/>
      <c r="Q276" s="237"/>
      <c r="R276" s="310"/>
      <c r="S276" s="94">
        <f t="shared" si="110"/>
        <v>3546</v>
      </c>
      <c r="T276" s="94"/>
      <c r="U276" s="237">
        <f t="shared" si="111"/>
        <v>3546</v>
      </c>
      <c r="V276" s="310"/>
      <c r="W276" s="237">
        <f t="shared" si="112"/>
        <v>0</v>
      </c>
      <c r="X276" s="158"/>
      <c r="Y276" s="313"/>
      <c r="Z276" s="313"/>
      <c r="AA276" s="313"/>
      <c r="AB276" s="313"/>
      <c r="AC276" s="313"/>
      <c r="AD276" s="313"/>
      <c r="AE276" s="313"/>
      <c r="AF276" s="313"/>
      <c r="AG276" s="313"/>
      <c r="AH276" s="313"/>
      <c r="AI276" s="313"/>
      <c r="AJ276" s="313"/>
      <c r="AK276" s="313"/>
      <c r="AL276" s="313"/>
      <c r="AM276" s="313"/>
      <c r="AN276" s="313"/>
      <c r="AO276" s="313"/>
      <c r="AP276" s="313"/>
      <c r="AQ276" s="313"/>
      <c r="AR276" s="313"/>
      <c r="AS276" s="313"/>
      <c r="AT276" s="313"/>
      <c r="AU276" s="313"/>
      <c r="AV276" s="313"/>
      <c r="AW276" s="313"/>
      <c r="AX276" s="313"/>
      <c r="AY276" s="313"/>
      <c r="AZ276" s="313"/>
      <c r="BA276" s="313"/>
      <c r="BB276" s="313"/>
      <c r="BC276" s="313"/>
      <c r="BD276" s="313"/>
      <c r="BE276" s="313"/>
      <c r="BF276" s="313"/>
      <c r="BG276" s="313"/>
      <c r="BH276" s="313"/>
      <c r="BI276" s="313"/>
      <c r="BJ276" s="313"/>
      <c r="BK276" s="313"/>
      <c r="BL276" s="313"/>
      <c r="BM276" s="313"/>
      <c r="BN276" s="313"/>
      <c r="BO276" s="313"/>
      <c r="BP276" s="313"/>
      <c r="BQ276" s="313"/>
      <c r="BR276" s="313"/>
      <c r="BS276" s="313"/>
      <c r="BT276" s="313"/>
      <c r="BU276" s="313"/>
      <c r="BV276" s="313"/>
      <c r="BW276" s="313"/>
      <c r="BX276" s="313"/>
      <c r="BY276" s="313"/>
      <c r="BZ276" s="313"/>
      <c r="CA276" s="313"/>
      <c r="CB276" s="313"/>
      <c r="CC276" s="313"/>
      <c r="CD276" s="313"/>
      <c r="CE276" s="313"/>
      <c r="CF276" s="313"/>
      <c r="CG276" s="313"/>
      <c r="CH276" s="313"/>
      <c r="CI276" s="313"/>
      <c r="CJ276" s="313"/>
      <c r="CK276" s="313"/>
      <c r="CL276" s="313"/>
      <c r="CM276" s="313"/>
      <c r="CN276" s="313"/>
      <c r="CO276" s="313"/>
      <c r="CP276" s="313"/>
      <c r="CQ276" s="313"/>
      <c r="CR276" s="313"/>
      <c r="CS276" s="313"/>
      <c r="CT276" s="313"/>
      <c r="CU276" s="313"/>
      <c r="CV276" s="313"/>
      <c r="CW276" s="313"/>
      <c r="CX276" s="313"/>
      <c r="CY276" s="313"/>
      <c r="CZ276" s="313"/>
      <c r="DA276" s="313"/>
      <c r="DB276" s="313"/>
      <c r="DC276" s="313"/>
      <c r="DD276" s="313"/>
      <c r="DE276" s="313"/>
      <c r="DF276" s="313"/>
      <c r="DG276" s="313"/>
      <c r="DH276" s="313"/>
      <c r="DI276" s="313"/>
      <c r="DJ276" s="313"/>
      <c r="DK276" s="313"/>
      <c r="DL276" s="313"/>
      <c r="DM276" s="313"/>
      <c r="DN276" s="313"/>
      <c r="DO276" s="313"/>
      <c r="DP276" s="313"/>
      <c r="DQ276" s="313"/>
      <c r="DR276" s="313"/>
      <c r="DS276" s="313"/>
      <c r="DT276" s="313"/>
      <c r="DU276" s="313"/>
      <c r="DV276" s="313"/>
      <c r="DW276" s="313"/>
      <c r="DX276" s="313"/>
      <c r="DY276" s="313"/>
      <c r="DZ276" s="313"/>
      <c r="EA276" s="313"/>
      <c r="EB276" s="313"/>
      <c r="EC276" s="313"/>
      <c r="ED276" s="313"/>
      <c r="EE276" s="313"/>
      <c r="EF276" s="313"/>
      <c r="EG276" s="313"/>
      <c r="EH276" s="313"/>
      <c r="EI276" s="313"/>
      <c r="EJ276" s="313"/>
      <c r="EK276" s="313"/>
      <c r="EL276" s="313"/>
      <c r="EM276" s="313"/>
      <c r="EN276" s="313"/>
      <c r="EO276" s="313"/>
      <c r="EP276" s="313"/>
      <c r="EQ276" s="313"/>
      <c r="ER276" s="313"/>
      <c r="ES276" s="313"/>
      <c r="ET276" s="313"/>
      <c r="EU276" s="313"/>
      <c r="EV276" s="313"/>
      <c r="EW276" s="313"/>
      <c r="EX276" s="313"/>
      <c r="EY276" s="313"/>
      <c r="EZ276" s="313"/>
      <c r="FA276" s="313"/>
      <c r="FB276" s="313"/>
      <c r="FC276" s="313"/>
      <c r="FD276" s="313"/>
      <c r="FE276" s="313"/>
      <c r="FF276" s="313"/>
      <c r="FG276" s="313"/>
      <c r="FH276" s="313"/>
      <c r="FI276" s="313"/>
      <c r="FJ276" s="313"/>
      <c r="FK276" s="313"/>
      <c r="FL276" s="313"/>
      <c r="FM276" s="313"/>
      <c r="FN276" s="313"/>
      <c r="FO276" s="313"/>
      <c r="FP276" s="313"/>
      <c r="FQ276" s="313"/>
      <c r="FR276" s="313"/>
      <c r="FS276" s="313"/>
      <c r="FT276" s="313"/>
      <c r="FU276" s="313"/>
      <c r="FV276" s="313"/>
      <c r="FW276" s="313"/>
      <c r="FX276" s="313"/>
      <c r="FY276" s="313"/>
      <c r="FZ276" s="313"/>
      <c r="GA276" s="313"/>
      <c r="GB276" s="313"/>
      <c r="GC276" s="313"/>
      <c r="GD276" s="313"/>
      <c r="GE276" s="313"/>
      <c r="GF276" s="313"/>
      <c r="GG276" s="313"/>
      <c r="GH276" s="313"/>
      <c r="GI276" s="313"/>
      <c r="GJ276" s="313"/>
      <c r="GK276" s="313"/>
      <c r="GL276" s="313"/>
      <c r="GM276" s="313"/>
      <c r="GN276" s="313"/>
      <c r="GO276" s="313"/>
      <c r="GP276" s="313"/>
      <c r="GQ276" s="313"/>
      <c r="GR276" s="313"/>
      <c r="GS276" s="313"/>
      <c r="GT276" s="313"/>
      <c r="GU276" s="313"/>
      <c r="GV276" s="313"/>
      <c r="GW276" s="313"/>
      <c r="GX276" s="313"/>
      <c r="GY276" s="313"/>
      <c r="GZ276" s="313"/>
      <c r="HA276" s="313"/>
      <c r="HB276" s="313"/>
      <c r="HC276" s="313"/>
      <c r="HD276" s="313"/>
      <c r="HE276" s="313"/>
      <c r="HF276" s="313"/>
      <c r="HG276" s="313"/>
      <c r="HH276" s="313"/>
      <c r="HI276" s="313"/>
      <c r="HJ276" s="313"/>
      <c r="HK276" s="313"/>
      <c r="HL276" s="313"/>
      <c r="HM276" s="313"/>
      <c r="HN276" s="313"/>
      <c r="HO276" s="313"/>
      <c r="HP276" s="313"/>
      <c r="HQ276" s="313"/>
      <c r="HR276" s="313"/>
      <c r="HS276" s="313"/>
      <c r="HT276" s="313"/>
      <c r="HU276" s="313"/>
      <c r="HV276" s="313"/>
      <c r="HW276" s="313"/>
      <c r="HX276" s="313"/>
      <c r="HY276" s="313"/>
      <c r="HZ276" s="313"/>
      <c r="IA276" s="313"/>
    </row>
    <row r="277" s="22" customFormat="1" ht="13.9" spans="1:235">
      <c r="A277" s="340"/>
      <c r="B277" s="341"/>
      <c r="C277" s="341"/>
      <c r="D277" s="341"/>
      <c r="E277" s="342"/>
      <c r="F277" s="105"/>
      <c r="G277" s="174" t="s">
        <v>423</v>
      </c>
      <c r="H277" s="285" t="s">
        <v>399</v>
      </c>
      <c r="I277" s="302">
        <v>7420</v>
      </c>
      <c r="J277" s="302"/>
      <c r="K277" s="94">
        <f>I277+J277</f>
        <v>7420</v>
      </c>
      <c r="L277" s="237"/>
      <c r="M277" s="237"/>
      <c r="N277" s="237"/>
      <c r="O277" s="237"/>
      <c r="P277" s="237"/>
      <c r="Q277" s="237"/>
      <c r="R277" s="310"/>
      <c r="S277" s="94"/>
      <c r="T277" s="94"/>
      <c r="U277" s="237"/>
      <c r="V277" s="310"/>
      <c r="W277" s="237"/>
      <c r="X277" s="158"/>
      <c r="Y277" s="313"/>
      <c r="Z277" s="313"/>
      <c r="AA277" s="313"/>
      <c r="AB277" s="313"/>
      <c r="AC277" s="313"/>
      <c r="AD277" s="313"/>
      <c r="AE277" s="313"/>
      <c r="AF277" s="313"/>
      <c r="AG277" s="313"/>
      <c r="AH277" s="313"/>
      <c r="AI277" s="313"/>
      <c r="AJ277" s="313"/>
      <c r="AK277" s="313"/>
      <c r="AL277" s="313"/>
      <c r="AM277" s="313"/>
      <c r="AN277" s="313"/>
      <c r="AO277" s="313"/>
      <c r="AP277" s="313"/>
      <c r="AQ277" s="313"/>
      <c r="AR277" s="313"/>
      <c r="AS277" s="313"/>
      <c r="AT277" s="313"/>
      <c r="AU277" s="313"/>
      <c r="AV277" s="313"/>
      <c r="AW277" s="313"/>
      <c r="AX277" s="313"/>
      <c r="AY277" s="313"/>
      <c r="AZ277" s="313"/>
      <c r="BA277" s="313"/>
      <c r="BB277" s="313"/>
      <c r="BC277" s="313"/>
      <c r="BD277" s="313"/>
      <c r="BE277" s="313"/>
      <c r="BF277" s="313"/>
      <c r="BG277" s="313"/>
      <c r="BH277" s="313"/>
      <c r="BI277" s="313"/>
      <c r="BJ277" s="313"/>
      <c r="BK277" s="313"/>
      <c r="BL277" s="313"/>
      <c r="BM277" s="313"/>
      <c r="BN277" s="313"/>
      <c r="BO277" s="313"/>
      <c r="BP277" s="313"/>
      <c r="BQ277" s="313"/>
      <c r="BR277" s="313"/>
      <c r="BS277" s="313"/>
      <c r="BT277" s="313"/>
      <c r="BU277" s="313"/>
      <c r="BV277" s="313"/>
      <c r="BW277" s="313"/>
      <c r="BX277" s="313"/>
      <c r="BY277" s="313"/>
      <c r="BZ277" s="313"/>
      <c r="CA277" s="313"/>
      <c r="CB277" s="313"/>
      <c r="CC277" s="313"/>
      <c r="CD277" s="313"/>
      <c r="CE277" s="313"/>
      <c r="CF277" s="313"/>
      <c r="CG277" s="313"/>
      <c r="CH277" s="313"/>
      <c r="CI277" s="313"/>
      <c r="CJ277" s="313"/>
      <c r="CK277" s="313"/>
      <c r="CL277" s="313"/>
      <c r="CM277" s="313"/>
      <c r="CN277" s="313"/>
      <c r="CO277" s="313"/>
      <c r="CP277" s="313"/>
      <c r="CQ277" s="313"/>
      <c r="CR277" s="313"/>
      <c r="CS277" s="313"/>
      <c r="CT277" s="313"/>
      <c r="CU277" s="313"/>
      <c r="CV277" s="313"/>
      <c r="CW277" s="313"/>
      <c r="CX277" s="313"/>
      <c r="CY277" s="313"/>
      <c r="CZ277" s="313"/>
      <c r="DA277" s="313"/>
      <c r="DB277" s="313"/>
      <c r="DC277" s="313"/>
      <c r="DD277" s="313"/>
      <c r="DE277" s="313"/>
      <c r="DF277" s="313"/>
      <c r="DG277" s="313"/>
      <c r="DH277" s="313"/>
      <c r="DI277" s="313"/>
      <c r="DJ277" s="313"/>
      <c r="DK277" s="313"/>
      <c r="DL277" s="313"/>
      <c r="DM277" s="313"/>
      <c r="DN277" s="313"/>
      <c r="DO277" s="313"/>
      <c r="DP277" s="313"/>
      <c r="DQ277" s="313"/>
      <c r="DR277" s="313"/>
      <c r="DS277" s="313"/>
      <c r="DT277" s="313"/>
      <c r="DU277" s="313"/>
      <c r="DV277" s="313"/>
      <c r="DW277" s="313"/>
      <c r="DX277" s="313"/>
      <c r="DY277" s="313"/>
      <c r="DZ277" s="313"/>
      <c r="EA277" s="313"/>
      <c r="EB277" s="313"/>
      <c r="EC277" s="313"/>
      <c r="ED277" s="313"/>
      <c r="EE277" s="313"/>
      <c r="EF277" s="313"/>
      <c r="EG277" s="313"/>
      <c r="EH277" s="313"/>
      <c r="EI277" s="313"/>
      <c r="EJ277" s="313"/>
      <c r="EK277" s="313"/>
      <c r="EL277" s="313"/>
      <c r="EM277" s="313"/>
      <c r="EN277" s="313"/>
      <c r="EO277" s="313"/>
      <c r="EP277" s="313"/>
      <c r="EQ277" s="313"/>
      <c r="ER277" s="313"/>
      <c r="ES277" s="313"/>
      <c r="ET277" s="313"/>
      <c r="EU277" s="313"/>
      <c r="EV277" s="313"/>
      <c r="EW277" s="313"/>
      <c r="EX277" s="313"/>
      <c r="EY277" s="313"/>
      <c r="EZ277" s="313"/>
      <c r="FA277" s="313"/>
      <c r="FB277" s="313"/>
      <c r="FC277" s="313"/>
      <c r="FD277" s="313"/>
      <c r="FE277" s="313"/>
      <c r="FF277" s="313"/>
      <c r="FG277" s="313"/>
      <c r="FH277" s="313"/>
      <c r="FI277" s="313"/>
      <c r="FJ277" s="313"/>
      <c r="FK277" s="313"/>
      <c r="FL277" s="313"/>
      <c r="FM277" s="313"/>
      <c r="FN277" s="313"/>
      <c r="FO277" s="313"/>
      <c r="FP277" s="313"/>
      <c r="FQ277" s="313"/>
      <c r="FR277" s="313"/>
      <c r="FS277" s="313"/>
      <c r="FT277" s="313"/>
      <c r="FU277" s="313"/>
      <c r="FV277" s="313"/>
      <c r="FW277" s="313"/>
      <c r="FX277" s="313"/>
      <c r="FY277" s="313"/>
      <c r="FZ277" s="313"/>
      <c r="GA277" s="313"/>
      <c r="GB277" s="313"/>
      <c r="GC277" s="313"/>
      <c r="GD277" s="313"/>
      <c r="GE277" s="313"/>
      <c r="GF277" s="313"/>
      <c r="GG277" s="313"/>
      <c r="GH277" s="313"/>
      <c r="GI277" s="313"/>
      <c r="GJ277" s="313"/>
      <c r="GK277" s="313"/>
      <c r="GL277" s="313"/>
      <c r="GM277" s="313"/>
      <c r="GN277" s="313"/>
      <c r="GO277" s="313"/>
      <c r="GP277" s="313"/>
      <c r="GQ277" s="313"/>
      <c r="GR277" s="313"/>
      <c r="GS277" s="313"/>
      <c r="GT277" s="313"/>
      <c r="GU277" s="313"/>
      <c r="GV277" s="313"/>
      <c r="GW277" s="313"/>
      <c r="GX277" s="313"/>
      <c r="GY277" s="313"/>
      <c r="GZ277" s="313"/>
      <c r="HA277" s="313"/>
      <c r="HB277" s="313"/>
      <c r="HC277" s="313"/>
      <c r="HD277" s="313"/>
      <c r="HE277" s="313"/>
      <c r="HF277" s="313"/>
      <c r="HG277" s="313"/>
      <c r="HH277" s="313"/>
      <c r="HI277" s="313"/>
      <c r="HJ277" s="313"/>
      <c r="HK277" s="313"/>
      <c r="HL277" s="313"/>
      <c r="HM277" s="313"/>
      <c r="HN277" s="313"/>
      <c r="HO277" s="313"/>
      <c r="HP277" s="313"/>
      <c r="HQ277" s="313"/>
      <c r="HR277" s="313"/>
      <c r="HS277" s="313"/>
      <c r="HT277" s="313"/>
      <c r="HU277" s="313"/>
      <c r="HV277" s="313"/>
      <c r="HW277" s="313"/>
      <c r="HX277" s="313"/>
      <c r="HY277" s="313"/>
      <c r="HZ277" s="313"/>
      <c r="IA277" s="313"/>
    </row>
    <row r="278" s="22" customFormat="1" ht="13.9" spans="1:235">
      <c r="A278" s="340"/>
      <c r="B278" s="341"/>
      <c r="C278" s="341"/>
      <c r="D278" s="341"/>
      <c r="E278" s="342"/>
      <c r="F278" s="105"/>
      <c r="G278" s="174" t="s">
        <v>423</v>
      </c>
      <c r="H278" s="285" t="s">
        <v>368</v>
      </c>
      <c r="I278" s="302">
        <v>3045.54</v>
      </c>
      <c r="J278" s="302">
        <f>11.23+11.23</f>
        <v>22.46</v>
      </c>
      <c r="K278" s="94">
        <f>I278+J278</f>
        <v>3068</v>
      </c>
      <c r="L278" s="237"/>
      <c r="M278" s="237"/>
      <c r="N278" s="237"/>
      <c r="O278" s="237"/>
      <c r="P278" s="237"/>
      <c r="Q278" s="237"/>
      <c r="R278" s="310"/>
      <c r="S278" s="94"/>
      <c r="T278" s="94"/>
      <c r="U278" s="237"/>
      <c r="V278" s="310"/>
      <c r="W278" s="237"/>
      <c r="X278" s="158"/>
      <c r="Y278" s="313"/>
      <c r="Z278" s="313"/>
      <c r="AA278" s="313"/>
      <c r="AB278" s="313"/>
      <c r="AC278" s="313"/>
      <c r="AD278" s="313"/>
      <c r="AE278" s="313"/>
      <c r="AF278" s="313"/>
      <c r="AG278" s="313"/>
      <c r="AH278" s="313"/>
      <c r="AI278" s="313"/>
      <c r="AJ278" s="313"/>
      <c r="AK278" s="313"/>
      <c r="AL278" s="313"/>
      <c r="AM278" s="313"/>
      <c r="AN278" s="313"/>
      <c r="AO278" s="313"/>
      <c r="AP278" s="313"/>
      <c r="AQ278" s="313"/>
      <c r="AR278" s="313"/>
      <c r="AS278" s="313"/>
      <c r="AT278" s="313"/>
      <c r="AU278" s="313"/>
      <c r="AV278" s="313"/>
      <c r="AW278" s="313"/>
      <c r="AX278" s="313"/>
      <c r="AY278" s="313"/>
      <c r="AZ278" s="313"/>
      <c r="BA278" s="313"/>
      <c r="BB278" s="313"/>
      <c r="BC278" s="313"/>
      <c r="BD278" s="313"/>
      <c r="BE278" s="313"/>
      <c r="BF278" s="313"/>
      <c r="BG278" s="313"/>
      <c r="BH278" s="313"/>
      <c r="BI278" s="313"/>
      <c r="BJ278" s="313"/>
      <c r="BK278" s="313"/>
      <c r="BL278" s="313"/>
      <c r="BM278" s="313"/>
      <c r="BN278" s="313"/>
      <c r="BO278" s="313"/>
      <c r="BP278" s="313"/>
      <c r="BQ278" s="313"/>
      <c r="BR278" s="313"/>
      <c r="BS278" s="313"/>
      <c r="BT278" s="313"/>
      <c r="BU278" s="313"/>
      <c r="BV278" s="313"/>
      <c r="BW278" s="313"/>
      <c r="BX278" s="313"/>
      <c r="BY278" s="313"/>
      <c r="BZ278" s="313"/>
      <c r="CA278" s="313"/>
      <c r="CB278" s="313"/>
      <c r="CC278" s="313"/>
      <c r="CD278" s="313"/>
      <c r="CE278" s="313"/>
      <c r="CF278" s="313"/>
      <c r="CG278" s="313"/>
      <c r="CH278" s="313"/>
      <c r="CI278" s="313"/>
      <c r="CJ278" s="313"/>
      <c r="CK278" s="313"/>
      <c r="CL278" s="313"/>
      <c r="CM278" s="313"/>
      <c r="CN278" s="313"/>
      <c r="CO278" s="313"/>
      <c r="CP278" s="313"/>
      <c r="CQ278" s="313"/>
      <c r="CR278" s="313"/>
      <c r="CS278" s="313"/>
      <c r="CT278" s="313"/>
      <c r="CU278" s="313"/>
      <c r="CV278" s="313"/>
      <c r="CW278" s="313"/>
      <c r="CX278" s="313"/>
      <c r="CY278" s="313"/>
      <c r="CZ278" s="313"/>
      <c r="DA278" s="313"/>
      <c r="DB278" s="313"/>
      <c r="DC278" s="313"/>
      <c r="DD278" s="313"/>
      <c r="DE278" s="313"/>
      <c r="DF278" s="313"/>
      <c r="DG278" s="313"/>
      <c r="DH278" s="313"/>
      <c r="DI278" s="313"/>
      <c r="DJ278" s="313"/>
      <c r="DK278" s="313"/>
      <c r="DL278" s="313"/>
      <c r="DM278" s="313"/>
      <c r="DN278" s="313"/>
      <c r="DO278" s="313"/>
      <c r="DP278" s="313"/>
      <c r="DQ278" s="313"/>
      <c r="DR278" s="313"/>
      <c r="DS278" s="313"/>
      <c r="DT278" s="313"/>
      <c r="DU278" s="313"/>
      <c r="DV278" s="313"/>
      <c r="DW278" s="313"/>
      <c r="DX278" s="313"/>
      <c r="DY278" s="313"/>
      <c r="DZ278" s="313"/>
      <c r="EA278" s="313"/>
      <c r="EB278" s="313"/>
      <c r="EC278" s="313"/>
      <c r="ED278" s="313"/>
      <c r="EE278" s="313"/>
      <c r="EF278" s="313"/>
      <c r="EG278" s="313"/>
      <c r="EH278" s="313"/>
      <c r="EI278" s="313"/>
      <c r="EJ278" s="313"/>
      <c r="EK278" s="313"/>
      <c r="EL278" s="313"/>
      <c r="EM278" s="313"/>
      <c r="EN278" s="313"/>
      <c r="EO278" s="313"/>
      <c r="EP278" s="313"/>
      <c r="EQ278" s="313"/>
      <c r="ER278" s="313"/>
      <c r="ES278" s="313"/>
      <c r="ET278" s="313"/>
      <c r="EU278" s="313"/>
      <c r="EV278" s="313"/>
      <c r="EW278" s="313"/>
      <c r="EX278" s="313"/>
      <c r="EY278" s="313"/>
      <c r="EZ278" s="313"/>
      <c r="FA278" s="313"/>
      <c r="FB278" s="313"/>
      <c r="FC278" s="313"/>
      <c r="FD278" s="313"/>
      <c r="FE278" s="313"/>
      <c r="FF278" s="313"/>
      <c r="FG278" s="313"/>
      <c r="FH278" s="313"/>
      <c r="FI278" s="313"/>
      <c r="FJ278" s="313"/>
      <c r="FK278" s="313"/>
      <c r="FL278" s="313"/>
      <c r="FM278" s="313"/>
      <c r="FN278" s="313"/>
      <c r="FO278" s="313"/>
      <c r="FP278" s="313"/>
      <c r="FQ278" s="313"/>
      <c r="FR278" s="313"/>
      <c r="FS278" s="313"/>
      <c r="FT278" s="313"/>
      <c r="FU278" s="313"/>
      <c r="FV278" s="313"/>
      <c r="FW278" s="313"/>
      <c r="FX278" s="313"/>
      <c r="FY278" s="313"/>
      <c r="FZ278" s="313"/>
      <c r="GA278" s="313"/>
      <c r="GB278" s="313"/>
      <c r="GC278" s="313"/>
      <c r="GD278" s="313"/>
      <c r="GE278" s="313"/>
      <c r="GF278" s="313"/>
      <c r="GG278" s="313"/>
      <c r="GH278" s="313"/>
      <c r="GI278" s="313"/>
      <c r="GJ278" s="313"/>
      <c r="GK278" s="313"/>
      <c r="GL278" s="313"/>
      <c r="GM278" s="313"/>
      <c r="GN278" s="313"/>
      <c r="GO278" s="313"/>
      <c r="GP278" s="313"/>
      <c r="GQ278" s="313"/>
      <c r="GR278" s="313"/>
      <c r="GS278" s="313"/>
      <c r="GT278" s="313"/>
      <c r="GU278" s="313"/>
      <c r="GV278" s="313"/>
      <c r="GW278" s="313"/>
      <c r="GX278" s="313"/>
      <c r="GY278" s="313"/>
      <c r="GZ278" s="313"/>
      <c r="HA278" s="313"/>
      <c r="HB278" s="313"/>
      <c r="HC278" s="313"/>
      <c r="HD278" s="313"/>
      <c r="HE278" s="313"/>
      <c r="HF278" s="313"/>
      <c r="HG278" s="313"/>
      <c r="HH278" s="313"/>
      <c r="HI278" s="313"/>
      <c r="HJ278" s="313"/>
      <c r="HK278" s="313"/>
      <c r="HL278" s="313"/>
      <c r="HM278" s="313"/>
      <c r="HN278" s="313"/>
      <c r="HO278" s="313"/>
      <c r="HP278" s="313"/>
      <c r="HQ278" s="313"/>
      <c r="HR278" s="313"/>
      <c r="HS278" s="313"/>
      <c r="HT278" s="313"/>
      <c r="HU278" s="313"/>
      <c r="HV278" s="313"/>
      <c r="HW278" s="313"/>
      <c r="HX278" s="313"/>
      <c r="HY278" s="313"/>
      <c r="HZ278" s="313"/>
      <c r="IA278" s="313"/>
    </row>
    <row r="279" s="22" customFormat="1" spans="1:235">
      <c r="A279" s="372"/>
      <c r="B279" s="373"/>
      <c r="C279" s="373"/>
      <c r="D279" s="373"/>
      <c r="E279" s="374"/>
      <c r="F279" s="105"/>
      <c r="G279" s="174"/>
      <c r="H279" s="285"/>
      <c r="I279" s="302"/>
      <c r="J279" s="302"/>
      <c r="K279" s="94"/>
      <c r="L279" s="237"/>
      <c r="M279" s="237"/>
      <c r="N279" s="237"/>
      <c r="O279" s="237"/>
      <c r="P279" s="237"/>
      <c r="Q279" s="237"/>
      <c r="R279" s="310"/>
      <c r="S279" s="94"/>
      <c r="T279" s="94"/>
      <c r="U279" s="237"/>
      <c r="V279" s="310"/>
      <c r="W279" s="237"/>
      <c r="X279" s="158"/>
      <c r="Y279" s="313"/>
      <c r="Z279" s="313"/>
      <c r="AA279" s="313"/>
      <c r="AB279" s="313"/>
      <c r="AC279" s="313"/>
      <c r="AD279" s="313"/>
      <c r="AE279" s="313"/>
      <c r="AF279" s="313"/>
      <c r="AG279" s="313"/>
      <c r="AH279" s="313"/>
      <c r="AI279" s="313"/>
      <c r="AJ279" s="313"/>
      <c r="AK279" s="313"/>
      <c r="AL279" s="313"/>
      <c r="AM279" s="313"/>
      <c r="AN279" s="313"/>
      <c r="AO279" s="313"/>
      <c r="AP279" s="313"/>
      <c r="AQ279" s="313"/>
      <c r="AR279" s="313"/>
      <c r="AS279" s="313"/>
      <c r="AT279" s="313"/>
      <c r="AU279" s="313"/>
      <c r="AV279" s="313"/>
      <c r="AW279" s="313"/>
      <c r="AX279" s="313"/>
      <c r="AY279" s="313"/>
      <c r="AZ279" s="313"/>
      <c r="BA279" s="313"/>
      <c r="BB279" s="313"/>
      <c r="BC279" s="313"/>
      <c r="BD279" s="313"/>
      <c r="BE279" s="313"/>
      <c r="BF279" s="313"/>
      <c r="BG279" s="313"/>
      <c r="BH279" s="313"/>
      <c r="BI279" s="313"/>
      <c r="BJ279" s="313"/>
      <c r="BK279" s="313"/>
      <c r="BL279" s="313"/>
      <c r="BM279" s="313"/>
      <c r="BN279" s="313"/>
      <c r="BO279" s="313"/>
      <c r="BP279" s="313"/>
      <c r="BQ279" s="313"/>
      <c r="BR279" s="313"/>
      <c r="BS279" s="313"/>
      <c r="BT279" s="313"/>
      <c r="BU279" s="313"/>
      <c r="BV279" s="313"/>
      <c r="BW279" s="313"/>
      <c r="BX279" s="313"/>
      <c r="BY279" s="313"/>
      <c r="BZ279" s="313"/>
      <c r="CA279" s="313"/>
      <c r="CB279" s="313"/>
      <c r="CC279" s="313"/>
      <c r="CD279" s="313"/>
      <c r="CE279" s="313"/>
      <c r="CF279" s="313"/>
      <c r="CG279" s="313"/>
      <c r="CH279" s="313"/>
      <c r="CI279" s="313"/>
      <c r="CJ279" s="313"/>
      <c r="CK279" s="313"/>
      <c r="CL279" s="313"/>
      <c r="CM279" s="313"/>
      <c r="CN279" s="313"/>
      <c r="CO279" s="313"/>
      <c r="CP279" s="313"/>
      <c r="CQ279" s="313"/>
      <c r="CR279" s="313"/>
      <c r="CS279" s="313"/>
      <c r="CT279" s="313"/>
      <c r="CU279" s="313"/>
      <c r="CV279" s="313"/>
      <c r="CW279" s="313"/>
      <c r="CX279" s="313"/>
      <c r="CY279" s="313"/>
      <c r="CZ279" s="313"/>
      <c r="DA279" s="313"/>
      <c r="DB279" s="313"/>
      <c r="DC279" s="313"/>
      <c r="DD279" s="313"/>
      <c r="DE279" s="313"/>
      <c r="DF279" s="313"/>
      <c r="DG279" s="313"/>
      <c r="DH279" s="313"/>
      <c r="DI279" s="313"/>
      <c r="DJ279" s="313"/>
      <c r="DK279" s="313"/>
      <c r="DL279" s="313"/>
      <c r="DM279" s="313"/>
      <c r="DN279" s="313"/>
      <c r="DO279" s="313"/>
      <c r="DP279" s="313"/>
      <c r="DQ279" s="313"/>
      <c r="DR279" s="313"/>
      <c r="DS279" s="313"/>
      <c r="DT279" s="313"/>
      <c r="DU279" s="313"/>
      <c r="DV279" s="313"/>
      <c r="DW279" s="313"/>
      <c r="DX279" s="313"/>
      <c r="DY279" s="313"/>
      <c r="DZ279" s="313"/>
      <c r="EA279" s="313"/>
      <c r="EB279" s="313"/>
      <c r="EC279" s="313"/>
      <c r="ED279" s="313"/>
      <c r="EE279" s="313"/>
      <c r="EF279" s="313"/>
      <c r="EG279" s="313"/>
      <c r="EH279" s="313"/>
      <c r="EI279" s="313"/>
      <c r="EJ279" s="313"/>
      <c r="EK279" s="313"/>
      <c r="EL279" s="313"/>
      <c r="EM279" s="313"/>
      <c r="EN279" s="313"/>
      <c r="EO279" s="313"/>
      <c r="EP279" s="313"/>
      <c r="EQ279" s="313"/>
      <c r="ER279" s="313"/>
      <c r="ES279" s="313"/>
      <c r="ET279" s="313"/>
      <c r="EU279" s="313"/>
      <c r="EV279" s="313"/>
      <c r="EW279" s="313"/>
      <c r="EX279" s="313"/>
      <c r="EY279" s="313"/>
      <c r="EZ279" s="313"/>
      <c r="FA279" s="313"/>
      <c r="FB279" s="313"/>
      <c r="FC279" s="313"/>
      <c r="FD279" s="313"/>
      <c r="FE279" s="313"/>
      <c r="FF279" s="313"/>
      <c r="FG279" s="313"/>
      <c r="FH279" s="313"/>
      <c r="FI279" s="313"/>
      <c r="FJ279" s="313"/>
      <c r="FK279" s="313"/>
      <c r="FL279" s="313"/>
      <c r="FM279" s="313"/>
      <c r="FN279" s="313"/>
      <c r="FO279" s="313"/>
      <c r="FP279" s="313"/>
      <c r="FQ279" s="313"/>
      <c r="FR279" s="313"/>
      <c r="FS279" s="313"/>
      <c r="FT279" s="313"/>
      <c r="FU279" s="313"/>
      <c r="FV279" s="313"/>
      <c r="FW279" s="313"/>
      <c r="FX279" s="313"/>
      <c r="FY279" s="313"/>
      <c r="FZ279" s="313"/>
      <c r="GA279" s="313"/>
      <c r="GB279" s="313"/>
      <c r="GC279" s="313"/>
      <c r="GD279" s="313"/>
      <c r="GE279" s="313"/>
      <c r="GF279" s="313"/>
      <c r="GG279" s="313"/>
      <c r="GH279" s="313"/>
      <c r="GI279" s="313"/>
      <c r="GJ279" s="313"/>
      <c r="GK279" s="313"/>
      <c r="GL279" s="313"/>
      <c r="GM279" s="313"/>
      <c r="GN279" s="313"/>
      <c r="GO279" s="313"/>
      <c r="GP279" s="313"/>
      <c r="GQ279" s="313"/>
      <c r="GR279" s="313"/>
      <c r="GS279" s="313"/>
      <c r="GT279" s="313"/>
      <c r="GU279" s="313"/>
      <c r="GV279" s="313"/>
      <c r="GW279" s="313"/>
      <c r="GX279" s="313"/>
      <c r="GY279" s="313"/>
      <c r="GZ279" s="313"/>
      <c r="HA279" s="313"/>
      <c r="HB279" s="313"/>
      <c r="HC279" s="313"/>
      <c r="HD279" s="313"/>
      <c r="HE279" s="313"/>
      <c r="HF279" s="313"/>
      <c r="HG279" s="313"/>
      <c r="HH279" s="313"/>
      <c r="HI279" s="313"/>
      <c r="HJ279" s="313"/>
      <c r="HK279" s="313"/>
      <c r="HL279" s="313"/>
      <c r="HM279" s="313"/>
      <c r="HN279" s="313"/>
      <c r="HO279" s="313"/>
      <c r="HP279" s="313"/>
      <c r="HQ279" s="313"/>
      <c r="HR279" s="313"/>
      <c r="HS279" s="313"/>
      <c r="HT279" s="313"/>
      <c r="HU279" s="313"/>
      <c r="HV279" s="313"/>
      <c r="HW279" s="313"/>
      <c r="HX279" s="313"/>
      <c r="HY279" s="313"/>
      <c r="HZ279" s="313"/>
      <c r="IA279" s="313"/>
    </row>
    <row r="280" s="22" customFormat="1" ht="13.9" spans="1:24">
      <c r="A280" s="337" t="s">
        <v>400</v>
      </c>
      <c r="B280" s="338"/>
      <c r="C280" s="338"/>
      <c r="D280" s="338"/>
      <c r="E280" s="339"/>
      <c r="F280" s="375" t="s">
        <v>296</v>
      </c>
      <c r="G280" s="174" t="s">
        <v>339</v>
      </c>
      <c r="H280" s="285" t="s">
        <v>368</v>
      </c>
      <c r="I280" s="94">
        <v>6072.28</v>
      </c>
      <c r="J280" s="94">
        <f>14.57+7.29+21.86</f>
        <v>43.72</v>
      </c>
      <c r="K280" s="94">
        <f t="shared" si="109"/>
        <v>6116</v>
      </c>
      <c r="L280" s="237"/>
      <c r="M280" s="237"/>
      <c r="N280" s="237"/>
      <c r="O280" s="237"/>
      <c r="P280" s="237"/>
      <c r="Q280" s="237"/>
      <c r="R280" s="237"/>
      <c r="S280" s="94">
        <f t="shared" si="110"/>
        <v>6116</v>
      </c>
      <c r="T280" s="94"/>
      <c r="U280" s="237">
        <f t="shared" si="111"/>
        <v>6116</v>
      </c>
      <c r="V280" s="237"/>
      <c r="W280" s="237">
        <f t="shared" si="112"/>
        <v>0</v>
      </c>
      <c r="X280" s="158"/>
    </row>
    <row r="281" s="22" customFormat="1" ht="13.9" spans="1:24">
      <c r="A281" s="340"/>
      <c r="B281" s="341"/>
      <c r="C281" s="341"/>
      <c r="D281" s="341"/>
      <c r="E281" s="342"/>
      <c r="F281" s="375"/>
      <c r="G281" s="174" t="s">
        <v>423</v>
      </c>
      <c r="H281" s="285" t="s">
        <v>399</v>
      </c>
      <c r="I281" s="94">
        <v>2768</v>
      </c>
      <c r="J281" s="94"/>
      <c r="K281" s="94">
        <f t="shared" si="109"/>
        <v>2768</v>
      </c>
      <c r="L281" s="237"/>
      <c r="M281" s="237"/>
      <c r="N281" s="237"/>
      <c r="O281" s="237"/>
      <c r="P281" s="237"/>
      <c r="Q281" s="237"/>
      <c r="R281" s="237"/>
      <c r="S281" s="94"/>
      <c r="T281" s="94"/>
      <c r="U281" s="237"/>
      <c r="V281" s="237"/>
      <c r="W281" s="237"/>
      <c r="X281" s="158"/>
    </row>
    <row r="282" s="22" customFormat="1" ht="13.9" spans="1:24">
      <c r="A282" s="340"/>
      <c r="B282" s="341"/>
      <c r="C282" s="341"/>
      <c r="D282" s="341"/>
      <c r="E282" s="342"/>
      <c r="F282" s="375"/>
      <c r="G282" s="174" t="s">
        <v>423</v>
      </c>
      <c r="H282" s="285" t="s">
        <v>368</v>
      </c>
      <c r="I282" s="94">
        <v>1417.82</v>
      </c>
      <c r="J282" s="94">
        <f>-12.56+6.18+4.32+4.12+2.06+2.06</f>
        <v>6.18</v>
      </c>
      <c r="K282" s="94">
        <f t="shared" si="109"/>
        <v>1424</v>
      </c>
      <c r="L282" s="237"/>
      <c r="M282" s="237"/>
      <c r="N282" s="237"/>
      <c r="O282" s="237"/>
      <c r="P282" s="237"/>
      <c r="Q282" s="237"/>
      <c r="R282" s="237"/>
      <c r="S282" s="94"/>
      <c r="T282" s="94"/>
      <c r="U282" s="237"/>
      <c r="V282" s="237"/>
      <c r="W282" s="237"/>
      <c r="X282" s="158"/>
    </row>
    <row r="283" s="22" customFormat="1" spans="1:24">
      <c r="A283" s="340"/>
      <c r="B283" s="341"/>
      <c r="C283" s="341"/>
      <c r="D283" s="341"/>
      <c r="E283" s="342"/>
      <c r="F283" s="375"/>
      <c r="G283" s="174"/>
      <c r="H283" s="285"/>
      <c r="I283" s="94"/>
      <c r="J283" s="94"/>
      <c r="K283" s="94">
        <f t="shared" si="109"/>
        <v>0</v>
      </c>
      <c r="L283" s="237"/>
      <c r="M283" s="237"/>
      <c r="N283" s="237"/>
      <c r="O283" s="237"/>
      <c r="P283" s="237"/>
      <c r="Q283" s="237"/>
      <c r="R283" s="237"/>
      <c r="S283" s="94"/>
      <c r="T283" s="94"/>
      <c r="U283" s="237"/>
      <c r="V283" s="237"/>
      <c r="W283" s="237"/>
      <c r="X283" s="158"/>
    </row>
    <row r="284" s="22" customFormat="1" spans="1:24">
      <c r="A284" s="372"/>
      <c r="B284" s="373"/>
      <c r="C284" s="373"/>
      <c r="D284" s="373"/>
      <c r="E284" s="374"/>
      <c r="F284" s="375"/>
      <c r="G284" s="174"/>
      <c r="H284" s="285"/>
      <c r="I284" s="94"/>
      <c r="J284" s="94"/>
      <c r="K284" s="94">
        <f t="shared" si="109"/>
        <v>0</v>
      </c>
      <c r="L284" s="237"/>
      <c r="M284" s="237"/>
      <c r="N284" s="237"/>
      <c r="O284" s="237"/>
      <c r="P284" s="237"/>
      <c r="Q284" s="237"/>
      <c r="R284" s="237"/>
      <c r="S284" s="94"/>
      <c r="T284" s="94"/>
      <c r="U284" s="237"/>
      <c r="V284" s="237"/>
      <c r="W284" s="237"/>
      <c r="X284" s="158"/>
    </row>
    <row r="285" s="22" customFormat="1" ht="13.9" spans="1:24">
      <c r="A285" s="337" t="s">
        <v>401</v>
      </c>
      <c r="B285" s="338"/>
      <c r="C285" s="338"/>
      <c r="D285" s="338"/>
      <c r="E285" s="339"/>
      <c r="F285" s="103" t="s">
        <v>296</v>
      </c>
      <c r="G285" s="174" t="s">
        <v>339</v>
      </c>
      <c r="H285" s="285" t="s">
        <v>368</v>
      </c>
      <c r="I285" s="94">
        <v>1012.87</v>
      </c>
      <c r="J285" s="94">
        <v>7.13</v>
      </c>
      <c r="K285" s="94">
        <f t="shared" si="109"/>
        <v>1020</v>
      </c>
      <c r="L285" s="237"/>
      <c r="M285" s="237"/>
      <c r="N285" s="237"/>
      <c r="O285" s="237"/>
      <c r="P285" s="237"/>
      <c r="Q285" s="237"/>
      <c r="R285" s="237"/>
      <c r="S285" s="94">
        <f>K285</f>
        <v>1020</v>
      </c>
      <c r="T285" s="94"/>
      <c r="U285" s="237">
        <f>S285</f>
        <v>1020</v>
      </c>
      <c r="V285" s="237"/>
      <c r="W285" s="237">
        <f>S285+T285-U285-V285</f>
        <v>0</v>
      </c>
      <c r="X285" s="158"/>
    </row>
    <row r="286" s="22" customFormat="1" ht="13.9" spans="1:24">
      <c r="A286" s="340"/>
      <c r="B286" s="341"/>
      <c r="C286" s="341"/>
      <c r="D286" s="341"/>
      <c r="E286" s="342"/>
      <c r="F286" s="105"/>
      <c r="G286" s="174" t="s">
        <v>423</v>
      </c>
      <c r="H286" s="285" t="s">
        <v>399</v>
      </c>
      <c r="I286" s="94">
        <v>850</v>
      </c>
      <c r="J286" s="94"/>
      <c r="K286" s="94">
        <f t="shared" si="109"/>
        <v>850</v>
      </c>
      <c r="L286" s="237"/>
      <c r="M286" s="237"/>
      <c r="N286" s="237"/>
      <c r="O286" s="237"/>
      <c r="P286" s="237"/>
      <c r="Q286" s="237"/>
      <c r="R286" s="237"/>
      <c r="S286" s="94"/>
      <c r="T286" s="94"/>
      <c r="U286" s="237"/>
      <c r="V286" s="237"/>
      <c r="W286" s="237"/>
      <c r="X286" s="158"/>
    </row>
    <row r="287" s="22" customFormat="1" ht="13.9" spans="1:24">
      <c r="A287" s="340"/>
      <c r="B287" s="341"/>
      <c r="C287" s="341"/>
      <c r="D287" s="341"/>
      <c r="E287" s="342"/>
      <c r="F287" s="105"/>
      <c r="G287" s="174" t="s">
        <v>423</v>
      </c>
      <c r="H287" s="285" t="s">
        <v>368</v>
      </c>
      <c r="I287" s="94">
        <v>1477.36</v>
      </c>
      <c r="J287" s="94">
        <v>52.64</v>
      </c>
      <c r="K287" s="94">
        <f t="shared" si="109"/>
        <v>1530</v>
      </c>
      <c r="L287" s="237"/>
      <c r="M287" s="237"/>
      <c r="N287" s="237"/>
      <c r="O287" s="237"/>
      <c r="P287" s="237"/>
      <c r="Q287" s="237"/>
      <c r="R287" s="237"/>
      <c r="S287" s="94"/>
      <c r="T287" s="94"/>
      <c r="U287" s="237"/>
      <c r="V287" s="237"/>
      <c r="W287" s="237"/>
      <c r="X287" s="158"/>
    </row>
    <row r="288" s="22" customFormat="1" spans="1:24">
      <c r="A288" s="340"/>
      <c r="B288" s="341"/>
      <c r="C288" s="341"/>
      <c r="D288" s="341"/>
      <c r="E288" s="342"/>
      <c r="F288" s="105"/>
      <c r="G288" s="174"/>
      <c r="H288" s="285"/>
      <c r="I288" s="94"/>
      <c r="J288" s="94"/>
      <c r="K288" s="94">
        <f t="shared" si="109"/>
        <v>0</v>
      </c>
      <c r="L288" s="237"/>
      <c r="M288" s="237"/>
      <c r="N288" s="237"/>
      <c r="O288" s="237"/>
      <c r="P288" s="237"/>
      <c r="Q288" s="237"/>
      <c r="R288" s="237"/>
      <c r="S288" s="94"/>
      <c r="T288" s="94"/>
      <c r="U288" s="237"/>
      <c r="V288" s="237"/>
      <c r="W288" s="237"/>
      <c r="X288" s="158"/>
    </row>
    <row r="289" s="22" customFormat="1" spans="1:24">
      <c r="A289" s="340"/>
      <c r="B289" s="341"/>
      <c r="C289" s="341"/>
      <c r="D289" s="341"/>
      <c r="E289" s="342"/>
      <c r="F289" s="105"/>
      <c r="G289" s="174"/>
      <c r="H289" s="285"/>
      <c r="I289" s="94"/>
      <c r="J289" s="94"/>
      <c r="K289" s="94">
        <f t="shared" si="109"/>
        <v>0</v>
      </c>
      <c r="L289" s="237"/>
      <c r="M289" s="237"/>
      <c r="N289" s="237"/>
      <c r="O289" s="237"/>
      <c r="P289" s="237"/>
      <c r="Q289" s="237"/>
      <c r="R289" s="237"/>
      <c r="S289" s="94"/>
      <c r="T289" s="94"/>
      <c r="U289" s="237"/>
      <c r="V289" s="237"/>
      <c r="W289" s="237"/>
      <c r="X289" s="158"/>
    </row>
    <row r="290" s="22" customFormat="1" ht="13.9" spans="1:24">
      <c r="A290" s="166" t="s">
        <v>402</v>
      </c>
      <c r="B290" s="166"/>
      <c r="C290" s="166"/>
      <c r="D290" s="166"/>
      <c r="E290" s="376"/>
      <c r="F290" s="375" t="s">
        <v>296</v>
      </c>
      <c r="G290" s="174" t="s">
        <v>339</v>
      </c>
      <c r="H290" s="285" t="s">
        <v>399</v>
      </c>
      <c r="I290" s="94">
        <v>2369</v>
      </c>
      <c r="J290" s="94"/>
      <c r="K290" s="94">
        <f t="shared" si="109"/>
        <v>2369</v>
      </c>
      <c r="L290" s="237"/>
      <c r="M290" s="237"/>
      <c r="N290" s="237"/>
      <c r="O290" s="237"/>
      <c r="P290" s="237"/>
      <c r="Q290" s="237"/>
      <c r="R290" s="237"/>
      <c r="S290" s="94">
        <f>K290</f>
        <v>2369</v>
      </c>
      <c r="T290" s="94"/>
      <c r="U290" s="237">
        <f>S290</f>
        <v>2369</v>
      </c>
      <c r="V290" s="237"/>
      <c r="W290" s="237">
        <f>S290+T290-U290-V290</f>
        <v>0</v>
      </c>
      <c r="X290" s="158"/>
    </row>
    <row r="291" s="22" customFormat="1" ht="13.9" spans="1:24">
      <c r="A291" s="166"/>
      <c r="B291" s="166"/>
      <c r="C291" s="166"/>
      <c r="D291" s="166"/>
      <c r="E291" s="376"/>
      <c r="F291" s="375" t="s">
        <v>296</v>
      </c>
      <c r="G291" s="174" t="s">
        <v>339</v>
      </c>
      <c r="H291" s="285" t="s">
        <v>368</v>
      </c>
      <c r="I291" s="94">
        <v>705.8</v>
      </c>
      <c r="J291" s="94">
        <f>745.43-705.8</f>
        <v>39.63</v>
      </c>
      <c r="K291" s="94">
        <f t="shared" si="109"/>
        <v>745.43</v>
      </c>
      <c r="L291" s="237"/>
      <c r="M291" s="237"/>
      <c r="N291" s="237"/>
      <c r="O291" s="237"/>
      <c r="P291" s="237"/>
      <c r="Q291" s="237"/>
      <c r="R291" s="237"/>
      <c r="S291" s="94">
        <f>K291</f>
        <v>745.43</v>
      </c>
      <c r="T291" s="94"/>
      <c r="U291" s="237">
        <f>S291</f>
        <v>745.43</v>
      </c>
      <c r="V291" s="237"/>
      <c r="W291" s="237">
        <f>S291+T291-U291-V291</f>
        <v>0</v>
      </c>
      <c r="X291" s="158"/>
    </row>
    <row r="292" s="22" customFormat="1" ht="13.9" spans="1:24">
      <c r="A292" s="166"/>
      <c r="B292" s="166"/>
      <c r="C292" s="166"/>
      <c r="D292" s="166"/>
      <c r="E292" s="376"/>
      <c r="F292" s="375"/>
      <c r="G292" s="174" t="s">
        <v>423</v>
      </c>
      <c r="H292" s="285" t="s">
        <v>399</v>
      </c>
      <c r="I292" s="94">
        <v>1105</v>
      </c>
      <c r="J292" s="94"/>
      <c r="K292" s="94">
        <f t="shared" si="109"/>
        <v>1105</v>
      </c>
      <c r="L292" s="237"/>
      <c r="M292" s="237"/>
      <c r="N292" s="237"/>
      <c r="O292" s="237"/>
      <c r="P292" s="237"/>
      <c r="Q292" s="237"/>
      <c r="R292" s="237"/>
      <c r="S292" s="94"/>
      <c r="T292" s="94"/>
      <c r="U292" s="237"/>
      <c r="V292" s="237"/>
      <c r="W292" s="237"/>
      <c r="X292" s="158"/>
    </row>
    <row r="293" s="22" customFormat="1" ht="13.9" spans="1:24">
      <c r="A293" s="166"/>
      <c r="B293" s="166"/>
      <c r="C293" s="166"/>
      <c r="D293" s="166"/>
      <c r="E293" s="376"/>
      <c r="F293" s="375"/>
      <c r="G293" s="174" t="s">
        <v>423</v>
      </c>
      <c r="H293" s="285" t="s">
        <v>368</v>
      </c>
      <c r="I293" s="94">
        <v>1489.71</v>
      </c>
      <c r="J293" s="94">
        <f>1565.42-1489.71</f>
        <v>75.71</v>
      </c>
      <c r="K293" s="94">
        <f t="shared" si="109"/>
        <v>1565.42</v>
      </c>
      <c r="L293" s="237"/>
      <c r="M293" s="237"/>
      <c r="N293" s="237"/>
      <c r="O293" s="237"/>
      <c r="P293" s="237"/>
      <c r="Q293" s="237"/>
      <c r="R293" s="237"/>
      <c r="S293" s="94"/>
      <c r="T293" s="94"/>
      <c r="U293" s="237"/>
      <c r="V293" s="237"/>
      <c r="W293" s="237"/>
      <c r="X293" s="158"/>
    </row>
    <row r="294" s="22" customFormat="1" spans="1:24">
      <c r="A294" s="166"/>
      <c r="B294" s="166"/>
      <c r="C294" s="166"/>
      <c r="D294" s="166"/>
      <c r="E294" s="376"/>
      <c r="F294" s="375"/>
      <c r="G294" s="174"/>
      <c r="H294" s="285"/>
      <c r="I294" s="94"/>
      <c r="J294" s="94"/>
      <c r="K294" s="94">
        <f t="shared" si="109"/>
        <v>0</v>
      </c>
      <c r="L294" s="237"/>
      <c r="M294" s="237"/>
      <c r="N294" s="237"/>
      <c r="O294" s="237"/>
      <c r="P294" s="237"/>
      <c r="Q294" s="237"/>
      <c r="R294" s="237"/>
      <c r="S294" s="94"/>
      <c r="T294" s="94"/>
      <c r="U294" s="237"/>
      <c r="V294" s="237"/>
      <c r="W294" s="237"/>
      <c r="X294" s="158"/>
    </row>
    <row r="295" s="22" customFormat="1" spans="1:24">
      <c r="A295" s="166"/>
      <c r="B295" s="166"/>
      <c r="C295" s="166"/>
      <c r="D295" s="166"/>
      <c r="E295" s="376"/>
      <c r="F295" s="375"/>
      <c r="G295" s="174"/>
      <c r="H295" s="285"/>
      <c r="I295" s="94"/>
      <c r="J295" s="94"/>
      <c r="K295" s="94"/>
      <c r="L295" s="237"/>
      <c r="M295" s="237"/>
      <c r="N295" s="237"/>
      <c r="O295" s="237"/>
      <c r="P295" s="237"/>
      <c r="Q295" s="237"/>
      <c r="R295" s="237"/>
      <c r="S295" s="94"/>
      <c r="T295" s="94"/>
      <c r="U295" s="237"/>
      <c r="V295" s="237"/>
      <c r="W295" s="237"/>
      <c r="X295" s="158"/>
    </row>
    <row r="296" s="22" customFormat="1" spans="1:24">
      <c r="A296" s="166"/>
      <c r="B296" s="166"/>
      <c r="C296" s="166"/>
      <c r="D296" s="166"/>
      <c r="E296" s="376"/>
      <c r="F296" s="375"/>
      <c r="G296" s="174"/>
      <c r="H296" s="285"/>
      <c r="I296" s="94"/>
      <c r="J296" s="94"/>
      <c r="K296" s="94"/>
      <c r="L296" s="237"/>
      <c r="M296" s="237"/>
      <c r="N296" s="237"/>
      <c r="O296" s="237"/>
      <c r="P296" s="237"/>
      <c r="Q296" s="237"/>
      <c r="R296" s="237"/>
      <c r="S296" s="94"/>
      <c r="T296" s="94"/>
      <c r="U296" s="237"/>
      <c r="V296" s="237"/>
      <c r="W296" s="237"/>
      <c r="X296" s="158"/>
    </row>
    <row r="297" s="22" customFormat="1" spans="1:24">
      <c r="A297" s="166"/>
      <c r="B297" s="166"/>
      <c r="C297" s="166"/>
      <c r="D297" s="166"/>
      <c r="E297" s="376"/>
      <c r="F297" s="375"/>
      <c r="G297" s="174"/>
      <c r="H297" s="285"/>
      <c r="I297" s="94"/>
      <c r="J297" s="94"/>
      <c r="K297" s="94"/>
      <c r="L297" s="237"/>
      <c r="M297" s="237"/>
      <c r="N297" s="237"/>
      <c r="O297" s="237"/>
      <c r="P297" s="237"/>
      <c r="Q297" s="237"/>
      <c r="R297" s="237"/>
      <c r="S297" s="94"/>
      <c r="T297" s="94"/>
      <c r="U297" s="237"/>
      <c r="V297" s="237"/>
      <c r="W297" s="237"/>
      <c r="X297" s="158"/>
    </row>
    <row r="298" s="22" customFormat="1" ht="13.9" spans="1:24">
      <c r="A298" s="166"/>
      <c r="B298" s="166"/>
      <c r="C298" s="166"/>
      <c r="D298" s="166"/>
      <c r="E298" s="377" t="s">
        <v>403</v>
      </c>
      <c r="F298" s="375" t="s">
        <v>296</v>
      </c>
      <c r="G298" s="174" t="s">
        <v>339</v>
      </c>
      <c r="H298" s="285" t="s">
        <v>404</v>
      </c>
      <c r="I298" s="94">
        <v>1000</v>
      </c>
      <c r="J298" s="94"/>
      <c r="K298" s="94">
        <f t="shared" ref="K298:K306" si="113">J298+I298</f>
        <v>1000</v>
      </c>
      <c r="L298" s="237"/>
      <c r="M298" s="237"/>
      <c r="N298" s="237"/>
      <c r="O298" s="237"/>
      <c r="P298" s="237"/>
      <c r="Q298" s="237"/>
      <c r="R298" s="237"/>
      <c r="S298" s="94">
        <f>K298</f>
        <v>1000</v>
      </c>
      <c r="T298" s="94"/>
      <c r="U298" s="237">
        <f>S298</f>
        <v>1000</v>
      </c>
      <c r="V298" s="237"/>
      <c r="W298" s="237">
        <f>S298+T298-U298-V298</f>
        <v>0</v>
      </c>
      <c r="X298" s="158"/>
    </row>
    <row r="299" s="22" customFormat="1" ht="13.9" spans="1:24">
      <c r="A299" s="166" t="s">
        <v>405</v>
      </c>
      <c r="B299" s="166"/>
      <c r="C299" s="166"/>
      <c r="D299" s="166"/>
      <c r="E299" s="166"/>
      <c r="F299" s="102" t="s">
        <v>296</v>
      </c>
      <c r="G299" s="174" t="s">
        <v>339</v>
      </c>
      <c r="H299" s="285" t="s">
        <v>404</v>
      </c>
      <c r="I299" s="94">
        <v>1800</v>
      </c>
      <c r="J299" s="94"/>
      <c r="K299" s="94">
        <f t="shared" si="113"/>
        <v>1800</v>
      </c>
      <c r="L299" s="237"/>
      <c r="M299" s="237"/>
      <c r="N299" s="237"/>
      <c r="O299" s="382"/>
      <c r="P299" s="237"/>
      <c r="Q299" s="237"/>
      <c r="R299" s="237"/>
      <c r="S299" s="134">
        <f>K299</f>
        <v>1800</v>
      </c>
      <c r="T299" s="94"/>
      <c r="U299" s="237">
        <f>S299</f>
        <v>1800</v>
      </c>
      <c r="V299" s="237"/>
      <c r="W299" s="237">
        <f>S299+T299-U299-V299</f>
        <v>0</v>
      </c>
      <c r="X299" s="158"/>
    </row>
    <row r="300" s="23" customFormat="1" ht="13.9" spans="1:24">
      <c r="A300" s="166"/>
      <c r="B300" s="166"/>
      <c r="C300" s="166"/>
      <c r="D300" s="166"/>
      <c r="E300" s="166"/>
      <c r="F300" s="102"/>
      <c r="G300" s="174" t="s">
        <v>423</v>
      </c>
      <c r="H300" s="285" t="s">
        <v>399</v>
      </c>
      <c r="I300" s="95">
        <v>3703</v>
      </c>
      <c r="J300" s="95"/>
      <c r="K300" s="94">
        <f t="shared" si="113"/>
        <v>3703</v>
      </c>
      <c r="L300" s="235"/>
      <c r="M300" s="235"/>
      <c r="N300" s="235"/>
      <c r="O300" s="383"/>
      <c r="P300" s="235"/>
      <c r="Q300" s="235"/>
      <c r="R300" s="235"/>
      <c r="S300" s="384"/>
      <c r="T300" s="384"/>
      <c r="U300" s="224"/>
      <c r="V300" s="224"/>
      <c r="W300" s="224"/>
      <c r="X300" s="231"/>
    </row>
    <row r="301" s="23" customFormat="1" spans="1:24">
      <c r="A301" s="166"/>
      <c r="B301" s="166"/>
      <c r="C301" s="166"/>
      <c r="D301" s="166"/>
      <c r="E301" s="166"/>
      <c r="F301" s="102"/>
      <c r="G301" s="52"/>
      <c r="H301" s="68"/>
      <c r="I301" s="95"/>
      <c r="J301" s="95"/>
      <c r="K301" s="94">
        <f t="shared" si="113"/>
        <v>0</v>
      </c>
      <c r="L301" s="235"/>
      <c r="M301" s="235"/>
      <c r="N301" s="235"/>
      <c r="O301" s="383"/>
      <c r="P301" s="235"/>
      <c r="Q301" s="235"/>
      <c r="R301" s="235"/>
      <c r="S301" s="384"/>
      <c r="T301" s="384"/>
      <c r="U301" s="224"/>
      <c r="V301" s="224"/>
      <c r="W301" s="224"/>
      <c r="X301" s="231"/>
    </row>
    <row r="302" s="23" customFormat="1" spans="1:24">
      <c r="A302" s="166"/>
      <c r="B302" s="166"/>
      <c r="C302" s="166"/>
      <c r="D302" s="166"/>
      <c r="E302" s="166"/>
      <c r="F302" s="102"/>
      <c r="G302" s="52"/>
      <c r="H302" s="68"/>
      <c r="I302" s="95"/>
      <c r="J302" s="95"/>
      <c r="K302" s="94">
        <f t="shared" si="113"/>
        <v>0</v>
      </c>
      <c r="L302" s="235"/>
      <c r="M302" s="235"/>
      <c r="N302" s="235"/>
      <c r="O302" s="383"/>
      <c r="P302" s="235"/>
      <c r="Q302" s="235"/>
      <c r="R302" s="235"/>
      <c r="S302" s="384"/>
      <c r="T302" s="384"/>
      <c r="U302" s="224"/>
      <c r="V302" s="224"/>
      <c r="W302" s="224"/>
      <c r="X302" s="231"/>
    </row>
    <row r="303" s="23" customFormat="1" spans="1:24">
      <c r="A303" s="166"/>
      <c r="B303" s="166"/>
      <c r="C303" s="166"/>
      <c r="D303" s="166"/>
      <c r="E303" s="166"/>
      <c r="F303" s="102"/>
      <c r="G303" s="52"/>
      <c r="H303" s="68"/>
      <c r="I303" s="95"/>
      <c r="J303" s="95"/>
      <c r="K303" s="94">
        <f t="shared" si="113"/>
        <v>0</v>
      </c>
      <c r="L303" s="235"/>
      <c r="M303" s="235"/>
      <c r="N303" s="235"/>
      <c r="O303" s="383"/>
      <c r="P303" s="235"/>
      <c r="Q303" s="235"/>
      <c r="R303" s="235"/>
      <c r="S303" s="384"/>
      <c r="T303" s="384"/>
      <c r="U303" s="224"/>
      <c r="V303" s="224"/>
      <c r="W303" s="224"/>
      <c r="X303" s="231"/>
    </row>
    <row r="304" s="23" customFormat="1" spans="1:24">
      <c r="A304" s="166"/>
      <c r="B304" s="166"/>
      <c r="C304" s="166"/>
      <c r="D304" s="166"/>
      <c r="E304" s="166"/>
      <c r="F304" s="102"/>
      <c r="G304" s="52"/>
      <c r="H304" s="68"/>
      <c r="I304" s="95"/>
      <c r="J304" s="95"/>
      <c r="K304" s="94">
        <f t="shared" si="113"/>
        <v>0</v>
      </c>
      <c r="L304" s="235"/>
      <c r="M304" s="235"/>
      <c r="N304" s="235"/>
      <c r="O304" s="383"/>
      <c r="P304" s="235"/>
      <c r="Q304" s="235"/>
      <c r="R304" s="235"/>
      <c r="S304" s="384"/>
      <c r="T304" s="384"/>
      <c r="U304" s="224"/>
      <c r="V304" s="224"/>
      <c r="W304" s="224"/>
      <c r="X304" s="231"/>
    </row>
    <row r="305" s="23" customFormat="1" spans="1:24">
      <c r="A305" s="166"/>
      <c r="B305" s="166"/>
      <c r="C305" s="166"/>
      <c r="D305" s="166"/>
      <c r="E305" s="166"/>
      <c r="F305" s="102"/>
      <c r="G305" s="52"/>
      <c r="H305" s="68"/>
      <c r="I305" s="95"/>
      <c r="J305" s="95"/>
      <c r="K305" s="94">
        <f t="shared" si="113"/>
        <v>0</v>
      </c>
      <c r="L305" s="235"/>
      <c r="M305" s="235"/>
      <c r="N305" s="235"/>
      <c r="O305" s="383"/>
      <c r="P305" s="235"/>
      <c r="Q305" s="235"/>
      <c r="R305" s="235"/>
      <c r="S305" s="384"/>
      <c r="T305" s="384"/>
      <c r="U305" s="224"/>
      <c r="V305" s="224"/>
      <c r="W305" s="224"/>
      <c r="X305" s="231"/>
    </row>
    <row r="306" s="23" customFormat="1" spans="1:24">
      <c r="A306" s="166"/>
      <c r="B306" s="166"/>
      <c r="C306" s="166"/>
      <c r="D306" s="166"/>
      <c r="E306" s="166"/>
      <c r="F306" s="102"/>
      <c r="G306" s="52"/>
      <c r="H306" s="68"/>
      <c r="I306" s="95"/>
      <c r="J306" s="95"/>
      <c r="K306" s="94">
        <f t="shared" si="113"/>
        <v>0</v>
      </c>
      <c r="L306" s="235"/>
      <c r="M306" s="235"/>
      <c r="N306" s="235"/>
      <c r="O306" s="383"/>
      <c r="P306" s="235"/>
      <c r="Q306" s="235"/>
      <c r="R306" s="235"/>
      <c r="S306" s="384"/>
      <c r="T306" s="384"/>
      <c r="U306" s="224"/>
      <c r="V306" s="224"/>
      <c r="W306" s="224"/>
      <c r="X306" s="231"/>
    </row>
    <row r="307" s="23" customFormat="1" spans="1:24">
      <c r="A307" s="166"/>
      <c r="B307" s="166"/>
      <c r="C307" s="166"/>
      <c r="D307" s="166"/>
      <c r="E307" s="166"/>
      <c r="F307" s="102"/>
      <c r="G307" s="52"/>
      <c r="H307" s="68"/>
      <c r="I307" s="95"/>
      <c r="J307" s="95"/>
      <c r="K307" s="95"/>
      <c r="L307" s="235"/>
      <c r="M307" s="235"/>
      <c r="N307" s="235"/>
      <c r="O307" s="383"/>
      <c r="P307" s="235"/>
      <c r="Q307" s="235"/>
      <c r="R307" s="235"/>
      <c r="S307" s="384"/>
      <c r="T307" s="384"/>
      <c r="U307" s="224"/>
      <c r="V307" s="224"/>
      <c r="W307" s="224"/>
      <c r="X307" s="231"/>
    </row>
    <row r="308" s="23" customFormat="1" spans="1:24">
      <c r="A308" s="166"/>
      <c r="B308" s="166"/>
      <c r="C308" s="166"/>
      <c r="D308" s="166"/>
      <c r="E308" s="166"/>
      <c r="F308" s="102"/>
      <c r="G308" s="52"/>
      <c r="H308" s="68"/>
      <c r="I308" s="95"/>
      <c r="J308" s="95"/>
      <c r="K308" s="95"/>
      <c r="L308" s="235"/>
      <c r="M308" s="235"/>
      <c r="N308" s="235"/>
      <c r="O308" s="383"/>
      <c r="P308" s="235"/>
      <c r="Q308" s="235"/>
      <c r="R308" s="235"/>
      <c r="S308" s="384"/>
      <c r="T308" s="384"/>
      <c r="U308" s="224"/>
      <c r="V308" s="224"/>
      <c r="W308" s="224"/>
      <c r="X308" s="231"/>
    </row>
    <row r="309" s="23" customFormat="1" spans="1:24">
      <c r="A309" s="166"/>
      <c r="B309" s="166"/>
      <c r="C309" s="166"/>
      <c r="D309" s="166"/>
      <c r="E309" s="166"/>
      <c r="F309" s="102"/>
      <c r="G309" s="52"/>
      <c r="H309" s="68"/>
      <c r="I309" s="95"/>
      <c r="J309" s="95"/>
      <c r="K309" s="95"/>
      <c r="L309" s="235"/>
      <c r="M309" s="235"/>
      <c r="N309" s="235"/>
      <c r="O309" s="383"/>
      <c r="P309" s="235"/>
      <c r="Q309" s="235"/>
      <c r="R309" s="235"/>
      <c r="S309" s="384"/>
      <c r="T309" s="384"/>
      <c r="U309" s="224"/>
      <c r="V309" s="224"/>
      <c r="W309" s="224"/>
      <c r="X309" s="231"/>
    </row>
    <row r="310" s="23" customFormat="1" spans="1:24">
      <c r="A310" s="341"/>
      <c r="B310" s="341"/>
      <c r="C310" s="341"/>
      <c r="D310" s="341"/>
      <c r="E310" s="378"/>
      <c r="F310" s="379"/>
      <c r="G310" s="380"/>
      <c r="H310" s="381"/>
      <c r="I310" s="384"/>
      <c r="J310" s="384"/>
      <c r="K310" s="384"/>
      <c r="L310" s="224"/>
      <c r="M310" s="224"/>
      <c r="N310" s="224"/>
      <c r="P310" s="224"/>
      <c r="Q310" s="224"/>
      <c r="R310" s="224"/>
      <c r="S310" s="384"/>
      <c r="T310" s="384"/>
      <c r="U310" s="224"/>
      <c r="V310" s="224"/>
      <c r="W310" s="224"/>
      <c r="X310" s="231"/>
    </row>
    <row r="311" s="22" customFormat="1" spans="1:25">
      <c r="A311" s="24"/>
      <c r="B311" s="24"/>
      <c r="C311" s="24"/>
      <c r="D311" s="24"/>
      <c r="E311" s="25"/>
      <c r="F311" s="26"/>
      <c r="G311" s="27"/>
      <c r="H311" s="28"/>
      <c r="I311" s="29"/>
      <c r="J311" s="29"/>
      <c r="K311" s="29"/>
      <c r="L311" s="30"/>
      <c r="M311" s="30"/>
      <c r="N311" s="30"/>
      <c r="O311" s="30"/>
      <c r="P311" s="30"/>
      <c r="Q311" s="30"/>
      <c r="R311" s="30"/>
      <c r="S311" s="29"/>
      <c r="T311" s="29">
        <f>SUM(T274:T299)</f>
        <v>0</v>
      </c>
      <c r="U311" s="29"/>
      <c r="V311" s="32"/>
      <c r="W311" s="32"/>
      <c r="X311" s="33"/>
      <c r="Y311" s="1"/>
    </row>
    <row r="312" s="23" customFormat="1" ht="31" customHeight="1" spans="1:25">
      <c r="A312" s="24"/>
      <c r="B312" s="24"/>
      <c r="C312" s="24"/>
      <c r="D312" s="24"/>
      <c r="E312" s="25"/>
      <c r="F312" s="26"/>
      <c r="G312" s="27"/>
      <c r="H312" s="28"/>
      <c r="I312" s="29">
        <f t="shared" ref="I312:K312" si="114">SUM(I275:I311)</f>
        <v>40936.18</v>
      </c>
      <c r="J312" s="29">
        <f t="shared" si="114"/>
        <v>273.67</v>
      </c>
      <c r="K312" s="29">
        <f t="shared" si="114"/>
        <v>41209.85</v>
      </c>
      <c r="L312" s="30"/>
      <c r="M312" s="30"/>
      <c r="N312" s="30"/>
      <c r="O312" s="30"/>
      <c r="P312" s="30"/>
      <c r="Q312" s="30"/>
      <c r="R312" s="30"/>
      <c r="S312" s="29">
        <f t="shared" ref="S312:U312" si="115">SUM(S275:S311)</f>
        <v>17776.43</v>
      </c>
      <c r="T312" s="29">
        <f t="shared" si="115"/>
        <v>0</v>
      </c>
      <c r="U312" s="29">
        <f t="shared" si="115"/>
        <v>17776.43</v>
      </c>
      <c r="V312" s="32"/>
      <c r="W312" s="32"/>
      <c r="X312" s="33"/>
      <c r="Y312" s="1"/>
    </row>
    <row r="313" s="23" customFormat="1" spans="1:25">
      <c r="A313" s="24"/>
      <c r="B313" s="24"/>
      <c r="C313" s="24"/>
      <c r="D313" s="24"/>
      <c r="E313" s="25"/>
      <c r="F313" s="26"/>
      <c r="G313" s="27"/>
      <c r="H313" s="28"/>
      <c r="I313" s="29"/>
      <c r="J313" s="29"/>
      <c r="K313" s="29"/>
      <c r="L313" s="30"/>
      <c r="M313" s="30"/>
      <c r="N313" s="30"/>
      <c r="O313" s="30"/>
      <c r="P313" s="30"/>
      <c r="Q313" s="30"/>
      <c r="R313" s="30"/>
      <c r="S313" s="31"/>
      <c r="T313" s="31"/>
      <c r="U313" s="30"/>
      <c r="V313" s="32"/>
      <c r="W313" s="32"/>
      <c r="X313" s="33"/>
      <c r="Y313" s="1"/>
    </row>
    <row r="314" s="23" customFormat="1" spans="1:25">
      <c r="A314" s="24"/>
      <c r="B314" s="24"/>
      <c r="C314" s="24"/>
      <c r="D314" s="24"/>
      <c r="E314" s="25"/>
      <c r="F314" s="26"/>
      <c r="G314" s="27"/>
      <c r="H314" s="28"/>
      <c r="I314" s="29"/>
      <c r="J314" s="29"/>
      <c r="K314" s="29"/>
      <c r="L314" s="30"/>
      <c r="M314" s="30"/>
      <c r="N314" s="30"/>
      <c r="O314" s="30"/>
      <c r="P314" s="30"/>
      <c r="Q314" s="30"/>
      <c r="R314" s="30"/>
      <c r="S314" s="31"/>
      <c r="T314" s="31"/>
      <c r="U314" s="30"/>
      <c r="V314" s="32"/>
      <c r="W314" s="32"/>
      <c r="X314" s="33"/>
      <c r="Y314" s="1"/>
    </row>
    <row r="315" s="23" customFormat="1" spans="1:25">
      <c r="A315" s="24"/>
      <c r="B315" s="24"/>
      <c r="C315" s="24"/>
      <c r="D315" s="24"/>
      <c r="E315" s="25"/>
      <c r="F315" s="26"/>
      <c r="G315" s="27"/>
      <c r="H315" s="28"/>
      <c r="I315" s="29"/>
      <c r="J315" s="29"/>
      <c r="K315" s="29"/>
      <c r="L315" s="30"/>
      <c r="M315" s="30"/>
      <c r="N315" s="30"/>
      <c r="O315" s="30"/>
      <c r="P315" s="30"/>
      <c r="Q315" s="30"/>
      <c r="R315" s="30"/>
      <c r="S315" s="31"/>
      <c r="T315" s="31"/>
      <c r="U315" s="30"/>
      <c r="V315" s="32"/>
      <c r="W315" s="32"/>
      <c r="X315" s="33"/>
      <c r="Y315" s="1"/>
    </row>
    <row r="316" s="23" customFormat="1" spans="1:25">
      <c r="A316" s="24"/>
      <c r="B316" s="24"/>
      <c r="C316" s="24"/>
      <c r="D316" s="24"/>
      <c r="E316" s="25"/>
      <c r="F316" s="26"/>
      <c r="G316" s="27"/>
      <c r="H316" s="28"/>
      <c r="I316" s="29"/>
      <c r="J316" s="29"/>
      <c r="K316" s="29"/>
      <c r="L316" s="30"/>
      <c r="M316" s="30"/>
      <c r="N316" s="30"/>
      <c r="O316" s="30"/>
      <c r="P316" s="30"/>
      <c r="Q316" s="30"/>
      <c r="R316" s="30"/>
      <c r="S316" s="31"/>
      <c r="T316" s="31"/>
      <c r="U316" s="30"/>
      <c r="V316" s="32"/>
      <c r="W316" s="32"/>
      <c r="X316" s="33"/>
      <c r="Y316" s="1"/>
    </row>
    <row r="317" s="23" customFormat="1" spans="1:25">
      <c r="A317" s="24"/>
      <c r="B317" s="24"/>
      <c r="C317" s="24"/>
      <c r="D317" s="24"/>
      <c r="E317" s="25"/>
      <c r="F317" s="26"/>
      <c r="G317" s="27"/>
      <c r="H317" s="28"/>
      <c r="I317" s="29"/>
      <c r="J317" s="29"/>
      <c r="K317" s="29"/>
      <c r="L317" s="30"/>
      <c r="M317" s="30"/>
      <c r="N317" s="30"/>
      <c r="O317" s="30"/>
      <c r="P317" s="30"/>
      <c r="Q317" s="30"/>
      <c r="R317" s="30"/>
      <c r="S317" s="31"/>
      <c r="T317" s="31"/>
      <c r="U317" s="30"/>
      <c r="V317" s="32"/>
      <c r="W317" s="32"/>
      <c r="X317" s="33"/>
      <c r="Y317" s="1"/>
    </row>
    <row r="318" s="23" customFormat="1" spans="1:25">
      <c r="A318" s="24"/>
      <c r="B318" s="24"/>
      <c r="C318" s="24"/>
      <c r="D318" s="24"/>
      <c r="E318" s="25"/>
      <c r="F318" s="26"/>
      <c r="G318" s="27"/>
      <c r="H318" s="28"/>
      <c r="I318" s="29"/>
      <c r="J318" s="29"/>
      <c r="K318" s="29"/>
      <c r="L318" s="30"/>
      <c r="M318" s="30"/>
      <c r="N318" s="30"/>
      <c r="O318" s="30"/>
      <c r="P318" s="30"/>
      <c r="Q318" s="30"/>
      <c r="R318" s="30"/>
      <c r="S318" s="31"/>
      <c r="T318" s="31"/>
      <c r="U318" s="30"/>
      <c r="V318" s="32"/>
      <c r="W318" s="32"/>
      <c r="X318" s="33"/>
      <c r="Y318" s="1"/>
    </row>
    <row r="319" s="23" customFormat="1" spans="1:25">
      <c r="A319" s="24"/>
      <c r="B319" s="24"/>
      <c r="C319" s="24"/>
      <c r="D319" s="24"/>
      <c r="E319" s="25"/>
      <c r="F319" s="26"/>
      <c r="G319" s="27"/>
      <c r="H319" s="28"/>
      <c r="I319" s="29"/>
      <c r="J319" s="29"/>
      <c r="K319" s="29"/>
      <c r="L319" s="30"/>
      <c r="M319" s="30"/>
      <c r="N319" s="30"/>
      <c r="O319" s="30"/>
      <c r="P319" s="30"/>
      <c r="Q319" s="30"/>
      <c r="R319" s="30"/>
      <c r="S319" s="31"/>
      <c r="T319" s="31"/>
      <c r="U319" s="30"/>
      <c r="V319" s="32"/>
      <c r="W319" s="32"/>
      <c r="X319" s="33"/>
      <c r="Y319" s="1"/>
    </row>
    <row r="320" s="23" customFormat="1" spans="1:25">
      <c r="A320" s="24"/>
      <c r="B320" s="24"/>
      <c r="C320" s="24"/>
      <c r="D320" s="24"/>
      <c r="E320" s="25"/>
      <c r="F320" s="26"/>
      <c r="G320" s="27"/>
      <c r="H320" s="28"/>
      <c r="I320" s="29"/>
      <c r="J320" s="29"/>
      <c r="K320" s="29"/>
      <c r="L320" s="30"/>
      <c r="M320" s="30"/>
      <c r="N320" s="30"/>
      <c r="O320" s="30"/>
      <c r="P320" s="30"/>
      <c r="Q320" s="30"/>
      <c r="R320" s="30"/>
      <c r="S320" s="31"/>
      <c r="T320" s="31"/>
      <c r="U320" s="30"/>
      <c r="V320" s="32"/>
      <c r="W320" s="32"/>
      <c r="X320" s="33"/>
      <c r="Y320" s="1"/>
    </row>
    <row r="321" s="23" customFormat="1" spans="1:25">
      <c r="A321" s="24"/>
      <c r="B321" s="24"/>
      <c r="C321" s="24"/>
      <c r="D321" s="24"/>
      <c r="E321" s="25"/>
      <c r="F321" s="26"/>
      <c r="G321" s="27"/>
      <c r="H321" s="28"/>
      <c r="I321" s="29"/>
      <c r="J321" s="29"/>
      <c r="K321" s="29"/>
      <c r="L321" s="30"/>
      <c r="M321" s="30"/>
      <c r="N321" s="30"/>
      <c r="O321" s="30"/>
      <c r="P321" s="30"/>
      <c r="Q321" s="30"/>
      <c r="R321" s="30"/>
      <c r="S321" s="31"/>
      <c r="T321" s="31"/>
      <c r="U321" s="30"/>
      <c r="V321" s="32"/>
      <c r="W321" s="32"/>
      <c r="X321" s="33"/>
      <c r="Y321" s="1"/>
    </row>
    <row r="322" s="23" customFormat="1" spans="1:25">
      <c r="A322" s="24"/>
      <c r="B322" s="24"/>
      <c r="C322" s="24"/>
      <c r="D322" s="24"/>
      <c r="E322" s="25"/>
      <c r="F322" s="26"/>
      <c r="G322" s="27"/>
      <c r="H322" s="28"/>
      <c r="I322" s="29"/>
      <c r="J322" s="366"/>
      <c r="K322" s="29"/>
      <c r="L322" s="30"/>
      <c r="M322" s="30"/>
      <c r="N322" s="30"/>
      <c r="O322" s="30"/>
      <c r="P322" s="30"/>
      <c r="Q322" s="30"/>
      <c r="R322" s="30"/>
      <c r="S322" s="31"/>
      <c r="T322" s="31"/>
      <c r="U322" s="30"/>
      <c r="V322" s="32"/>
      <c r="W322" s="32"/>
      <c r="X322" s="33"/>
      <c r="Y322" s="1"/>
    </row>
  </sheetData>
  <mergeCells count="358">
    <mergeCell ref="A1:W1"/>
    <mergeCell ref="I2:K2"/>
    <mergeCell ref="L2:Q2"/>
    <mergeCell ref="S2:T2"/>
    <mergeCell ref="U2:V2"/>
    <mergeCell ref="O3:Q3"/>
    <mergeCell ref="B5:H5"/>
    <mergeCell ref="F24:H24"/>
    <mergeCell ref="F25:H25"/>
    <mergeCell ref="F33:H33"/>
    <mergeCell ref="F34:H34"/>
    <mergeCell ref="F48:H48"/>
    <mergeCell ref="F49:H49"/>
    <mergeCell ref="F57:H57"/>
    <mergeCell ref="F58:H58"/>
    <mergeCell ref="F67:H67"/>
    <mergeCell ref="F68:H68"/>
    <mergeCell ref="G70:H70"/>
    <mergeCell ref="B126:D126"/>
    <mergeCell ref="B176:D176"/>
    <mergeCell ref="B181:H181"/>
    <mergeCell ref="B197:D197"/>
    <mergeCell ref="B199:D199"/>
    <mergeCell ref="B207:D207"/>
    <mergeCell ref="B214:D214"/>
    <mergeCell ref="B219:H219"/>
    <mergeCell ref="B246:D246"/>
    <mergeCell ref="O255:Q255"/>
    <mergeCell ref="O258:Q258"/>
    <mergeCell ref="L259:Q259"/>
    <mergeCell ref="I271:K271"/>
    <mergeCell ref="L271:Q271"/>
    <mergeCell ref="S271:T271"/>
    <mergeCell ref="U271:V271"/>
    <mergeCell ref="O272:Q272"/>
    <mergeCell ref="A274:H274"/>
    <mergeCell ref="A2:A4"/>
    <mergeCell ref="A6:A25"/>
    <mergeCell ref="A27:A34"/>
    <mergeCell ref="A35:A49"/>
    <mergeCell ref="A50:A58"/>
    <mergeCell ref="A59:A68"/>
    <mergeCell ref="A69:A70"/>
    <mergeCell ref="A78:A81"/>
    <mergeCell ref="A94:A95"/>
    <mergeCell ref="A96:A97"/>
    <mergeCell ref="A98:A99"/>
    <mergeCell ref="A107:A110"/>
    <mergeCell ref="A111:A115"/>
    <mergeCell ref="A127:A176"/>
    <mergeCell ref="A182:A187"/>
    <mergeCell ref="A193:A194"/>
    <mergeCell ref="A231:A243"/>
    <mergeCell ref="A271:A273"/>
    <mergeCell ref="B2:B4"/>
    <mergeCell ref="B6:B25"/>
    <mergeCell ref="B27:B34"/>
    <mergeCell ref="B35:B49"/>
    <mergeCell ref="B50:B58"/>
    <mergeCell ref="B59:B68"/>
    <mergeCell ref="B69:B70"/>
    <mergeCell ref="B78:B81"/>
    <mergeCell ref="B94:B95"/>
    <mergeCell ref="B96:B97"/>
    <mergeCell ref="B98:B99"/>
    <mergeCell ref="B182:B187"/>
    <mergeCell ref="B193:B194"/>
    <mergeCell ref="B271:B273"/>
    <mergeCell ref="C2:C4"/>
    <mergeCell ref="C6:C25"/>
    <mergeCell ref="C27:C34"/>
    <mergeCell ref="C35:C49"/>
    <mergeCell ref="C50:C58"/>
    <mergeCell ref="C59:C68"/>
    <mergeCell ref="C69:C70"/>
    <mergeCell ref="C78:C81"/>
    <mergeCell ref="C94:C95"/>
    <mergeCell ref="C96:C97"/>
    <mergeCell ref="C98:C99"/>
    <mergeCell ref="C182:C187"/>
    <mergeCell ref="C193:C194"/>
    <mergeCell ref="C271:C273"/>
    <mergeCell ref="D2:D4"/>
    <mergeCell ref="D6:D25"/>
    <mergeCell ref="D27:D34"/>
    <mergeCell ref="D35:D49"/>
    <mergeCell ref="D50:D58"/>
    <mergeCell ref="D59:D68"/>
    <mergeCell ref="D69:D70"/>
    <mergeCell ref="D78:D81"/>
    <mergeCell ref="D94:D95"/>
    <mergeCell ref="D96:D97"/>
    <mergeCell ref="D98:D99"/>
    <mergeCell ref="D182:D187"/>
    <mergeCell ref="D193:D194"/>
    <mergeCell ref="D271:D273"/>
    <mergeCell ref="E2:E4"/>
    <mergeCell ref="E6:E25"/>
    <mergeCell ref="E27:E34"/>
    <mergeCell ref="E35:E49"/>
    <mergeCell ref="E50:E58"/>
    <mergeCell ref="E59:E68"/>
    <mergeCell ref="E69:E70"/>
    <mergeCell ref="E78:E81"/>
    <mergeCell ref="E96:E97"/>
    <mergeCell ref="E98:E99"/>
    <mergeCell ref="E111:E117"/>
    <mergeCell ref="E127:E133"/>
    <mergeCell ref="E134:E138"/>
    <mergeCell ref="E139:E145"/>
    <mergeCell ref="E147:E148"/>
    <mergeCell ref="E182:E187"/>
    <mergeCell ref="E193:E194"/>
    <mergeCell ref="E200:E206"/>
    <mergeCell ref="E208:E213"/>
    <mergeCell ref="E237:E242"/>
    <mergeCell ref="E271:E273"/>
    <mergeCell ref="E290:E297"/>
    <mergeCell ref="F2:F4"/>
    <mergeCell ref="F6:F18"/>
    <mergeCell ref="F19:F23"/>
    <mergeCell ref="F27:F28"/>
    <mergeCell ref="F29:F32"/>
    <mergeCell ref="F35:F42"/>
    <mergeCell ref="F43:F46"/>
    <mergeCell ref="F50:F52"/>
    <mergeCell ref="F53:F56"/>
    <mergeCell ref="F59:F62"/>
    <mergeCell ref="F63:F66"/>
    <mergeCell ref="F69:F70"/>
    <mergeCell ref="F78:F81"/>
    <mergeCell ref="F108:F110"/>
    <mergeCell ref="F111:F113"/>
    <mergeCell ref="F114:F125"/>
    <mergeCell ref="F127:F128"/>
    <mergeCell ref="F129:F133"/>
    <mergeCell ref="F135:F138"/>
    <mergeCell ref="F139:F141"/>
    <mergeCell ref="F142:F146"/>
    <mergeCell ref="F148:F151"/>
    <mergeCell ref="F152:F175"/>
    <mergeCell ref="F182:F187"/>
    <mergeCell ref="F193:F194"/>
    <mergeCell ref="F200:F201"/>
    <mergeCell ref="F202:F206"/>
    <mergeCell ref="F208:F213"/>
    <mergeCell ref="F232:F236"/>
    <mergeCell ref="F237:F242"/>
    <mergeCell ref="F244:F245"/>
    <mergeCell ref="F246:F250"/>
    <mergeCell ref="F255:F258"/>
    <mergeCell ref="F271:F273"/>
    <mergeCell ref="F275:F279"/>
    <mergeCell ref="F285:F289"/>
    <mergeCell ref="G2:G4"/>
    <mergeCell ref="G6:G7"/>
    <mergeCell ref="G8:G10"/>
    <mergeCell ref="G12:G14"/>
    <mergeCell ref="G15:G18"/>
    <mergeCell ref="G20:G22"/>
    <mergeCell ref="G36:G38"/>
    <mergeCell ref="G40:G41"/>
    <mergeCell ref="G44:G45"/>
    <mergeCell ref="G80:G81"/>
    <mergeCell ref="G111:G113"/>
    <mergeCell ref="G114:G115"/>
    <mergeCell ref="G116:G117"/>
    <mergeCell ref="G118:G119"/>
    <mergeCell ref="G140:G141"/>
    <mergeCell ref="G183:G186"/>
    <mergeCell ref="G271:G273"/>
    <mergeCell ref="H2:H4"/>
    <mergeCell ref="H6:H7"/>
    <mergeCell ref="H8:H10"/>
    <mergeCell ref="H12:H14"/>
    <mergeCell ref="H15:H18"/>
    <mergeCell ref="H20:H22"/>
    <mergeCell ref="H36:H38"/>
    <mergeCell ref="H40:H41"/>
    <mergeCell ref="H44:H45"/>
    <mergeCell ref="H80:H81"/>
    <mergeCell ref="H183:H186"/>
    <mergeCell ref="H271:H273"/>
    <mergeCell ref="I3:I4"/>
    <mergeCell ref="I60:I62"/>
    <mergeCell ref="I272:I273"/>
    <mergeCell ref="J3:J4"/>
    <mergeCell ref="J6:J7"/>
    <mergeCell ref="J8:J10"/>
    <mergeCell ref="J16:J17"/>
    <mergeCell ref="J36:J38"/>
    <mergeCell ref="J60:J62"/>
    <mergeCell ref="J184:J185"/>
    <mergeCell ref="J272:J273"/>
    <mergeCell ref="K3:K4"/>
    <mergeCell ref="K6:K7"/>
    <mergeCell ref="K8:K10"/>
    <mergeCell ref="K12:K14"/>
    <mergeCell ref="K16:K17"/>
    <mergeCell ref="K20:K22"/>
    <mergeCell ref="K36:K38"/>
    <mergeCell ref="K60:K62"/>
    <mergeCell ref="K272:K273"/>
    <mergeCell ref="L3:L4"/>
    <mergeCell ref="L6:L7"/>
    <mergeCell ref="L8:L10"/>
    <mergeCell ref="L12:L14"/>
    <mergeCell ref="L15:L18"/>
    <mergeCell ref="L36:L38"/>
    <mergeCell ref="L40:L41"/>
    <mergeCell ref="L60:L62"/>
    <mergeCell ref="L183:L186"/>
    <mergeCell ref="L272:L273"/>
    <mergeCell ref="M3:M4"/>
    <mergeCell ref="M6:M7"/>
    <mergeCell ref="M8:M10"/>
    <mergeCell ref="M12:M14"/>
    <mergeCell ref="M15:M18"/>
    <mergeCell ref="M36:M38"/>
    <mergeCell ref="M40:M41"/>
    <mergeCell ref="M60:M62"/>
    <mergeCell ref="M183:M186"/>
    <mergeCell ref="M272:M273"/>
    <mergeCell ref="N3:N4"/>
    <mergeCell ref="N6:N7"/>
    <mergeCell ref="N8:N10"/>
    <mergeCell ref="N12:N14"/>
    <mergeCell ref="N15:N18"/>
    <mergeCell ref="N36:N38"/>
    <mergeCell ref="N40:N41"/>
    <mergeCell ref="N60:N62"/>
    <mergeCell ref="N183:N186"/>
    <mergeCell ref="N272:N273"/>
    <mergeCell ref="O6:O7"/>
    <mergeCell ref="O8:O10"/>
    <mergeCell ref="O12:O14"/>
    <mergeCell ref="O15:O18"/>
    <mergeCell ref="O36:O38"/>
    <mergeCell ref="O40:O41"/>
    <mergeCell ref="O60:O62"/>
    <mergeCell ref="O183:O186"/>
    <mergeCell ref="P6:P7"/>
    <mergeCell ref="P8:P10"/>
    <mergeCell ref="P12:P14"/>
    <mergeCell ref="P15:P18"/>
    <mergeCell ref="P36:P38"/>
    <mergeCell ref="P40:P41"/>
    <mergeCell ref="P183:P186"/>
    <mergeCell ref="Q6:Q7"/>
    <mergeCell ref="Q8:Q10"/>
    <mergeCell ref="Q12:Q14"/>
    <mergeCell ref="Q15:Q18"/>
    <mergeCell ref="Q36:Q38"/>
    <mergeCell ref="Q40:Q41"/>
    <mergeCell ref="Q60:Q62"/>
    <mergeCell ref="Q183:Q186"/>
    <mergeCell ref="R2:R3"/>
    <mergeCell ref="R6:R7"/>
    <mergeCell ref="R8:R10"/>
    <mergeCell ref="R12:R14"/>
    <mergeCell ref="R15:R18"/>
    <mergeCell ref="R36:R38"/>
    <mergeCell ref="R40:R41"/>
    <mergeCell ref="R60:R62"/>
    <mergeCell ref="R183:R186"/>
    <mergeCell ref="R271:R272"/>
    <mergeCell ref="S6:S7"/>
    <mergeCell ref="S8:S10"/>
    <mergeCell ref="S12:S14"/>
    <mergeCell ref="S15:S18"/>
    <mergeCell ref="S36:S38"/>
    <mergeCell ref="S40:S41"/>
    <mergeCell ref="S60:S62"/>
    <mergeCell ref="S94:S95"/>
    <mergeCell ref="S96:S97"/>
    <mergeCell ref="S98:S99"/>
    <mergeCell ref="S183:S186"/>
    <mergeCell ref="T6:T7"/>
    <mergeCell ref="T8:T10"/>
    <mergeCell ref="T12:T14"/>
    <mergeCell ref="T15:T18"/>
    <mergeCell ref="T36:T38"/>
    <mergeCell ref="T40:T41"/>
    <mergeCell ref="T44:T45"/>
    <mergeCell ref="T60:T62"/>
    <mergeCell ref="T94:T95"/>
    <mergeCell ref="T96:T97"/>
    <mergeCell ref="T98:T99"/>
    <mergeCell ref="T183:T186"/>
    <mergeCell ref="U6:U7"/>
    <mergeCell ref="U8:U10"/>
    <mergeCell ref="U12:U14"/>
    <mergeCell ref="U15:U18"/>
    <mergeCell ref="U36:U38"/>
    <mergeCell ref="U40:U41"/>
    <mergeCell ref="U44:U45"/>
    <mergeCell ref="U60:U61"/>
    <mergeCell ref="U94:U95"/>
    <mergeCell ref="U183:U186"/>
    <mergeCell ref="V6:V7"/>
    <mergeCell ref="V8:V10"/>
    <mergeCell ref="V12:V14"/>
    <mergeCell ref="V15:V18"/>
    <mergeCell ref="V36:V38"/>
    <mergeCell ref="V40:V41"/>
    <mergeCell ref="V44:V45"/>
    <mergeCell ref="V60:V62"/>
    <mergeCell ref="V94:V95"/>
    <mergeCell ref="V96:V97"/>
    <mergeCell ref="V98:V99"/>
    <mergeCell ref="V183:V186"/>
    <mergeCell ref="W2:W3"/>
    <mergeCell ref="W6:W7"/>
    <mergeCell ref="W8:W10"/>
    <mergeCell ref="W12:W14"/>
    <mergeCell ref="W15:W18"/>
    <mergeCell ref="W36:W38"/>
    <mergeCell ref="W40:W41"/>
    <mergeCell ref="W44:W45"/>
    <mergeCell ref="W60:W62"/>
    <mergeCell ref="W94:W95"/>
    <mergeCell ref="W183:W186"/>
    <mergeCell ref="W271:W272"/>
    <mergeCell ref="X2:X3"/>
    <mergeCell ref="X6:X7"/>
    <mergeCell ref="X8:X10"/>
    <mergeCell ref="X12:X14"/>
    <mergeCell ref="X15:X18"/>
    <mergeCell ref="X40:X41"/>
    <mergeCell ref="X60:X62"/>
    <mergeCell ref="X94:X95"/>
    <mergeCell ref="X177:X178"/>
    <mergeCell ref="X183:X186"/>
    <mergeCell ref="X215:X216"/>
    <mergeCell ref="X251:X252"/>
    <mergeCell ref="X271:X272"/>
    <mergeCell ref="B107:D110"/>
    <mergeCell ref="B111:D125"/>
    <mergeCell ref="B127:D133"/>
    <mergeCell ref="B134:D138"/>
    <mergeCell ref="B139:D146"/>
    <mergeCell ref="B147:D151"/>
    <mergeCell ref="B152:D175"/>
    <mergeCell ref="A177:F178"/>
    <mergeCell ref="B200:D206"/>
    <mergeCell ref="B208:D213"/>
    <mergeCell ref="A215:F216"/>
    <mergeCell ref="B231:D236"/>
    <mergeCell ref="B237:D242"/>
    <mergeCell ref="B243:D245"/>
    <mergeCell ref="B247:D250"/>
    <mergeCell ref="A251:F252"/>
    <mergeCell ref="A255:E258"/>
    <mergeCell ref="A275:E279"/>
    <mergeCell ref="A280:E284"/>
    <mergeCell ref="A285:E289"/>
    <mergeCell ref="A290:D298"/>
    <mergeCell ref="A299:E309"/>
  </mergeCells>
  <pageMargins left="0.75" right="0.75" top="1" bottom="1" header="0.5" footer="0.5"/>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A377"/>
  <sheetViews>
    <sheetView zoomScale="70" zoomScaleNormal="70" workbookViewId="0">
      <pane ySplit="4" topLeftCell="A292" activePane="bottomLeft" state="frozen"/>
      <selection/>
      <selection pane="bottomLeft" activeCell="E302" sqref="E302"/>
    </sheetView>
  </sheetViews>
  <sheetFormatPr defaultColWidth="9" defaultRowHeight="13.85"/>
  <cols>
    <col min="1" max="1" width="7.08333333333333" style="24" customWidth="1"/>
    <col min="2" max="2" width="23.75" style="24" customWidth="1"/>
    <col min="3" max="3" width="15.4666666666667" style="24" customWidth="1"/>
    <col min="4" max="4" width="15.7833333333333" style="24" customWidth="1"/>
    <col min="5" max="5" width="12.3416666666667" style="25" customWidth="1"/>
    <col min="6" max="6" width="9.83333333333333" style="26" customWidth="1"/>
    <col min="7" max="7" width="23.5" style="27" customWidth="1"/>
    <col min="8" max="8" width="21.0916666666667" style="28" customWidth="1"/>
    <col min="9" max="9" width="18.75" style="29" customWidth="1"/>
    <col min="10" max="10" width="16.0583333333333" style="29" customWidth="1"/>
    <col min="11" max="11" width="15.35" style="29" customWidth="1"/>
    <col min="12" max="12" width="13.5666666666667" style="30" customWidth="1"/>
    <col min="13" max="13" width="15.8916666666667" style="30" customWidth="1"/>
    <col min="14" max="14" width="11.7833333333333" style="30" customWidth="1"/>
    <col min="15" max="15" width="13.4333333333333" style="30" customWidth="1"/>
    <col min="16" max="16" width="13.75" style="30" customWidth="1"/>
    <col min="17" max="17" width="13.625" style="30" customWidth="1"/>
    <col min="18" max="18" width="15.375" style="30" customWidth="1"/>
    <col min="19" max="19" width="17.125" style="31" customWidth="1"/>
    <col min="20" max="20" width="17.1833333333333" style="31" customWidth="1"/>
    <col min="21" max="21" width="17.125" style="30" customWidth="1"/>
    <col min="22" max="22" width="13.75" style="32" customWidth="1"/>
    <col min="23" max="23" width="20.4166666666667" style="32" customWidth="1"/>
    <col min="24" max="24" width="28.5916666666667" style="33" customWidth="1"/>
    <col min="25" max="25" width="12.625" style="1"/>
    <col min="26" max="16384" width="9" style="1"/>
  </cols>
  <sheetData>
    <row r="1" s="1" customFormat="1" ht="27" customHeight="1" spans="1:24">
      <c r="A1" s="34" t="s">
        <v>325</v>
      </c>
      <c r="B1" s="34"/>
      <c r="C1" s="34"/>
      <c r="D1" s="34"/>
      <c r="E1" s="35"/>
      <c r="F1" s="35"/>
      <c r="G1" s="34"/>
      <c r="H1" s="34"/>
      <c r="I1" s="84"/>
      <c r="J1" s="84"/>
      <c r="K1" s="84"/>
      <c r="L1" s="85"/>
      <c r="M1" s="85"/>
      <c r="N1" s="85"/>
      <c r="O1" s="85"/>
      <c r="P1" s="85"/>
      <c r="Q1" s="85"/>
      <c r="R1" s="85"/>
      <c r="S1" s="121"/>
      <c r="T1" s="121"/>
      <c r="U1" s="85"/>
      <c r="V1" s="85"/>
      <c r="W1" s="85"/>
      <c r="X1" s="34"/>
    </row>
    <row r="2" s="15" customFormat="1" ht="20.25" spans="1:24">
      <c r="A2" s="36" t="s">
        <v>1</v>
      </c>
      <c r="B2" s="36" t="s">
        <v>2</v>
      </c>
      <c r="C2" s="36" t="s">
        <v>3</v>
      </c>
      <c r="D2" s="36" t="s">
        <v>4</v>
      </c>
      <c r="E2" s="37" t="s">
        <v>5</v>
      </c>
      <c r="F2" s="37" t="s">
        <v>6</v>
      </c>
      <c r="G2" s="36" t="s">
        <v>7</v>
      </c>
      <c r="H2" s="36" t="s">
        <v>8</v>
      </c>
      <c r="I2" s="86" t="s">
        <v>285</v>
      </c>
      <c r="J2" s="87"/>
      <c r="K2" s="87"/>
      <c r="L2" s="88" t="s">
        <v>286</v>
      </c>
      <c r="M2" s="89"/>
      <c r="N2" s="89"/>
      <c r="O2" s="89"/>
      <c r="P2" s="89"/>
      <c r="Q2" s="89"/>
      <c r="R2" s="122" t="s">
        <v>11</v>
      </c>
      <c r="S2" s="123" t="s">
        <v>12</v>
      </c>
      <c r="T2" s="124"/>
      <c r="U2" s="123" t="s">
        <v>287</v>
      </c>
      <c r="V2" s="124"/>
      <c r="W2" s="122" t="s">
        <v>14</v>
      </c>
      <c r="X2" s="122" t="s">
        <v>289</v>
      </c>
    </row>
    <row r="3" s="16" customFormat="1" ht="20.25" spans="1:24">
      <c r="A3" s="36"/>
      <c r="B3" s="36"/>
      <c r="C3" s="36"/>
      <c r="D3" s="36"/>
      <c r="E3" s="37"/>
      <c r="F3" s="37"/>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126"/>
    </row>
    <row r="4" s="16" customFormat="1" ht="44" customHeight="1" spans="1:24">
      <c r="A4" s="36"/>
      <c r="B4" s="36"/>
      <c r="C4" s="36"/>
      <c r="D4" s="36"/>
      <c r="E4" s="37"/>
      <c r="F4" s="37"/>
      <c r="G4" s="36"/>
      <c r="H4" s="36"/>
      <c r="I4" s="36"/>
      <c r="J4" s="36"/>
      <c r="K4" s="36"/>
      <c r="L4" s="36"/>
      <c r="M4" s="36"/>
      <c r="N4" s="36"/>
      <c r="O4" s="92" t="s">
        <v>293</v>
      </c>
      <c r="P4" s="92" t="s">
        <v>294</v>
      </c>
      <c r="Q4" s="92" t="s">
        <v>25</v>
      </c>
      <c r="R4" s="126"/>
      <c r="S4" s="127"/>
      <c r="T4" s="125"/>
      <c r="U4" s="128"/>
      <c r="V4" s="128"/>
      <c r="W4" s="129"/>
      <c r="X4" s="129"/>
    </row>
    <row r="5" s="1" customFormat="1" ht="36" customHeight="1" spans="1:24">
      <c r="A5" s="38" t="s">
        <v>31</v>
      </c>
      <c r="B5" s="39" t="s">
        <v>32</v>
      </c>
      <c r="C5" s="40"/>
      <c r="D5" s="40"/>
      <c r="E5" s="41"/>
      <c r="F5" s="41"/>
      <c r="G5" s="40"/>
      <c r="H5" s="42"/>
      <c r="I5" s="93"/>
      <c r="J5" s="93"/>
      <c r="K5" s="93"/>
      <c r="L5" s="93"/>
      <c r="M5" s="93"/>
      <c r="N5" s="93"/>
      <c r="O5" s="93"/>
      <c r="P5" s="93"/>
      <c r="Q5" s="93"/>
      <c r="R5" s="93"/>
      <c r="S5" s="93"/>
      <c r="T5" s="130"/>
      <c r="U5" s="131"/>
      <c r="V5" s="130"/>
      <c r="W5" s="130"/>
      <c r="X5" s="132"/>
    </row>
    <row r="6" s="1" customFormat="1" ht="25" customHeight="1" spans="1:24">
      <c r="A6" s="43">
        <v>1</v>
      </c>
      <c r="B6" s="43" t="s">
        <v>33</v>
      </c>
      <c r="C6" s="43" t="s">
        <v>34</v>
      </c>
      <c r="D6" s="44"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69"/>
    </row>
    <row r="7" s="1" customFormat="1" spans="1:24">
      <c r="A7" s="48"/>
      <c r="B7" s="48"/>
      <c r="C7" s="48"/>
      <c r="D7" s="48"/>
      <c r="E7" s="49"/>
      <c r="F7" s="46"/>
      <c r="G7" s="47"/>
      <c r="H7" s="47"/>
      <c r="I7" s="94">
        <v>26478900.92</v>
      </c>
      <c r="J7" s="95"/>
      <c r="K7" s="95"/>
      <c r="L7" s="96"/>
      <c r="M7" s="96"/>
      <c r="N7" s="96"/>
      <c r="O7" s="96"/>
      <c r="P7" s="98"/>
      <c r="Q7" s="98"/>
      <c r="R7" s="98"/>
      <c r="S7" s="96"/>
      <c r="T7" s="98"/>
      <c r="U7" s="98"/>
      <c r="V7" s="98"/>
      <c r="W7" s="98"/>
      <c r="X7" s="70"/>
    </row>
    <row r="8" s="1" customFormat="1" spans="1:24">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69"/>
    </row>
    <row r="9" s="1" customFormat="1" spans="1:24">
      <c r="A9" s="48"/>
      <c r="B9" s="48"/>
      <c r="C9" s="48"/>
      <c r="D9" s="48"/>
      <c r="E9" s="49"/>
      <c r="F9" s="46"/>
      <c r="G9" s="47"/>
      <c r="H9" s="47"/>
      <c r="I9" s="94">
        <v>7013045.58</v>
      </c>
      <c r="J9" s="95"/>
      <c r="K9" s="95"/>
      <c r="L9" s="96"/>
      <c r="M9" s="96"/>
      <c r="N9" s="96"/>
      <c r="O9" s="96"/>
      <c r="P9" s="70"/>
      <c r="Q9" s="98"/>
      <c r="R9" s="98"/>
      <c r="S9" s="96"/>
      <c r="T9" s="98"/>
      <c r="U9" s="98"/>
      <c r="V9" s="98"/>
      <c r="W9" s="98"/>
      <c r="X9" s="70"/>
    </row>
    <row r="10" s="1" customFormat="1" spans="1:24">
      <c r="A10" s="48"/>
      <c r="B10" s="48"/>
      <c r="C10" s="48"/>
      <c r="D10" s="48"/>
      <c r="E10" s="49"/>
      <c r="F10" s="46"/>
      <c r="G10" s="47"/>
      <c r="H10" s="47"/>
      <c r="I10" s="94">
        <v>9999999</v>
      </c>
      <c r="J10" s="95"/>
      <c r="K10" s="95"/>
      <c r="L10" s="96"/>
      <c r="M10" s="96"/>
      <c r="N10" s="96"/>
      <c r="O10" s="96"/>
      <c r="P10" s="70"/>
      <c r="Q10" s="98"/>
      <c r="R10" s="98"/>
      <c r="S10" s="96"/>
      <c r="T10" s="98"/>
      <c r="U10" s="98"/>
      <c r="V10" s="98"/>
      <c r="W10" s="98"/>
      <c r="X10" s="70"/>
    </row>
    <row r="11" s="1" customFormat="1" ht="38" customHeight="1" spans="1:24">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135"/>
    </row>
    <row r="12" s="1" customFormat="1" spans="1:24">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6"/>
    </row>
    <row r="13" s="1" customFormat="1" spans="1:24">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6"/>
    </row>
    <row r="14" s="1" customFormat="1" spans="1:24">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6"/>
    </row>
    <row r="15" s="1" customFormat="1" spans="1:24">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137"/>
    </row>
    <row r="16" s="1" customFormat="1" spans="1:24">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137"/>
    </row>
    <row r="17" s="1" customFormat="1" spans="1:24">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137"/>
    </row>
    <row r="18" s="1" customFormat="1" spans="1:24">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139"/>
    </row>
    <row r="19" s="1" customFormat="1" ht="31" customHeight="1" spans="1:24">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56"/>
    </row>
    <row r="20" s="1" customFormat="1" ht="31" customHeight="1" spans="1:24">
      <c r="A20" s="48"/>
      <c r="B20" s="48"/>
      <c r="C20" s="48"/>
      <c r="D20" s="48"/>
      <c r="E20" s="49"/>
      <c r="F20" s="52"/>
      <c r="G20" s="54" t="s">
        <v>406</v>
      </c>
      <c r="H20" s="54" t="s">
        <v>407</v>
      </c>
      <c r="I20" s="53">
        <v>198113.21</v>
      </c>
      <c r="J20" s="102">
        <v>11886.79</v>
      </c>
      <c r="K20" s="103">
        <f>J20+I20+I21+I22+J21+J22</f>
        <v>6463024.3</v>
      </c>
      <c r="L20" s="104"/>
      <c r="M20" s="104"/>
      <c r="N20" s="104"/>
      <c r="O20" s="104"/>
      <c r="P20" s="104"/>
      <c r="Q20" s="104"/>
      <c r="R20" s="104"/>
      <c r="S20" s="104"/>
      <c r="T20" s="104"/>
      <c r="U20" s="104"/>
      <c r="V20" s="140"/>
      <c r="W20" s="140"/>
      <c r="X20" s="56"/>
    </row>
    <row r="21" s="1" customFormat="1" ht="31" customHeight="1" spans="1:24">
      <c r="A21" s="48"/>
      <c r="B21" s="48"/>
      <c r="C21" s="48"/>
      <c r="D21" s="48"/>
      <c r="E21" s="49"/>
      <c r="F21" s="52"/>
      <c r="G21" s="55"/>
      <c r="H21" s="55"/>
      <c r="I21" s="53">
        <v>2720001.87</v>
      </c>
      <c r="J21" s="102">
        <v>244800.17</v>
      </c>
      <c r="K21" s="105"/>
      <c r="L21" s="104"/>
      <c r="M21" s="104"/>
      <c r="N21" s="104"/>
      <c r="O21" s="104"/>
      <c r="P21" s="104"/>
      <c r="Q21" s="104"/>
      <c r="R21" s="104"/>
      <c r="S21" s="104"/>
      <c r="T21" s="104"/>
      <c r="U21" s="104"/>
      <c r="V21" s="140"/>
      <c r="W21" s="140"/>
      <c r="X21" s="56"/>
    </row>
    <row r="22" s="1" customFormat="1" ht="31" customHeight="1" spans="1:24">
      <c r="A22" s="48"/>
      <c r="B22" s="48"/>
      <c r="C22" s="48"/>
      <c r="D22" s="48"/>
      <c r="E22" s="49"/>
      <c r="F22" s="52"/>
      <c r="G22" s="56"/>
      <c r="H22" s="56"/>
      <c r="I22" s="53">
        <v>2909931.2</v>
      </c>
      <c r="J22" s="102">
        <v>378291.06</v>
      </c>
      <c r="K22" s="106"/>
      <c r="L22" s="104"/>
      <c r="M22" s="104"/>
      <c r="N22" s="104"/>
      <c r="O22" s="104"/>
      <c r="P22" s="104"/>
      <c r="Q22" s="104"/>
      <c r="R22" s="104"/>
      <c r="S22" s="104"/>
      <c r="T22" s="104"/>
      <c r="U22" s="104"/>
      <c r="V22" s="140"/>
      <c r="W22" s="140"/>
      <c r="X22" s="56"/>
    </row>
    <row r="23" s="1" customFormat="1" ht="31" customHeight="1" spans="1:24">
      <c r="A23" s="48"/>
      <c r="B23" s="48"/>
      <c r="C23" s="48"/>
      <c r="D23" s="48"/>
      <c r="E23" s="49"/>
      <c r="F23" s="52"/>
      <c r="G23" s="57" t="s">
        <v>470</v>
      </c>
      <c r="H23" s="57" t="s">
        <v>471</v>
      </c>
      <c r="I23" s="102">
        <v>8623244.66</v>
      </c>
      <c r="J23" s="102"/>
      <c r="K23" s="106">
        <f>J23+I23</f>
        <v>8623244.66</v>
      </c>
      <c r="L23" s="104">
        <v>225405</v>
      </c>
      <c r="M23" s="104"/>
      <c r="N23" s="104"/>
      <c r="O23" s="104"/>
      <c r="P23" s="104"/>
      <c r="Q23" s="104"/>
      <c r="R23" s="104"/>
      <c r="S23" s="104"/>
      <c r="T23" s="104"/>
      <c r="U23" s="104"/>
      <c r="V23" s="140"/>
      <c r="W23" s="140"/>
      <c r="X23" s="56"/>
    </row>
    <row r="24" s="1" customFormat="1" ht="31" customHeight="1" spans="1:24">
      <c r="A24" s="48"/>
      <c r="B24" s="48"/>
      <c r="C24" s="48"/>
      <c r="D24" s="48"/>
      <c r="E24" s="49"/>
      <c r="F24" s="52"/>
      <c r="G24" s="56"/>
      <c r="H24" s="56"/>
      <c r="I24" s="107"/>
      <c r="J24" s="102"/>
      <c r="K24" s="106"/>
      <c r="L24" s="104"/>
      <c r="M24" s="104"/>
      <c r="N24" s="104"/>
      <c r="O24" s="104"/>
      <c r="P24" s="104"/>
      <c r="Q24" s="104"/>
      <c r="R24" s="104"/>
      <c r="S24" s="104"/>
      <c r="T24" s="104"/>
      <c r="U24" s="104"/>
      <c r="V24" s="140"/>
      <c r="W24" s="140"/>
      <c r="X24" s="56"/>
    </row>
    <row r="25" s="1" customFormat="1" ht="40" customHeight="1" spans="1:24">
      <c r="A25" s="48"/>
      <c r="B25" s="48"/>
      <c r="C25" s="48"/>
      <c r="D25" s="48"/>
      <c r="E25" s="49"/>
      <c r="F25" s="52"/>
      <c r="G25" s="53"/>
      <c r="H25" s="53"/>
      <c r="I25" s="53"/>
      <c r="J25" s="101"/>
      <c r="K25" s="101"/>
      <c r="L25" s="104"/>
      <c r="M25" s="104"/>
      <c r="N25" s="104"/>
      <c r="O25" s="104"/>
      <c r="P25" s="104"/>
      <c r="Q25" s="104"/>
      <c r="R25" s="104"/>
      <c r="S25" s="104"/>
      <c r="T25" s="104"/>
      <c r="U25" s="104"/>
      <c r="V25" s="140"/>
      <c r="W25" s="140"/>
      <c r="X25" s="56"/>
    </row>
    <row r="26" s="1" customFormat="1" ht="41" customHeight="1" spans="1:24">
      <c r="A26" s="48"/>
      <c r="B26" s="48"/>
      <c r="C26" s="48"/>
      <c r="D26" s="48"/>
      <c r="E26" s="49"/>
      <c r="F26" s="58" t="s">
        <v>326</v>
      </c>
      <c r="G26" s="59"/>
      <c r="H26" s="60"/>
      <c r="I26" s="108">
        <f t="shared" ref="I26:W26" si="1">SUM(I6:I18)</f>
        <v>94163828.8</v>
      </c>
      <c r="J26" s="108">
        <f t="shared" si="1"/>
        <v>9375096.89</v>
      </c>
      <c r="K26" s="108">
        <f t="shared" si="1"/>
        <v>103538925.69</v>
      </c>
      <c r="L26" s="108">
        <f t="shared" si="1"/>
        <v>2208694.43</v>
      </c>
      <c r="M26" s="108">
        <f t="shared" si="1"/>
        <v>0</v>
      </c>
      <c r="N26" s="108">
        <f t="shared" si="1"/>
        <v>0</v>
      </c>
      <c r="O26" s="108">
        <f t="shared" si="1"/>
        <v>0</v>
      </c>
      <c r="P26" s="108">
        <f t="shared" si="1"/>
        <v>0</v>
      </c>
      <c r="Q26" s="108">
        <f t="shared" si="1"/>
        <v>3100</v>
      </c>
      <c r="R26" s="108">
        <f t="shared" si="1"/>
        <v>0</v>
      </c>
      <c r="S26" s="108">
        <f t="shared" si="1"/>
        <v>100072131.26</v>
      </c>
      <c r="T26" s="108">
        <f t="shared" si="1"/>
        <v>1255000</v>
      </c>
      <c r="U26" s="108">
        <f t="shared" si="1"/>
        <v>84578468.7</v>
      </c>
      <c r="V26" s="108">
        <f t="shared" si="1"/>
        <v>1255000</v>
      </c>
      <c r="W26" s="108">
        <f t="shared" si="1"/>
        <v>15493662.56</v>
      </c>
      <c r="X26" s="108"/>
    </row>
    <row r="27" s="1" customFormat="1" ht="47" customHeight="1" spans="1:24">
      <c r="A27" s="48"/>
      <c r="B27" s="48"/>
      <c r="C27" s="48"/>
      <c r="D27" s="48"/>
      <c r="E27" s="49"/>
      <c r="F27" s="61" t="s">
        <v>327</v>
      </c>
      <c r="G27" s="61"/>
      <c r="H27" s="61"/>
      <c r="I27" s="109">
        <f>SUM(I19:I25)</f>
        <v>14451290.94</v>
      </c>
      <c r="J27" s="109">
        <f>SUM(J19:J25)</f>
        <v>634978.02</v>
      </c>
      <c r="K27" s="109">
        <f>SUM(K19:K25)</f>
        <v>15086268.96</v>
      </c>
      <c r="L27" s="109">
        <f t="shared" ref="I27:X27" si="2">SUM(L19:L25)</f>
        <v>225405</v>
      </c>
      <c r="M27" s="109">
        <f t="shared" si="2"/>
        <v>0</v>
      </c>
      <c r="N27" s="109">
        <f t="shared" si="2"/>
        <v>0</v>
      </c>
      <c r="O27" s="109">
        <f t="shared" si="2"/>
        <v>0</v>
      </c>
      <c r="P27" s="109">
        <f t="shared" si="2"/>
        <v>0</v>
      </c>
      <c r="Q27" s="109">
        <f t="shared" si="2"/>
        <v>0</v>
      </c>
      <c r="R27" s="109">
        <f t="shared" si="2"/>
        <v>0</v>
      </c>
      <c r="S27" s="109">
        <f t="shared" si="2"/>
        <v>0</v>
      </c>
      <c r="T27" s="109">
        <f t="shared" si="2"/>
        <v>0</v>
      </c>
      <c r="U27" s="109">
        <f t="shared" si="2"/>
        <v>15493662.56</v>
      </c>
      <c r="V27" s="109">
        <f t="shared" si="2"/>
        <v>0</v>
      </c>
      <c r="W27" s="109">
        <f t="shared" si="2"/>
        <v>-15493662.56</v>
      </c>
      <c r="X27" s="109">
        <f t="shared" si="2"/>
        <v>0</v>
      </c>
    </row>
    <row r="28" s="1" customFormat="1" ht="41" customHeight="1" spans="1:24">
      <c r="A28" s="43"/>
      <c r="B28" s="43"/>
      <c r="C28" s="43"/>
      <c r="D28" s="43"/>
      <c r="E28" s="45"/>
      <c r="F28" s="62"/>
      <c r="G28" s="63"/>
      <c r="H28" s="64"/>
      <c r="I28" s="110">
        <f t="shared" ref="I28:K28" si="3">I27+I26</f>
        <v>108615119.74</v>
      </c>
      <c r="J28" s="110">
        <f t="shared" si="3"/>
        <v>10010074.91</v>
      </c>
      <c r="K28" s="110">
        <f t="shared" si="3"/>
        <v>118625194.65</v>
      </c>
      <c r="L28" s="111"/>
      <c r="M28" s="111"/>
      <c r="N28" s="111"/>
      <c r="O28" s="111"/>
      <c r="P28" s="111"/>
      <c r="Q28" s="111"/>
      <c r="R28" s="111"/>
      <c r="S28" s="111"/>
      <c r="T28" s="141"/>
      <c r="U28" s="141"/>
      <c r="V28" s="141"/>
      <c r="W28" s="141"/>
      <c r="X28" s="142"/>
    </row>
    <row r="29" s="1" customFormat="1" ht="44" customHeight="1" spans="1:24">
      <c r="A29" s="43">
        <v>2</v>
      </c>
      <c r="B29" s="43" t="s">
        <v>47</v>
      </c>
      <c r="C29" s="43" t="s">
        <v>48</v>
      </c>
      <c r="D29" s="65" t="s">
        <v>49</v>
      </c>
      <c r="E29" s="45">
        <v>1845935</v>
      </c>
      <c r="F29" s="45" t="s">
        <v>295</v>
      </c>
      <c r="G29" s="66" t="s">
        <v>50</v>
      </c>
      <c r="H29" s="66" t="s">
        <v>51</v>
      </c>
      <c r="I29" s="94"/>
      <c r="J29" s="94"/>
      <c r="K29" s="94">
        <f t="shared" ref="K29:K35" si="4">I29+J29</f>
        <v>0</v>
      </c>
      <c r="L29" s="94"/>
      <c r="M29" s="94"/>
      <c r="N29" s="94"/>
      <c r="O29" s="94"/>
      <c r="P29" s="94"/>
      <c r="Q29" s="94"/>
      <c r="R29" s="94">
        <v>184593.5</v>
      </c>
      <c r="S29" s="94">
        <f t="shared" ref="S29:S34" si="5">K29-L29-M29-N29-O29+R29</f>
        <v>184593.5</v>
      </c>
      <c r="T29" s="133"/>
      <c r="U29" s="134">
        <f>R29</f>
        <v>184593.5</v>
      </c>
      <c r="V29" s="133"/>
      <c r="W29" s="133">
        <f t="shared" ref="W29:W34" si="6">S29+T29-U29-V29</f>
        <v>0</v>
      </c>
      <c r="X29" s="135"/>
    </row>
    <row r="30" s="1" customFormat="1" ht="27" spans="1:24">
      <c r="A30" s="48"/>
      <c r="B30" s="48"/>
      <c r="C30" s="48"/>
      <c r="D30" s="67"/>
      <c r="E30" s="49"/>
      <c r="F30" s="49"/>
      <c r="G30" s="66" t="s">
        <v>52</v>
      </c>
      <c r="H30" s="47" t="s">
        <v>53</v>
      </c>
      <c r="I30" s="94">
        <v>320754.72</v>
      </c>
      <c r="J30" s="94">
        <v>19245.28</v>
      </c>
      <c r="K30" s="94">
        <f t="shared" si="4"/>
        <v>340000</v>
      </c>
      <c r="L30" s="94"/>
      <c r="M30" s="94"/>
      <c r="N30" s="94"/>
      <c r="O30" s="94"/>
      <c r="P30" s="94"/>
      <c r="Q30" s="94"/>
      <c r="R30" s="94">
        <v>-68000</v>
      </c>
      <c r="S30" s="94">
        <f t="shared" si="5"/>
        <v>272000</v>
      </c>
      <c r="T30" s="133"/>
      <c r="U30" s="134">
        <v>272000</v>
      </c>
      <c r="V30" s="133"/>
      <c r="W30" s="133">
        <f t="shared" si="6"/>
        <v>0</v>
      </c>
      <c r="X30" s="135"/>
    </row>
    <row r="31" s="1" customFormat="1" ht="35" customHeight="1" spans="1:24">
      <c r="A31" s="48"/>
      <c r="B31" s="48"/>
      <c r="C31" s="48"/>
      <c r="D31" s="67"/>
      <c r="E31" s="49"/>
      <c r="F31" s="52" t="s">
        <v>296</v>
      </c>
      <c r="G31" s="68" t="s">
        <v>352</v>
      </c>
      <c r="H31" s="68" t="s">
        <v>353</v>
      </c>
      <c r="I31" s="101">
        <v>914728.77</v>
      </c>
      <c r="J31" s="101">
        <v>54883.73</v>
      </c>
      <c r="K31" s="101">
        <v>969612.5</v>
      </c>
      <c r="L31" s="101"/>
      <c r="M31" s="101"/>
      <c r="N31" s="101"/>
      <c r="O31" s="101"/>
      <c r="P31" s="101"/>
      <c r="Q31" s="101"/>
      <c r="R31" s="101"/>
      <c r="S31" s="101">
        <f>K31</f>
        <v>969612.5</v>
      </c>
      <c r="T31" s="143"/>
      <c r="U31" s="144">
        <f>S31</f>
        <v>969612.5</v>
      </c>
      <c r="V31" s="143"/>
      <c r="W31" s="143">
        <f t="shared" ref="W31:W33" si="7">S31-U31+T31-V31</f>
        <v>0</v>
      </c>
      <c r="X31" s="135"/>
    </row>
    <row r="32" s="1" customFormat="1" ht="35" customHeight="1" spans="1:24">
      <c r="A32" s="48"/>
      <c r="B32" s="48"/>
      <c r="C32" s="48"/>
      <c r="D32" s="67"/>
      <c r="E32" s="49"/>
      <c r="F32" s="52"/>
      <c r="G32" s="68" t="s">
        <v>371</v>
      </c>
      <c r="H32" s="68" t="s">
        <v>372</v>
      </c>
      <c r="I32" s="101">
        <v>241813.68</v>
      </c>
      <c r="J32" s="101">
        <v>14508.82</v>
      </c>
      <c r="K32" s="101">
        <f>J32+I32</f>
        <v>256322.5</v>
      </c>
      <c r="L32" s="101"/>
      <c r="M32" s="101"/>
      <c r="N32" s="101"/>
      <c r="O32" s="101"/>
      <c r="P32" s="101"/>
      <c r="Q32" s="101"/>
      <c r="R32" s="101"/>
      <c r="S32" s="101">
        <f>K32</f>
        <v>256322.5</v>
      </c>
      <c r="T32" s="143"/>
      <c r="U32" s="144"/>
      <c r="V32" s="143"/>
      <c r="W32" s="143">
        <f t="shared" si="7"/>
        <v>256322.5</v>
      </c>
      <c r="X32" s="135"/>
    </row>
    <row r="33" s="1" customFormat="1" ht="48" customHeight="1" spans="1:24">
      <c r="A33" s="48"/>
      <c r="B33" s="48"/>
      <c r="C33" s="48"/>
      <c r="D33" s="67"/>
      <c r="E33" s="49"/>
      <c r="F33" s="52"/>
      <c r="G33" s="68" t="s">
        <v>373</v>
      </c>
      <c r="H33" s="68" t="s">
        <v>374</v>
      </c>
      <c r="I33" s="101"/>
      <c r="J33" s="101"/>
      <c r="K33" s="101"/>
      <c r="L33" s="101"/>
      <c r="M33" s="101"/>
      <c r="N33" s="101"/>
      <c r="O33" s="101"/>
      <c r="P33" s="101"/>
      <c r="Q33" s="101"/>
      <c r="R33" s="101">
        <v>-116593.5</v>
      </c>
      <c r="S33" s="101"/>
      <c r="T33" s="143"/>
      <c r="U33" s="144"/>
      <c r="V33" s="143"/>
      <c r="W33" s="143">
        <f t="shared" si="7"/>
        <v>0</v>
      </c>
      <c r="X33" s="135"/>
    </row>
    <row r="34" s="1" customFormat="1" ht="21" customHeight="1" spans="1:24">
      <c r="A34" s="48"/>
      <c r="B34" s="48"/>
      <c r="C34" s="48"/>
      <c r="D34" s="67"/>
      <c r="E34" s="49"/>
      <c r="F34" s="52"/>
      <c r="G34" s="52"/>
      <c r="H34" s="52"/>
      <c r="I34" s="101"/>
      <c r="J34" s="101"/>
      <c r="K34" s="101">
        <f t="shared" si="4"/>
        <v>0</v>
      </c>
      <c r="L34" s="101"/>
      <c r="M34" s="101"/>
      <c r="N34" s="101"/>
      <c r="O34" s="101"/>
      <c r="P34" s="101"/>
      <c r="Q34" s="101"/>
      <c r="R34" s="101"/>
      <c r="S34" s="101">
        <f t="shared" si="5"/>
        <v>0</v>
      </c>
      <c r="T34" s="143"/>
      <c r="U34" s="144"/>
      <c r="V34" s="143"/>
      <c r="W34" s="143">
        <f t="shared" si="6"/>
        <v>0</v>
      </c>
      <c r="X34" s="135"/>
    </row>
    <row r="35" s="1" customFormat="1" ht="36" customHeight="1" spans="1:24">
      <c r="A35" s="48"/>
      <c r="B35" s="48"/>
      <c r="C35" s="48"/>
      <c r="D35" s="67"/>
      <c r="E35" s="49"/>
      <c r="F35" s="58" t="s">
        <v>326</v>
      </c>
      <c r="G35" s="59"/>
      <c r="H35" s="60"/>
      <c r="I35" s="108">
        <f t="shared" ref="I35:U35" si="8">SUM(I29:I30)</f>
        <v>320754.72</v>
      </c>
      <c r="J35" s="108">
        <f t="shared" si="8"/>
        <v>19245.28</v>
      </c>
      <c r="K35" s="111">
        <f t="shared" si="4"/>
        <v>340000</v>
      </c>
      <c r="L35" s="111">
        <f t="shared" si="8"/>
        <v>0</v>
      </c>
      <c r="M35" s="111">
        <f t="shared" si="8"/>
        <v>0</v>
      </c>
      <c r="N35" s="111">
        <f t="shared" si="8"/>
        <v>0</v>
      </c>
      <c r="O35" s="111">
        <f t="shared" si="8"/>
        <v>0</v>
      </c>
      <c r="P35" s="111">
        <f t="shared" si="8"/>
        <v>0</v>
      </c>
      <c r="Q35" s="111">
        <f t="shared" si="8"/>
        <v>0</v>
      </c>
      <c r="R35" s="111">
        <f t="shared" si="8"/>
        <v>116593.5</v>
      </c>
      <c r="S35" s="111">
        <f t="shared" si="8"/>
        <v>456593.5</v>
      </c>
      <c r="T35" s="111">
        <f t="shared" si="8"/>
        <v>0</v>
      </c>
      <c r="U35" s="111">
        <f t="shared" si="8"/>
        <v>456593.5</v>
      </c>
      <c r="V35" s="111">
        <f>SUM(V29:V34)</f>
        <v>0</v>
      </c>
      <c r="W35" s="111">
        <f>SUM(W29:W34)-W31-W32</f>
        <v>0</v>
      </c>
      <c r="X35" s="135"/>
    </row>
    <row r="36" s="1" customFormat="1" ht="35" customHeight="1" spans="1:24">
      <c r="A36" s="48"/>
      <c r="B36" s="48"/>
      <c r="C36" s="48"/>
      <c r="D36" s="67"/>
      <c r="E36" s="49"/>
      <c r="F36" s="61" t="s">
        <v>327</v>
      </c>
      <c r="G36" s="61"/>
      <c r="H36" s="61"/>
      <c r="I36" s="109">
        <f>SUM(I31:I34)</f>
        <v>1156542.45</v>
      </c>
      <c r="J36" s="109">
        <f t="shared" ref="I36:W36" si="9">SUM(J31:J34)</f>
        <v>69392.55</v>
      </c>
      <c r="K36" s="109">
        <f t="shared" si="9"/>
        <v>1225935</v>
      </c>
      <c r="L36" s="109">
        <f t="shared" si="9"/>
        <v>0</v>
      </c>
      <c r="M36" s="109">
        <f t="shared" si="9"/>
        <v>0</v>
      </c>
      <c r="N36" s="109">
        <f t="shared" si="9"/>
        <v>0</v>
      </c>
      <c r="O36" s="109">
        <f t="shared" si="9"/>
        <v>0</v>
      </c>
      <c r="P36" s="109">
        <f t="shared" si="9"/>
        <v>0</v>
      </c>
      <c r="Q36" s="109">
        <f t="shared" si="9"/>
        <v>0</v>
      </c>
      <c r="R36" s="109">
        <f t="shared" si="9"/>
        <v>-116593.5</v>
      </c>
      <c r="S36" s="109">
        <f t="shared" si="9"/>
        <v>1225935</v>
      </c>
      <c r="T36" s="109">
        <f t="shared" si="9"/>
        <v>0</v>
      </c>
      <c r="U36" s="109">
        <f t="shared" si="9"/>
        <v>969612.5</v>
      </c>
      <c r="V36" s="109">
        <f t="shared" si="9"/>
        <v>0</v>
      </c>
      <c r="W36" s="109">
        <f t="shared" si="9"/>
        <v>256322.5</v>
      </c>
      <c r="X36" s="135"/>
    </row>
    <row r="37" s="1" customFormat="1" ht="27.4" spans="1:24">
      <c r="A37" s="43">
        <v>3</v>
      </c>
      <c r="B37" s="43" t="s">
        <v>54</v>
      </c>
      <c r="C37" s="43" t="s">
        <v>55</v>
      </c>
      <c r="D37" s="43" t="s">
        <v>56</v>
      </c>
      <c r="E37" s="45">
        <v>68192032</v>
      </c>
      <c r="F37" s="45" t="s">
        <v>295</v>
      </c>
      <c r="G37" s="66" t="s">
        <v>57</v>
      </c>
      <c r="H37" s="50" t="s">
        <v>58</v>
      </c>
      <c r="I37" s="94"/>
      <c r="J37" s="94"/>
      <c r="K37" s="94">
        <f t="shared" ref="K37:K47" si="10">I37+J37</f>
        <v>0</v>
      </c>
      <c r="L37" s="94"/>
      <c r="M37" s="94"/>
      <c r="N37" s="94"/>
      <c r="O37" s="94"/>
      <c r="P37" s="94"/>
      <c r="Q37" s="94"/>
      <c r="R37" s="94">
        <v>3409601.6</v>
      </c>
      <c r="S37" s="94">
        <f t="shared" ref="S37:S41" si="11">K37-L37-M37-N37-O37+R37</f>
        <v>3409601.6</v>
      </c>
      <c r="T37" s="133"/>
      <c r="U37" s="134">
        <v>3409601.6</v>
      </c>
      <c r="V37" s="133"/>
      <c r="W37" s="133">
        <f t="shared" ref="W37:W44" si="12">S37+T37-U37-V37</f>
        <v>0</v>
      </c>
      <c r="X37" s="135"/>
    </row>
    <row r="38" s="1" customFormat="1" ht="25" customHeight="1" spans="1:24">
      <c r="A38" s="48"/>
      <c r="B38" s="48"/>
      <c r="C38" s="48"/>
      <c r="D38" s="48"/>
      <c r="E38" s="49"/>
      <c r="F38" s="49"/>
      <c r="G38" s="69" t="s">
        <v>59</v>
      </c>
      <c r="H38" s="69" t="s">
        <v>60</v>
      </c>
      <c r="I38" s="99">
        <v>636517.45</v>
      </c>
      <c r="J38" s="112">
        <v>621962.02</v>
      </c>
      <c r="K38" s="112">
        <f>I38+I39+I40+J38</f>
        <v>6719203.2</v>
      </c>
      <c r="L38" s="97"/>
      <c r="M38" s="97"/>
      <c r="N38" s="97"/>
      <c r="O38" s="97"/>
      <c r="P38" s="97"/>
      <c r="Q38" s="97"/>
      <c r="R38" s="97">
        <v>-3409601.6</v>
      </c>
      <c r="S38" s="97">
        <f t="shared" si="11"/>
        <v>3309601.6</v>
      </c>
      <c r="T38" s="97"/>
      <c r="U38" s="97">
        <v>3175217.54</v>
      </c>
      <c r="V38" s="97"/>
      <c r="W38" s="97">
        <f t="shared" si="12"/>
        <v>134384.059999999</v>
      </c>
      <c r="X38" s="135"/>
    </row>
    <row r="39" s="1" customFormat="1" spans="1:24">
      <c r="A39" s="48"/>
      <c r="B39" s="48"/>
      <c r="C39" s="48"/>
      <c r="D39" s="48"/>
      <c r="E39" s="49"/>
      <c r="F39" s="49"/>
      <c r="G39" s="70"/>
      <c r="H39" s="70"/>
      <c r="I39" s="99">
        <v>3153077.71</v>
      </c>
      <c r="J39" s="113"/>
      <c r="K39" s="113"/>
      <c r="L39" s="98"/>
      <c r="M39" s="98"/>
      <c r="N39" s="98"/>
      <c r="O39" s="98"/>
      <c r="P39" s="98"/>
      <c r="Q39" s="98"/>
      <c r="R39" s="98"/>
      <c r="S39" s="98"/>
      <c r="T39" s="98"/>
      <c r="U39" s="98"/>
      <c r="V39" s="98"/>
      <c r="W39" s="98">
        <f t="shared" si="12"/>
        <v>0</v>
      </c>
      <c r="X39" s="135"/>
    </row>
    <row r="40" s="1" customFormat="1" spans="1:24">
      <c r="A40" s="48"/>
      <c r="B40" s="48"/>
      <c r="C40" s="48"/>
      <c r="D40" s="48"/>
      <c r="E40" s="49"/>
      <c r="F40" s="49"/>
      <c r="G40" s="71"/>
      <c r="H40" s="71"/>
      <c r="I40" s="99">
        <v>2307646.02</v>
      </c>
      <c r="J40" s="114"/>
      <c r="K40" s="114"/>
      <c r="L40" s="115"/>
      <c r="M40" s="115"/>
      <c r="N40" s="115"/>
      <c r="O40" s="115"/>
      <c r="P40" s="115"/>
      <c r="Q40" s="115"/>
      <c r="R40" s="115"/>
      <c r="S40" s="115"/>
      <c r="T40" s="115"/>
      <c r="U40" s="115"/>
      <c r="V40" s="115"/>
      <c r="W40" s="115">
        <f t="shared" si="12"/>
        <v>0</v>
      </c>
      <c r="X40" s="135"/>
    </row>
    <row r="41" s="1" customFormat="1" ht="58" customHeight="1" spans="1:24">
      <c r="A41" s="48"/>
      <c r="B41" s="48"/>
      <c r="C41" s="48"/>
      <c r="D41" s="48"/>
      <c r="E41" s="49"/>
      <c r="F41" s="49"/>
      <c r="G41" s="72" t="s">
        <v>61</v>
      </c>
      <c r="H41" s="69" t="s">
        <v>62</v>
      </c>
      <c r="I41" s="116">
        <v>12303071.5</v>
      </c>
      <c r="J41" s="117">
        <v>1594936.5</v>
      </c>
      <c r="K41" s="94">
        <f t="shared" si="10"/>
        <v>13898008</v>
      </c>
      <c r="L41" s="94"/>
      <c r="M41" s="94"/>
      <c r="N41" s="94"/>
      <c r="O41" s="94">
        <v>277960.16</v>
      </c>
      <c r="P41" s="94"/>
      <c r="Q41" s="94"/>
      <c r="R41" s="94"/>
      <c r="S41" s="94">
        <f t="shared" si="11"/>
        <v>13620047.84</v>
      </c>
      <c r="T41" s="133"/>
      <c r="U41" s="134">
        <v>13620047.84</v>
      </c>
      <c r="V41" s="133"/>
      <c r="W41" s="133">
        <f t="shared" si="12"/>
        <v>0</v>
      </c>
      <c r="X41" s="135"/>
    </row>
    <row r="42" s="1" customFormat="1" ht="37" customHeight="1" spans="1:24">
      <c r="A42" s="48"/>
      <c r="B42" s="48"/>
      <c r="C42" s="48"/>
      <c r="D42" s="48"/>
      <c r="E42" s="49"/>
      <c r="F42" s="49"/>
      <c r="G42" s="73" t="s">
        <v>63</v>
      </c>
      <c r="H42" s="73" t="s">
        <v>64</v>
      </c>
      <c r="I42" s="99">
        <v>2877914.34</v>
      </c>
      <c r="J42" s="95">
        <v>172674.86</v>
      </c>
      <c r="K42" s="95">
        <f t="shared" si="10"/>
        <v>3050589.2</v>
      </c>
      <c r="L42" s="112"/>
      <c r="M42" s="112"/>
      <c r="N42" s="112"/>
      <c r="O42" s="112">
        <v>335960.16</v>
      </c>
      <c r="P42" s="112"/>
      <c r="Q42" s="112"/>
      <c r="R42" s="112">
        <v>0</v>
      </c>
      <c r="S42" s="112">
        <f>K42-L42-M42-N42-O42+R42+K43-600000</f>
        <v>15862047.84</v>
      </c>
      <c r="T42" s="112">
        <v>600000</v>
      </c>
      <c r="U42" s="112">
        <v>15862047.84</v>
      </c>
      <c r="V42" s="112">
        <v>600000</v>
      </c>
      <c r="W42" s="112">
        <f t="shared" si="12"/>
        <v>0</v>
      </c>
      <c r="X42" s="45"/>
    </row>
    <row r="43" s="1" customFormat="1" ht="37" customHeight="1" spans="1:24">
      <c r="A43" s="48"/>
      <c r="B43" s="48"/>
      <c r="C43" s="48"/>
      <c r="D43" s="48"/>
      <c r="E43" s="49"/>
      <c r="F43" s="49"/>
      <c r="G43" s="73"/>
      <c r="H43" s="73"/>
      <c r="I43" s="99">
        <v>12612310.83</v>
      </c>
      <c r="J43" s="95">
        <v>1135107.97</v>
      </c>
      <c r="K43" s="95">
        <f t="shared" si="10"/>
        <v>13747418.8</v>
      </c>
      <c r="L43" s="113"/>
      <c r="M43" s="113"/>
      <c r="N43" s="113"/>
      <c r="O43" s="113"/>
      <c r="P43" s="113"/>
      <c r="Q43" s="113"/>
      <c r="R43" s="113"/>
      <c r="S43" s="113"/>
      <c r="T43" s="113"/>
      <c r="U43" s="113"/>
      <c r="V43" s="113"/>
      <c r="W43" s="113">
        <f t="shared" si="12"/>
        <v>0</v>
      </c>
      <c r="X43" s="49"/>
    </row>
    <row r="44" s="1" customFormat="1" ht="30" customHeight="1" spans="1:24">
      <c r="A44" s="48"/>
      <c r="B44" s="48"/>
      <c r="C44" s="48"/>
      <c r="D44" s="48"/>
      <c r="E44" s="49"/>
      <c r="F44" s="49"/>
      <c r="G44" s="74" t="s">
        <v>65</v>
      </c>
      <c r="H44" s="74" t="s">
        <v>66</v>
      </c>
      <c r="I44" s="99">
        <v>9272888.15</v>
      </c>
      <c r="J44" s="99"/>
      <c r="K44" s="94">
        <f t="shared" si="10"/>
        <v>9272888.15</v>
      </c>
      <c r="L44" s="94">
        <v>0</v>
      </c>
      <c r="M44" s="94">
        <v>0</v>
      </c>
      <c r="N44" s="94">
        <v>0</v>
      </c>
      <c r="O44" s="94">
        <v>0</v>
      </c>
      <c r="P44" s="94"/>
      <c r="Q44" s="94"/>
      <c r="R44" s="94">
        <v>0</v>
      </c>
      <c r="S44" s="94">
        <f>K44-L44-M44-N44-O44+R44</f>
        <v>9272888.15</v>
      </c>
      <c r="T44" s="94"/>
      <c r="U44" s="94"/>
      <c r="V44" s="94"/>
      <c r="W44" s="94">
        <f t="shared" si="12"/>
        <v>9272888.15</v>
      </c>
      <c r="X44" s="145"/>
    </row>
    <row r="45" s="1" customFormat="1" ht="30" customHeight="1" spans="1:24">
      <c r="A45" s="48"/>
      <c r="B45" s="48"/>
      <c r="C45" s="48"/>
      <c r="D45" s="48"/>
      <c r="E45" s="49"/>
      <c r="F45" s="52" t="s">
        <v>296</v>
      </c>
      <c r="G45" s="53" t="s">
        <v>328</v>
      </c>
      <c r="H45" s="75" t="s">
        <v>329</v>
      </c>
      <c r="I45" s="118">
        <f>-I44</f>
        <v>-9272888.15</v>
      </c>
      <c r="J45" s="101"/>
      <c r="K45" s="101">
        <f t="shared" si="10"/>
        <v>-9272888.15</v>
      </c>
      <c r="L45" s="101"/>
      <c r="M45" s="101"/>
      <c r="N45" s="101"/>
      <c r="O45" s="101"/>
      <c r="P45" s="101"/>
      <c r="Q45" s="101"/>
      <c r="R45" s="101"/>
      <c r="S45" s="101">
        <f t="shared" ref="S45:S48" si="13">K45</f>
        <v>-9272888.15</v>
      </c>
      <c r="T45" s="101"/>
      <c r="U45" s="101"/>
      <c r="V45" s="101"/>
      <c r="W45" s="101">
        <f>S45</f>
        <v>-9272888.15</v>
      </c>
      <c r="X45" s="145"/>
    </row>
    <row r="46" s="1" customFormat="1" ht="46" customHeight="1" spans="1:24">
      <c r="A46" s="48"/>
      <c r="B46" s="48"/>
      <c r="C46" s="48"/>
      <c r="D46" s="48"/>
      <c r="E46" s="49"/>
      <c r="F46" s="52"/>
      <c r="G46" s="76" t="s">
        <v>330</v>
      </c>
      <c r="H46" s="76" t="s">
        <v>331</v>
      </c>
      <c r="I46" s="118">
        <v>8318111.97</v>
      </c>
      <c r="J46" s="118">
        <v>748630.08</v>
      </c>
      <c r="K46" s="101">
        <f t="shared" si="10"/>
        <v>9066742.05</v>
      </c>
      <c r="L46" s="101"/>
      <c r="M46" s="101"/>
      <c r="N46" s="101"/>
      <c r="O46" s="101">
        <v>201576.1</v>
      </c>
      <c r="P46" s="101"/>
      <c r="Q46" s="101"/>
      <c r="R46" s="101"/>
      <c r="S46" s="101">
        <f t="shared" si="13"/>
        <v>9066742.05</v>
      </c>
      <c r="T46" s="103"/>
      <c r="U46" s="103"/>
      <c r="V46" s="103">
        <v>1756800</v>
      </c>
      <c r="W46" s="103">
        <f>S46+S47-O46-V46</f>
        <v>8120428.7</v>
      </c>
      <c r="X46" s="145"/>
    </row>
    <row r="47" s="1" customFormat="1" ht="30" customHeight="1" spans="1:24">
      <c r="A47" s="48"/>
      <c r="B47" s="48"/>
      <c r="C47" s="48"/>
      <c r="D47" s="48"/>
      <c r="E47" s="49"/>
      <c r="F47" s="52"/>
      <c r="G47" s="76"/>
      <c r="H47" s="76"/>
      <c r="I47" s="118">
        <v>954776.18</v>
      </c>
      <c r="J47" s="118">
        <v>57286.57</v>
      </c>
      <c r="K47" s="101">
        <f t="shared" si="10"/>
        <v>1012062.75</v>
      </c>
      <c r="L47" s="101"/>
      <c r="M47" s="101"/>
      <c r="N47" s="101"/>
      <c r="O47" s="101"/>
      <c r="P47" s="101"/>
      <c r="Q47" s="101"/>
      <c r="R47" s="101"/>
      <c r="S47" s="101">
        <f t="shared" si="13"/>
        <v>1012062.75</v>
      </c>
      <c r="T47" s="106"/>
      <c r="U47" s="106"/>
      <c r="V47" s="106"/>
      <c r="W47" s="106"/>
      <c r="X47" s="145"/>
    </row>
    <row r="48" s="1" customFormat="1" ht="58" customHeight="1" spans="1:24">
      <c r="A48" s="48"/>
      <c r="B48" s="48"/>
      <c r="C48" s="48"/>
      <c r="D48" s="48"/>
      <c r="E48" s="49"/>
      <c r="F48" s="52"/>
      <c r="G48" s="76" t="s">
        <v>354</v>
      </c>
      <c r="H48" s="76" t="s">
        <v>355</v>
      </c>
      <c r="I48" s="118"/>
      <c r="J48" s="118"/>
      <c r="K48" s="101"/>
      <c r="L48" s="101"/>
      <c r="M48" s="101"/>
      <c r="N48" s="101"/>
      <c r="O48" s="101"/>
      <c r="P48" s="101"/>
      <c r="Q48" s="101"/>
      <c r="R48" s="101"/>
      <c r="S48" s="101">
        <f t="shared" si="13"/>
        <v>0</v>
      </c>
      <c r="T48" s="101"/>
      <c r="U48" s="101">
        <v>7196228.7</v>
      </c>
      <c r="V48" s="101">
        <v>924200</v>
      </c>
      <c r="W48" s="101">
        <f>-(U48+V48)</f>
        <v>-8120428.7</v>
      </c>
      <c r="X48" s="145"/>
    </row>
    <row r="49" s="1" customFormat="1" ht="58" customHeight="1" spans="1:24">
      <c r="A49" s="48"/>
      <c r="B49" s="48"/>
      <c r="C49" s="48"/>
      <c r="D49" s="48"/>
      <c r="E49" s="49"/>
      <c r="F49" s="52"/>
      <c r="G49" s="77" t="s">
        <v>472</v>
      </c>
      <c r="H49" s="76" t="s">
        <v>473</v>
      </c>
      <c r="I49" s="119">
        <v>2752293.58</v>
      </c>
      <c r="J49" s="118">
        <v>247706.42</v>
      </c>
      <c r="K49" s="101">
        <f>J49+I49</f>
        <v>3000000</v>
      </c>
      <c r="L49" s="101"/>
      <c r="M49" s="101"/>
      <c r="N49" s="101">
        <v>60000</v>
      </c>
      <c r="O49" s="101"/>
      <c r="P49" s="101"/>
      <c r="Q49" s="101"/>
      <c r="R49" s="101"/>
      <c r="S49" s="101"/>
      <c r="T49" s="101"/>
      <c r="U49" s="101"/>
      <c r="V49" s="101"/>
      <c r="W49" s="101"/>
      <c r="X49" s="145"/>
    </row>
    <row r="50" s="1" customFormat="1" ht="58" customHeight="1" spans="1:24">
      <c r="A50" s="48"/>
      <c r="B50" s="48"/>
      <c r="C50" s="48"/>
      <c r="D50" s="48"/>
      <c r="E50" s="49"/>
      <c r="F50" s="52"/>
      <c r="G50" s="77" t="s">
        <v>474</v>
      </c>
      <c r="H50" s="76" t="s">
        <v>475</v>
      </c>
      <c r="I50" s="119">
        <v>16000088.53</v>
      </c>
      <c r="J50" s="118"/>
      <c r="K50" s="101">
        <f>J50+I50</f>
        <v>16000088.53</v>
      </c>
      <c r="L50" s="101"/>
      <c r="M50" s="101"/>
      <c r="N50" s="101"/>
      <c r="O50" s="101"/>
      <c r="P50" s="101"/>
      <c r="Q50" s="101"/>
      <c r="R50" s="101"/>
      <c r="S50" s="101"/>
      <c r="T50" s="101"/>
      <c r="U50" s="101"/>
      <c r="V50" s="101"/>
      <c r="W50" s="101"/>
      <c r="X50" s="145"/>
    </row>
    <row r="51" s="1" customFormat="1" ht="29" customHeight="1" spans="1:24">
      <c r="A51" s="48"/>
      <c r="B51" s="48"/>
      <c r="C51" s="48"/>
      <c r="D51" s="48"/>
      <c r="E51" s="49"/>
      <c r="F51" s="58" t="s">
        <v>326</v>
      </c>
      <c r="G51" s="59"/>
      <c r="H51" s="60"/>
      <c r="I51" s="108">
        <f t="shared" ref="I51:W51" si="14">SUM(I37:I44)</f>
        <v>43163426</v>
      </c>
      <c r="J51" s="108">
        <f t="shared" si="14"/>
        <v>3524681.35</v>
      </c>
      <c r="K51" s="108">
        <f t="shared" si="14"/>
        <v>46688107.35</v>
      </c>
      <c r="L51" s="108">
        <f t="shared" si="14"/>
        <v>0</v>
      </c>
      <c r="M51" s="108">
        <f t="shared" si="14"/>
        <v>0</v>
      </c>
      <c r="N51" s="108">
        <f t="shared" si="14"/>
        <v>0</v>
      </c>
      <c r="O51" s="108">
        <f t="shared" si="14"/>
        <v>613920.32</v>
      </c>
      <c r="P51" s="108">
        <f t="shared" si="14"/>
        <v>0</v>
      </c>
      <c r="Q51" s="108">
        <f t="shared" si="14"/>
        <v>0</v>
      </c>
      <c r="R51" s="108">
        <f t="shared" si="14"/>
        <v>0</v>
      </c>
      <c r="S51" s="108">
        <f t="shared" si="14"/>
        <v>45474187.03</v>
      </c>
      <c r="T51" s="111">
        <f t="shared" si="14"/>
        <v>600000</v>
      </c>
      <c r="U51" s="111">
        <f t="shared" si="14"/>
        <v>36066914.82</v>
      </c>
      <c r="V51" s="111">
        <f t="shared" si="14"/>
        <v>600000</v>
      </c>
      <c r="W51" s="111">
        <f t="shared" si="14"/>
        <v>9407272.21</v>
      </c>
      <c r="X51" s="146"/>
    </row>
    <row r="52" s="1" customFormat="1" ht="29" customHeight="1" spans="1:24">
      <c r="A52" s="48"/>
      <c r="B52" s="48"/>
      <c r="C52" s="48"/>
      <c r="D52" s="48"/>
      <c r="E52" s="49"/>
      <c r="F52" s="61" t="s">
        <v>327</v>
      </c>
      <c r="G52" s="61"/>
      <c r="H52" s="61"/>
      <c r="I52" s="109">
        <f>SUM(I45:I50)</f>
        <v>18752382.11</v>
      </c>
      <c r="J52" s="109">
        <f>SUM(J45:J50)</f>
        <v>1053623.07</v>
      </c>
      <c r="K52" s="109">
        <f>SUM(K45:K50)</f>
        <v>19806005.18</v>
      </c>
      <c r="L52" s="109">
        <f t="shared" ref="L52:W52" si="15">SUM(L45:L48)</f>
        <v>0</v>
      </c>
      <c r="M52" s="109">
        <f t="shared" si="15"/>
        <v>0</v>
      </c>
      <c r="N52" s="109">
        <f t="shared" si="15"/>
        <v>0</v>
      </c>
      <c r="O52" s="109">
        <f t="shared" si="15"/>
        <v>201576.1</v>
      </c>
      <c r="P52" s="109">
        <f t="shared" si="15"/>
        <v>0</v>
      </c>
      <c r="Q52" s="109">
        <f t="shared" si="15"/>
        <v>0</v>
      </c>
      <c r="R52" s="109">
        <f t="shared" si="15"/>
        <v>0</v>
      </c>
      <c r="S52" s="109">
        <f t="shared" si="15"/>
        <v>805916.649999999</v>
      </c>
      <c r="T52" s="109">
        <f t="shared" si="15"/>
        <v>0</v>
      </c>
      <c r="U52" s="109">
        <f t="shared" si="15"/>
        <v>7196228.7</v>
      </c>
      <c r="V52" s="109">
        <f t="shared" si="15"/>
        <v>2681000</v>
      </c>
      <c r="W52" s="109">
        <f t="shared" si="15"/>
        <v>-9272888.15</v>
      </c>
      <c r="X52" s="142"/>
    </row>
    <row r="53" s="1" customFormat="1" ht="39" customHeight="1" spans="1:24">
      <c r="A53" s="43">
        <v>4</v>
      </c>
      <c r="B53" s="43" t="s">
        <v>67</v>
      </c>
      <c r="C53" s="43" t="s">
        <v>68</v>
      </c>
      <c r="D53" s="65" t="s">
        <v>69</v>
      </c>
      <c r="E53" s="45">
        <v>31370181</v>
      </c>
      <c r="F53" s="45" t="s">
        <v>295</v>
      </c>
      <c r="G53" s="66" t="s">
        <v>70</v>
      </c>
      <c r="H53" s="66" t="s">
        <v>71</v>
      </c>
      <c r="I53" s="94"/>
      <c r="J53" s="94"/>
      <c r="K53" s="94">
        <f>I53+J53</f>
        <v>0</v>
      </c>
      <c r="L53" s="94"/>
      <c r="M53" s="94"/>
      <c r="N53" s="94"/>
      <c r="O53" s="94"/>
      <c r="P53" s="94"/>
      <c r="Q53" s="94"/>
      <c r="R53" s="94">
        <v>3137018.1</v>
      </c>
      <c r="S53" s="94">
        <f t="shared" ref="S53:S55" si="16">K53-L53-M53-N53-O53+R53</f>
        <v>3137018.1</v>
      </c>
      <c r="T53" s="94"/>
      <c r="U53" s="94">
        <v>3137018.1</v>
      </c>
      <c r="V53" s="94"/>
      <c r="W53" s="133">
        <f t="shared" ref="W53:W55" si="17">S53+T53-U53-V53</f>
        <v>0</v>
      </c>
      <c r="X53" s="135"/>
    </row>
    <row r="54" s="1" customFormat="1" ht="51" customHeight="1" spans="1:24">
      <c r="A54" s="48"/>
      <c r="B54" s="48"/>
      <c r="C54" s="48"/>
      <c r="D54" s="67"/>
      <c r="E54" s="49"/>
      <c r="F54" s="49"/>
      <c r="G54" s="66" t="s">
        <v>72</v>
      </c>
      <c r="H54" s="78" t="s">
        <v>73</v>
      </c>
      <c r="I54" s="95">
        <v>16656733.21</v>
      </c>
      <c r="J54" s="95">
        <v>2165375.39</v>
      </c>
      <c r="K54" s="95">
        <f>I54+J54</f>
        <v>18822108.6</v>
      </c>
      <c r="L54" s="95"/>
      <c r="M54" s="95"/>
      <c r="N54" s="95"/>
      <c r="O54" s="95"/>
      <c r="P54" s="95"/>
      <c r="Q54" s="95"/>
      <c r="R54" s="95">
        <v>-3137018.1</v>
      </c>
      <c r="S54" s="95">
        <f t="shared" si="16"/>
        <v>15685090.5</v>
      </c>
      <c r="T54" s="95"/>
      <c r="U54" s="95">
        <v>15685090.5</v>
      </c>
      <c r="V54" s="94"/>
      <c r="W54" s="133">
        <f t="shared" si="17"/>
        <v>0</v>
      </c>
      <c r="X54" s="135"/>
    </row>
    <row r="55" s="1" customFormat="1" ht="42" customHeight="1" spans="1:24">
      <c r="A55" s="48"/>
      <c r="B55" s="48"/>
      <c r="C55" s="48"/>
      <c r="D55" s="67"/>
      <c r="E55" s="49"/>
      <c r="F55" s="49"/>
      <c r="G55" s="79" t="s">
        <v>74</v>
      </c>
      <c r="H55" s="80" t="s">
        <v>75</v>
      </c>
      <c r="I55" s="120">
        <v>9253740.7</v>
      </c>
      <c r="J55" s="120">
        <f>K55-I55</f>
        <v>1202986.3</v>
      </c>
      <c r="K55" s="120">
        <v>10456727</v>
      </c>
      <c r="L55" s="120">
        <v>0</v>
      </c>
      <c r="M55" s="94">
        <v>0</v>
      </c>
      <c r="N55" s="94">
        <v>0</v>
      </c>
      <c r="O55" s="94">
        <v>0</v>
      </c>
      <c r="P55" s="94"/>
      <c r="Q55" s="94"/>
      <c r="R55" s="94">
        <v>0</v>
      </c>
      <c r="S55" s="94">
        <f t="shared" si="16"/>
        <v>10456727</v>
      </c>
      <c r="T55" s="94">
        <v>0</v>
      </c>
      <c r="U55" s="94">
        <v>6274036.2</v>
      </c>
      <c r="V55" s="94"/>
      <c r="W55" s="133">
        <f t="shared" si="17"/>
        <v>4182690.8</v>
      </c>
      <c r="X55" s="135"/>
    </row>
    <row r="56" s="1" customFormat="1" ht="42" customHeight="1" spans="1:24">
      <c r="A56" s="48"/>
      <c r="B56" s="48"/>
      <c r="C56" s="48"/>
      <c r="D56" s="67"/>
      <c r="E56" s="49"/>
      <c r="F56" s="52" t="s">
        <v>296</v>
      </c>
      <c r="G56" s="53" t="s">
        <v>356</v>
      </c>
      <c r="H56" s="68" t="s">
        <v>357</v>
      </c>
      <c r="I56" s="101"/>
      <c r="J56" s="101"/>
      <c r="K56" s="101"/>
      <c r="L56" s="101"/>
      <c r="M56" s="101"/>
      <c r="N56" s="101"/>
      <c r="O56" s="101"/>
      <c r="P56" s="101"/>
      <c r="Q56" s="101"/>
      <c r="R56" s="101"/>
      <c r="S56" s="101"/>
      <c r="T56" s="101"/>
      <c r="U56" s="101">
        <v>3130000</v>
      </c>
      <c r="V56" s="101"/>
      <c r="W56" s="143">
        <f>-U56</f>
        <v>-3130000</v>
      </c>
      <c r="X56" s="135"/>
    </row>
    <row r="57" s="1" customFormat="1" ht="42" customHeight="1" spans="1:24">
      <c r="A57" s="48"/>
      <c r="B57" s="48"/>
      <c r="C57" s="48"/>
      <c r="D57" s="67"/>
      <c r="E57" s="49"/>
      <c r="F57" s="52"/>
      <c r="G57" s="53" t="s">
        <v>476</v>
      </c>
      <c r="H57" s="68" t="s">
        <v>477</v>
      </c>
      <c r="I57" s="101">
        <v>1850748.14</v>
      </c>
      <c r="J57" s="101">
        <v>240597.26</v>
      </c>
      <c r="K57" s="101">
        <f>J57+I57</f>
        <v>2091345.4</v>
      </c>
      <c r="L57" s="101"/>
      <c r="M57" s="101"/>
      <c r="N57" s="101"/>
      <c r="O57" s="101"/>
      <c r="P57" s="101"/>
      <c r="Q57" s="101"/>
      <c r="R57" s="101"/>
      <c r="S57" s="101"/>
      <c r="T57" s="101"/>
      <c r="U57" s="101"/>
      <c r="V57" s="101"/>
      <c r="W57" s="143"/>
      <c r="X57" s="135"/>
    </row>
    <row r="58" s="1" customFormat="1" ht="42" customHeight="1" spans="1:24">
      <c r="A58" s="48"/>
      <c r="B58" s="48"/>
      <c r="C58" s="48"/>
      <c r="D58" s="67"/>
      <c r="E58" s="49"/>
      <c r="F58" s="52"/>
      <c r="G58" s="53"/>
      <c r="H58" s="68"/>
      <c r="I58" s="101"/>
      <c r="J58" s="101"/>
      <c r="K58" s="101"/>
      <c r="L58" s="101"/>
      <c r="M58" s="101"/>
      <c r="N58" s="101"/>
      <c r="O58" s="101"/>
      <c r="P58" s="101"/>
      <c r="Q58" s="101"/>
      <c r="R58" s="101"/>
      <c r="S58" s="101"/>
      <c r="T58" s="101"/>
      <c r="U58" s="101"/>
      <c r="V58" s="101"/>
      <c r="W58" s="143"/>
      <c r="X58" s="135"/>
    </row>
    <row r="59" s="1" customFormat="1" ht="42" customHeight="1" spans="1:24">
      <c r="A59" s="48"/>
      <c r="B59" s="48"/>
      <c r="C59" s="48"/>
      <c r="D59" s="67"/>
      <c r="E59" s="49"/>
      <c r="F59" s="52"/>
      <c r="G59" s="53"/>
      <c r="H59" s="68"/>
      <c r="I59" s="101"/>
      <c r="J59" s="101"/>
      <c r="K59" s="101"/>
      <c r="L59" s="101"/>
      <c r="M59" s="101"/>
      <c r="N59" s="101"/>
      <c r="O59" s="101"/>
      <c r="P59" s="101"/>
      <c r="Q59" s="101"/>
      <c r="R59" s="101"/>
      <c r="S59" s="101"/>
      <c r="T59" s="101"/>
      <c r="U59" s="101"/>
      <c r="V59" s="101"/>
      <c r="W59" s="143"/>
      <c r="X59" s="135"/>
    </row>
    <row r="60" s="1" customFormat="1" ht="26" customHeight="1" spans="1:24">
      <c r="A60" s="48"/>
      <c r="B60" s="48"/>
      <c r="C60" s="48"/>
      <c r="D60" s="67"/>
      <c r="E60" s="49"/>
      <c r="F60" s="58" t="s">
        <v>326</v>
      </c>
      <c r="G60" s="59"/>
      <c r="H60" s="60"/>
      <c r="I60" s="108">
        <f>SUM(I53:I55)</f>
        <v>25910473.91</v>
      </c>
      <c r="J60" s="108">
        <f>SUM(J53:J55)</f>
        <v>3368361.69</v>
      </c>
      <c r="K60" s="111">
        <f>I60+J60</f>
        <v>29278835.6</v>
      </c>
      <c r="L60" s="111"/>
      <c r="M60" s="111"/>
      <c r="N60" s="111"/>
      <c r="O60" s="111"/>
      <c r="P60" s="111"/>
      <c r="Q60" s="111"/>
      <c r="R60" s="111">
        <f t="shared" ref="R60:W60" si="18">SUM(R53:R55)</f>
        <v>0</v>
      </c>
      <c r="S60" s="147">
        <f t="shared" ref="S60:S63" si="19">K60-L60-M60-N60-O60+R60</f>
        <v>29278835.6</v>
      </c>
      <c r="T60" s="147"/>
      <c r="U60" s="111">
        <f t="shared" si="18"/>
        <v>25096144.8</v>
      </c>
      <c r="V60" s="111">
        <f t="shared" si="18"/>
        <v>0</v>
      </c>
      <c r="W60" s="111">
        <f t="shared" si="18"/>
        <v>4182690.8</v>
      </c>
      <c r="X60" s="146"/>
    </row>
    <row r="61" s="1" customFormat="1" ht="26" customHeight="1" spans="1:24">
      <c r="A61" s="48"/>
      <c r="B61" s="48"/>
      <c r="C61" s="48"/>
      <c r="D61" s="67"/>
      <c r="E61" s="81"/>
      <c r="F61" s="61" t="s">
        <v>327</v>
      </c>
      <c r="G61" s="61"/>
      <c r="H61" s="61"/>
      <c r="I61" s="109">
        <f>SUM(I56:I59)</f>
        <v>1850748.14</v>
      </c>
      <c r="J61" s="109">
        <f t="shared" ref="I61:W61" si="20">SUM(J56:J59)</f>
        <v>240597.26</v>
      </c>
      <c r="K61" s="109">
        <f t="shared" si="20"/>
        <v>2091345.4</v>
      </c>
      <c r="L61" s="109">
        <f t="shared" si="20"/>
        <v>0</v>
      </c>
      <c r="M61" s="109">
        <f t="shared" si="20"/>
        <v>0</v>
      </c>
      <c r="N61" s="109">
        <f t="shared" si="20"/>
        <v>0</v>
      </c>
      <c r="O61" s="109">
        <f t="shared" si="20"/>
        <v>0</v>
      </c>
      <c r="P61" s="109">
        <f t="shared" si="20"/>
        <v>0</v>
      </c>
      <c r="Q61" s="109">
        <f t="shared" si="20"/>
        <v>0</v>
      </c>
      <c r="R61" s="109">
        <f t="shared" si="20"/>
        <v>0</v>
      </c>
      <c r="S61" s="109">
        <f t="shared" si="20"/>
        <v>0</v>
      </c>
      <c r="T61" s="109">
        <f t="shared" si="20"/>
        <v>0</v>
      </c>
      <c r="U61" s="109">
        <f t="shared" si="20"/>
        <v>3130000</v>
      </c>
      <c r="V61" s="109">
        <f t="shared" si="20"/>
        <v>0</v>
      </c>
      <c r="W61" s="109">
        <f t="shared" si="20"/>
        <v>-3130000</v>
      </c>
      <c r="X61" s="146"/>
    </row>
    <row r="62" s="1" customFormat="1" ht="38" customHeight="1" spans="1:24">
      <c r="A62" s="43">
        <v>5</v>
      </c>
      <c r="B62" s="44" t="s">
        <v>76</v>
      </c>
      <c r="C62" s="43" t="s">
        <v>77</v>
      </c>
      <c r="D62" s="44" t="s">
        <v>78</v>
      </c>
      <c r="E62" s="45">
        <v>98880000</v>
      </c>
      <c r="F62" s="45" t="s">
        <v>301</v>
      </c>
      <c r="G62" s="82" t="s">
        <v>79</v>
      </c>
      <c r="H62" s="82" t="s">
        <v>80</v>
      </c>
      <c r="I62" s="94"/>
      <c r="J62" s="94"/>
      <c r="K62" s="94">
        <f>I62+J62</f>
        <v>0</v>
      </c>
      <c r="L62" s="94"/>
      <c r="M62" s="94"/>
      <c r="N62" s="94"/>
      <c r="O62" s="94"/>
      <c r="P62" s="94"/>
      <c r="Q62" s="94"/>
      <c r="R62" s="94">
        <v>9888000</v>
      </c>
      <c r="S62" s="94">
        <f t="shared" si="19"/>
        <v>9888000</v>
      </c>
      <c r="T62" s="94"/>
      <c r="U62" s="94">
        <v>9888000</v>
      </c>
      <c r="V62" s="94"/>
      <c r="W62" s="94">
        <f>S62+T62-U62-V62</f>
        <v>0</v>
      </c>
      <c r="X62" s="145"/>
    </row>
    <row r="63" s="1" customFormat="1" ht="47" customHeight="1" spans="1:24">
      <c r="A63" s="48"/>
      <c r="B63" s="48"/>
      <c r="C63" s="48"/>
      <c r="D63" s="48"/>
      <c r="E63" s="49"/>
      <c r="F63" s="49"/>
      <c r="G63" s="50" t="s">
        <v>81</v>
      </c>
      <c r="H63" s="83" t="s">
        <v>82</v>
      </c>
      <c r="I63" s="112">
        <f>K63-J63</f>
        <v>70003539.82</v>
      </c>
      <c r="J63" s="112">
        <v>9100460.18</v>
      </c>
      <c r="K63" s="112">
        <v>79104000</v>
      </c>
      <c r="L63" s="112"/>
      <c r="M63" s="112"/>
      <c r="N63" s="112"/>
      <c r="O63" s="112"/>
      <c r="P63" s="45"/>
      <c r="Q63" s="112"/>
      <c r="R63" s="112">
        <v>-9888000</v>
      </c>
      <c r="S63" s="112">
        <f t="shared" si="19"/>
        <v>69216000</v>
      </c>
      <c r="T63" s="45"/>
      <c r="U63" s="148">
        <v>29664000</v>
      </c>
      <c r="V63" s="45"/>
      <c r="W63" s="45">
        <f>S63+T63-U63-U65</f>
        <v>0</v>
      </c>
      <c r="X63" s="45"/>
    </row>
    <row r="64" s="1" customFormat="1" ht="47" customHeight="1" spans="1:24">
      <c r="A64" s="48"/>
      <c r="B64" s="48"/>
      <c r="C64" s="48"/>
      <c r="D64" s="48"/>
      <c r="E64" s="49"/>
      <c r="F64" s="49"/>
      <c r="G64" s="50" t="s">
        <v>83</v>
      </c>
      <c r="H64" s="83" t="s">
        <v>84</v>
      </c>
      <c r="I64" s="113"/>
      <c r="J64" s="113"/>
      <c r="K64" s="113"/>
      <c r="L64" s="113"/>
      <c r="M64" s="113"/>
      <c r="N64" s="113"/>
      <c r="O64" s="113"/>
      <c r="P64" s="49"/>
      <c r="Q64" s="113"/>
      <c r="R64" s="113"/>
      <c r="S64" s="113"/>
      <c r="T64" s="49"/>
      <c r="U64" s="149"/>
      <c r="V64" s="49"/>
      <c r="W64" s="49">
        <f>S64+T64-U64-V64</f>
        <v>0</v>
      </c>
      <c r="X64" s="49"/>
    </row>
    <row r="65" s="1" customFormat="1" ht="47" customHeight="1" spans="1:24">
      <c r="A65" s="48"/>
      <c r="B65" s="48"/>
      <c r="C65" s="48"/>
      <c r="D65" s="48"/>
      <c r="E65" s="49"/>
      <c r="F65" s="81"/>
      <c r="G65" s="50" t="s">
        <v>85</v>
      </c>
      <c r="H65" s="83" t="s">
        <v>86</v>
      </c>
      <c r="I65" s="114"/>
      <c r="J65" s="114"/>
      <c r="K65" s="114"/>
      <c r="L65" s="114"/>
      <c r="M65" s="114"/>
      <c r="N65" s="114"/>
      <c r="O65" s="114"/>
      <c r="P65" s="81"/>
      <c r="Q65" s="114"/>
      <c r="R65" s="114"/>
      <c r="S65" s="114"/>
      <c r="T65" s="81"/>
      <c r="U65" s="149">
        <v>39552000</v>
      </c>
      <c r="V65" s="81"/>
      <c r="W65" s="81"/>
      <c r="X65" s="81"/>
    </row>
    <row r="66" s="1" customFormat="1" ht="47" customHeight="1" spans="1:24">
      <c r="A66" s="48"/>
      <c r="B66" s="48"/>
      <c r="C66" s="48"/>
      <c r="D66" s="48"/>
      <c r="E66" s="49"/>
      <c r="F66" s="103" t="s">
        <v>319</v>
      </c>
      <c r="G66" s="53" t="s">
        <v>358</v>
      </c>
      <c r="H66" s="150" t="s">
        <v>359</v>
      </c>
      <c r="I66" s="202">
        <v>17500884.96</v>
      </c>
      <c r="J66" s="202">
        <v>2275115.04</v>
      </c>
      <c r="K66" s="202">
        <f>J66+I66</f>
        <v>19776000</v>
      </c>
      <c r="L66" s="202"/>
      <c r="M66" s="202"/>
      <c r="N66" s="202"/>
      <c r="O66" s="202"/>
      <c r="P66" s="202"/>
      <c r="Q66" s="202"/>
      <c r="R66" s="202"/>
      <c r="S66" s="202">
        <f>K66</f>
        <v>19776000</v>
      </c>
      <c r="T66" s="106"/>
      <c r="U66" s="206">
        <v>2432415.3</v>
      </c>
      <c r="V66" s="106"/>
      <c r="W66" s="106">
        <f>S66-U66</f>
        <v>17343584.7</v>
      </c>
      <c r="X66" s="81"/>
    </row>
    <row r="67" s="1" customFormat="1" ht="47" customHeight="1" spans="1:24">
      <c r="A67" s="48"/>
      <c r="B67" s="48"/>
      <c r="C67" s="48"/>
      <c r="D67" s="48"/>
      <c r="E67" s="49"/>
      <c r="F67" s="105"/>
      <c r="G67" s="53"/>
      <c r="H67" s="151"/>
      <c r="I67" s="202"/>
      <c r="J67" s="202"/>
      <c r="K67" s="202"/>
      <c r="L67" s="202"/>
      <c r="M67" s="202"/>
      <c r="N67" s="202"/>
      <c r="O67" s="202"/>
      <c r="P67" s="202"/>
      <c r="Q67" s="202"/>
      <c r="R67" s="202"/>
      <c r="S67" s="202"/>
      <c r="T67" s="106"/>
      <c r="U67" s="206"/>
      <c r="V67" s="106"/>
      <c r="W67" s="106"/>
      <c r="X67" s="81"/>
    </row>
    <row r="68" s="1" customFormat="1" ht="47" customHeight="1" spans="1:24">
      <c r="A68" s="48"/>
      <c r="B68" s="48"/>
      <c r="C68" s="48"/>
      <c r="D68" s="48"/>
      <c r="E68" s="49"/>
      <c r="F68" s="105"/>
      <c r="G68" s="53"/>
      <c r="H68" s="151"/>
      <c r="I68" s="202"/>
      <c r="J68" s="202"/>
      <c r="K68" s="202"/>
      <c r="L68" s="202"/>
      <c r="M68" s="202"/>
      <c r="N68" s="202"/>
      <c r="O68" s="202"/>
      <c r="P68" s="202"/>
      <c r="Q68" s="202"/>
      <c r="R68" s="202"/>
      <c r="S68" s="202"/>
      <c r="T68" s="106"/>
      <c r="U68" s="206"/>
      <c r="V68" s="106"/>
      <c r="W68" s="106"/>
      <c r="X68" s="81"/>
    </row>
    <row r="69" s="1" customFormat="1" ht="47" customHeight="1" spans="1:24">
      <c r="A69" s="48"/>
      <c r="B69" s="48"/>
      <c r="C69" s="48"/>
      <c r="D69" s="48"/>
      <c r="E69" s="49"/>
      <c r="F69" s="106"/>
      <c r="G69" s="53"/>
      <c r="H69" s="151"/>
      <c r="I69" s="202"/>
      <c r="J69" s="202"/>
      <c r="K69" s="202"/>
      <c r="L69" s="202"/>
      <c r="M69" s="202"/>
      <c r="N69" s="202"/>
      <c r="O69" s="202"/>
      <c r="P69" s="202"/>
      <c r="Q69" s="202"/>
      <c r="R69" s="202"/>
      <c r="S69" s="202"/>
      <c r="T69" s="106"/>
      <c r="U69" s="206"/>
      <c r="V69" s="106"/>
      <c r="W69" s="106"/>
      <c r="X69" s="81"/>
    </row>
    <row r="70" s="1" customFormat="1" ht="39" customHeight="1" spans="1:24">
      <c r="A70" s="48"/>
      <c r="B70" s="48"/>
      <c r="C70" s="48"/>
      <c r="D70" s="48"/>
      <c r="E70" s="49"/>
      <c r="F70" s="58" t="s">
        <v>326</v>
      </c>
      <c r="G70" s="59"/>
      <c r="H70" s="60"/>
      <c r="I70" s="108">
        <f t="shared" ref="I70:O70" si="21">SUM(I62:I65)</f>
        <v>70003539.82</v>
      </c>
      <c r="J70" s="108">
        <f t="shared" si="21"/>
        <v>9100460.18</v>
      </c>
      <c r="K70" s="108">
        <f t="shared" si="21"/>
        <v>79104000</v>
      </c>
      <c r="L70" s="108">
        <f t="shared" si="21"/>
        <v>0</v>
      </c>
      <c r="M70" s="108">
        <f t="shared" si="21"/>
        <v>0</v>
      </c>
      <c r="N70" s="108">
        <f t="shared" si="21"/>
        <v>0</v>
      </c>
      <c r="O70" s="108">
        <f t="shared" si="21"/>
        <v>0</v>
      </c>
      <c r="P70" s="108"/>
      <c r="Q70" s="108">
        <f t="shared" ref="Q70:U70" si="22">SUM(Q62:Q65)</f>
        <v>0</v>
      </c>
      <c r="R70" s="108">
        <f t="shared" si="22"/>
        <v>0</v>
      </c>
      <c r="S70" s="108">
        <f t="shared" si="22"/>
        <v>79104000</v>
      </c>
      <c r="T70" s="108">
        <f t="shared" si="22"/>
        <v>0</v>
      </c>
      <c r="U70" s="108">
        <f t="shared" si="22"/>
        <v>79104000</v>
      </c>
      <c r="V70" s="108"/>
      <c r="W70" s="108">
        <f t="shared" ref="W70:W82" si="23">S70+T70-U70-V70</f>
        <v>0</v>
      </c>
      <c r="X70" s="188"/>
    </row>
    <row r="71" s="1" customFormat="1" ht="39" customHeight="1" spans="1:24">
      <c r="A71" s="48"/>
      <c r="B71" s="48"/>
      <c r="C71" s="48"/>
      <c r="D71" s="48"/>
      <c r="E71" s="49"/>
      <c r="F71" s="61" t="s">
        <v>327</v>
      </c>
      <c r="G71" s="61"/>
      <c r="H71" s="61"/>
      <c r="I71" s="109">
        <f>SUM(I66:I69)</f>
        <v>17500884.96</v>
      </c>
      <c r="J71" s="109">
        <f t="shared" ref="I71:W71" si="24">SUM(J66:J69)</f>
        <v>2275115.04</v>
      </c>
      <c r="K71" s="109">
        <f t="shared" si="24"/>
        <v>19776000</v>
      </c>
      <c r="L71" s="109">
        <f t="shared" si="24"/>
        <v>0</v>
      </c>
      <c r="M71" s="109">
        <f t="shared" si="24"/>
        <v>0</v>
      </c>
      <c r="N71" s="109">
        <f t="shared" si="24"/>
        <v>0</v>
      </c>
      <c r="O71" s="109">
        <f t="shared" si="24"/>
        <v>0</v>
      </c>
      <c r="P71" s="109">
        <f t="shared" si="24"/>
        <v>0</v>
      </c>
      <c r="Q71" s="109">
        <f t="shared" si="24"/>
        <v>0</v>
      </c>
      <c r="R71" s="109">
        <f t="shared" si="24"/>
        <v>0</v>
      </c>
      <c r="S71" s="109">
        <f t="shared" si="24"/>
        <v>19776000</v>
      </c>
      <c r="T71" s="109">
        <f t="shared" si="24"/>
        <v>0</v>
      </c>
      <c r="U71" s="109">
        <f t="shared" si="24"/>
        <v>2432415.3</v>
      </c>
      <c r="V71" s="109">
        <f t="shared" si="24"/>
        <v>0</v>
      </c>
      <c r="W71" s="109">
        <f t="shared" si="24"/>
        <v>17343584.7</v>
      </c>
      <c r="X71" s="188"/>
    </row>
    <row r="72" s="1" customFormat="1" ht="39" customHeight="1" spans="1:24">
      <c r="A72" s="43">
        <v>6</v>
      </c>
      <c r="B72" s="44" t="s">
        <v>87</v>
      </c>
      <c r="C72" s="43" t="s">
        <v>88</v>
      </c>
      <c r="D72" s="44" t="s">
        <v>35</v>
      </c>
      <c r="E72" s="45">
        <v>950000</v>
      </c>
      <c r="F72" s="46">
        <v>285000</v>
      </c>
      <c r="G72" s="152" t="s">
        <v>89</v>
      </c>
      <c r="H72" s="66" t="s">
        <v>90</v>
      </c>
      <c r="I72" s="94">
        <v>627358.49</v>
      </c>
      <c r="J72" s="94">
        <v>37641.51</v>
      </c>
      <c r="K72" s="94">
        <f t="shared" ref="K72:K82" si="25">I72+J72</f>
        <v>665000</v>
      </c>
      <c r="L72" s="94"/>
      <c r="M72" s="94"/>
      <c r="N72" s="94"/>
      <c r="O72" s="94"/>
      <c r="P72" s="94"/>
      <c r="Q72" s="94"/>
      <c r="R72" s="94"/>
      <c r="S72" s="94">
        <f t="shared" ref="S72:S82" si="26">K72-L72-M72-N72-O72+R72</f>
        <v>665000</v>
      </c>
      <c r="T72" s="94"/>
      <c r="U72" s="94">
        <v>665000</v>
      </c>
      <c r="V72" s="94"/>
      <c r="W72" s="94">
        <f t="shared" si="23"/>
        <v>0</v>
      </c>
      <c r="X72" s="145"/>
    </row>
    <row r="73" s="1" customFormat="1" ht="30" customHeight="1" spans="1:24">
      <c r="A73" s="153"/>
      <c r="B73" s="153"/>
      <c r="C73" s="153"/>
      <c r="D73" s="153"/>
      <c r="E73" s="81"/>
      <c r="F73" s="46"/>
      <c r="G73" s="154" t="s">
        <v>46</v>
      </c>
      <c r="H73" s="155"/>
      <c r="I73" s="108">
        <f t="shared" ref="I73:K73" si="27">SUM(I72)</f>
        <v>627358.49</v>
      </c>
      <c r="J73" s="111">
        <f t="shared" si="27"/>
        <v>37641.51</v>
      </c>
      <c r="K73" s="111">
        <f t="shared" si="27"/>
        <v>665000</v>
      </c>
      <c r="L73" s="111"/>
      <c r="M73" s="111"/>
      <c r="N73" s="111"/>
      <c r="O73" s="111"/>
      <c r="P73" s="111"/>
      <c r="Q73" s="111"/>
      <c r="R73" s="111">
        <f t="shared" ref="R73:W73" si="28">SUM(R72)</f>
        <v>0</v>
      </c>
      <c r="S73" s="147">
        <f t="shared" si="26"/>
        <v>665000</v>
      </c>
      <c r="T73" s="147"/>
      <c r="U73" s="111">
        <f t="shared" si="28"/>
        <v>665000</v>
      </c>
      <c r="V73" s="111">
        <f t="shared" si="28"/>
        <v>0</v>
      </c>
      <c r="W73" s="111">
        <f t="shared" si="28"/>
        <v>0</v>
      </c>
      <c r="X73" s="146"/>
    </row>
    <row r="74" s="1" customFormat="1" ht="84" customHeight="1" spans="1:24">
      <c r="A74" s="156">
        <v>7</v>
      </c>
      <c r="B74" s="157" t="s">
        <v>91</v>
      </c>
      <c r="C74" s="158" t="s">
        <v>92</v>
      </c>
      <c r="D74" s="157" t="s">
        <v>93</v>
      </c>
      <c r="E74" s="145">
        <v>299000</v>
      </c>
      <c r="F74" s="145">
        <v>89700</v>
      </c>
      <c r="G74" s="66" t="s">
        <v>94</v>
      </c>
      <c r="H74" s="66" t="s">
        <v>95</v>
      </c>
      <c r="I74" s="94">
        <v>197452.83</v>
      </c>
      <c r="J74" s="94">
        <v>11847.17</v>
      </c>
      <c r="K74" s="94">
        <f t="shared" si="25"/>
        <v>209300</v>
      </c>
      <c r="L74" s="94"/>
      <c r="M74" s="94"/>
      <c r="N74" s="94"/>
      <c r="O74" s="94"/>
      <c r="P74" s="94"/>
      <c r="Q74" s="94"/>
      <c r="R74" s="94"/>
      <c r="S74" s="94">
        <f t="shared" si="26"/>
        <v>209300</v>
      </c>
      <c r="T74" s="94"/>
      <c r="U74" s="94">
        <v>209300</v>
      </c>
      <c r="V74" s="94"/>
      <c r="W74" s="94">
        <f t="shared" si="23"/>
        <v>0</v>
      </c>
      <c r="X74" s="145"/>
    </row>
    <row r="75" s="1" customFormat="1" ht="36" customHeight="1" spans="1:24">
      <c r="A75" s="156">
        <v>8</v>
      </c>
      <c r="B75" s="157" t="s">
        <v>96</v>
      </c>
      <c r="C75" s="158" t="s">
        <v>97</v>
      </c>
      <c r="D75" s="157" t="s">
        <v>98</v>
      </c>
      <c r="E75" s="145">
        <v>75800</v>
      </c>
      <c r="F75" s="145">
        <v>37900</v>
      </c>
      <c r="G75" s="66" t="s">
        <v>99</v>
      </c>
      <c r="H75" s="66" t="s">
        <v>100</v>
      </c>
      <c r="I75" s="94">
        <v>35754.72</v>
      </c>
      <c r="J75" s="94">
        <v>2145.28</v>
      </c>
      <c r="K75" s="94">
        <f t="shared" si="25"/>
        <v>37900</v>
      </c>
      <c r="L75" s="94"/>
      <c r="M75" s="94"/>
      <c r="N75" s="94"/>
      <c r="O75" s="94"/>
      <c r="P75" s="94"/>
      <c r="Q75" s="94"/>
      <c r="R75" s="94"/>
      <c r="S75" s="94">
        <f t="shared" si="26"/>
        <v>37900</v>
      </c>
      <c r="T75" s="94"/>
      <c r="U75" s="94">
        <f t="shared" ref="U75:U81" si="29">K75+R75</f>
        <v>37900</v>
      </c>
      <c r="V75" s="94"/>
      <c r="W75" s="94">
        <f t="shared" si="23"/>
        <v>0</v>
      </c>
      <c r="X75" s="145"/>
    </row>
    <row r="76" s="1" customFormat="1" ht="45" customHeight="1" spans="1:24">
      <c r="A76" s="156">
        <v>9</v>
      </c>
      <c r="B76" s="157" t="s">
        <v>101</v>
      </c>
      <c r="C76" s="158" t="s">
        <v>102</v>
      </c>
      <c r="D76" s="157" t="s">
        <v>103</v>
      </c>
      <c r="E76" s="145">
        <v>139000</v>
      </c>
      <c r="F76" s="145">
        <v>0</v>
      </c>
      <c r="G76" s="66" t="s">
        <v>104</v>
      </c>
      <c r="H76" s="66" t="s">
        <v>105</v>
      </c>
      <c r="I76" s="94">
        <v>131132.08</v>
      </c>
      <c r="J76" s="94">
        <v>7867.92000000001</v>
      </c>
      <c r="K76" s="94">
        <f t="shared" si="25"/>
        <v>139000</v>
      </c>
      <c r="L76" s="94"/>
      <c r="M76" s="94"/>
      <c r="N76" s="94"/>
      <c r="O76" s="94"/>
      <c r="P76" s="94"/>
      <c r="Q76" s="94"/>
      <c r="R76" s="94"/>
      <c r="S76" s="94">
        <f t="shared" si="26"/>
        <v>139000</v>
      </c>
      <c r="T76" s="94"/>
      <c r="U76" s="94">
        <f t="shared" si="29"/>
        <v>139000</v>
      </c>
      <c r="V76" s="94"/>
      <c r="W76" s="94">
        <f t="shared" si="23"/>
        <v>0</v>
      </c>
      <c r="X76" s="145"/>
    </row>
    <row r="77" s="1" customFormat="1" ht="36" customHeight="1" spans="1:24">
      <c r="A77" s="156">
        <v>10</v>
      </c>
      <c r="B77" s="157" t="s">
        <v>106</v>
      </c>
      <c r="C77" s="158" t="s">
        <v>107</v>
      </c>
      <c r="D77" s="157" t="s">
        <v>108</v>
      </c>
      <c r="E77" s="145">
        <v>147000</v>
      </c>
      <c r="F77" s="145">
        <v>58800</v>
      </c>
      <c r="G77" s="66" t="s">
        <v>109</v>
      </c>
      <c r="H77" s="66" t="s">
        <v>110</v>
      </c>
      <c r="I77" s="94">
        <v>83207.55</v>
      </c>
      <c r="J77" s="94">
        <v>4992.45</v>
      </c>
      <c r="K77" s="94">
        <f t="shared" si="25"/>
        <v>88200</v>
      </c>
      <c r="L77" s="94"/>
      <c r="M77" s="94"/>
      <c r="N77" s="94"/>
      <c r="O77" s="94"/>
      <c r="P77" s="94"/>
      <c r="Q77" s="94"/>
      <c r="R77" s="94"/>
      <c r="S77" s="94">
        <f t="shared" si="26"/>
        <v>88200</v>
      </c>
      <c r="T77" s="94"/>
      <c r="U77" s="94">
        <f t="shared" si="29"/>
        <v>88200</v>
      </c>
      <c r="V77" s="94"/>
      <c r="W77" s="94">
        <f t="shared" si="23"/>
        <v>0</v>
      </c>
      <c r="X77" s="145"/>
    </row>
    <row r="78" s="1" customFormat="1" ht="36" customHeight="1" spans="1:24">
      <c r="A78" s="156">
        <v>11</v>
      </c>
      <c r="B78" s="157" t="s">
        <v>111</v>
      </c>
      <c r="C78" s="158" t="s">
        <v>112</v>
      </c>
      <c r="D78" s="157" t="s">
        <v>113</v>
      </c>
      <c r="E78" s="145">
        <v>350000</v>
      </c>
      <c r="F78" s="145">
        <v>175000</v>
      </c>
      <c r="G78" s="66" t="s">
        <v>114</v>
      </c>
      <c r="H78" s="66" t="s">
        <v>115</v>
      </c>
      <c r="I78" s="94">
        <v>165094.34</v>
      </c>
      <c r="J78" s="94">
        <v>9905.66</v>
      </c>
      <c r="K78" s="94">
        <f t="shared" si="25"/>
        <v>175000</v>
      </c>
      <c r="L78" s="94"/>
      <c r="M78" s="94"/>
      <c r="N78" s="94"/>
      <c r="O78" s="94"/>
      <c r="P78" s="94"/>
      <c r="Q78" s="94"/>
      <c r="R78" s="94"/>
      <c r="S78" s="94">
        <f t="shared" si="26"/>
        <v>175000</v>
      </c>
      <c r="T78" s="94"/>
      <c r="U78" s="94">
        <f t="shared" si="29"/>
        <v>175000</v>
      </c>
      <c r="V78" s="94"/>
      <c r="W78" s="94">
        <f t="shared" si="23"/>
        <v>0</v>
      </c>
      <c r="X78" s="145"/>
    </row>
    <row r="79" s="1" customFormat="1" ht="71" customHeight="1" spans="1:24">
      <c r="A79" s="156">
        <v>12</v>
      </c>
      <c r="B79" s="157" t="s">
        <v>116</v>
      </c>
      <c r="C79" s="158" t="s">
        <v>117</v>
      </c>
      <c r="D79" s="157" t="s">
        <v>113</v>
      </c>
      <c r="E79" s="145">
        <v>372000</v>
      </c>
      <c r="F79" s="145"/>
      <c r="G79" s="66" t="s">
        <v>118</v>
      </c>
      <c r="H79" s="66" t="s">
        <v>119</v>
      </c>
      <c r="I79" s="94">
        <v>350943.4</v>
      </c>
      <c r="J79" s="94">
        <v>21056.6</v>
      </c>
      <c r="K79" s="94">
        <f t="shared" si="25"/>
        <v>372000</v>
      </c>
      <c r="L79" s="94"/>
      <c r="M79" s="94"/>
      <c r="N79" s="94"/>
      <c r="O79" s="94"/>
      <c r="P79" s="94"/>
      <c r="Q79" s="94"/>
      <c r="R79" s="94"/>
      <c r="S79" s="94">
        <f t="shared" si="26"/>
        <v>372000</v>
      </c>
      <c r="T79" s="94"/>
      <c r="U79" s="94">
        <f t="shared" si="29"/>
        <v>372000</v>
      </c>
      <c r="V79" s="94"/>
      <c r="W79" s="94">
        <f t="shared" si="23"/>
        <v>0</v>
      </c>
      <c r="X79" s="145"/>
    </row>
    <row r="80" s="1" customFormat="1" ht="59" customHeight="1" spans="1:24">
      <c r="A80" s="156">
        <v>13</v>
      </c>
      <c r="B80" s="157" t="s">
        <v>120</v>
      </c>
      <c r="C80" s="157" t="s">
        <v>121</v>
      </c>
      <c r="D80" s="157" t="s">
        <v>122</v>
      </c>
      <c r="E80" s="145">
        <v>472680</v>
      </c>
      <c r="F80" s="145"/>
      <c r="G80" s="66" t="s">
        <v>123</v>
      </c>
      <c r="H80" s="66" t="s">
        <v>124</v>
      </c>
      <c r="I80" s="94">
        <v>472680</v>
      </c>
      <c r="J80" s="94">
        <v>0</v>
      </c>
      <c r="K80" s="94">
        <f t="shared" si="25"/>
        <v>472680</v>
      </c>
      <c r="L80" s="94"/>
      <c r="M80" s="94"/>
      <c r="N80" s="94"/>
      <c r="O80" s="94"/>
      <c r="P80" s="94"/>
      <c r="Q80" s="94"/>
      <c r="R80" s="94"/>
      <c r="S80" s="94">
        <f t="shared" si="26"/>
        <v>472680</v>
      </c>
      <c r="T80" s="94"/>
      <c r="U80" s="94">
        <f t="shared" si="29"/>
        <v>472680</v>
      </c>
      <c r="V80" s="94"/>
      <c r="W80" s="94">
        <f t="shared" si="23"/>
        <v>0</v>
      </c>
      <c r="X80" s="145"/>
    </row>
    <row r="81" s="1" customFormat="1" ht="46" customHeight="1" spans="1:24">
      <c r="A81" s="43">
        <v>14</v>
      </c>
      <c r="B81" s="43" t="s">
        <v>125</v>
      </c>
      <c r="C81" s="43" t="s">
        <v>126</v>
      </c>
      <c r="D81" s="43" t="s">
        <v>127</v>
      </c>
      <c r="E81" s="43">
        <v>20718782.9686351</v>
      </c>
      <c r="F81" s="43"/>
      <c r="G81" s="159" t="s">
        <v>128</v>
      </c>
      <c r="H81" s="160" t="s">
        <v>129</v>
      </c>
      <c r="I81" s="94">
        <v>10000000</v>
      </c>
      <c r="J81" s="94">
        <v>0</v>
      </c>
      <c r="K81" s="94">
        <f t="shared" si="25"/>
        <v>10000000</v>
      </c>
      <c r="L81" s="94">
        <v>0</v>
      </c>
      <c r="M81" s="94">
        <v>0</v>
      </c>
      <c r="N81" s="94">
        <v>0</v>
      </c>
      <c r="O81" s="94">
        <v>0</v>
      </c>
      <c r="P81" s="94"/>
      <c r="Q81" s="94"/>
      <c r="R81" s="94">
        <v>0</v>
      </c>
      <c r="S81" s="94">
        <f t="shared" si="26"/>
        <v>10000000</v>
      </c>
      <c r="T81" s="94"/>
      <c r="U81" s="94">
        <f t="shared" si="29"/>
        <v>10000000</v>
      </c>
      <c r="V81" s="94"/>
      <c r="W81" s="94">
        <f t="shared" si="23"/>
        <v>0</v>
      </c>
      <c r="X81" s="145"/>
    </row>
    <row r="82" s="17" customFormat="1" ht="59" customHeight="1" spans="1:24">
      <c r="A82" s="48"/>
      <c r="B82" s="48"/>
      <c r="C82" s="48"/>
      <c r="D82" s="48"/>
      <c r="E82" s="48"/>
      <c r="F82" s="48"/>
      <c r="G82" s="159" t="s">
        <v>130</v>
      </c>
      <c r="H82" s="161" t="s">
        <v>131</v>
      </c>
      <c r="I82" s="94">
        <v>8350000</v>
      </c>
      <c r="J82" s="94">
        <v>0</v>
      </c>
      <c r="K82" s="94">
        <f t="shared" si="25"/>
        <v>8350000</v>
      </c>
      <c r="L82" s="94">
        <v>0</v>
      </c>
      <c r="M82" s="94">
        <v>0</v>
      </c>
      <c r="N82" s="94">
        <v>0</v>
      </c>
      <c r="O82" s="94">
        <v>0</v>
      </c>
      <c r="P82" s="94"/>
      <c r="Q82" s="94"/>
      <c r="R82" s="94">
        <v>0</v>
      </c>
      <c r="S82" s="94">
        <f t="shared" si="26"/>
        <v>8350000</v>
      </c>
      <c r="T82" s="94"/>
      <c r="U82" s="94">
        <v>8350000</v>
      </c>
      <c r="V82" s="94"/>
      <c r="W82" s="94">
        <f t="shared" si="23"/>
        <v>0</v>
      </c>
      <c r="X82" s="145"/>
    </row>
    <row r="83" s="18" customFormat="1" ht="24" customHeight="1" spans="1:24">
      <c r="A83" s="48"/>
      <c r="B83" s="48"/>
      <c r="C83" s="48"/>
      <c r="D83" s="48"/>
      <c r="E83" s="48"/>
      <c r="F83" s="48"/>
      <c r="G83" s="162" t="s">
        <v>410</v>
      </c>
      <c r="H83" s="163" t="s">
        <v>411</v>
      </c>
      <c r="I83" s="174">
        <v>1011228</v>
      </c>
      <c r="J83" s="174"/>
      <c r="K83" s="174">
        <f>J83+I83</f>
        <v>1011228</v>
      </c>
      <c r="L83" s="94"/>
      <c r="M83" s="94"/>
      <c r="N83" s="94"/>
      <c r="O83" s="94"/>
      <c r="P83" s="94"/>
      <c r="Q83" s="94"/>
      <c r="R83" s="94"/>
      <c r="S83" s="94"/>
      <c r="T83" s="94"/>
      <c r="U83" s="94"/>
      <c r="V83" s="94"/>
      <c r="W83" s="94"/>
      <c r="X83" s="145"/>
    </row>
    <row r="84" s="18" customFormat="1" ht="24" customHeight="1" spans="1:24">
      <c r="A84" s="153"/>
      <c r="B84" s="153"/>
      <c r="C84" s="153"/>
      <c r="D84" s="153"/>
      <c r="E84" s="153"/>
      <c r="F84" s="153"/>
      <c r="G84" s="162"/>
      <c r="H84" s="164"/>
      <c r="I84" s="174">
        <v>247850</v>
      </c>
      <c r="J84" s="174"/>
      <c r="K84" s="174">
        <f>I84</f>
        <v>247850</v>
      </c>
      <c r="L84" s="94"/>
      <c r="M84" s="94"/>
      <c r="N84" s="94"/>
      <c r="O84" s="94"/>
      <c r="P84" s="94"/>
      <c r="Q84" s="94"/>
      <c r="R84" s="94"/>
      <c r="S84" s="94"/>
      <c r="T84" s="94"/>
      <c r="U84" s="94"/>
      <c r="V84" s="94"/>
      <c r="W84" s="94"/>
      <c r="X84" s="145"/>
    </row>
    <row r="85" s="1" customFormat="1" ht="134" customHeight="1" spans="1:24">
      <c r="A85" s="156">
        <v>15</v>
      </c>
      <c r="B85" s="157" t="s">
        <v>132</v>
      </c>
      <c r="C85" s="157" t="s">
        <v>133</v>
      </c>
      <c r="D85" s="157" t="s">
        <v>134</v>
      </c>
      <c r="E85" s="145">
        <v>125290</v>
      </c>
      <c r="F85" s="145"/>
      <c r="G85" s="66" t="s">
        <v>135</v>
      </c>
      <c r="H85" s="66" t="s">
        <v>136</v>
      </c>
      <c r="I85" s="94">
        <v>125290</v>
      </c>
      <c r="J85" s="94">
        <v>0</v>
      </c>
      <c r="K85" s="94">
        <f t="shared" ref="K85:K92" si="30">I85+J85</f>
        <v>125290</v>
      </c>
      <c r="L85" s="94"/>
      <c r="M85" s="94"/>
      <c r="N85" s="94"/>
      <c r="O85" s="94"/>
      <c r="P85" s="94"/>
      <c r="Q85" s="94"/>
      <c r="R85" s="94"/>
      <c r="S85" s="94">
        <f t="shared" ref="S85:S97" si="31">K85-L85-M85-N85-O85+R85</f>
        <v>125290</v>
      </c>
      <c r="T85" s="94"/>
      <c r="U85" s="94">
        <f t="shared" ref="U85:U94" si="32">K85+R85</f>
        <v>125290</v>
      </c>
      <c r="V85" s="94"/>
      <c r="W85" s="94">
        <f t="shared" ref="W85:W97" si="33">S85+T85-U85-V85</f>
        <v>0</v>
      </c>
      <c r="X85" s="145"/>
    </row>
    <row r="86" s="1" customFormat="1" ht="36" customHeight="1" spans="1:24">
      <c r="A86" s="156">
        <v>16</v>
      </c>
      <c r="B86" s="157" t="s">
        <v>137</v>
      </c>
      <c r="C86" s="158" t="s">
        <v>138</v>
      </c>
      <c r="D86" s="157" t="s">
        <v>139</v>
      </c>
      <c r="E86" s="145">
        <v>750000</v>
      </c>
      <c r="F86" s="145">
        <v>300000</v>
      </c>
      <c r="G86" s="66" t="s">
        <v>140</v>
      </c>
      <c r="H86" s="66" t="s">
        <v>141</v>
      </c>
      <c r="I86" s="94">
        <v>424528.3</v>
      </c>
      <c r="J86" s="94">
        <v>25471.7</v>
      </c>
      <c r="K86" s="94">
        <f t="shared" si="30"/>
        <v>450000</v>
      </c>
      <c r="L86" s="94"/>
      <c r="M86" s="94"/>
      <c r="N86" s="94"/>
      <c r="O86" s="94"/>
      <c r="P86" s="94"/>
      <c r="Q86" s="94"/>
      <c r="R86" s="94"/>
      <c r="S86" s="94">
        <f t="shared" si="31"/>
        <v>450000</v>
      </c>
      <c r="T86" s="94"/>
      <c r="U86" s="94">
        <f t="shared" si="32"/>
        <v>450000</v>
      </c>
      <c r="V86" s="94"/>
      <c r="W86" s="94">
        <f t="shared" si="33"/>
        <v>0</v>
      </c>
      <c r="X86" s="145"/>
    </row>
    <row r="87" s="17" customFormat="1" ht="36" customHeight="1" spans="1:24">
      <c r="A87" s="156">
        <v>17</v>
      </c>
      <c r="B87" s="157" t="s">
        <v>142</v>
      </c>
      <c r="C87" s="158" t="s">
        <v>143</v>
      </c>
      <c r="D87" s="157" t="s">
        <v>144</v>
      </c>
      <c r="E87" s="145">
        <v>95000</v>
      </c>
      <c r="F87" s="145"/>
      <c r="G87" s="74" t="s">
        <v>145</v>
      </c>
      <c r="H87" s="74" t="s">
        <v>146</v>
      </c>
      <c r="I87" s="94">
        <f>K87-J87</f>
        <v>89622.64</v>
      </c>
      <c r="J87" s="94">
        <v>5377.36</v>
      </c>
      <c r="K87" s="94">
        <v>95000</v>
      </c>
      <c r="L87" s="94">
        <v>0</v>
      </c>
      <c r="M87" s="94">
        <v>0</v>
      </c>
      <c r="N87" s="94">
        <v>0</v>
      </c>
      <c r="O87" s="94">
        <v>0</v>
      </c>
      <c r="P87" s="94"/>
      <c r="Q87" s="94"/>
      <c r="R87" s="94">
        <v>0</v>
      </c>
      <c r="S87" s="94">
        <f t="shared" si="31"/>
        <v>95000</v>
      </c>
      <c r="T87" s="94"/>
      <c r="U87" s="94">
        <f t="shared" si="32"/>
        <v>95000</v>
      </c>
      <c r="V87" s="94"/>
      <c r="W87" s="94">
        <f t="shared" si="33"/>
        <v>0</v>
      </c>
      <c r="X87" s="145"/>
    </row>
    <row r="88" s="17" customFormat="1" ht="36" customHeight="1" spans="1:24">
      <c r="A88" s="156">
        <v>18</v>
      </c>
      <c r="B88" s="157" t="s">
        <v>147</v>
      </c>
      <c r="C88" s="157" t="s">
        <v>148</v>
      </c>
      <c r="D88" s="157" t="s">
        <v>149</v>
      </c>
      <c r="E88" s="145">
        <v>680000</v>
      </c>
      <c r="F88" s="145"/>
      <c r="G88" s="50" t="s">
        <v>150</v>
      </c>
      <c r="H88" s="66" t="s">
        <v>151</v>
      </c>
      <c r="I88" s="94">
        <f>K88-J88</f>
        <v>641509.43</v>
      </c>
      <c r="J88" s="94">
        <v>38490.57</v>
      </c>
      <c r="K88" s="94">
        <v>680000</v>
      </c>
      <c r="L88" s="94">
        <v>0</v>
      </c>
      <c r="M88" s="94">
        <v>0</v>
      </c>
      <c r="N88" s="94">
        <v>0</v>
      </c>
      <c r="O88" s="94">
        <v>0</v>
      </c>
      <c r="P88" s="94"/>
      <c r="Q88" s="94"/>
      <c r="R88" s="94">
        <v>0</v>
      </c>
      <c r="S88" s="94">
        <f t="shared" si="31"/>
        <v>680000</v>
      </c>
      <c r="T88" s="94"/>
      <c r="U88" s="94">
        <f t="shared" si="32"/>
        <v>680000</v>
      </c>
      <c r="V88" s="94"/>
      <c r="W88" s="94">
        <f t="shared" si="33"/>
        <v>0</v>
      </c>
      <c r="X88" s="145"/>
    </row>
    <row r="89" s="1" customFormat="1" ht="46" customHeight="1" spans="1:24">
      <c r="A89" s="156">
        <v>19</v>
      </c>
      <c r="B89" s="157" t="s">
        <v>152</v>
      </c>
      <c r="C89" s="158" t="s">
        <v>153</v>
      </c>
      <c r="D89" s="165" t="s">
        <v>154</v>
      </c>
      <c r="E89" s="145">
        <v>150000</v>
      </c>
      <c r="F89" s="145"/>
      <c r="G89" s="66" t="s">
        <v>155</v>
      </c>
      <c r="H89" s="66" t="s">
        <v>156</v>
      </c>
      <c r="I89" s="94">
        <v>141509.43</v>
      </c>
      <c r="J89" s="94">
        <v>8490.57000000001</v>
      </c>
      <c r="K89" s="94">
        <f t="shared" si="30"/>
        <v>150000</v>
      </c>
      <c r="L89" s="94"/>
      <c r="M89" s="94"/>
      <c r="N89" s="94"/>
      <c r="O89" s="94"/>
      <c r="P89" s="94"/>
      <c r="Q89" s="94"/>
      <c r="R89" s="94"/>
      <c r="S89" s="94">
        <f t="shared" si="31"/>
        <v>150000</v>
      </c>
      <c r="T89" s="94"/>
      <c r="U89" s="94">
        <f t="shared" si="32"/>
        <v>150000</v>
      </c>
      <c r="V89" s="94"/>
      <c r="W89" s="94">
        <f t="shared" si="33"/>
        <v>0</v>
      </c>
      <c r="X89" s="145"/>
    </row>
    <row r="90" s="1" customFormat="1" ht="69" customHeight="1" spans="1:24">
      <c r="A90" s="156">
        <v>20</v>
      </c>
      <c r="B90" s="157" t="s">
        <v>157</v>
      </c>
      <c r="C90" s="158" t="s">
        <v>158</v>
      </c>
      <c r="D90" s="157" t="s">
        <v>159</v>
      </c>
      <c r="E90" s="145">
        <v>238000</v>
      </c>
      <c r="F90" s="145"/>
      <c r="G90" s="66" t="s">
        <v>160</v>
      </c>
      <c r="H90" s="66" t="s">
        <v>161</v>
      </c>
      <c r="I90" s="94">
        <v>231067.96</v>
      </c>
      <c r="J90" s="94">
        <v>6932.04000000001</v>
      </c>
      <c r="K90" s="94">
        <f t="shared" si="30"/>
        <v>238000</v>
      </c>
      <c r="L90" s="94"/>
      <c r="M90" s="94"/>
      <c r="N90" s="94"/>
      <c r="O90" s="94"/>
      <c r="P90" s="94"/>
      <c r="Q90" s="94"/>
      <c r="R90" s="94"/>
      <c r="S90" s="94">
        <f t="shared" si="31"/>
        <v>238000</v>
      </c>
      <c r="T90" s="94"/>
      <c r="U90" s="94">
        <f t="shared" si="32"/>
        <v>238000</v>
      </c>
      <c r="V90" s="94"/>
      <c r="W90" s="94">
        <f t="shared" si="33"/>
        <v>0</v>
      </c>
      <c r="X90" s="145"/>
    </row>
    <row r="91" s="1" customFormat="1" ht="60" customHeight="1" spans="1:24">
      <c r="A91" s="156">
        <v>21</v>
      </c>
      <c r="B91" s="157" t="s">
        <v>162</v>
      </c>
      <c r="C91" s="158" t="s">
        <v>163</v>
      </c>
      <c r="D91" s="157" t="s">
        <v>159</v>
      </c>
      <c r="E91" s="145">
        <v>180000</v>
      </c>
      <c r="F91" s="145"/>
      <c r="G91" s="66" t="s">
        <v>164</v>
      </c>
      <c r="H91" s="66" t="s">
        <v>165</v>
      </c>
      <c r="I91" s="94">
        <v>174757.28</v>
      </c>
      <c r="J91" s="94">
        <v>5242.72</v>
      </c>
      <c r="K91" s="94">
        <f t="shared" si="30"/>
        <v>180000</v>
      </c>
      <c r="L91" s="94"/>
      <c r="M91" s="94"/>
      <c r="N91" s="94"/>
      <c r="O91" s="94"/>
      <c r="P91" s="94"/>
      <c r="Q91" s="94"/>
      <c r="R91" s="94"/>
      <c r="S91" s="94">
        <f t="shared" si="31"/>
        <v>180000</v>
      </c>
      <c r="T91" s="94"/>
      <c r="U91" s="94">
        <f t="shared" si="32"/>
        <v>180000</v>
      </c>
      <c r="V91" s="94"/>
      <c r="W91" s="94">
        <f t="shared" si="33"/>
        <v>0</v>
      </c>
      <c r="X91" s="145"/>
    </row>
    <row r="92" s="1" customFormat="1" ht="53" customHeight="1" spans="1:24">
      <c r="A92" s="156">
        <v>22</v>
      </c>
      <c r="B92" s="157" t="s">
        <v>166</v>
      </c>
      <c r="C92" s="496" t="s">
        <v>167</v>
      </c>
      <c r="D92" s="157" t="s">
        <v>168</v>
      </c>
      <c r="E92" s="145">
        <v>168838.18</v>
      </c>
      <c r="F92" s="145"/>
      <c r="G92" s="66" t="s">
        <v>169</v>
      </c>
      <c r="H92" s="66" t="s">
        <v>170</v>
      </c>
      <c r="I92" s="94">
        <v>159281.3</v>
      </c>
      <c r="J92" s="94">
        <v>9556.88</v>
      </c>
      <c r="K92" s="94">
        <f t="shared" si="30"/>
        <v>168838.18</v>
      </c>
      <c r="L92" s="94"/>
      <c r="M92" s="94"/>
      <c r="N92" s="94"/>
      <c r="O92" s="94"/>
      <c r="P92" s="94"/>
      <c r="Q92" s="94"/>
      <c r="R92" s="94"/>
      <c r="S92" s="94">
        <f t="shared" si="31"/>
        <v>168838.18</v>
      </c>
      <c r="T92" s="94"/>
      <c r="U92" s="94">
        <f t="shared" si="32"/>
        <v>168838.18</v>
      </c>
      <c r="V92" s="94"/>
      <c r="W92" s="94">
        <f t="shared" si="33"/>
        <v>0</v>
      </c>
      <c r="X92" s="145"/>
    </row>
    <row r="93" s="17" customFormat="1" ht="47" customHeight="1" spans="1:24">
      <c r="A93" s="156">
        <v>23</v>
      </c>
      <c r="B93" s="157" t="s">
        <v>171</v>
      </c>
      <c r="C93" s="158" t="s">
        <v>172</v>
      </c>
      <c r="D93" s="157" t="s">
        <v>173</v>
      </c>
      <c r="E93" s="145">
        <v>533200</v>
      </c>
      <c r="F93" s="145"/>
      <c r="G93" s="50" t="s">
        <v>174</v>
      </c>
      <c r="H93" s="66" t="s">
        <v>175</v>
      </c>
      <c r="I93" s="94">
        <v>471858.4</v>
      </c>
      <c r="J93" s="94">
        <f>K93-I93</f>
        <v>61341.6</v>
      </c>
      <c r="K93" s="94">
        <v>533200</v>
      </c>
      <c r="L93" s="94">
        <v>0</v>
      </c>
      <c r="M93" s="94">
        <v>0</v>
      </c>
      <c r="N93" s="94">
        <v>0</v>
      </c>
      <c r="O93" s="94">
        <v>0</v>
      </c>
      <c r="P93" s="94"/>
      <c r="Q93" s="94"/>
      <c r="R93" s="94">
        <v>0</v>
      </c>
      <c r="S93" s="94">
        <f t="shared" si="31"/>
        <v>533200</v>
      </c>
      <c r="T93" s="94"/>
      <c r="U93" s="94">
        <f t="shared" si="32"/>
        <v>533200</v>
      </c>
      <c r="V93" s="94"/>
      <c r="W93" s="94">
        <f t="shared" si="33"/>
        <v>0</v>
      </c>
      <c r="X93" s="145"/>
    </row>
    <row r="94" s="1" customFormat="1" ht="59" customHeight="1" spans="1:24">
      <c r="A94" s="156">
        <v>24</v>
      </c>
      <c r="B94" s="166" t="s">
        <v>176</v>
      </c>
      <c r="C94" s="167" t="s">
        <v>177</v>
      </c>
      <c r="D94" s="166" t="s">
        <v>178</v>
      </c>
      <c r="E94" s="145">
        <v>87000</v>
      </c>
      <c r="F94" s="145">
        <v>87000</v>
      </c>
      <c r="G94" s="145"/>
      <c r="H94" s="145"/>
      <c r="I94" s="94"/>
      <c r="J94" s="94"/>
      <c r="K94" s="94"/>
      <c r="L94" s="94"/>
      <c r="M94" s="94"/>
      <c r="N94" s="94"/>
      <c r="O94" s="94"/>
      <c r="P94" s="94"/>
      <c r="Q94" s="94"/>
      <c r="R94" s="94"/>
      <c r="S94" s="94">
        <f t="shared" si="31"/>
        <v>0</v>
      </c>
      <c r="T94" s="94"/>
      <c r="U94" s="94">
        <f t="shared" si="32"/>
        <v>0</v>
      </c>
      <c r="V94" s="94"/>
      <c r="W94" s="94">
        <f t="shared" si="33"/>
        <v>0</v>
      </c>
      <c r="X94" s="145"/>
    </row>
    <row r="95" s="1" customFormat="1" ht="59" customHeight="1" spans="1:24">
      <c r="A95" s="156">
        <v>25</v>
      </c>
      <c r="B95" s="166" t="s">
        <v>179</v>
      </c>
      <c r="C95" s="167"/>
      <c r="D95" s="168" t="s">
        <v>180</v>
      </c>
      <c r="E95" s="145">
        <v>79600</v>
      </c>
      <c r="F95" s="145"/>
      <c r="G95" s="74" t="s">
        <v>181</v>
      </c>
      <c r="H95" s="161" t="s">
        <v>182</v>
      </c>
      <c r="I95" s="94">
        <v>22528.3</v>
      </c>
      <c r="J95" s="94">
        <v>1351.7</v>
      </c>
      <c r="K95" s="94">
        <f>J95+I95</f>
        <v>23880</v>
      </c>
      <c r="L95" s="94">
        <v>0</v>
      </c>
      <c r="M95" s="94">
        <v>0</v>
      </c>
      <c r="N95" s="94">
        <v>0</v>
      </c>
      <c r="O95" s="94">
        <v>0</v>
      </c>
      <c r="P95" s="94"/>
      <c r="Q95" s="94"/>
      <c r="R95" s="94">
        <v>0</v>
      </c>
      <c r="S95" s="94">
        <f t="shared" si="31"/>
        <v>23880</v>
      </c>
      <c r="T95" s="94"/>
      <c r="U95" s="94">
        <f>S95</f>
        <v>23880</v>
      </c>
      <c r="V95" s="94"/>
      <c r="W95" s="94">
        <f t="shared" si="33"/>
        <v>0</v>
      </c>
      <c r="X95" s="145"/>
    </row>
    <row r="96" s="1" customFormat="1" ht="59" customHeight="1" spans="1:24">
      <c r="A96" s="169">
        <v>26</v>
      </c>
      <c r="B96" s="166" t="s">
        <v>183</v>
      </c>
      <c r="C96" s="167"/>
      <c r="D96" s="166" t="s">
        <v>122</v>
      </c>
      <c r="E96" s="145"/>
      <c r="F96" s="145"/>
      <c r="G96" s="47" t="s">
        <v>184</v>
      </c>
      <c r="H96" s="47" t="s">
        <v>185</v>
      </c>
      <c r="I96" s="94">
        <v>48750</v>
      </c>
      <c r="J96" s="94">
        <v>0</v>
      </c>
      <c r="K96" s="94">
        <f>I96+J96</f>
        <v>48750</v>
      </c>
      <c r="L96" s="94">
        <v>0</v>
      </c>
      <c r="M96" s="94">
        <v>0</v>
      </c>
      <c r="N96" s="94">
        <v>0</v>
      </c>
      <c r="O96" s="94">
        <v>0</v>
      </c>
      <c r="P96" s="94"/>
      <c r="Q96" s="94"/>
      <c r="R96" s="94">
        <v>0</v>
      </c>
      <c r="S96" s="94">
        <f t="shared" si="31"/>
        <v>48750</v>
      </c>
      <c r="T96" s="94">
        <v>0</v>
      </c>
      <c r="U96" s="94">
        <v>48750</v>
      </c>
      <c r="V96" s="94">
        <v>0</v>
      </c>
      <c r="W96" s="94">
        <f t="shared" si="33"/>
        <v>0</v>
      </c>
      <c r="X96" s="145"/>
    </row>
    <row r="97" s="1" customFormat="1" ht="59" customHeight="1" spans="1:24">
      <c r="A97" s="170">
        <v>27</v>
      </c>
      <c r="B97" s="44" t="s">
        <v>186</v>
      </c>
      <c r="C97" s="43"/>
      <c r="D97" s="44" t="s">
        <v>187</v>
      </c>
      <c r="E97" s="145"/>
      <c r="F97" s="145"/>
      <c r="G97" s="47" t="s">
        <v>188</v>
      </c>
      <c r="H97" s="47" t="s">
        <v>189</v>
      </c>
      <c r="I97" s="99"/>
      <c r="J97" s="94"/>
      <c r="K97" s="94"/>
      <c r="L97" s="94">
        <v>0</v>
      </c>
      <c r="M97" s="94">
        <v>0</v>
      </c>
      <c r="N97" s="94">
        <v>0</v>
      </c>
      <c r="O97" s="94">
        <v>0</v>
      </c>
      <c r="P97" s="94"/>
      <c r="Q97" s="94"/>
      <c r="R97" s="207">
        <v>755500</v>
      </c>
      <c r="S97" s="112">
        <f t="shared" si="31"/>
        <v>755500</v>
      </c>
      <c r="T97" s="112">
        <v>0</v>
      </c>
      <c r="U97" s="112">
        <f>S97</f>
        <v>755500</v>
      </c>
      <c r="V97" s="112">
        <v>0</v>
      </c>
      <c r="W97" s="45">
        <f t="shared" si="33"/>
        <v>0</v>
      </c>
      <c r="X97" s="45"/>
    </row>
    <row r="98" s="1" customFormat="1" ht="59" customHeight="1" spans="1:24">
      <c r="A98" s="171"/>
      <c r="B98" s="153"/>
      <c r="C98" s="153"/>
      <c r="D98" s="153"/>
      <c r="E98" s="145"/>
      <c r="F98" s="145"/>
      <c r="G98" s="74" t="s">
        <v>190</v>
      </c>
      <c r="H98" s="47" t="s">
        <v>191</v>
      </c>
      <c r="I98" s="99">
        <v>755500</v>
      </c>
      <c r="J98" s="94"/>
      <c r="K98" s="94">
        <f>I98+J98</f>
        <v>755500</v>
      </c>
      <c r="L98" s="94"/>
      <c r="M98" s="94"/>
      <c r="N98" s="94"/>
      <c r="O98" s="94"/>
      <c r="P98" s="94"/>
      <c r="Q98" s="94"/>
      <c r="R98" s="208">
        <f>-R97</f>
        <v>-755500</v>
      </c>
      <c r="S98" s="114"/>
      <c r="T98" s="114"/>
      <c r="U98" s="114"/>
      <c r="V98" s="114"/>
      <c r="W98" s="81"/>
      <c r="X98" s="81"/>
    </row>
    <row r="99" s="1" customFormat="1" ht="59" customHeight="1" spans="1:24">
      <c r="A99" s="48">
        <v>28</v>
      </c>
      <c r="B99" s="172" t="s">
        <v>192</v>
      </c>
      <c r="C99" s="48"/>
      <c r="D99" s="65" t="s">
        <v>193</v>
      </c>
      <c r="E99" s="45">
        <v>488544.07</v>
      </c>
      <c r="F99" s="145"/>
      <c r="G99" s="47" t="s">
        <v>412</v>
      </c>
      <c r="H99" s="47" t="s">
        <v>194</v>
      </c>
      <c r="I99" s="203">
        <v>460890.63</v>
      </c>
      <c r="J99" s="94">
        <v>27653.44</v>
      </c>
      <c r="K99" s="94">
        <f t="shared" ref="K99:K104" si="34">J99+I99</f>
        <v>488544.07</v>
      </c>
      <c r="L99" s="94"/>
      <c r="M99" s="94"/>
      <c r="N99" s="94"/>
      <c r="O99" s="94"/>
      <c r="P99" s="94"/>
      <c r="Q99" s="94"/>
      <c r="R99" s="208"/>
      <c r="S99" s="45">
        <f>K99-L99-M99-N99-O99+R99-Q99</f>
        <v>488544.07</v>
      </c>
      <c r="T99" s="45"/>
      <c r="U99" s="114"/>
      <c r="V99" s="45"/>
      <c r="W99" s="94">
        <f>S99+T99-U99-V99</f>
        <v>488544.07</v>
      </c>
      <c r="X99" s="145"/>
    </row>
    <row r="100" s="1" customFormat="1" ht="59" customHeight="1" spans="1:24">
      <c r="A100" s="153"/>
      <c r="B100" s="153"/>
      <c r="C100" s="153"/>
      <c r="D100" s="173"/>
      <c r="E100" s="81"/>
      <c r="F100" s="174" t="s">
        <v>319</v>
      </c>
      <c r="G100" s="76" t="s">
        <v>332</v>
      </c>
      <c r="H100" s="68" t="s">
        <v>333</v>
      </c>
      <c r="I100" s="118"/>
      <c r="J100" s="101"/>
      <c r="K100" s="101"/>
      <c r="L100" s="101"/>
      <c r="M100" s="101"/>
      <c r="N100" s="101"/>
      <c r="O100" s="101"/>
      <c r="P100" s="101"/>
      <c r="Q100" s="101"/>
      <c r="R100" s="209"/>
      <c r="S100" s="81"/>
      <c r="T100" s="81"/>
      <c r="U100" s="202">
        <v>488544.07</v>
      </c>
      <c r="V100" s="81"/>
      <c r="W100" s="101">
        <f>-U100</f>
        <v>-488544.07</v>
      </c>
      <c r="X100" s="145"/>
    </row>
    <row r="101" s="1" customFormat="1" ht="59" customHeight="1" spans="1:24">
      <c r="A101" s="48">
        <v>29</v>
      </c>
      <c r="B101" s="172" t="s">
        <v>192</v>
      </c>
      <c r="C101" s="48"/>
      <c r="D101" s="65" t="s">
        <v>195</v>
      </c>
      <c r="E101" s="45">
        <v>1990753.91</v>
      </c>
      <c r="F101" s="145"/>
      <c r="G101" s="47" t="s">
        <v>413</v>
      </c>
      <c r="H101" s="47" t="s">
        <v>194</v>
      </c>
      <c r="I101" s="203">
        <v>1878069.73</v>
      </c>
      <c r="J101" s="94">
        <v>112684.18</v>
      </c>
      <c r="K101" s="94">
        <f t="shared" si="34"/>
        <v>1990753.91</v>
      </c>
      <c r="L101" s="94"/>
      <c r="M101" s="94"/>
      <c r="N101" s="94"/>
      <c r="O101" s="94"/>
      <c r="P101" s="94"/>
      <c r="Q101" s="94"/>
      <c r="R101" s="208"/>
      <c r="S101" s="45">
        <f>K101-L101-M101-N101-O101+R101-Q101</f>
        <v>1990753.91</v>
      </c>
      <c r="T101" s="45"/>
      <c r="U101" s="114"/>
      <c r="V101" s="45"/>
      <c r="W101" s="94">
        <f>S101+T101-U101-V101</f>
        <v>1990753.91</v>
      </c>
      <c r="X101" s="145"/>
    </row>
    <row r="102" s="1" customFormat="1" ht="59" customHeight="1" spans="1:24">
      <c r="A102" s="153"/>
      <c r="B102" s="153"/>
      <c r="C102" s="153"/>
      <c r="D102" s="173"/>
      <c r="E102" s="81"/>
      <c r="F102" s="174" t="s">
        <v>319</v>
      </c>
      <c r="G102" s="76" t="s">
        <v>334</v>
      </c>
      <c r="H102" s="68" t="s">
        <v>335</v>
      </c>
      <c r="I102" s="118"/>
      <c r="J102" s="101"/>
      <c r="K102" s="101"/>
      <c r="L102" s="101"/>
      <c r="M102" s="101"/>
      <c r="N102" s="101"/>
      <c r="O102" s="101"/>
      <c r="P102" s="101"/>
      <c r="Q102" s="101"/>
      <c r="R102" s="209"/>
      <c r="S102" s="81"/>
      <c r="T102" s="81"/>
      <c r="U102" s="202">
        <v>1990753.91</v>
      </c>
      <c r="V102" s="81"/>
      <c r="W102" s="101">
        <f>-U102</f>
        <v>-1990753.91</v>
      </c>
      <c r="X102" s="145"/>
    </row>
    <row r="103" s="1" customFormat="1" ht="59" customHeight="1" spans="1:24">
      <c r="A103" s="171">
        <v>30</v>
      </c>
      <c r="B103" s="159" t="s">
        <v>302</v>
      </c>
      <c r="C103" s="175"/>
      <c r="D103" s="159" t="s">
        <v>303</v>
      </c>
      <c r="E103" s="145">
        <v>100000</v>
      </c>
      <c r="F103" s="174" t="s">
        <v>319</v>
      </c>
      <c r="G103" s="76" t="s">
        <v>360</v>
      </c>
      <c r="H103" s="68" t="s">
        <v>361</v>
      </c>
      <c r="I103" s="118">
        <v>94339.62</v>
      </c>
      <c r="J103" s="101">
        <v>5660.38</v>
      </c>
      <c r="K103" s="101">
        <f t="shared" si="34"/>
        <v>100000</v>
      </c>
      <c r="L103" s="101"/>
      <c r="M103" s="101"/>
      <c r="N103" s="101"/>
      <c r="O103" s="101"/>
      <c r="P103" s="101"/>
      <c r="Q103" s="101"/>
      <c r="R103" s="209"/>
      <c r="S103" s="101">
        <f>K103</f>
        <v>100000</v>
      </c>
      <c r="T103" s="202"/>
      <c r="U103" s="202">
        <v>100000</v>
      </c>
      <c r="V103" s="202"/>
      <c r="W103" s="143">
        <f t="shared" ref="W103:W105" si="35">S103-U103+T103-V103</f>
        <v>0</v>
      </c>
      <c r="X103" s="145"/>
    </row>
    <row r="104" s="1" customFormat="1" ht="59" customHeight="1" spans="1:24">
      <c r="A104" s="171">
        <v>31</v>
      </c>
      <c r="B104" s="159" t="s">
        <v>375</v>
      </c>
      <c r="C104" s="175"/>
      <c r="D104" s="159" t="s">
        <v>376</v>
      </c>
      <c r="E104" s="145">
        <v>135000</v>
      </c>
      <c r="F104" s="174" t="s">
        <v>296</v>
      </c>
      <c r="G104" s="76" t="s">
        <v>377</v>
      </c>
      <c r="H104" s="68" t="s">
        <v>378</v>
      </c>
      <c r="I104" s="118">
        <v>127358.49</v>
      </c>
      <c r="J104" s="101">
        <v>7641.51</v>
      </c>
      <c r="K104" s="101">
        <f t="shared" si="34"/>
        <v>135000</v>
      </c>
      <c r="L104" s="101"/>
      <c r="M104" s="101"/>
      <c r="N104" s="101"/>
      <c r="O104" s="101"/>
      <c r="P104" s="101"/>
      <c r="Q104" s="101"/>
      <c r="R104" s="209"/>
      <c r="S104" s="101">
        <v>135000</v>
      </c>
      <c r="T104" s="202"/>
      <c r="U104" s="202"/>
      <c r="V104" s="202"/>
      <c r="W104" s="143">
        <f t="shared" si="35"/>
        <v>135000</v>
      </c>
      <c r="X104" s="145"/>
    </row>
    <row r="105" s="1" customFormat="1" ht="59" customHeight="1" spans="1:24">
      <c r="A105" s="171"/>
      <c r="B105" s="159" t="s">
        <v>379</v>
      </c>
      <c r="C105" s="175"/>
      <c r="D105" s="159" t="s">
        <v>380</v>
      </c>
      <c r="E105" s="145" t="s">
        <v>381</v>
      </c>
      <c r="F105" s="174" t="s">
        <v>296</v>
      </c>
      <c r="G105" s="76" t="s">
        <v>371</v>
      </c>
      <c r="H105" s="68" t="s">
        <v>382</v>
      </c>
      <c r="I105" s="118">
        <v>149900.94</v>
      </c>
      <c r="J105" s="101">
        <v>8994.06</v>
      </c>
      <c r="K105" s="101">
        <v>158895</v>
      </c>
      <c r="L105" s="101"/>
      <c r="M105" s="101"/>
      <c r="N105" s="101"/>
      <c r="O105" s="101"/>
      <c r="P105" s="101"/>
      <c r="Q105" s="101"/>
      <c r="R105" s="209"/>
      <c r="S105" s="101">
        <v>158895</v>
      </c>
      <c r="T105" s="202"/>
      <c r="U105" s="202"/>
      <c r="V105" s="202"/>
      <c r="W105" s="143">
        <f t="shared" si="35"/>
        <v>158895</v>
      </c>
      <c r="X105" s="145"/>
    </row>
    <row r="106" s="1" customFormat="1" ht="59" customHeight="1" spans="1:24">
      <c r="A106" s="171">
        <v>31</v>
      </c>
      <c r="B106" s="159" t="s">
        <v>304</v>
      </c>
      <c r="C106" s="175"/>
      <c r="D106" s="159" t="s">
        <v>305</v>
      </c>
      <c r="E106" s="145">
        <v>232250</v>
      </c>
      <c r="F106" s="174"/>
      <c r="G106" s="76" t="s">
        <v>414</v>
      </c>
      <c r="H106" s="68" t="s">
        <v>415</v>
      </c>
      <c r="I106" s="118">
        <v>229950.5</v>
      </c>
      <c r="J106" s="101">
        <f>K106-I106</f>
        <v>2299.5</v>
      </c>
      <c r="K106" s="101">
        <f>232250</f>
        <v>232250</v>
      </c>
      <c r="L106" s="94"/>
      <c r="M106" s="94"/>
      <c r="N106" s="94"/>
      <c r="O106" s="94"/>
      <c r="P106" s="94"/>
      <c r="Q106" s="94"/>
      <c r="R106" s="208"/>
      <c r="S106" s="94"/>
      <c r="T106" s="114"/>
      <c r="U106" s="114"/>
      <c r="V106" s="114"/>
      <c r="W106" s="94"/>
      <c r="X106" s="145"/>
    </row>
    <row r="107" s="1" customFormat="1" ht="59" customHeight="1" spans="1:24">
      <c r="A107" s="171">
        <v>33</v>
      </c>
      <c r="B107" s="159" t="s">
        <v>416</v>
      </c>
      <c r="C107" s="176"/>
      <c r="D107" s="177"/>
      <c r="E107" s="145"/>
      <c r="F107" s="174"/>
      <c r="G107" s="76" t="s">
        <v>417</v>
      </c>
      <c r="H107" s="68" t="s">
        <v>416</v>
      </c>
      <c r="I107" s="118">
        <v>1538584.07</v>
      </c>
      <c r="J107" s="101">
        <v>0</v>
      </c>
      <c r="K107" s="101">
        <f>I107+J107</f>
        <v>1538584.07</v>
      </c>
      <c r="L107" s="101"/>
      <c r="M107" s="94"/>
      <c r="N107" s="94"/>
      <c r="O107" s="94"/>
      <c r="P107" s="94"/>
      <c r="Q107" s="94"/>
      <c r="R107" s="208"/>
      <c r="S107" s="94"/>
      <c r="T107" s="114"/>
      <c r="U107" s="114"/>
      <c r="V107" s="114"/>
      <c r="W107" s="94"/>
      <c r="X107" s="145"/>
    </row>
    <row r="108" s="1" customFormat="1" ht="59" customHeight="1" spans="1:24">
      <c r="A108" s="178"/>
      <c r="B108" s="159" t="s">
        <v>418</v>
      </c>
      <c r="C108" s="176"/>
      <c r="D108" s="177"/>
      <c r="E108" s="145"/>
      <c r="F108" s="174"/>
      <c r="G108" s="76" t="s">
        <v>419</v>
      </c>
      <c r="H108" s="68" t="s">
        <v>418</v>
      </c>
      <c r="I108" s="118">
        <v>245283.02</v>
      </c>
      <c r="J108" s="101">
        <v>14716.98</v>
      </c>
      <c r="K108" s="101">
        <f>J108+I108</f>
        <v>260000</v>
      </c>
      <c r="L108" s="101"/>
      <c r="M108" s="94"/>
      <c r="N108" s="94"/>
      <c r="O108" s="94"/>
      <c r="P108" s="94"/>
      <c r="Q108" s="94"/>
      <c r="R108" s="208"/>
      <c r="S108" s="94"/>
      <c r="T108" s="114"/>
      <c r="U108" s="114"/>
      <c r="V108" s="114"/>
      <c r="W108" s="94"/>
      <c r="X108" s="145"/>
    </row>
    <row r="109" s="1" customFormat="1" ht="59" customHeight="1" spans="1:24">
      <c r="A109" s="178"/>
      <c r="B109" s="159" t="s">
        <v>420</v>
      </c>
      <c r="C109" s="175"/>
      <c r="D109" s="159"/>
      <c r="E109" s="145"/>
      <c r="F109" s="174"/>
      <c r="G109" s="76" t="s">
        <v>421</v>
      </c>
      <c r="H109" s="68" t="s">
        <v>420</v>
      </c>
      <c r="I109" s="68">
        <v>4117077.53</v>
      </c>
      <c r="J109" s="118">
        <v>0</v>
      </c>
      <c r="K109" s="101">
        <f>J109+I109</f>
        <v>4117077.53</v>
      </c>
      <c r="L109" s="101"/>
      <c r="M109" s="94"/>
      <c r="N109" s="94"/>
      <c r="O109" s="94"/>
      <c r="P109" s="94"/>
      <c r="Q109" s="94"/>
      <c r="R109" s="208"/>
      <c r="S109" s="94"/>
      <c r="T109" s="114"/>
      <c r="U109" s="114"/>
      <c r="V109" s="114"/>
      <c r="W109" s="94"/>
      <c r="X109" s="145"/>
    </row>
    <row r="110" s="1" customFormat="1" ht="59" customHeight="1" spans="1:24">
      <c r="A110" s="178"/>
      <c r="B110" s="179"/>
      <c r="C110" s="180"/>
      <c r="D110" s="181"/>
      <c r="E110" s="145"/>
      <c r="F110" s="182" t="s">
        <v>478</v>
      </c>
      <c r="G110" s="182" t="s">
        <v>479</v>
      </c>
      <c r="H110" s="183" t="s">
        <v>480</v>
      </c>
      <c r="I110" s="68">
        <v>-4117077.53</v>
      </c>
      <c r="J110" s="118"/>
      <c r="K110" s="101">
        <f>J110+I110</f>
        <v>-4117077.53</v>
      </c>
      <c r="L110" s="101"/>
      <c r="M110" s="94"/>
      <c r="N110" s="94"/>
      <c r="O110" s="94"/>
      <c r="P110" s="94"/>
      <c r="Q110" s="94"/>
      <c r="R110" s="208"/>
      <c r="S110" s="94"/>
      <c r="T110" s="114"/>
      <c r="U110" s="114"/>
      <c r="V110" s="114"/>
      <c r="W110" s="94"/>
      <c r="X110" s="145"/>
    </row>
    <row r="111" s="1" customFormat="1" ht="59" customHeight="1" spans="1:24">
      <c r="A111" s="178"/>
      <c r="B111" s="179"/>
      <c r="C111" s="180"/>
      <c r="D111" s="181"/>
      <c r="E111" s="145"/>
      <c r="F111" s="182" t="s">
        <v>478</v>
      </c>
      <c r="G111" s="182" t="s">
        <v>481</v>
      </c>
      <c r="H111" s="183" t="s">
        <v>482</v>
      </c>
      <c r="I111" s="68">
        <v>4294080.42</v>
      </c>
      <c r="J111" s="118">
        <v>257644.82</v>
      </c>
      <c r="K111" s="101">
        <f>J111+I111</f>
        <v>4551725.24</v>
      </c>
      <c r="L111" s="101"/>
      <c r="M111" s="94"/>
      <c r="N111" s="94"/>
      <c r="O111" s="94"/>
      <c r="P111" s="94"/>
      <c r="Q111" s="94"/>
      <c r="R111" s="208"/>
      <c r="S111" s="94"/>
      <c r="T111" s="114"/>
      <c r="U111" s="114"/>
      <c r="V111" s="114"/>
      <c r="W111" s="94"/>
      <c r="X111" s="145"/>
    </row>
    <row r="112" s="1" customFormat="1" ht="59" customHeight="1" spans="1:24">
      <c r="A112" s="178"/>
      <c r="B112" s="179"/>
      <c r="C112" s="180"/>
      <c r="D112" s="181"/>
      <c r="E112" s="145"/>
      <c r="F112" s="182" t="s">
        <v>478</v>
      </c>
      <c r="G112" s="183" t="s">
        <v>483</v>
      </c>
      <c r="H112" s="184" t="s">
        <v>484</v>
      </c>
      <c r="I112" s="118">
        <v>18867.92</v>
      </c>
      <c r="J112" s="101">
        <v>1132.08</v>
      </c>
      <c r="K112" s="101">
        <f>J112+I112</f>
        <v>20000</v>
      </c>
      <c r="L112" s="101"/>
      <c r="M112" s="94"/>
      <c r="N112" s="94"/>
      <c r="O112" s="94"/>
      <c r="P112" s="94"/>
      <c r="Q112" s="94"/>
      <c r="R112" s="208"/>
      <c r="S112" s="94"/>
      <c r="T112" s="114"/>
      <c r="U112" s="114"/>
      <c r="V112" s="114"/>
      <c r="W112" s="94"/>
      <c r="X112" s="145"/>
    </row>
    <row r="113" s="1" customFormat="1" ht="59" customHeight="1" spans="1:24">
      <c r="A113" s="178"/>
      <c r="B113" s="179"/>
      <c r="C113" s="180"/>
      <c r="D113" s="181"/>
      <c r="E113" s="145"/>
      <c r="F113" s="174"/>
      <c r="G113" s="76"/>
      <c r="H113" s="68"/>
      <c r="I113" s="118"/>
      <c r="J113" s="101"/>
      <c r="K113" s="101"/>
      <c r="L113" s="101"/>
      <c r="M113" s="94"/>
      <c r="N113" s="94"/>
      <c r="O113" s="94"/>
      <c r="P113" s="94"/>
      <c r="Q113" s="94"/>
      <c r="R113" s="208"/>
      <c r="S113" s="94"/>
      <c r="T113" s="114"/>
      <c r="U113" s="114"/>
      <c r="V113" s="114"/>
      <c r="W113" s="94"/>
      <c r="X113" s="145"/>
    </row>
    <row r="114" s="1" customFormat="1" ht="59" customHeight="1" spans="1:24">
      <c r="A114" s="178"/>
      <c r="B114" s="179"/>
      <c r="C114" s="180"/>
      <c r="D114" s="181"/>
      <c r="E114" s="145"/>
      <c r="F114" s="174"/>
      <c r="G114" s="76"/>
      <c r="H114" s="68"/>
      <c r="I114" s="118"/>
      <c r="J114" s="101"/>
      <c r="K114" s="101"/>
      <c r="L114" s="101"/>
      <c r="M114" s="94"/>
      <c r="N114" s="94"/>
      <c r="O114" s="94"/>
      <c r="P114" s="94"/>
      <c r="Q114" s="94"/>
      <c r="R114" s="208"/>
      <c r="S114" s="94"/>
      <c r="T114" s="114"/>
      <c r="U114" s="114"/>
      <c r="V114" s="114"/>
      <c r="W114" s="94"/>
      <c r="X114" s="145"/>
    </row>
    <row r="115" s="1" customFormat="1" ht="59" customHeight="1" spans="1:24">
      <c r="A115" s="178"/>
      <c r="B115" s="179"/>
      <c r="C115" s="180"/>
      <c r="D115" s="181"/>
      <c r="E115" s="145"/>
      <c r="F115" s="174"/>
      <c r="G115" s="76"/>
      <c r="H115" s="68"/>
      <c r="I115" s="118"/>
      <c r="J115" s="101"/>
      <c r="K115" s="101"/>
      <c r="L115" s="101"/>
      <c r="M115" s="94"/>
      <c r="N115" s="94"/>
      <c r="O115" s="94"/>
      <c r="P115" s="94"/>
      <c r="Q115" s="94"/>
      <c r="R115" s="208"/>
      <c r="S115" s="94"/>
      <c r="T115" s="114"/>
      <c r="U115" s="114"/>
      <c r="V115" s="114"/>
      <c r="W115" s="94"/>
      <c r="X115" s="145"/>
    </row>
    <row r="116" s="1" customFormat="1" ht="36" customHeight="1" spans="1:24">
      <c r="A116" s="178">
        <v>34</v>
      </c>
      <c r="B116" s="185" t="s">
        <v>196</v>
      </c>
      <c r="C116" s="186"/>
      <c r="D116" s="187"/>
      <c r="E116" s="188">
        <v>98000</v>
      </c>
      <c r="F116" s="188" t="s">
        <v>309</v>
      </c>
      <c r="G116" s="50" t="s">
        <v>197</v>
      </c>
      <c r="H116" s="51" t="s">
        <v>198</v>
      </c>
      <c r="I116" s="108">
        <v>61468.44</v>
      </c>
      <c r="J116" s="108">
        <v>0</v>
      </c>
      <c r="K116" s="108">
        <f>I116+J116</f>
        <v>61468.44</v>
      </c>
      <c r="L116" s="108"/>
      <c r="M116" s="108"/>
      <c r="N116" s="108"/>
      <c r="O116" s="108"/>
      <c r="P116" s="108"/>
      <c r="Q116" s="108">
        <f>M116-O116</f>
        <v>0</v>
      </c>
      <c r="R116" s="108"/>
      <c r="S116" s="94">
        <f>K116-L116-M116-N116-O116+R116-Q116</f>
        <v>61468.44</v>
      </c>
      <c r="T116" s="94">
        <v>0</v>
      </c>
      <c r="U116" s="94">
        <f>S116</f>
        <v>61468.44</v>
      </c>
      <c r="V116" s="94">
        <v>0</v>
      </c>
      <c r="W116" s="94">
        <f>S116+T116-U116-V116</f>
        <v>0</v>
      </c>
      <c r="X116" s="145"/>
    </row>
    <row r="117" s="1" customFormat="1" ht="36" customHeight="1" spans="1:24">
      <c r="A117" s="178"/>
      <c r="B117" s="189"/>
      <c r="C117" s="190"/>
      <c r="D117" s="191"/>
      <c r="E117" s="192"/>
      <c r="F117" s="193" t="s">
        <v>310</v>
      </c>
      <c r="G117" s="53"/>
      <c r="H117" s="194"/>
      <c r="I117" s="109"/>
      <c r="J117" s="109"/>
      <c r="K117" s="109">
        <f>I117+J117</f>
        <v>0</v>
      </c>
      <c r="L117" s="109"/>
      <c r="M117" s="109"/>
      <c r="N117" s="109"/>
      <c r="O117" s="109"/>
      <c r="P117" s="109"/>
      <c r="Q117" s="109"/>
      <c r="R117" s="109"/>
      <c r="S117" s="101"/>
      <c r="T117" s="101"/>
      <c r="U117" s="210"/>
      <c r="V117" s="210"/>
      <c r="W117" s="101"/>
      <c r="X117" s="145"/>
    </row>
    <row r="118" s="1" customFormat="1" ht="36" customHeight="1" spans="1:24">
      <c r="A118" s="178"/>
      <c r="B118" s="189"/>
      <c r="C118" s="190"/>
      <c r="D118" s="191"/>
      <c r="E118" s="192"/>
      <c r="F118" s="195"/>
      <c r="G118" s="53"/>
      <c r="H118" s="194"/>
      <c r="I118" s="109"/>
      <c r="J118" s="109"/>
      <c r="K118" s="109">
        <f>I118+J118</f>
        <v>0</v>
      </c>
      <c r="L118" s="109"/>
      <c r="M118" s="109"/>
      <c r="N118" s="109"/>
      <c r="O118" s="109"/>
      <c r="P118" s="109"/>
      <c r="Q118" s="109"/>
      <c r="R118" s="109"/>
      <c r="S118" s="101"/>
      <c r="T118" s="101"/>
      <c r="U118" s="210"/>
      <c r="V118" s="210"/>
      <c r="W118" s="101"/>
      <c r="X118" s="145"/>
    </row>
    <row r="119" s="1" customFormat="1" ht="36" customHeight="1" spans="1:24">
      <c r="A119" s="178"/>
      <c r="B119" s="189"/>
      <c r="C119" s="190"/>
      <c r="D119" s="191"/>
      <c r="E119" s="192"/>
      <c r="F119" s="195"/>
      <c r="G119" s="53"/>
      <c r="H119" s="194"/>
      <c r="I119" s="109"/>
      <c r="J119" s="109"/>
      <c r="K119" s="109">
        <f>I119+J119</f>
        <v>0</v>
      </c>
      <c r="L119" s="109"/>
      <c r="M119" s="109"/>
      <c r="N119" s="109"/>
      <c r="O119" s="109"/>
      <c r="P119" s="109"/>
      <c r="Q119" s="109"/>
      <c r="R119" s="109"/>
      <c r="S119" s="101"/>
      <c r="T119" s="101"/>
      <c r="U119" s="210"/>
      <c r="V119" s="210"/>
      <c r="W119" s="101"/>
      <c r="X119" s="145"/>
    </row>
    <row r="120" s="1" customFormat="1" ht="36" customHeight="1" spans="1:24">
      <c r="A120" s="43">
        <v>35</v>
      </c>
      <c r="B120" s="185" t="s">
        <v>199</v>
      </c>
      <c r="C120" s="186"/>
      <c r="D120" s="187"/>
      <c r="E120" s="192"/>
      <c r="F120" s="192" t="s">
        <v>309</v>
      </c>
      <c r="G120" s="196" t="s">
        <v>248</v>
      </c>
      <c r="H120" s="197" t="s">
        <v>200</v>
      </c>
      <c r="I120" s="188">
        <f>630506.8-220</f>
        <v>630286.8</v>
      </c>
      <c r="J120" s="108"/>
      <c r="K120" s="108">
        <f t="shared" ref="K120:K124" si="36">J120+I120</f>
        <v>630286.8</v>
      </c>
      <c r="L120" s="108"/>
      <c r="M120" s="108"/>
      <c r="N120" s="108"/>
      <c r="O120" s="108"/>
      <c r="P120" s="108"/>
      <c r="Q120" s="108"/>
      <c r="R120" s="108"/>
      <c r="S120" s="94">
        <v>630286.8</v>
      </c>
      <c r="T120" s="94"/>
      <c r="U120" s="211">
        <f t="shared" ref="U120:U123" si="37">S120</f>
        <v>630286.8</v>
      </c>
      <c r="V120" s="211"/>
      <c r="W120" s="101">
        <f>S120+T120-U120-V120+S121-U121</f>
        <v>0</v>
      </c>
      <c r="X120" s="174"/>
    </row>
    <row r="121" s="1" customFormat="1" ht="36" customHeight="1" spans="1:24">
      <c r="A121" s="48"/>
      <c r="B121" s="189"/>
      <c r="C121" s="190"/>
      <c r="D121" s="191"/>
      <c r="E121" s="198"/>
      <c r="F121" s="198"/>
      <c r="G121" s="196"/>
      <c r="H121" s="197" t="s">
        <v>201</v>
      </c>
      <c r="I121" s="188">
        <v>-6746.65</v>
      </c>
      <c r="J121" s="108"/>
      <c r="K121" s="108">
        <f t="shared" ref="K121:K126" si="38">I121+J121</f>
        <v>-6746.65</v>
      </c>
      <c r="L121" s="108"/>
      <c r="M121" s="108"/>
      <c r="N121" s="108"/>
      <c r="O121" s="108"/>
      <c r="P121" s="108"/>
      <c r="Q121" s="108"/>
      <c r="R121" s="108"/>
      <c r="S121" s="94">
        <v>-6746.65</v>
      </c>
      <c r="T121" s="94"/>
      <c r="U121" s="211">
        <v>-6746.65</v>
      </c>
      <c r="V121" s="211"/>
      <c r="W121" s="94">
        <f t="shared" ref="W121:W126" si="39">S121+T121-U121-V121</f>
        <v>0</v>
      </c>
      <c r="X121" s="145"/>
    </row>
    <row r="122" s="1" customFormat="1" ht="36" customHeight="1" spans="1:24">
      <c r="A122" s="48"/>
      <c r="B122" s="189"/>
      <c r="C122" s="190"/>
      <c r="D122" s="191"/>
      <c r="E122" s="198"/>
      <c r="F122" s="199"/>
      <c r="G122" s="196"/>
      <c r="H122" s="197" t="s">
        <v>202</v>
      </c>
      <c r="I122" s="204">
        <f>1133+220</f>
        <v>1353</v>
      </c>
      <c r="J122" s="108"/>
      <c r="K122" s="108">
        <f t="shared" si="38"/>
        <v>1353</v>
      </c>
      <c r="L122" s="108"/>
      <c r="M122" s="108"/>
      <c r="N122" s="108"/>
      <c r="O122" s="108"/>
      <c r="P122" s="108"/>
      <c r="Q122" s="108"/>
      <c r="R122" s="108"/>
      <c r="S122" s="94">
        <v>1353</v>
      </c>
      <c r="T122" s="94"/>
      <c r="U122" s="211">
        <f t="shared" si="37"/>
        <v>1353</v>
      </c>
      <c r="V122" s="211"/>
      <c r="W122" s="94">
        <f t="shared" si="39"/>
        <v>0</v>
      </c>
      <c r="X122" s="145"/>
    </row>
    <row r="123" s="1" customFormat="1" ht="36" customHeight="1" spans="1:24">
      <c r="A123" s="48"/>
      <c r="B123" s="189"/>
      <c r="C123" s="190"/>
      <c r="D123" s="191"/>
      <c r="E123" s="198"/>
      <c r="F123" s="193" t="s">
        <v>310</v>
      </c>
      <c r="G123" s="193" t="s">
        <v>311</v>
      </c>
      <c r="H123" s="200" t="s">
        <v>200</v>
      </c>
      <c r="I123" s="205">
        <v>476200.01</v>
      </c>
      <c r="J123" s="109"/>
      <c r="K123" s="109">
        <f t="shared" si="36"/>
        <v>476200.01</v>
      </c>
      <c r="L123" s="109"/>
      <c r="M123" s="109"/>
      <c r="N123" s="109"/>
      <c r="O123" s="109"/>
      <c r="P123" s="109"/>
      <c r="Q123" s="109"/>
      <c r="R123" s="109"/>
      <c r="S123" s="101">
        <v>476200.01</v>
      </c>
      <c r="T123" s="101"/>
      <c r="U123" s="102">
        <f t="shared" si="37"/>
        <v>476200.01</v>
      </c>
      <c r="V123" s="102"/>
      <c r="W123" s="101">
        <f t="shared" si="39"/>
        <v>0</v>
      </c>
      <c r="X123" s="174"/>
    </row>
    <row r="124" s="1" customFormat="1" ht="36" customHeight="1" spans="1:24">
      <c r="A124" s="153"/>
      <c r="B124" s="189"/>
      <c r="C124" s="190"/>
      <c r="D124" s="191"/>
      <c r="E124" s="198"/>
      <c r="F124" s="195"/>
      <c r="G124" s="201"/>
      <c r="H124" s="200" t="s">
        <v>202</v>
      </c>
      <c r="I124" s="205">
        <v>832.96</v>
      </c>
      <c r="J124" s="109"/>
      <c r="K124" s="109">
        <f t="shared" si="36"/>
        <v>832.96</v>
      </c>
      <c r="L124" s="109"/>
      <c r="M124" s="109"/>
      <c r="N124" s="109"/>
      <c r="O124" s="109"/>
      <c r="P124" s="109"/>
      <c r="Q124" s="109"/>
      <c r="R124" s="109"/>
      <c r="S124" s="101">
        <v>832.96</v>
      </c>
      <c r="T124" s="101"/>
      <c r="U124" s="102">
        <v>832.96</v>
      </c>
      <c r="V124" s="102"/>
      <c r="W124" s="102">
        <f t="shared" si="39"/>
        <v>0</v>
      </c>
      <c r="X124" s="145"/>
    </row>
    <row r="125" s="1" customFormat="1" ht="36" customHeight="1" spans="1:24">
      <c r="A125" s="153"/>
      <c r="B125" s="189"/>
      <c r="C125" s="190"/>
      <c r="D125" s="191"/>
      <c r="E125" s="198"/>
      <c r="F125" s="195"/>
      <c r="G125" s="193" t="s">
        <v>336</v>
      </c>
      <c r="H125" s="200" t="s">
        <v>200</v>
      </c>
      <c r="I125" s="205">
        <v>446922.22</v>
      </c>
      <c r="J125" s="109"/>
      <c r="K125" s="109">
        <f t="shared" si="38"/>
        <v>446922.22</v>
      </c>
      <c r="L125" s="109"/>
      <c r="M125" s="109"/>
      <c r="N125" s="109"/>
      <c r="O125" s="109"/>
      <c r="P125" s="109"/>
      <c r="Q125" s="109"/>
      <c r="R125" s="109"/>
      <c r="S125" s="101">
        <f t="shared" ref="S125:S129" si="40">K125</f>
        <v>446922.22</v>
      </c>
      <c r="T125" s="101"/>
      <c r="U125" s="102">
        <f>S125</f>
        <v>446922.22</v>
      </c>
      <c r="V125" s="102"/>
      <c r="W125" s="102">
        <f t="shared" si="39"/>
        <v>0</v>
      </c>
      <c r="X125" s="145"/>
    </row>
    <row r="126" s="1" customFormat="1" ht="36" customHeight="1" spans="1:24">
      <c r="A126" s="153"/>
      <c r="B126" s="189"/>
      <c r="C126" s="190"/>
      <c r="D126" s="191"/>
      <c r="E126" s="199"/>
      <c r="F126" s="195"/>
      <c r="G126" s="201"/>
      <c r="H126" s="200" t="s">
        <v>202</v>
      </c>
      <c r="I126" s="205">
        <v>200</v>
      </c>
      <c r="J126" s="109"/>
      <c r="K126" s="109">
        <f t="shared" si="38"/>
        <v>200</v>
      </c>
      <c r="L126" s="109"/>
      <c r="M126" s="109"/>
      <c r="N126" s="109"/>
      <c r="O126" s="109"/>
      <c r="P126" s="109"/>
      <c r="Q126" s="109"/>
      <c r="R126" s="109"/>
      <c r="S126" s="101">
        <f t="shared" si="40"/>
        <v>200</v>
      </c>
      <c r="T126" s="101"/>
      <c r="U126" s="102">
        <v>200</v>
      </c>
      <c r="V126" s="102"/>
      <c r="W126" s="102">
        <f t="shared" si="39"/>
        <v>0</v>
      </c>
      <c r="X126" s="145"/>
    </row>
    <row r="127" s="1" customFormat="1" ht="36" customHeight="1" spans="1:24">
      <c r="A127" s="153"/>
      <c r="B127" s="189"/>
      <c r="C127" s="190"/>
      <c r="D127" s="191"/>
      <c r="E127" s="199"/>
      <c r="F127" s="195"/>
      <c r="G127" s="193" t="s">
        <v>362</v>
      </c>
      <c r="H127" s="200" t="s">
        <v>200</v>
      </c>
      <c r="I127" s="205">
        <v>480822.22</v>
      </c>
      <c r="J127" s="109"/>
      <c r="K127" s="109">
        <f>J127+I127</f>
        <v>480822.22</v>
      </c>
      <c r="L127" s="109"/>
      <c r="M127" s="109"/>
      <c r="N127" s="109"/>
      <c r="O127" s="109"/>
      <c r="P127" s="109"/>
      <c r="Q127" s="109"/>
      <c r="R127" s="109"/>
      <c r="S127" s="101">
        <f t="shared" si="40"/>
        <v>480822.22</v>
      </c>
      <c r="T127" s="101"/>
      <c r="U127" s="102"/>
      <c r="V127" s="102"/>
      <c r="W127" s="102">
        <v>172600</v>
      </c>
      <c r="X127" s="145"/>
    </row>
    <row r="128" s="1" customFormat="1" ht="36" customHeight="1" spans="1:24">
      <c r="A128" s="153"/>
      <c r="B128" s="189"/>
      <c r="C128" s="190"/>
      <c r="D128" s="191"/>
      <c r="E128" s="199"/>
      <c r="F128" s="195"/>
      <c r="G128" s="201"/>
      <c r="H128" s="200" t="s">
        <v>201</v>
      </c>
      <c r="I128" s="205">
        <f>-4185.98</f>
        <v>-4185.98</v>
      </c>
      <c r="J128" s="109"/>
      <c r="K128" s="109">
        <f>I128</f>
        <v>-4185.98</v>
      </c>
      <c r="L128" s="109"/>
      <c r="M128" s="109"/>
      <c r="N128" s="109"/>
      <c r="O128" s="109"/>
      <c r="P128" s="109"/>
      <c r="Q128" s="109"/>
      <c r="R128" s="109"/>
      <c r="S128" s="101">
        <f t="shared" si="40"/>
        <v>-4185.98</v>
      </c>
      <c r="T128" s="101"/>
      <c r="U128" s="102"/>
      <c r="V128" s="102"/>
      <c r="W128" s="102"/>
      <c r="X128" s="145"/>
    </row>
    <row r="129" s="1" customFormat="1" ht="36" customHeight="1" spans="1:24">
      <c r="A129" s="153"/>
      <c r="B129" s="189"/>
      <c r="C129" s="190"/>
      <c r="D129" s="191"/>
      <c r="E129" s="199"/>
      <c r="F129" s="195"/>
      <c r="G129" s="212" t="s">
        <v>383</v>
      </c>
      <c r="H129" s="200" t="s">
        <v>200</v>
      </c>
      <c r="I129" s="205">
        <v>351860.25</v>
      </c>
      <c r="J129" s="109"/>
      <c r="K129" s="109">
        <f>I129</f>
        <v>351860.25</v>
      </c>
      <c r="L129" s="109"/>
      <c r="M129" s="109"/>
      <c r="N129" s="109"/>
      <c r="O129" s="109"/>
      <c r="P129" s="109"/>
      <c r="Q129" s="109"/>
      <c r="R129" s="109"/>
      <c r="S129" s="101">
        <f t="shared" si="40"/>
        <v>351860.25</v>
      </c>
      <c r="T129" s="101"/>
      <c r="U129" s="102"/>
      <c r="V129" s="102"/>
      <c r="W129" s="102">
        <f>S129</f>
        <v>351860.25</v>
      </c>
      <c r="X129" s="145"/>
    </row>
    <row r="130" s="1" customFormat="1" ht="36" customHeight="1" spans="1:24">
      <c r="A130" s="153"/>
      <c r="B130" s="189"/>
      <c r="C130" s="190"/>
      <c r="D130" s="191"/>
      <c r="E130" s="199"/>
      <c r="F130" s="195"/>
      <c r="G130" s="212" t="s">
        <v>422</v>
      </c>
      <c r="H130" s="200" t="s">
        <v>200</v>
      </c>
      <c r="I130" s="205">
        <f>456616.98+27084.45</f>
        <v>483701.43</v>
      </c>
      <c r="J130" s="109"/>
      <c r="K130" s="109">
        <f>I130+J130</f>
        <v>483701.43</v>
      </c>
      <c r="L130" s="109"/>
      <c r="M130" s="109"/>
      <c r="N130" s="109"/>
      <c r="O130" s="109"/>
      <c r="P130" s="109"/>
      <c r="Q130" s="109"/>
      <c r="R130" s="109"/>
      <c r="S130" s="101"/>
      <c r="T130" s="101"/>
      <c r="U130" s="102"/>
      <c r="V130" s="102"/>
      <c r="W130" s="102"/>
      <c r="X130" s="145"/>
    </row>
    <row r="131" s="1" customFormat="1" ht="36" customHeight="1" spans="1:24">
      <c r="A131" s="153"/>
      <c r="B131" s="189"/>
      <c r="C131" s="190"/>
      <c r="D131" s="191"/>
      <c r="E131" s="199"/>
      <c r="F131" s="195"/>
      <c r="G131" s="201" t="s">
        <v>485</v>
      </c>
      <c r="H131" s="200" t="s">
        <v>200</v>
      </c>
      <c r="I131" s="205">
        <f>-928183.61</f>
        <v>-928183.61</v>
      </c>
      <c r="J131" s="109"/>
      <c r="K131" s="109">
        <f>I131+J131</f>
        <v>-928183.61</v>
      </c>
      <c r="L131" s="109"/>
      <c r="M131" s="109"/>
      <c r="N131" s="109"/>
      <c r="O131" s="109"/>
      <c r="P131" s="109"/>
      <c r="Q131" s="109"/>
      <c r="R131" s="109"/>
      <c r="S131" s="101"/>
      <c r="T131" s="101"/>
      <c r="U131" s="102"/>
      <c r="V131" s="102"/>
      <c r="W131" s="102"/>
      <c r="X131" s="145"/>
    </row>
    <row r="132" s="1" customFormat="1" ht="36" customHeight="1" spans="1:24">
      <c r="A132" s="153"/>
      <c r="B132" s="189"/>
      <c r="C132" s="190"/>
      <c r="D132" s="191"/>
      <c r="E132" s="199"/>
      <c r="F132" s="195"/>
      <c r="G132" s="201"/>
      <c r="H132" s="200"/>
      <c r="I132" s="205"/>
      <c r="J132" s="109"/>
      <c r="K132" s="109"/>
      <c r="L132" s="109"/>
      <c r="M132" s="109"/>
      <c r="N132" s="109"/>
      <c r="O132" s="109"/>
      <c r="P132" s="109"/>
      <c r="Q132" s="109"/>
      <c r="R132" s="109"/>
      <c r="S132" s="101"/>
      <c r="T132" s="101"/>
      <c r="U132" s="102"/>
      <c r="V132" s="102"/>
      <c r="W132" s="102"/>
      <c r="X132" s="145"/>
    </row>
    <row r="133" s="1" customFormat="1" ht="36" customHeight="1" spans="1:24">
      <c r="A133" s="153"/>
      <c r="B133" s="189"/>
      <c r="C133" s="190"/>
      <c r="D133" s="191"/>
      <c r="E133" s="199"/>
      <c r="F133" s="195"/>
      <c r="G133" s="201"/>
      <c r="H133" s="200"/>
      <c r="I133" s="200"/>
      <c r="J133" s="200"/>
      <c r="K133" s="109"/>
      <c r="L133" s="109"/>
      <c r="M133" s="109"/>
      <c r="N133" s="109"/>
      <c r="O133" s="109"/>
      <c r="P133" s="109"/>
      <c r="Q133" s="109"/>
      <c r="R133" s="109"/>
      <c r="S133" s="101"/>
      <c r="T133" s="101"/>
      <c r="U133" s="102"/>
      <c r="V133" s="102"/>
      <c r="W133" s="102"/>
      <c r="X133" s="145"/>
    </row>
    <row r="134" s="1" customFormat="1" ht="36" customHeight="1" spans="1:24">
      <c r="A134" s="153"/>
      <c r="B134" s="213"/>
      <c r="C134" s="214"/>
      <c r="D134" s="215"/>
      <c r="E134" s="199"/>
      <c r="F134" s="201"/>
      <c r="G134" s="201"/>
      <c r="H134" s="200"/>
      <c r="I134" s="205"/>
      <c r="J134" s="109"/>
      <c r="K134" s="109"/>
      <c r="L134" s="109"/>
      <c r="M134" s="109"/>
      <c r="N134" s="109"/>
      <c r="O134" s="109"/>
      <c r="P134" s="109"/>
      <c r="Q134" s="109"/>
      <c r="R134" s="109"/>
      <c r="S134" s="101"/>
      <c r="T134" s="101"/>
      <c r="U134" s="102"/>
      <c r="V134" s="102"/>
      <c r="W134" s="102"/>
      <c r="X134" s="145"/>
    </row>
    <row r="135" s="1" customFormat="1" ht="36" customHeight="1" spans="1:24">
      <c r="A135" s="156">
        <v>36</v>
      </c>
      <c r="B135" s="216" t="s">
        <v>312</v>
      </c>
      <c r="C135" s="217"/>
      <c r="D135" s="218"/>
      <c r="E135" s="188"/>
      <c r="F135" s="188"/>
      <c r="G135" s="219"/>
      <c r="H135" s="188"/>
      <c r="I135" s="108">
        <f>SUM(I136:I184)</f>
        <v>2078339.98</v>
      </c>
      <c r="J135" s="108">
        <f>SUM(J136:J192)</f>
        <v>235072.670000001</v>
      </c>
      <c r="K135" s="108">
        <f>SUM(K136:K192)</f>
        <v>2695553.84</v>
      </c>
      <c r="L135" s="108">
        <f t="shared" ref="L135:O135" si="41">L136+L143+L148+L149+L156</f>
        <v>0</v>
      </c>
      <c r="M135" s="108">
        <f t="shared" si="41"/>
        <v>0</v>
      </c>
      <c r="N135" s="108">
        <f t="shared" si="41"/>
        <v>0</v>
      </c>
      <c r="O135" s="108">
        <f t="shared" si="41"/>
        <v>0</v>
      </c>
      <c r="P135" s="108"/>
      <c r="Q135" s="108"/>
      <c r="R135" s="108">
        <f>R136+R143+R148+R149+R156</f>
        <v>0</v>
      </c>
      <c r="S135" s="108">
        <f t="shared" ref="S135:S137" si="42">K135-L135-M135-N135-O135+R135-Q135</f>
        <v>2695553.84</v>
      </c>
      <c r="T135" s="108"/>
      <c r="U135" s="108">
        <f t="shared" ref="U135:U141" si="43">S135</f>
        <v>2695553.84</v>
      </c>
      <c r="V135" s="108"/>
      <c r="W135" s="108">
        <f t="shared" ref="W135:W144" si="44">S135+T135-U135-V135</f>
        <v>0</v>
      </c>
      <c r="X135" s="145"/>
    </row>
    <row r="136" s="19" customFormat="1" ht="36" customHeight="1" spans="1:24">
      <c r="A136" s="175"/>
      <c r="B136" s="220" t="s">
        <v>205</v>
      </c>
      <c r="C136" s="221"/>
      <c r="D136" s="222"/>
      <c r="E136" s="45"/>
      <c r="F136" s="46" t="s">
        <v>295</v>
      </c>
      <c r="G136" s="145" t="s">
        <v>206</v>
      </c>
      <c r="H136" s="94"/>
      <c r="I136" s="94">
        <v>46517</v>
      </c>
      <c r="J136" s="94">
        <v>0</v>
      </c>
      <c r="K136" s="94">
        <f t="shared" ref="K136:K141" si="45">J136+I136</f>
        <v>46517</v>
      </c>
      <c r="L136" s="235"/>
      <c r="M136" s="235"/>
      <c r="N136" s="235"/>
      <c r="O136" s="237"/>
      <c r="P136" s="237"/>
      <c r="Q136" s="237"/>
      <c r="R136" s="94"/>
      <c r="S136" s="94">
        <f t="shared" si="42"/>
        <v>46517</v>
      </c>
      <c r="T136" s="94"/>
      <c r="U136" s="94">
        <f t="shared" si="43"/>
        <v>46517</v>
      </c>
      <c r="V136" s="94"/>
      <c r="W136" s="94">
        <f t="shared" si="44"/>
        <v>0</v>
      </c>
      <c r="X136" s="145"/>
    </row>
    <row r="137" s="19" customFormat="1" ht="36" customHeight="1" spans="1:24">
      <c r="A137" s="175"/>
      <c r="B137" s="223"/>
      <c r="C137" s="224"/>
      <c r="D137" s="225"/>
      <c r="E137" s="49"/>
      <c r="F137" s="46"/>
      <c r="G137" s="145" t="s">
        <v>207</v>
      </c>
      <c r="H137" s="94"/>
      <c r="I137" s="94">
        <v>30516</v>
      </c>
      <c r="J137" s="94">
        <v>0</v>
      </c>
      <c r="K137" s="94">
        <f t="shared" si="45"/>
        <v>30516</v>
      </c>
      <c r="L137" s="235"/>
      <c r="M137" s="235"/>
      <c r="N137" s="235"/>
      <c r="O137" s="237"/>
      <c r="P137" s="237"/>
      <c r="Q137" s="237"/>
      <c r="R137" s="94"/>
      <c r="S137" s="94">
        <f t="shared" si="42"/>
        <v>30516</v>
      </c>
      <c r="T137" s="94"/>
      <c r="U137" s="94">
        <f t="shared" si="43"/>
        <v>30516</v>
      </c>
      <c r="V137" s="94"/>
      <c r="W137" s="94">
        <f t="shared" si="44"/>
        <v>0</v>
      </c>
      <c r="X137" s="145"/>
    </row>
    <row r="138" s="19" customFormat="1" ht="36" customHeight="1" spans="1:24">
      <c r="A138" s="175"/>
      <c r="B138" s="223"/>
      <c r="C138" s="224"/>
      <c r="D138" s="225"/>
      <c r="E138" s="49"/>
      <c r="F138" s="52" t="s">
        <v>296</v>
      </c>
      <c r="G138" s="174" t="s">
        <v>313</v>
      </c>
      <c r="H138" s="101"/>
      <c r="I138" s="101">
        <v>13017</v>
      </c>
      <c r="J138" s="101"/>
      <c r="K138" s="101">
        <f t="shared" si="45"/>
        <v>13017</v>
      </c>
      <c r="L138" s="238"/>
      <c r="M138" s="238"/>
      <c r="N138" s="238"/>
      <c r="O138" s="239"/>
      <c r="P138" s="239"/>
      <c r="Q138" s="239"/>
      <c r="R138" s="101"/>
      <c r="S138" s="101">
        <f t="shared" ref="S138:S141" si="46">K138</f>
        <v>13017</v>
      </c>
      <c r="T138" s="101"/>
      <c r="U138" s="101">
        <f t="shared" si="43"/>
        <v>13017</v>
      </c>
      <c r="V138" s="101"/>
      <c r="W138" s="101">
        <f t="shared" si="44"/>
        <v>0</v>
      </c>
      <c r="X138" s="145"/>
    </row>
    <row r="139" s="19" customFormat="1" ht="36" customHeight="1" spans="1:24">
      <c r="A139" s="175"/>
      <c r="B139" s="223"/>
      <c r="C139" s="224"/>
      <c r="D139" s="225"/>
      <c r="E139" s="49"/>
      <c r="F139" s="52"/>
      <c r="G139" s="174" t="s">
        <v>337</v>
      </c>
      <c r="H139" s="101"/>
      <c r="I139" s="101">
        <v>1700</v>
      </c>
      <c r="J139" s="101"/>
      <c r="K139" s="101">
        <f t="shared" si="45"/>
        <v>1700</v>
      </c>
      <c r="L139" s="238"/>
      <c r="M139" s="238"/>
      <c r="N139" s="238"/>
      <c r="O139" s="239"/>
      <c r="P139" s="239"/>
      <c r="Q139" s="239"/>
      <c r="R139" s="101"/>
      <c r="S139" s="101">
        <f t="shared" si="46"/>
        <v>1700</v>
      </c>
      <c r="T139" s="101"/>
      <c r="U139" s="101">
        <f t="shared" si="43"/>
        <v>1700</v>
      </c>
      <c r="V139" s="101"/>
      <c r="W139" s="101">
        <f t="shared" si="44"/>
        <v>0</v>
      </c>
      <c r="X139" s="145"/>
    </row>
    <row r="140" s="19" customFormat="1" ht="36" customHeight="1" spans="1:24">
      <c r="A140" s="175"/>
      <c r="B140" s="223"/>
      <c r="C140" s="224"/>
      <c r="D140" s="225"/>
      <c r="E140" s="49"/>
      <c r="F140" s="52"/>
      <c r="G140" s="174" t="s">
        <v>363</v>
      </c>
      <c r="H140" s="101"/>
      <c r="I140" s="101">
        <v>10747</v>
      </c>
      <c r="J140" s="101"/>
      <c r="K140" s="101">
        <f t="shared" si="45"/>
        <v>10747</v>
      </c>
      <c r="L140" s="238"/>
      <c r="M140" s="238"/>
      <c r="N140" s="238"/>
      <c r="O140" s="239"/>
      <c r="P140" s="239"/>
      <c r="Q140" s="239"/>
      <c r="R140" s="101"/>
      <c r="S140" s="101">
        <f t="shared" si="46"/>
        <v>10747</v>
      </c>
      <c r="T140" s="101"/>
      <c r="U140" s="101">
        <f t="shared" si="43"/>
        <v>10747</v>
      </c>
      <c r="V140" s="101"/>
      <c r="W140" s="101">
        <f t="shared" si="44"/>
        <v>0</v>
      </c>
      <c r="X140" s="145"/>
    </row>
    <row r="141" s="19" customFormat="1" ht="36" customHeight="1" spans="1:24">
      <c r="A141" s="175"/>
      <c r="B141" s="223"/>
      <c r="C141" s="224"/>
      <c r="D141" s="225"/>
      <c r="E141" s="49"/>
      <c r="F141" s="52"/>
      <c r="G141" s="174" t="s">
        <v>384</v>
      </c>
      <c r="H141" s="101"/>
      <c r="I141" s="101">
        <v>3699</v>
      </c>
      <c r="J141" s="101"/>
      <c r="K141" s="101">
        <f t="shared" si="45"/>
        <v>3699</v>
      </c>
      <c r="L141" s="238"/>
      <c r="M141" s="238"/>
      <c r="N141" s="238"/>
      <c r="O141" s="239"/>
      <c r="P141" s="239"/>
      <c r="Q141" s="239"/>
      <c r="R141" s="101"/>
      <c r="S141" s="101">
        <f t="shared" si="46"/>
        <v>3699</v>
      </c>
      <c r="T141" s="101"/>
      <c r="U141" s="101">
        <f t="shared" si="43"/>
        <v>3699</v>
      </c>
      <c r="V141" s="101"/>
      <c r="W141" s="101">
        <f t="shared" si="44"/>
        <v>0</v>
      </c>
      <c r="X141" s="145"/>
    </row>
    <row r="142" s="19" customFormat="1" ht="36" customHeight="1" spans="1:24">
      <c r="A142" s="175"/>
      <c r="B142" s="223"/>
      <c r="C142" s="224"/>
      <c r="D142" s="225"/>
      <c r="E142" s="49"/>
      <c r="F142" s="52"/>
      <c r="G142" s="174"/>
      <c r="H142" s="101"/>
      <c r="I142" s="101"/>
      <c r="J142" s="101"/>
      <c r="K142" s="101"/>
      <c r="L142" s="238"/>
      <c r="M142" s="238"/>
      <c r="N142" s="238"/>
      <c r="O142" s="239"/>
      <c r="P142" s="239"/>
      <c r="Q142" s="239"/>
      <c r="R142" s="101"/>
      <c r="S142" s="101"/>
      <c r="T142" s="101"/>
      <c r="U142" s="101"/>
      <c r="V142" s="101"/>
      <c r="W142" s="101">
        <f t="shared" si="44"/>
        <v>0</v>
      </c>
      <c r="X142" s="145"/>
    </row>
    <row r="143" s="19" customFormat="1" ht="36" customHeight="1" spans="1:24">
      <c r="A143" s="175"/>
      <c r="B143" s="220" t="s">
        <v>208</v>
      </c>
      <c r="C143" s="221"/>
      <c r="D143" s="222"/>
      <c r="E143" s="45"/>
      <c r="F143" s="46" t="s">
        <v>295</v>
      </c>
      <c r="G143" s="145" t="s">
        <v>206</v>
      </c>
      <c r="H143" s="94"/>
      <c r="I143" s="94">
        <f>287.12</f>
        <v>287.12</v>
      </c>
      <c r="J143" s="94">
        <v>2.88</v>
      </c>
      <c r="K143" s="94">
        <f t="shared" ref="K143:K148" si="47">J143+I143</f>
        <v>290</v>
      </c>
      <c r="L143" s="94"/>
      <c r="M143" s="94"/>
      <c r="N143" s="94"/>
      <c r="O143" s="94"/>
      <c r="P143" s="94"/>
      <c r="Q143" s="94"/>
      <c r="R143" s="94"/>
      <c r="S143" s="94">
        <f>K143-L143-M143-N143-O143+R143-Q143</f>
        <v>290</v>
      </c>
      <c r="T143" s="94"/>
      <c r="U143" s="94">
        <f t="shared" ref="U143:U154" si="48">S143</f>
        <v>290</v>
      </c>
      <c r="V143" s="94"/>
      <c r="W143" s="94">
        <f t="shared" si="44"/>
        <v>0</v>
      </c>
      <c r="X143" s="145"/>
    </row>
    <row r="144" s="19" customFormat="1" ht="36" customHeight="1" spans="1:24">
      <c r="A144" s="175"/>
      <c r="B144" s="223"/>
      <c r="C144" s="224"/>
      <c r="D144" s="225"/>
      <c r="E144" s="49"/>
      <c r="F144" s="52" t="s">
        <v>296</v>
      </c>
      <c r="G144" s="174" t="s">
        <v>337</v>
      </c>
      <c r="H144" s="226"/>
      <c r="I144" s="109"/>
      <c r="J144" s="109"/>
      <c r="K144" s="101">
        <f t="shared" si="47"/>
        <v>0</v>
      </c>
      <c r="L144" s="101"/>
      <c r="M144" s="101"/>
      <c r="N144" s="101"/>
      <c r="O144" s="101"/>
      <c r="P144" s="101"/>
      <c r="Q144" s="101"/>
      <c r="R144" s="101"/>
      <c r="S144" s="101">
        <f>K144</f>
        <v>0</v>
      </c>
      <c r="T144" s="101"/>
      <c r="U144" s="101">
        <f t="shared" si="48"/>
        <v>0</v>
      </c>
      <c r="V144" s="101"/>
      <c r="W144" s="101">
        <f t="shared" si="44"/>
        <v>0</v>
      </c>
      <c r="X144" s="145"/>
    </row>
    <row r="145" s="19" customFormat="1" ht="36" customHeight="1" spans="1:24">
      <c r="A145" s="175"/>
      <c r="B145" s="223"/>
      <c r="C145" s="224"/>
      <c r="D145" s="225"/>
      <c r="E145" s="49"/>
      <c r="F145" s="52"/>
      <c r="G145" s="174"/>
      <c r="H145" s="101"/>
      <c r="I145" s="101"/>
      <c r="J145" s="101"/>
      <c r="K145" s="101"/>
      <c r="L145" s="101"/>
      <c r="M145" s="101"/>
      <c r="N145" s="101"/>
      <c r="O145" s="101"/>
      <c r="P145" s="101"/>
      <c r="Q145" s="101"/>
      <c r="R145" s="101"/>
      <c r="S145" s="101"/>
      <c r="T145" s="101"/>
      <c r="U145" s="101"/>
      <c r="V145" s="101"/>
      <c r="W145" s="101"/>
      <c r="X145" s="145"/>
    </row>
    <row r="146" s="19" customFormat="1" ht="36" customHeight="1" spans="1:24">
      <c r="A146" s="175"/>
      <c r="B146" s="223"/>
      <c r="C146" s="224"/>
      <c r="D146" s="225"/>
      <c r="E146" s="49"/>
      <c r="F146" s="52"/>
      <c r="G146" s="174"/>
      <c r="H146" s="101"/>
      <c r="I146" s="101"/>
      <c r="J146" s="101"/>
      <c r="K146" s="101"/>
      <c r="L146" s="101"/>
      <c r="M146" s="101"/>
      <c r="N146" s="101"/>
      <c r="O146" s="101"/>
      <c r="P146" s="101"/>
      <c r="Q146" s="101"/>
      <c r="R146" s="101"/>
      <c r="S146" s="101"/>
      <c r="T146" s="101"/>
      <c r="U146" s="101"/>
      <c r="V146" s="101"/>
      <c r="W146" s="101"/>
      <c r="X146" s="145"/>
    </row>
    <row r="147" s="19" customFormat="1" ht="36" customHeight="1" spans="1:24">
      <c r="A147" s="175"/>
      <c r="B147" s="223"/>
      <c r="C147" s="224"/>
      <c r="D147" s="225"/>
      <c r="E147" s="49"/>
      <c r="F147" s="52"/>
      <c r="G147" s="174"/>
      <c r="H147" s="101"/>
      <c r="I147" s="101"/>
      <c r="J147" s="101"/>
      <c r="K147" s="101"/>
      <c r="L147" s="101"/>
      <c r="M147" s="101"/>
      <c r="N147" s="101"/>
      <c r="O147" s="101"/>
      <c r="P147" s="101"/>
      <c r="Q147" s="101"/>
      <c r="R147" s="101"/>
      <c r="S147" s="101"/>
      <c r="T147" s="101"/>
      <c r="U147" s="101"/>
      <c r="V147" s="101"/>
      <c r="W147" s="102"/>
      <c r="X147" s="145"/>
    </row>
    <row r="148" s="19" customFormat="1" ht="36" customHeight="1" spans="1:24">
      <c r="A148" s="175"/>
      <c r="B148" s="227" t="s">
        <v>209</v>
      </c>
      <c r="C148" s="228"/>
      <c r="D148" s="229"/>
      <c r="E148" s="45"/>
      <c r="F148" s="45" t="s">
        <v>295</v>
      </c>
      <c r="G148" s="145" t="s">
        <v>206</v>
      </c>
      <c r="H148" s="94"/>
      <c r="I148" s="94">
        <v>116605.74</v>
      </c>
      <c r="J148" s="94">
        <v>3317.86000000048</v>
      </c>
      <c r="K148" s="94">
        <f t="shared" si="47"/>
        <v>119923.6</v>
      </c>
      <c r="L148" s="94"/>
      <c r="M148" s="94"/>
      <c r="N148" s="94"/>
      <c r="O148" s="94"/>
      <c r="P148" s="94"/>
      <c r="Q148" s="94"/>
      <c r="R148" s="94"/>
      <c r="S148" s="94">
        <f t="shared" ref="S148:S150" si="49">K148-L148-M148-N148-O148+R148-Q148</f>
        <v>119923.6</v>
      </c>
      <c r="T148" s="94"/>
      <c r="U148" s="94">
        <f t="shared" si="48"/>
        <v>119923.6</v>
      </c>
      <c r="V148" s="94"/>
      <c r="W148" s="94">
        <f t="shared" ref="W148:W151" si="50">S148+T148-U148-V148</f>
        <v>0</v>
      </c>
      <c r="X148" s="145"/>
    </row>
    <row r="149" s="19" customFormat="1" ht="36" customHeight="1" spans="1:24">
      <c r="A149" s="175"/>
      <c r="B149" s="230"/>
      <c r="C149" s="231"/>
      <c r="D149" s="232"/>
      <c r="E149" s="49"/>
      <c r="F149" s="49"/>
      <c r="G149" s="45" t="s">
        <v>207</v>
      </c>
      <c r="H149" s="94"/>
      <c r="I149" s="108">
        <v>89025.62</v>
      </c>
      <c r="J149" s="108">
        <f>2148.43-100.78-401.06</f>
        <v>1646.59</v>
      </c>
      <c r="K149" s="94">
        <f>I149+J149</f>
        <v>90672.21</v>
      </c>
      <c r="L149" s="94"/>
      <c r="M149" s="94"/>
      <c r="N149" s="94"/>
      <c r="O149" s="94"/>
      <c r="P149" s="94"/>
      <c r="Q149" s="94"/>
      <c r="R149" s="94"/>
      <c r="S149" s="94">
        <f t="shared" si="49"/>
        <v>90672.21</v>
      </c>
      <c r="T149" s="94"/>
      <c r="U149" s="94">
        <f t="shared" si="48"/>
        <v>90672.21</v>
      </c>
      <c r="V149" s="94"/>
      <c r="W149" s="94">
        <f t="shared" si="50"/>
        <v>0</v>
      </c>
      <c r="X149" s="145"/>
    </row>
    <row r="150" s="19" customFormat="1" ht="36" customHeight="1" spans="1:24">
      <c r="A150" s="175"/>
      <c r="B150" s="230"/>
      <c r="C150" s="231"/>
      <c r="D150" s="232"/>
      <c r="E150" s="49"/>
      <c r="F150" s="49"/>
      <c r="G150" s="81"/>
      <c r="H150" s="233" t="s">
        <v>210</v>
      </c>
      <c r="I150" s="108">
        <v>6579.94</v>
      </c>
      <c r="J150" s="108">
        <f>3620-3408.78+3361-3171.16</f>
        <v>401.06</v>
      </c>
      <c r="K150" s="94">
        <f t="shared" ref="K150:K153" si="51">J150+I150</f>
        <v>6981</v>
      </c>
      <c r="L150" s="94"/>
      <c r="M150" s="94"/>
      <c r="N150" s="94"/>
      <c r="O150" s="94"/>
      <c r="P150" s="94"/>
      <c r="Q150" s="94"/>
      <c r="R150" s="94"/>
      <c r="S150" s="94">
        <f t="shared" si="49"/>
        <v>6981</v>
      </c>
      <c r="T150" s="94"/>
      <c r="U150" s="94">
        <f t="shared" si="48"/>
        <v>6981</v>
      </c>
      <c r="V150" s="94"/>
      <c r="W150" s="94">
        <f t="shared" si="50"/>
        <v>0</v>
      </c>
      <c r="X150" s="145"/>
    </row>
    <row r="151" s="19" customFormat="1" ht="36" customHeight="1" spans="1:24">
      <c r="A151" s="175"/>
      <c r="B151" s="230"/>
      <c r="C151" s="231"/>
      <c r="D151" s="232"/>
      <c r="E151" s="49"/>
      <c r="F151" s="103" t="s">
        <v>296</v>
      </c>
      <c r="G151" s="174" t="s">
        <v>313</v>
      </c>
      <c r="H151" s="226"/>
      <c r="I151" s="109">
        <v>65309.79</v>
      </c>
      <c r="J151" s="109">
        <v>909.39</v>
      </c>
      <c r="K151" s="101">
        <f t="shared" si="51"/>
        <v>66219.18</v>
      </c>
      <c r="L151" s="101"/>
      <c r="M151" s="101"/>
      <c r="N151" s="101"/>
      <c r="O151" s="101"/>
      <c r="P151" s="101"/>
      <c r="Q151" s="101"/>
      <c r="R151" s="101"/>
      <c r="S151" s="101">
        <f t="shared" ref="S151:S154" si="52">K151</f>
        <v>66219.18</v>
      </c>
      <c r="T151" s="101"/>
      <c r="U151" s="101">
        <f t="shared" si="48"/>
        <v>66219.18</v>
      </c>
      <c r="V151" s="101"/>
      <c r="W151" s="101">
        <f t="shared" si="50"/>
        <v>0</v>
      </c>
      <c r="X151" s="145"/>
    </row>
    <row r="152" s="19" customFormat="1" ht="36" customHeight="1" spans="1:24">
      <c r="A152" s="175"/>
      <c r="B152" s="230"/>
      <c r="C152" s="231"/>
      <c r="D152" s="232"/>
      <c r="E152" s="49"/>
      <c r="F152" s="105"/>
      <c r="G152" s="174" t="s">
        <v>337</v>
      </c>
      <c r="H152" s="226"/>
      <c r="I152" s="109">
        <v>9521.42</v>
      </c>
      <c r="J152" s="109">
        <f>810.89-771.11+7.68+790-750.83+15.37+30.37+758.4-721.26+2052-2036.63+591.63</f>
        <v>776.51</v>
      </c>
      <c r="K152" s="101">
        <f t="shared" si="51"/>
        <v>10297.93</v>
      </c>
      <c r="L152" s="101"/>
      <c r="M152" s="101"/>
      <c r="N152" s="101"/>
      <c r="O152" s="101"/>
      <c r="P152" s="101"/>
      <c r="Q152" s="101"/>
      <c r="R152" s="101"/>
      <c r="S152" s="101">
        <f t="shared" si="52"/>
        <v>10297.93</v>
      </c>
      <c r="T152" s="101"/>
      <c r="U152" s="101">
        <f t="shared" si="48"/>
        <v>10297.93</v>
      </c>
      <c r="V152" s="101"/>
      <c r="W152" s="101"/>
      <c r="X152" s="145"/>
    </row>
    <row r="153" s="19" customFormat="1" ht="36" customHeight="1" spans="1:24">
      <c r="A153" s="175"/>
      <c r="B153" s="230"/>
      <c r="C153" s="231"/>
      <c r="D153" s="232"/>
      <c r="E153" s="49"/>
      <c r="F153" s="105"/>
      <c r="G153" s="174" t="s">
        <v>338</v>
      </c>
      <c r="H153" s="226"/>
      <c r="I153" s="109">
        <v>26021.1</v>
      </c>
      <c r="J153" s="109">
        <v>430.410000000149</v>
      </c>
      <c r="K153" s="101">
        <f t="shared" si="51"/>
        <v>26451.5100000001</v>
      </c>
      <c r="L153" s="101"/>
      <c r="M153" s="101"/>
      <c r="N153" s="101"/>
      <c r="O153" s="101"/>
      <c r="P153" s="101"/>
      <c r="Q153" s="101"/>
      <c r="R153" s="101"/>
      <c r="S153" s="101">
        <f t="shared" si="52"/>
        <v>26451.5100000001</v>
      </c>
      <c r="T153" s="101"/>
      <c r="U153" s="101">
        <f t="shared" si="48"/>
        <v>26451.5100000001</v>
      </c>
      <c r="V153" s="101"/>
      <c r="W153" s="101"/>
      <c r="X153" s="145"/>
    </row>
    <row r="154" s="19" customFormat="1" ht="36" customHeight="1" spans="1:24">
      <c r="A154" s="175"/>
      <c r="B154" s="230"/>
      <c r="C154" s="231"/>
      <c r="D154" s="232"/>
      <c r="E154" s="49"/>
      <c r="F154" s="105"/>
      <c r="G154" s="174" t="s">
        <v>339</v>
      </c>
      <c r="H154" s="226"/>
      <c r="I154" s="109">
        <v>19271.4</v>
      </c>
      <c r="J154" s="109">
        <f>2132.03-2035.28+3242.03-3044.15+14.97+10623.25-10272.17+11.23</f>
        <v>671.91</v>
      </c>
      <c r="K154" s="101">
        <f t="shared" ref="K154:K157" si="53">I154+J154</f>
        <v>19943.31</v>
      </c>
      <c r="L154" s="101"/>
      <c r="M154" s="101"/>
      <c r="N154" s="101"/>
      <c r="O154" s="101"/>
      <c r="P154" s="101"/>
      <c r="Q154" s="101"/>
      <c r="R154" s="101"/>
      <c r="S154" s="101">
        <f t="shared" si="52"/>
        <v>19943.31</v>
      </c>
      <c r="T154" s="101"/>
      <c r="U154" s="101">
        <f t="shared" si="48"/>
        <v>19943.31</v>
      </c>
      <c r="V154" s="101"/>
      <c r="W154" s="101"/>
      <c r="X154" s="145"/>
    </row>
    <row r="155" s="19" customFormat="1" ht="36" customHeight="1" spans="1:24">
      <c r="A155" s="175"/>
      <c r="B155" s="230"/>
      <c r="C155" s="231"/>
      <c r="D155" s="232"/>
      <c r="E155" s="49"/>
      <c r="F155" s="106"/>
      <c r="G155" s="174" t="s">
        <v>423</v>
      </c>
      <c r="H155" s="226"/>
      <c r="I155" s="109">
        <v>1555.85</v>
      </c>
      <c r="J155" s="109">
        <f>7.49+4.21+5.45</f>
        <v>17.15</v>
      </c>
      <c r="K155" s="101">
        <f t="shared" si="53"/>
        <v>1573</v>
      </c>
      <c r="L155" s="101"/>
      <c r="M155" s="101"/>
      <c r="N155" s="101"/>
      <c r="O155" s="101"/>
      <c r="P155" s="101"/>
      <c r="Q155" s="101"/>
      <c r="R155" s="101"/>
      <c r="S155" s="101"/>
      <c r="T155" s="101"/>
      <c r="U155" s="101"/>
      <c r="V155" s="101"/>
      <c r="W155" s="101"/>
      <c r="X155" s="145"/>
    </row>
    <row r="156" s="19" customFormat="1" ht="36" customHeight="1" spans="1:24">
      <c r="A156" s="175"/>
      <c r="B156" s="220" t="s">
        <v>211</v>
      </c>
      <c r="C156" s="221"/>
      <c r="D156" s="222"/>
      <c r="E156" s="45"/>
      <c r="F156" s="211" t="s">
        <v>295</v>
      </c>
      <c r="G156" s="145" t="s">
        <v>207</v>
      </c>
      <c r="H156" s="94"/>
      <c r="I156" s="108">
        <f>22857.94+11.28</f>
        <v>22869.22</v>
      </c>
      <c r="J156" s="108">
        <f>11.28+29.7+24.26*2</f>
        <v>89.5</v>
      </c>
      <c r="K156" s="94">
        <f t="shared" si="53"/>
        <v>22958.72</v>
      </c>
      <c r="L156" s="94"/>
      <c r="M156" s="94"/>
      <c r="N156" s="94"/>
      <c r="O156" s="94"/>
      <c r="P156" s="94"/>
      <c r="Q156" s="94"/>
      <c r="R156" s="94"/>
      <c r="S156" s="94">
        <f>K156-L156-M156-N156-O156+R156-Q156</f>
        <v>22958.72</v>
      </c>
      <c r="T156" s="108"/>
      <c r="U156" s="94">
        <f>S156</f>
        <v>22958.72</v>
      </c>
      <c r="V156" s="94"/>
      <c r="W156" s="94">
        <f t="shared" ref="W156:W163" si="54">S156+T156-U156-V156</f>
        <v>0</v>
      </c>
      <c r="X156" s="145"/>
    </row>
    <row r="157" s="19" customFormat="1" ht="36" customHeight="1" spans="1:24">
      <c r="A157" s="175"/>
      <c r="B157" s="223"/>
      <c r="C157" s="224"/>
      <c r="D157" s="225"/>
      <c r="E157" s="81"/>
      <c r="F157" s="103" t="s">
        <v>296</v>
      </c>
      <c r="G157" s="174" t="s">
        <v>313</v>
      </c>
      <c r="H157" s="234" t="s">
        <v>314</v>
      </c>
      <c r="I157" s="109">
        <v>11785.05</v>
      </c>
      <c r="J157" s="109">
        <v>38.95</v>
      </c>
      <c r="K157" s="101">
        <f t="shared" si="53"/>
        <v>11824</v>
      </c>
      <c r="L157" s="101"/>
      <c r="M157" s="101"/>
      <c r="N157" s="101"/>
      <c r="O157" s="101"/>
      <c r="P157" s="101"/>
      <c r="Q157" s="101"/>
      <c r="R157" s="101"/>
      <c r="S157" s="101">
        <v>11824</v>
      </c>
      <c r="T157" s="109"/>
      <c r="U157" s="101">
        <v>11824</v>
      </c>
      <c r="V157" s="101"/>
      <c r="W157" s="101">
        <f t="shared" si="54"/>
        <v>0</v>
      </c>
      <c r="X157" s="145"/>
    </row>
    <row r="158" s="19" customFormat="1" ht="36" customHeight="1" spans="1:24">
      <c r="A158" s="175"/>
      <c r="B158" s="223"/>
      <c r="C158" s="224"/>
      <c r="D158" s="225"/>
      <c r="E158" s="81"/>
      <c r="F158" s="105"/>
      <c r="G158" s="174"/>
      <c r="H158" s="234"/>
      <c r="I158" s="109"/>
      <c r="J158" s="109"/>
      <c r="K158" s="101"/>
      <c r="L158" s="101"/>
      <c r="M158" s="101"/>
      <c r="N158" s="101"/>
      <c r="O158" s="101"/>
      <c r="P158" s="101"/>
      <c r="Q158" s="101"/>
      <c r="R158" s="101"/>
      <c r="S158" s="101"/>
      <c r="T158" s="109"/>
      <c r="U158" s="101"/>
      <c r="V158" s="101"/>
      <c r="W158" s="101"/>
      <c r="X158" s="145"/>
    </row>
    <row r="159" s="19" customFormat="1" ht="36" customHeight="1" spans="1:24">
      <c r="A159" s="175"/>
      <c r="B159" s="223"/>
      <c r="C159" s="224"/>
      <c r="D159" s="225"/>
      <c r="E159" s="81"/>
      <c r="F159" s="105"/>
      <c r="G159" s="174"/>
      <c r="H159" s="234"/>
      <c r="I159" s="109"/>
      <c r="J159" s="109"/>
      <c r="K159" s="101"/>
      <c r="L159" s="101"/>
      <c r="M159" s="101"/>
      <c r="N159" s="101"/>
      <c r="O159" s="101"/>
      <c r="P159" s="101"/>
      <c r="Q159" s="101"/>
      <c r="R159" s="101"/>
      <c r="S159" s="101"/>
      <c r="T159" s="109"/>
      <c r="U159" s="101"/>
      <c r="V159" s="101"/>
      <c r="W159" s="101"/>
      <c r="X159" s="145"/>
    </row>
    <row r="160" s="19" customFormat="1" ht="36" customHeight="1" spans="1:24">
      <c r="A160" s="175"/>
      <c r="B160" s="223"/>
      <c r="C160" s="224"/>
      <c r="D160" s="225"/>
      <c r="E160" s="81"/>
      <c r="F160" s="105"/>
      <c r="G160" s="174"/>
      <c r="H160" s="234"/>
      <c r="I160" s="109"/>
      <c r="J160" s="109"/>
      <c r="K160" s="101"/>
      <c r="L160" s="101"/>
      <c r="M160" s="101"/>
      <c r="N160" s="101"/>
      <c r="O160" s="101"/>
      <c r="P160" s="101"/>
      <c r="Q160" s="101"/>
      <c r="R160" s="101"/>
      <c r="S160" s="101"/>
      <c r="T160" s="109"/>
      <c r="U160" s="101"/>
      <c r="V160" s="101"/>
      <c r="W160" s="101"/>
      <c r="X160" s="145"/>
    </row>
    <row r="161" s="19" customFormat="1" ht="36" customHeight="1" spans="1:24">
      <c r="A161" s="175"/>
      <c r="B161" s="185" t="s">
        <v>210</v>
      </c>
      <c r="C161" s="186"/>
      <c r="D161" s="187"/>
      <c r="E161" s="94"/>
      <c r="F161" s="103" t="s">
        <v>296</v>
      </c>
      <c r="G161" s="174" t="s">
        <v>313</v>
      </c>
      <c r="H161" s="234" t="s">
        <v>315</v>
      </c>
      <c r="I161" s="109">
        <v>84328.41</v>
      </c>
      <c r="J161" s="109">
        <v>10962.71</v>
      </c>
      <c r="K161" s="101">
        <f t="shared" ref="K161:K185" si="55">J161+I161</f>
        <v>95291.12</v>
      </c>
      <c r="L161" s="101"/>
      <c r="M161" s="101"/>
      <c r="N161" s="101"/>
      <c r="O161" s="101"/>
      <c r="P161" s="101"/>
      <c r="Q161" s="101"/>
      <c r="R161" s="101"/>
      <c r="S161" s="101">
        <f t="shared" ref="S161:S165" si="56">K161</f>
        <v>95291.12</v>
      </c>
      <c r="T161" s="101"/>
      <c r="U161" s="101">
        <f t="shared" ref="U161:U165" si="57">S161</f>
        <v>95291.12</v>
      </c>
      <c r="V161" s="101"/>
      <c r="W161" s="101">
        <f t="shared" si="54"/>
        <v>0</v>
      </c>
      <c r="X161" s="145"/>
    </row>
    <row r="162" s="19" customFormat="1" ht="36" customHeight="1" spans="1:24">
      <c r="A162" s="175"/>
      <c r="B162" s="189"/>
      <c r="C162" s="190"/>
      <c r="D162" s="191"/>
      <c r="E162" s="94"/>
      <c r="F162" s="105"/>
      <c r="G162" s="174" t="s">
        <v>337</v>
      </c>
      <c r="H162" s="234" t="s">
        <v>340</v>
      </c>
      <c r="I162" s="109">
        <v>31416.34</v>
      </c>
      <c r="J162" s="109">
        <f>1041.5</f>
        <v>1041.5</v>
      </c>
      <c r="K162" s="101">
        <f t="shared" si="55"/>
        <v>32457.84</v>
      </c>
      <c r="L162" s="101"/>
      <c r="M162" s="101"/>
      <c r="N162" s="101"/>
      <c r="O162" s="101"/>
      <c r="P162" s="101"/>
      <c r="Q162" s="101"/>
      <c r="R162" s="101"/>
      <c r="S162" s="101">
        <f t="shared" si="56"/>
        <v>32457.84</v>
      </c>
      <c r="T162" s="101"/>
      <c r="U162" s="101">
        <f t="shared" si="57"/>
        <v>32457.84</v>
      </c>
      <c r="V162" s="101"/>
      <c r="W162" s="101">
        <f t="shared" si="54"/>
        <v>0</v>
      </c>
      <c r="X162" s="145"/>
    </row>
    <row r="163" s="19" customFormat="1" ht="36" customHeight="1" spans="1:24">
      <c r="A163" s="175"/>
      <c r="B163" s="189"/>
      <c r="C163" s="190"/>
      <c r="D163" s="191"/>
      <c r="E163" s="94"/>
      <c r="F163" s="105"/>
      <c r="G163" s="174" t="s">
        <v>337</v>
      </c>
      <c r="H163" s="226"/>
      <c r="I163" s="109">
        <v>3345.19</v>
      </c>
      <c r="J163" s="109">
        <v>434.87</v>
      </c>
      <c r="K163" s="101">
        <f t="shared" si="55"/>
        <v>3780.06</v>
      </c>
      <c r="L163" s="101"/>
      <c r="M163" s="101"/>
      <c r="N163" s="101"/>
      <c r="O163" s="101"/>
      <c r="P163" s="101"/>
      <c r="Q163" s="101"/>
      <c r="R163" s="101"/>
      <c r="S163" s="101">
        <f t="shared" si="56"/>
        <v>3780.06</v>
      </c>
      <c r="T163" s="101"/>
      <c r="U163" s="101">
        <f t="shared" si="57"/>
        <v>3780.06</v>
      </c>
      <c r="V163" s="101"/>
      <c r="W163" s="101">
        <f t="shared" si="54"/>
        <v>0</v>
      </c>
      <c r="X163" s="145"/>
    </row>
    <row r="164" s="19" customFormat="1" ht="36" customHeight="1" spans="1:24">
      <c r="A164" s="175"/>
      <c r="B164" s="189"/>
      <c r="C164" s="190"/>
      <c r="D164" s="191"/>
      <c r="E164" s="94"/>
      <c r="F164" s="105"/>
      <c r="G164" s="174" t="s">
        <v>338</v>
      </c>
      <c r="H164" s="234" t="s">
        <v>364</v>
      </c>
      <c r="I164" s="109">
        <v>273547.38</v>
      </c>
      <c r="J164" s="109">
        <f>28647.01+1189.56+5407.38+317.52</f>
        <v>35561.47</v>
      </c>
      <c r="K164" s="101">
        <f t="shared" si="55"/>
        <v>309108.85</v>
      </c>
      <c r="L164" s="101"/>
      <c r="M164" s="101"/>
      <c r="N164" s="101"/>
      <c r="O164" s="101"/>
      <c r="P164" s="101"/>
      <c r="Q164" s="101"/>
      <c r="R164" s="101"/>
      <c r="S164" s="101">
        <f t="shared" si="56"/>
        <v>309108.85</v>
      </c>
      <c r="T164" s="101"/>
      <c r="U164" s="101">
        <f t="shared" si="57"/>
        <v>309108.85</v>
      </c>
      <c r="V164" s="101"/>
      <c r="W164" s="101">
        <f>S164-U164</f>
        <v>0</v>
      </c>
      <c r="X164" s="145"/>
    </row>
    <row r="165" s="19" customFormat="1" ht="36" customHeight="1" spans="1:24">
      <c r="A165" s="175"/>
      <c r="B165" s="189"/>
      <c r="C165" s="190"/>
      <c r="D165" s="191"/>
      <c r="E165" s="94"/>
      <c r="F165" s="105"/>
      <c r="G165" s="174" t="s">
        <v>339</v>
      </c>
      <c r="H165" s="234" t="s">
        <v>368</v>
      </c>
      <c r="I165" s="109">
        <v>688.77</v>
      </c>
      <c r="J165" s="109">
        <f>727.9-688.77</f>
        <v>39.13</v>
      </c>
      <c r="K165" s="101">
        <f t="shared" si="55"/>
        <v>727.9</v>
      </c>
      <c r="L165" s="101"/>
      <c r="M165" s="101"/>
      <c r="N165" s="101"/>
      <c r="O165" s="101"/>
      <c r="P165" s="101"/>
      <c r="Q165" s="101"/>
      <c r="R165" s="101"/>
      <c r="S165" s="101">
        <f t="shared" si="56"/>
        <v>727.9</v>
      </c>
      <c r="T165" s="101"/>
      <c r="U165" s="101">
        <f t="shared" si="57"/>
        <v>727.9</v>
      </c>
      <c r="V165" s="101"/>
      <c r="W165" s="101"/>
      <c r="X165" s="145"/>
    </row>
    <row r="166" s="19" customFormat="1" ht="36" customHeight="1" spans="1:24">
      <c r="A166" s="175"/>
      <c r="B166" s="189"/>
      <c r="C166" s="190"/>
      <c r="D166" s="191"/>
      <c r="E166" s="94"/>
      <c r="F166" s="105"/>
      <c r="G166" s="174" t="s">
        <v>424</v>
      </c>
      <c r="H166" s="234" t="s">
        <v>425</v>
      </c>
      <c r="I166" s="109">
        <v>13396.23</v>
      </c>
      <c r="J166" s="109">
        <v>803.77</v>
      </c>
      <c r="K166" s="101">
        <f t="shared" si="55"/>
        <v>14200</v>
      </c>
      <c r="L166" s="101"/>
      <c r="M166" s="101"/>
      <c r="N166" s="101"/>
      <c r="O166" s="101"/>
      <c r="P166" s="101"/>
      <c r="Q166" s="101"/>
      <c r="R166" s="101"/>
      <c r="S166" s="101"/>
      <c r="T166" s="101"/>
      <c r="U166" s="101"/>
      <c r="V166" s="101"/>
      <c r="W166" s="101"/>
      <c r="X166" s="145"/>
    </row>
    <row r="167" s="19" customFormat="1" ht="36" customHeight="1" spans="1:24">
      <c r="A167" s="175"/>
      <c r="B167" s="189"/>
      <c r="C167" s="190"/>
      <c r="D167" s="191"/>
      <c r="E167" s="94"/>
      <c r="F167" s="105"/>
      <c r="G167" s="174" t="s">
        <v>426</v>
      </c>
      <c r="H167" s="234" t="s">
        <v>427</v>
      </c>
      <c r="I167" s="109">
        <v>5299.15</v>
      </c>
      <c r="J167" s="109">
        <v>688.89</v>
      </c>
      <c r="K167" s="101">
        <f t="shared" si="55"/>
        <v>5988.04</v>
      </c>
      <c r="L167" s="101"/>
      <c r="M167" s="101"/>
      <c r="N167" s="101"/>
      <c r="O167" s="101"/>
      <c r="P167" s="101"/>
      <c r="Q167" s="101"/>
      <c r="R167" s="101"/>
      <c r="S167" s="101"/>
      <c r="T167" s="101"/>
      <c r="U167" s="101"/>
      <c r="V167" s="101"/>
      <c r="W167" s="101"/>
      <c r="X167" s="145"/>
    </row>
    <row r="168" s="19" customFormat="1" ht="36" customHeight="1" spans="1:24">
      <c r="A168" s="175"/>
      <c r="B168" s="189"/>
      <c r="C168" s="190"/>
      <c r="D168" s="191"/>
      <c r="E168" s="94"/>
      <c r="F168" s="105"/>
      <c r="G168" s="174" t="s">
        <v>428</v>
      </c>
      <c r="H168" s="234" t="s">
        <v>429</v>
      </c>
      <c r="I168" s="109">
        <v>1196.7</v>
      </c>
      <c r="J168" s="109">
        <v>155.57</v>
      </c>
      <c r="K168" s="101">
        <f t="shared" si="55"/>
        <v>1352.27</v>
      </c>
      <c r="L168" s="101"/>
      <c r="M168" s="101"/>
      <c r="N168" s="101"/>
      <c r="O168" s="101"/>
      <c r="P168" s="101"/>
      <c r="Q168" s="101"/>
      <c r="R168" s="101"/>
      <c r="S168" s="101"/>
      <c r="T168" s="101"/>
      <c r="U168" s="101"/>
      <c r="V168" s="101"/>
      <c r="W168" s="101"/>
      <c r="X168" s="145"/>
    </row>
    <row r="169" s="19" customFormat="1" ht="36" customHeight="1" spans="1:24">
      <c r="A169" s="175"/>
      <c r="B169" s="189"/>
      <c r="C169" s="190"/>
      <c r="D169" s="191"/>
      <c r="E169" s="94"/>
      <c r="F169" s="105"/>
      <c r="G169" s="174" t="s">
        <v>430</v>
      </c>
      <c r="H169" s="234" t="s">
        <v>431</v>
      </c>
      <c r="I169" s="109">
        <v>10045.06</v>
      </c>
      <c r="J169" s="109">
        <v>1305.86</v>
      </c>
      <c r="K169" s="101">
        <f t="shared" si="55"/>
        <v>11350.92</v>
      </c>
      <c r="L169" s="101"/>
      <c r="M169" s="101"/>
      <c r="N169" s="101"/>
      <c r="O169" s="101"/>
      <c r="P169" s="101"/>
      <c r="Q169" s="101"/>
      <c r="R169" s="101"/>
      <c r="S169" s="101"/>
      <c r="T169" s="101"/>
      <c r="U169" s="101"/>
      <c r="V169" s="101"/>
      <c r="W169" s="101"/>
      <c r="X169" s="145"/>
    </row>
    <row r="170" s="19" customFormat="1" ht="36" customHeight="1" spans="1:24">
      <c r="A170" s="175"/>
      <c r="B170" s="189"/>
      <c r="C170" s="190"/>
      <c r="D170" s="191"/>
      <c r="E170" s="94"/>
      <c r="F170" s="105"/>
      <c r="G170" s="174" t="s">
        <v>432</v>
      </c>
      <c r="H170" s="234" t="s">
        <v>433</v>
      </c>
      <c r="I170" s="109">
        <v>2654.87</v>
      </c>
      <c r="J170" s="109">
        <v>345.13</v>
      </c>
      <c r="K170" s="101">
        <f t="shared" si="55"/>
        <v>3000</v>
      </c>
      <c r="L170" s="101"/>
      <c r="M170" s="101"/>
      <c r="N170" s="101"/>
      <c r="O170" s="101"/>
      <c r="P170" s="101"/>
      <c r="Q170" s="101"/>
      <c r="R170" s="101"/>
      <c r="S170" s="101"/>
      <c r="T170" s="101"/>
      <c r="U170" s="101"/>
      <c r="V170" s="101"/>
      <c r="W170" s="101"/>
      <c r="X170" s="145"/>
    </row>
    <row r="171" s="19" customFormat="1" ht="36" customHeight="1" spans="1:24">
      <c r="A171" s="175"/>
      <c r="B171" s="189"/>
      <c r="C171" s="190"/>
      <c r="D171" s="191"/>
      <c r="E171" s="94"/>
      <c r="F171" s="105"/>
      <c r="G171" s="174" t="s">
        <v>434</v>
      </c>
      <c r="H171" s="234" t="s">
        <v>435</v>
      </c>
      <c r="I171" s="109">
        <v>9551.14</v>
      </c>
      <c r="J171" s="109">
        <v>1241.65</v>
      </c>
      <c r="K171" s="101">
        <f t="shared" si="55"/>
        <v>10792.79</v>
      </c>
      <c r="L171" s="101"/>
      <c r="M171" s="101"/>
      <c r="N171" s="101"/>
      <c r="O171" s="101"/>
      <c r="P171" s="101"/>
      <c r="Q171" s="101"/>
      <c r="R171" s="101"/>
      <c r="S171" s="101"/>
      <c r="T171" s="101"/>
      <c r="U171" s="101"/>
      <c r="V171" s="101"/>
      <c r="W171" s="101"/>
      <c r="X171" s="145"/>
    </row>
    <row r="172" s="19" customFormat="1" ht="36" customHeight="1" spans="1:24">
      <c r="A172" s="175"/>
      <c r="B172" s="189"/>
      <c r="C172" s="190"/>
      <c r="D172" s="191"/>
      <c r="E172" s="94"/>
      <c r="F172" s="105"/>
      <c r="G172" s="174" t="s">
        <v>436</v>
      </c>
      <c r="H172" s="234" t="s">
        <v>437</v>
      </c>
      <c r="I172" s="109">
        <v>19400.34</v>
      </c>
      <c r="J172" s="109">
        <v>2522.01</v>
      </c>
      <c r="K172" s="101">
        <f t="shared" si="55"/>
        <v>21922.35</v>
      </c>
      <c r="L172" s="101"/>
      <c r="M172" s="101"/>
      <c r="N172" s="101"/>
      <c r="O172" s="101"/>
      <c r="P172" s="101"/>
      <c r="Q172" s="101"/>
      <c r="R172" s="101"/>
      <c r="S172" s="101"/>
      <c r="T172" s="101"/>
      <c r="U172" s="101"/>
      <c r="V172" s="101"/>
      <c r="W172" s="101"/>
      <c r="X172" s="145"/>
    </row>
    <row r="173" s="19" customFormat="1" ht="36" customHeight="1" spans="1:24">
      <c r="A173" s="175"/>
      <c r="B173" s="189"/>
      <c r="C173" s="190"/>
      <c r="D173" s="191"/>
      <c r="E173" s="94"/>
      <c r="F173" s="105"/>
      <c r="G173" s="174" t="s">
        <v>438</v>
      </c>
      <c r="H173" s="234" t="s">
        <v>439</v>
      </c>
      <c r="I173" s="109">
        <v>1078587.67</v>
      </c>
      <c r="J173" s="109">
        <v>140216.33</v>
      </c>
      <c r="K173" s="101">
        <f t="shared" si="55"/>
        <v>1218804</v>
      </c>
      <c r="L173" s="101"/>
      <c r="M173" s="101"/>
      <c r="N173" s="101"/>
      <c r="O173" s="101"/>
      <c r="P173" s="101"/>
      <c r="Q173" s="101"/>
      <c r="R173" s="101"/>
      <c r="S173" s="101"/>
      <c r="T173" s="101"/>
      <c r="U173" s="101"/>
      <c r="V173" s="101"/>
      <c r="W173" s="101"/>
      <c r="X173" s="145"/>
    </row>
    <row r="174" s="19" customFormat="1" ht="36" customHeight="1" spans="1:24">
      <c r="A174" s="175"/>
      <c r="B174" s="189"/>
      <c r="C174" s="190"/>
      <c r="D174" s="191"/>
      <c r="E174" s="94"/>
      <c r="F174" s="105"/>
      <c r="G174" s="174" t="s">
        <v>440</v>
      </c>
      <c r="H174" s="234" t="s">
        <v>429</v>
      </c>
      <c r="I174" s="109">
        <v>756.79</v>
      </c>
      <c r="J174" s="109">
        <v>68.11</v>
      </c>
      <c r="K174" s="101">
        <f t="shared" si="55"/>
        <v>824.9</v>
      </c>
      <c r="L174" s="101"/>
      <c r="M174" s="101"/>
      <c r="N174" s="101"/>
      <c r="O174" s="101"/>
      <c r="P174" s="101"/>
      <c r="Q174" s="101"/>
      <c r="R174" s="101"/>
      <c r="S174" s="101"/>
      <c r="T174" s="101"/>
      <c r="U174" s="101"/>
      <c r="V174" s="101"/>
      <c r="W174" s="101"/>
      <c r="X174" s="145"/>
    </row>
    <row r="175" s="19" customFormat="1" ht="36" customHeight="1" spans="1:24">
      <c r="A175" s="175"/>
      <c r="B175" s="189"/>
      <c r="C175" s="190"/>
      <c r="D175" s="191"/>
      <c r="E175" s="94"/>
      <c r="F175" s="105"/>
      <c r="G175" s="174" t="s">
        <v>440</v>
      </c>
      <c r="H175" s="234" t="s">
        <v>429</v>
      </c>
      <c r="I175" s="109">
        <v>20121.04</v>
      </c>
      <c r="J175" s="109">
        <v>2615.72</v>
      </c>
      <c r="K175" s="101">
        <f t="shared" si="55"/>
        <v>22736.76</v>
      </c>
      <c r="L175" s="101"/>
      <c r="M175" s="101"/>
      <c r="N175" s="101"/>
      <c r="O175" s="101"/>
      <c r="P175" s="101"/>
      <c r="Q175" s="101"/>
      <c r="R175" s="101"/>
      <c r="S175" s="101"/>
      <c r="T175" s="101"/>
      <c r="U175" s="101"/>
      <c r="V175" s="101"/>
      <c r="W175" s="101"/>
      <c r="X175" s="145"/>
    </row>
    <row r="176" s="19" customFormat="1" ht="36" customHeight="1" spans="1:24">
      <c r="A176" s="175"/>
      <c r="B176" s="189"/>
      <c r="C176" s="190"/>
      <c r="D176" s="191"/>
      <c r="E176" s="94"/>
      <c r="F176" s="105"/>
      <c r="G176" s="174" t="s">
        <v>441</v>
      </c>
      <c r="H176" s="234" t="s">
        <v>442</v>
      </c>
      <c r="I176" s="109">
        <v>8264.3</v>
      </c>
      <c r="J176" s="109">
        <v>1074.36</v>
      </c>
      <c r="K176" s="101">
        <f t="shared" si="55"/>
        <v>9338.66</v>
      </c>
      <c r="L176" s="101"/>
      <c r="M176" s="101"/>
      <c r="N176" s="101"/>
      <c r="O176" s="101"/>
      <c r="P176" s="101"/>
      <c r="Q176" s="101"/>
      <c r="R176" s="101"/>
      <c r="S176" s="101"/>
      <c r="T176" s="101"/>
      <c r="U176" s="101"/>
      <c r="V176" s="101"/>
      <c r="W176" s="101"/>
      <c r="X176" s="145"/>
    </row>
    <row r="177" s="19" customFormat="1" ht="36" customHeight="1" spans="1:24">
      <c r="A177" s="175"/>
      <c r="B177" s="189"/>
      <c r="C177" s="190"/>
      <c r="D177" s="191"/>
      <c r="E177" s="94"/>
      <c r="F177" s="105"/>
      <c r="G177" s="174" t="s">
        <v>443</v>
      </c>
      <c r="H177" s="234" t="s">
        <v>444</v>
      </c>
      <c r="I177" s="109">
        <v>9327.44</v>
      </c>
      <c r="J177" s="109">
        <v>1212.56</v>
      </c>
      <c r="K177" s="101">
        <f t="shared" si="55"/>
        <v>10540</v>
      </c>
      <c r="L177" s="101"/>
      <c r="M177" s="101"/>
      <c r="N177" s="101"/>
      <c r="O177" s="101"/>
      <c r="P177" s="101"/>
      <c r="Q177" s="101"/>
      <c r="R177" s="101"/>
      <c r="S177" s="101"/>
      <c r="T177" s="101"/>
      <c r="U177" s="101"/>
      <c r="V177" s="101"/>
      <c r="W177" s="101"/>
      <c r="X177" s="145"/>
    </row>
    <row r="178" s="19" customFormat="1" ht="36" customHeight="1" spans="1:24">
      <c r="A178" s="175"/>
      <c r="B178" s="189"/>
      <c r="C178" s="190"/>
      <c r="D178" s="191"/>
      <c r="E178" s="94"/>
      <c r="F178" s="105"/>
      <c r="G178" s="174" t="s">
        <v>445</v>
      </c>
      <c r="H178" s="234" t="s">
        <v>446</v>
      </c>
      <c r="I178" s="109">
        <v>18304.91</v>
      </c>
      <c r="J178" s="109">
        <v>2379.64</v>
      </c>
      <c r="K178" s="101">
        <f t="shared" si="55"/>
        <v>20684.55</v>
      </c>
      <c r="L178" s="101"/>
      <c r="M178" s="101"/>
      <c r="N178" s="101"/>
      <c r="O178" s="101"/>
      <c r="P178" s="101"/>
      <c r="Q178" s="101"/>
      <c r="R178" s="101"/>
      <c r="S178" s="101"/>
      <c r="T178" s="101"/>
      <c r="U178" s="101"/>
      <c r="V178" s="101"/>
      <c r="W178" s="101"/>
      <c r="X178" s="145"/>
    </row>
    <row r="179" s="19" customFormat="1" ht="36" customHeight="1" spans="1:24">
      <c r="A179" s="175"/>
      <c r="B179" s="189"/>
      <c r="C179" s="190"/>
      <c r="D179" s="191"/>
      <c r="E179" s="94"/>
      <c r="F179" s="105"/>
      <c r="G179" s="174" t="s">
        <v>447</v>
      </c>
      <c r="H179" s="234" t="s">
        <v>448</v>
      </c>
      <c r="I179" s="109">
        <v>546.9</v>
      </c>
      <c r="J179" s="109">
        <v>71.1</v>
      </c>
      <c r="K179" s="101">
        <f t="shared" si="55"/>
        <v>618</v>
      </c>
      <c r="L179" s="101"/>
      <c r="M179" s="101"/>
      <c r="N179" s="101"/>
      <c r="O179" s="101"/>
      <c r="P179" s="101"/>
      <c r="Q179" s="101"/>
      <c r="R179" s="101"/>
      <c r="S179" s="101"/>
      <c r="T179" s="101"/>
      <c r="U179" s="101"/>
      <c r="V179" s="101"/>
      <c r="W179" s="101"/>
      <c r="X179" s="145"/>
    </row>
    <row r="180" s="19" customFormat="1" ht="36" customHeight="1" spans="1:24">
      <c r="A180" s="175"/>
      <c r="B180" s="189"/>
      <c r="C180" s="190"/>
      <c r="D180" s="191"/>
      <c r="E180" s="94"/>
      <c r="F180" s="105"/>
      <c r="G180" s="174" t="s">
        <v>449</v>
      </c>
      <c r="H180" s="234" t="s">
        <v>450</v>
      </c>
      <c r="I180" s="109">
        <v>1191.13</v>
      </c>
      <c r="J180" s="109">
        <v>154.86</v>
      </c>
      <c r="K180" s="101">
        <f t="shared" si="55"/>
        <v>1345.99</v>
      </c>
      <c r="L180" s="101"/>
      <c r="M180" s="101"/>
      <c r="N180" s="101"/>
      <c r="O180" s="101"/>
      <c r="P180" s="101"/>
      <c r="Q180" s="101"/>
      <c r="R180" s="101"/>
      <c r="S180" s="101"/>
      <c r="T180" s="101"/>
      <c r="U180" s="101"/>
      <c r="V180" s="101"/>
      <c r="W180" s="101"/>
      <c r="X180" s="145"/>
    </row>
    <row r="181" s="19" customFormat="1" ht="36" customHeight="1" spans="1:24">
      <c r="A181" s="175"/>
      <c r="B181" s="189"/>
      <c r="C181" s="190"/>
      <c r="D181" s="191"/>
      <c r="E181" s="94"/>
      <c r="F181" s="105"/>
      <c r="G181" s="174" t="s">
        <v>451</v>
      </c>
      <c r="H181" s="234" t="s">
        <v>452</v>
      </c>
      <c r="I181" s="109">
        <v>2079.21</v>
      </c>
      <c r="J181" s="109">
        <v>20.79</v>
      </c>
      <c r="K181" s="101">
        <f t="shared" si="55"/>
        <v>2100</v>
      </c>
      <c r="L181" s="101"/>
      <c r="M181" s="101"/>
      <c r="N181" s="101"/>
      <c r="O181" s="101"/>
      <c r="P181" s="101"/>
      <c r="Q181" s="101"/>
      <c r="R181" s="101"/>
      <c r="S181" s="101"/>
      <c r="T181" s="101"/>
      <c r="U181" s="101"/>
      <c r="V181" s="101"/>
      <c r="W181" s="101"/>
      <c r="X181" s="145"/>
    </row>
    <row r="182" s="19" customFormat="1" ht="36" customHeight="1" spans="1:24">
      <c r="A182" s="175"/>
      <c r="B182" s="189"/>
      <c r="C182" s="190"/>
      <c r="D182" s="191"/>
      <c r="E182" s="94"/>
      <c r="F182" s="105"/>
      <c r="G182" s="174" t="s">
        <v>453</v>
      </c>
      <c r="H182" s="234" t="s">
        <v>454</v>
      </c>
      <c r="I182" s="109">
        <v>154.15</v>
      </c>
      <c r="J182" s="109">
        <v>20.03</v>
      </c>
      <c r="K182" s="101">
        <f t="shared" si="55"/>
        <v>174.18</v>
      </c>
      <c r="L182" s="101"/>
      <c r="M182" s="101"/>
      <c r="N182" s="101"/>
      <c r="O182" s="101"/>
      <c r="P182" s="101"/>
      <c r="Q182" s="101"/>
      <c r="R182" s="101"/>
      <c r="S182" s="101"/>
      <c r="T182" s="101"/>
      <c r="U182" s="101"/>
      <c r="V182" s="101"/>
      <c r="W182" s="101"/>
      <c r="X182" s="145"/>
    </row>
    <row r="183" s="19" customFormat="1" ht="36" customHeight="1" spans="1:24">
      <c r="A183" s="175"/>
      <c r="B183" s="189"/>
      <c r="C183" s="190"/>
      <c r="D183" s="191"/>
      <c r="E183" s="94"/>
      <c r="F183" s="105"/>
      <c r="G183" s="174" t="s">
        <v>455</v>
      </c>
      <c r="H183" s="234" t="s">
        <v>456</v>
      </c>
      <c r="I183" s="109">
        <v>784.07</v>
      </c>
      <c r="J183" s="109">
        <v>101.93</v>
      </c>
      <c r="K183" s="101">
        <f t="shared" si="55"/>
        <v>886</v>
      </c>
      <c r="L183" s="101"/>
      <c r="M183" s="101"/>
      <c r="N183" s="101"/>
      <c r="O183" s="101"/>
      <c r="P183" s="101"/>
      <c r="Q183" s="101"/>
      <c r="R183" s="101"/>
      <c r="S183" s="101"/>
      <c r="T183" s="101"/>
      <c r="U183" s="101"/>
      <c r="V183" s="101"/>
      <c r="W183" s="101"/>
      <c r="X183" s="145"/>
    </row>
    <row r="184" s="19" customFormat="1" ht="36" customHeight="1" spans="1:24">
      <c r="A184" s="175"/>
      <c r="B184" s="213"/>
      <c r="C184" s="214"/>
      <c r="D184" s="215"/>
      <c r="E184" s="94"/>
      <c r="F184" s="106"/>
      <c r="G184" s="174" t="s">
        <v>423</v>
      </c>
      <c r="H184" s="234" t="s">
        <v>457</v>
      </c>
      <c r="I184" s="109">
        <f>690.54+7634</f>
        <v>8324.54</v>
      </c>
      <c r="J184" s="109">
        <f>712.34-690.54+8106.18-7634</f>
        <v>493.98</v>
      </c>
      <c r="K184" s="101">
        <f t="shared" si="55"/>
        <v>8818.52</v>
      </c>
      <c r="L184" s="101"/>
      <c r="M184" s="101"/>
      <c r="N184" s="101"/>
      <c r="O184" s="101"/>
      <c r="P184" s="101"/>
      <c r="Q184" s="101"/>
      <c r="R184" s="101"/>
      <c r="S184" s="101"/>
      <c r="T184" s="101"/>
      <c r="U184" s="101"/>
      <c r="V184" s="101"/>
      <c r="W184" s="101"/>
      <c r="X184" s="145"/>
    </row>
    <row r="185" s="19" customFormat="1" ht="36" customHeight="1" spans="1:24">
      <c r="A185" s="175"/>
      <c r="B185" s="213"/>
      <c r="C185" s="214"/>
      <c r="D185" s="215"/>
      <c r="E185" s="94"/>
      <c r="F185" s="106"/>
      <c r="G185" s="103" t="s">
        <v>478</v>
      </c>
      <c r="H185" s="234" t="s">
        <v>457</v>
      </c>
      <c r="I185" s="109">
        <v>800</v>
      </c>
      <c r="J185" s="109">
        <v>0</v>
      </c>
      <c r="K185" s="101">
        <f t="shared" si="55"/>
        <v>800</v>
      </c>
      <c r="L185" s="101"/>
      <c r="M185" s="101"/>
      <c r="N185" s="101"/>
      <c r="O185" s="101"/>
      <c r="P185" s="101"/>
      <c r="Q185" s="101"/>
      <c r="R185" s="101"/>
      <c r="S185" s="101"/>
      <c r="T185" s="101"/>
      <c r="U185" s="101"/>
      <c r="V185" s="101"/>
      <c r="W185" s="101"/>
      <c r="X185" s="145"/>
    </row>
    <row r="186" s="19" customFormat="1" ht="36" customHeight="1" spans="1:24">
      <c r="A186" s="175"/>
      <c r="B186" s="213"/>
      <c r="C186" s="214"/>
      <c r="D186" s="215"/>
      <c r="E186" s="94"/>
      <c r="F186" s="106"/>
      <c r="G186" s="105"/>
      <c r="H186" s="234" t="s">
        <v>486</v>
      </c>
      <c r="I186" s="109">
        <v>376226.42</v>
      </c>
      <c r="J186" s="109">
        <v>22573.58</v>
      </c>
      <c r="K186" s="101">
        <f>I186+J186</f>
        <v>398800</v>
      </c>
      <c r="L186" s="101"/>
      <c r="M186" s="101"/>
      <c r="N186" s="101"/>
      <c r="O186" s="101"/>
      <c r="P186" s="101"/>
      <c r="Q186" s="101"/>
      <c r="R186" s="101"/>
      <c r="S186" s="101"/>
      <c r="T186" s="101"/>
      <c r="U186" s="101"/>
      <c r="V186" s="101"/>
      <c r="W186" s="101"/>
      <c r="X186" s="145"/>
    </row>
    <row r="187" s="19" customFormat="1" ht="36" customHeight="1" spans="1:24">
      <c r="A187" s="175"/>
      <c r="B187" s="213"/>
      <c r="C187" s="214"/>
      <c r="D187" s="215"/>
      <c r="E187" s="94"/>
      <c r="F187" s="106"/>
      <c r="G187" s="105"/>
      <c r="H187" s="234" t="s">
        <v>487</v>
      </c>
      <c r="I187" s="109">
        <v>132.26</v>
      </c>
      <c r="J187" s="109">
        <v>17.19</v>
      </c>
      <c r="K187" s="101">
        <f>I187+J187</f>
        <v>149.45</v>
      </c>
      <c r="L187" s="101"/>
      <c r="M187" s="101"/>
      <c r="N187" s="101"/>
      <c r="O187" s="101"/>
      <c r="P187" s="101"/>
      <c r="Q187" s="101"/>
      <c r="R187" s="101"/>
      <c r="S187" s="101"/>
      <c r="T187" s="101"/>
      <c r="U187" s="101"/>
      <c r="V187" s="101"/>
      <c r="W187" s="101"/>
      <c r="X187" s="145"/>
    </row>
    <row r="188" s="19" customFormat="1" ht="36" customHeight="1" spans="1:24">
      <c r="A188" s="175"/>
      <c r="B188" s="213"/>
      <c r="C188" s="214"/>
      <c r="D188" s="215"/>
      <c r="E188" s="94"/>
      <c r="F188" s="106"/>
      <c r="G188" s="105"/>
      <c r="H188" s="234" t="s">
        <v>488</v>
      </c>
      <c r="I188" s="234">
        <v>4614.16</v>
      </c>
      <c r="J188" s="109">
        <f>599.84</f>
        <v>599.84</v>
      </c>
      <c r="K188" s="101">
        <f>I188+J188</f>
        <v>5214</v>
      </c>
      <c r="L188" s="101"/>
      <c r="M188" s="101"/>
      <c r="N188" s="101"/>
      <c r="O188" s="101"/>
      <c r="P188" s="101"/>
      <c r="Q188" s="101"/>
      <c r="R188" s="101"/>
      <c r="S188" s="101"/>
      <c r="T188" s="101"/>
      <c r="U188" s="101"/>
      <c r="V188" s="101"/>
      <c r="W188" s="101"/>
      <c r="X188" s="145"/>
    </row>
    <row r="189" s="19" customFormat="1" ht="36" customHeight="1" spans="1:24">
      <c r="A189" s="175"/>
      <c r="B189" s="213"/>
      <c r="C189" s="214"/>
      <c r="D189" s="215"/>
      <c r="E189" s="94"/>
      <c r="F189" s="106"/>
      <c r="G189" s="106"/>
      <c r="H189" s="234" t="s">
        <v>489</v>
      </c>
      <c r="I189" s="234">
        <v>368.35</v>
      </c>
      <c r="J189" s="109">
        <v>47.88</v>
      </c>
      <c r="K189" s="101">
        <f>I189+J189</f>
        <v>416.23</v>
      </c>
      <c r="L189" s="101"/>
      <c r="M189" s="101"/>
      <c r="N189" s="101"/>
      <c r="O189" s="101"/>
      <c r="P189" s="101"/>
      <c r="Q189" s="101"/>
      <c r="R189" s="101"/>
      <c r="S189" s="101"/>
      <c r="T189" s="101"/>
      <c r="U189" s="101"/>
      <c r="V189" s="101"/>
      <c r="W189" s="101"/>
      <c r="X189" s="145"/>
    </row>
    <row r="190" s="19" customFormat="1" ht="36" customHeight="1" spans="1:24">
      <c r="A190" s="175"/>
      <c r="B190" s="213"/>
      <c r="C190" s="214"/>
      <c r="D190" s="215"/>
      <c r="E190" s="94"/>
      <c r="F190" s="106"/>
      <c r="G190" s="174"/>
      <c r="H190" s="234"/>
      <c r="I190" s="109"/>
      <c r="J190" s="109"/>
      <c r="K190" s="101"/>
      <c r="L190" s="101"/>
      <c r="M190" s="101"/>
      <c r="N190" s="101"/>
      <c r="O190" s="101"/>
      <c r="P190" s="101"/>
      <c r="Q190" s="101"/>
      <c r="R190" s="101"/>
      <c r="S190" s="101"/>
      <c r="T190" s="101"/>
      <c r="U190" s="101"/>
      <c r="V190" s="101"/>
      <c r="W190" s="101"/>
      <c r="X190" s="145"/>
    </row>
    <row r="191" s="19" customFormat="1" ht="36" customHeight="1" spans="1:24">
      <c r="A191" s="175"/>
      <c r="B191" s="213"/>
      <c r="C191" s="214"/>
      <c r="D191" s="215"/>
      <c r="E191" s="94"/>
      <c r="F191" s="106"/>
      <c r="G191" s="174"/>
      <c r="H191" s="234"/>
      <c r="I191" s="109"/>
      <c r="J191" s="109"/>
      <c r="K191" s="101"/>
      <c r="L191" s="101"/>
      <c r="M191" s="101"/>
      <c r="N191" s="101"/>
      <c r="O191" s="101"/>
      <c r="P191" s="101"/>
      <c r="Q191" s="101"/>
      <c r="R191" s="101"/>
      <c r="S191" s="101"/>
      <c r="T191" s="101"/>
      <c r="U191" s="101"/>
      <c r="V191" s="101"/>
      <c r="W191" s="101"/>
      <c r="X191" s="145"/>
    </row>
    <row r="192" s="19" customFormat="1" ht="36" customHeight="1" spans="1:24">
      <c r="A192" s="175"/>
      <c r="B192" s="235"/>
      <c r="C192" s="235"/>
      <c r="D192" s="235"/>
      <c r="E192" s="94"/>
      <c r="F192" s="94"/>
      <c r="G192" s="145"/>
      <c r="H192" s="236"/>
      <c r="I192" s="108"/>
      <c r="J192" s="108"/>
      <c r="K192" s="108"/>
      <c r="L192" s="94"/>
      <c r="M192" s="94"/>
      <c r="N192" s="94"/>
      <c r="O192" s="94"/>
      <c r="P192" s="94"/>
      <c r="Q192" s="94"/>
      <c r="R192" s="94"/>
      <c r="S192" s="94"/>
      <c r="T192" s="108"/>
      <c r="U192" s="94"/>
      <c r="V192" s="94"/>
      <c r="W192" s="94">
        <f>S192+T192-U192-V192</f>
        <v>0</v>
      </c>
      <c r="X192" s="145"/>
    </row>
    <row r="193" s="20" customFormat="1" ht="36" customHeight="1" spans="1:24">
      <c r="A193" s="240" t="s">
        <v>212</v>
      </c>
      <c r="B193" s="241"/>
      <c r="C193" s="241"/>
      <c r="D193" s="241"/>
      <c r="E193" s="242"/>
      <c r="F193" s="242"/>
      <c r="G193" s="243"/>
      <c r="H193" s="244" t="s">
        <v>316</v>
      </c>
      <c r="I193" s="300">
        <f>I156+I150+I149+I148+I143+I137+I136+I122+I121+I120+I116+I101+I99+I98+I97+I96+I95+I94+I93+I92+I91+I90+I89+I88+I87+I86+I85+I82+I81+I80+I79+I78+I77+I76+I75+I74+I73+I70+I60+I51+I35+I26-I214</f>
        <v>260576325.45</v>
      </c>
      <c r="J193" s="300">
        <f t="shared" ref="J193:W193" si="58">J156+J150+J149+J148+J143+J137+J136+J122+J121+J120+J116+J101+J99+J98+J97+J96+J95+J94+J93+J92+J91+J90+J89+J88+J87+J86+J85+J82+J81+J80+J79+J78+J77+J76+J75+J74+J73+J70+J60+J51+J35+J26</f>
        <v>25791352.63</v>
      </c>
      <c r="K193" s="300">
        <f>K156+K150+K149+K148+K143+K137+K136+K122+K121+K120+K116+K101+K99+K98+K97+K96+K95+K94+K93+K92+K91+K90+K89+K88+K87+K86+K85+K82+K81+K80+K79+K78+K77+K76+K75+K74+K73+K70+K60+K51+K35+K26-K214</f>
        <v>286367678.08</v>
      </c>
      <c r="L193" s="300">
        <f t="shared" si="58"/>
        <v>2208694.43</v>
      </c>
      <c r="M193" s="300">
        <f t="shared" si="58"/>
        <v>0</v>
      </c>
      <c r="N193" s="300">
        <f t="shared" si="58"/>
        <v>0</v>
      </c>
      <c r="O193" s="300">
        <f t="shared" si="58"/>
        <v>613920.32</v>
      </c>
      <c r="P193" s="300">
        <f t="shared" si="58"/>
        <v>0</v>
      </c>
      <c r="Q193" s="300">
        <f t="shared" si="58"/>
        <v>3100</v>
      </c>
      <c r="R193" s="300">
        <f t="shared" si="58"/>
        <v>116593.5</v>
      </c>
      <c r="S193" s="300">
        <f t="shared" si="58"/>
        <v>281826803.67</v>
      </c>
      <c r="T193" s="300">
        <f t="shared" si="58"/>
        <v>1855000</v>
      </c>
      <c r="U193" s="300">
        <f t="shared" si="58"/>
        <v>250263880.12</v>
      </c>
      <c r="V193" s="300">
        <f t="shared" si="58"/>
        <v>1855000</v>
      </c>
      <c r="W193" s="300">
        <f t="shared" si="58"/>
        <v>31562923.55</v>
      </c>
      <c r="X193" s="307"/>
    </row>
    <row r="194" s="21" customFormat="1" ht="36" customHeight="1" spans="1:24">
      <c r="A194" s="245"/>
      <c r="B194" s="246"/>
      <c r="C194" s="246"/>
      <c r="D194" s="246"/>
      <c r="E194" s="247"/>
      <c r="F194" s="247"/>
      <c r="G194" s="212"/>
      <c r="H194" s="205" t="s">
        <v>317</v>
      </c>
      <c r="I194" s="301">
        <f>SUM(I157:I191,I151:I155,I144:I147,I138:I142,I123:I134,I107:I115,I117:I119,I103:I106,I102,I100,I83:I84,I71,I61,I52,I36,I27)</f>
        <v>65125541.61</v>
      </c>
      <c r="J194" s="301">
        <f>SUM(J157:J191,J151:J155,J144:J147,J138:J142,J123:J134,J107:J115,J117:J119,J103:J106,J102,J100,J83:J84,J71,J61,J52,J36,J27)</f>
        <v>4801410.05</v>
      </c>
      <c r="K194" s="301">
        <f>SUM(K157:K191,K151:K155,K144:K147,K138:K142,K123:K134,K107:K115,K117:K119,K103:K106,K102,K100,K83:K84,K71,K61,K52,K36,K27)</f>
        <v>69926951.66</v>
      </c>
      <c r="L194" s="301">
        <f t="shared" ref="L194:V194" si="59">L27+L36+L52+L61+L71+L100+L102+L117+L118+L119+L123+L124+L125+L126+L138+L139+L140+L141+L142+L144+L145+L146+L147+L151+L152+L153+L154+L157+L158+L159+L160+L161+L162+L163+L164+L127+L128+L103</f>
        <v>225405</v>
      </c>
      <c r="M194" s="301">
        <f t="shared" si="59"/>
        <v>0</v>
      </c>
      <c r="N194" s="301">
        <f t="shared" si="59"/>
        <v>0</v>
      </c>
      <c r="O194" s="301">
        <f t="shared" si="59"/>
        <v>201576.1</v>
      </c>
      <c r="P194" s="301">
        <f t="shared" si="59"/>
        <v>0</v>
      </c>
      <c r="Q194" s="301">
        <f t="shared" si="59"/>
        <v>0</v>
      </c>
      <c r="R194" s="301">
        <f t="shared" si="59"/>
        <v>-116593.5</v>
      </c>
      <c r="S194" s="301">
        <f t="shared" si="59"/>
        <v>23913179.88</v>
      </c>
      <c r="T194" s="301">
        <f t="shared" si="59"/>
        <v>0</v>
      </c>
      <c r="U194" s="301">
        <f t="shared" si="59"/>
        <v>33329909.03</v>
      </c>
      <c r="V194" s="301">
        <f t="shared" si="59"/>
        <v>2681000</v>
      </c>
      <c r="W194" s="301">
        <f>W27+W36+W52+W61+W71+W100+W102+W117+W118+W119+W123+W124+W125+W126+W138+W139+W140+W141+W142+W144+W145+W146+W147+W151+W152+W153+W154+W157+W158+W159+W160+W161+W162+W163+W164+W127+W128+W104+W105+W103+W129+W165</f>
        <v>-11957586.24</v>
      </c>
      <c r="X194" s="308"/>
    </row>
    <row r="195" s="21" customFormat="1" ht="36" customHeight="1" spans="1:24">
      <c r="A195" s="245"/>
      <c r="B195" s="246"/>
      <c r="C195" s="246"/>
      <c r="D195" s="246"/>
      <c r="E195" s="247"/>
      <c r="F195" s="247"/>
      <c r="G195" s="248">
        <f>I194-'投资支付台账-202405'!I178</f>
        <v>28876203.3</v>
      </c>
      <c r="H195" s="249"/>
      <c r="I195" s="301"/>
      <c r="J195" s="301"/>
      <c r="K195" s="301"/>
      <c r="L195" s="301"/>
      <c r="M195" s="301"/>
      <c r="N195" s="301"/>
      <c r="O195" s="301"/>
      <c r="P195" s="301"/>
      <c r="Q195" s="301"/>
      <c r="R195" s="301"/>
      <c r="S195" s="301"/>
      <c r="T195" s="301"/>
      <c r="U195" s="301"/>
      <c r="V195" s="301"/>
      <c r="W195" s="301"/>
      <c r="X195" s="308"/>
    </row>
    <row r="196" s="21" customFormat="1" ht="36" customHeight="1" spans="1:24">
      <c r="A196" s="245"/>
      <c r="B196" s="246"/>
      <c r="C196" s="246"/>
      <c r="D196" s="246"/>
      <c r="E196" s="247"/>
      <c r="F196" s="247"/>
      <c r="G196" s="248"/>
      <c r="H196" s="249"/>
      <c r="I196" s="301">
        <f>I194+I193</f>
        <v>325701867.06</v>
      </c>
      <c r="J196" s="301">
        <f t="shared" ref="I196:K196" si="60">J194+J193</f>
        <v>30592762.68</v>
      </c>
      <c r="K196" s="301">
        <f t="shared" si="60"/>
        <v>356294629.74</v>
      </c>
      <c r="L196" s="301"/>
      <c r="M196" s="301"/>
      <c r="N196" s="301"/>
      <c r="O196" s="301"/>
      <c r="P196" s="301"/>
      <c r="Q196" s="301"/>
      <c r="R196" s="301"/>
      <c r="S196" s="301"/>
      <c r="T196" s="301"/>
      <c r="U196" s="301">
        <f t="shared" ref="U196:W196" si="61">U194+U193</f>
        <v>283593789.15</v>
      </c>
      <c r="V196" s="301">
        <f t="shared" si="61"/>
        <v>4536000</v>
      </c>
      <c r="W196" s="301">
        <f t="shared" si="61"/>
        <v>19605337.31</v>
      </c>
      <c r="X196" s="308"/>
    </row>
    <row r="197" s="1" customFormat="1" ht="36" customHeight="1" spans="1:24">
      <c r="A197" s="250" t="s">
        <v>213</v>
      </c>
      <c r="B197" s="251" t="s">
        <v>214</v>
      </c>
      <c r="C197" s="252"/>
      <c r="D197" s="252"/>
      <c r="E197" s="253"/>
      <c r="F197" s="253"/>
      <c r="G197" s="217"/>
      <c r="H197" s="218"/>
      <c r="I197" s="94"/>
      <c r="J197" s="94"/>
      <c r="K197" s="94"/>
      <c r="L197" s="94"/>
      <c r="M197" s="94"/>
      <c r="N197" s="94"/>
      <c r="O197" s="94"/>
      <c r="P197" s="94"/>
      <c r="Q197" s="94"/>
      <c r="R197" s="94"/>
      <c r="S197" s="94">
        <f>K197-L197-M197-N197-O197+R197</f>
        <v>0</v>
      </c>
      <c r="T197" s="94"/>
      <c r="U197" s="94"/>
      <c r="V197" s="94"/>
      <c r="W197" s="94"/>
      <c r="X197" s="145"/>
    </row>
    <row r="198" s="22" customFormat="1" ht="42" customHeight="1" spans="1:235">
      <c r="A198" s="43">
        <v>22</v>
      </c>
      <c r="B198" s="44" t="s">
        <v>215</v>
      </c>
      <c r="C198" s="43" t="s">
        <v>216</v>
      </c>
      <c r="D198" s="44" t="s">
        <v>217</v>
      </c>
      <c r="E198" s="45">
        <v>9968383.94</v>
      </c>
      <c r="F198" s="45"/>
      <c r="G198" s="66" t="s">
        <v>218</v>
      </c>
      <c r="H198" s="66" t="s">
        <v>219</v>
      </c>
      <c r="I198" s="94"/>
      <c r="J198" s="94"/>
      <c r="K198" s="94">
        <f>I198+J198</f>
        <v>0</v>
      </c>
      <c r="L198" s="94"/>
      <c r="M198" s="94"/>
      <c r="N198" s="94"/>
      <c r="O198" s="94"/>
      <c r="P198" s="94"/>
      <c r="Q198" s="94"/>
      <c r="R198" s="94">
        <v>2990515.18</v>
      </c>
      <c r="S198" s="94">
        <f>K198-L198-M198-N198-O198+R198</f>
        <v>2990515.18</v>
      </c>
      <c r="T198" s="94"/>
      <c r="U198" s="94">
        <v>2990515.18</v>
      </c>
      <c r="V198" s="94"/>
      <c r="W198" s="94">
        <f t="shared" ref="W198:W209" si="62">S198+T198-U198-V198</f>
        <v>0</v>
      </c>
      <c r="X198" s="145"/>
      <c r="Y198" s="311"/>
      <c r="Z198" s="311"/>
      <c r="AA198" s="311"/>
      <c r="AB198" s="311"/>
      <c r="AC198" s="311"/>
      <c r="AD198" s="311"/>
      <c r="AE198" s="311"/>
      <c r="AF198" s="311"/>
      <c r="AG198" s="311"/>
      <c r="AH198" s="311"/>
      <c r="AI198" s="311"/>
      <c r="AJ198" s="311"/>
      <c r="AK198" s="311"/>
      <c r="AL198" s="311"/>
      <c r="AM198" s="311"/>
      <c r="AN198" s="311"/>
      <c r="AO198" s="311"/>
      <c r="AP198" s="311"/>
      <c r="AQ198" s="311"/>
      <c r="AR198" s="311"/>
      <c r="AS198" s="311"/>
      <c r="AT198" s="311"/>
      <c r="AU198" s="311"/>
      <c r="AV198" s="311"/>
      <c r="AW198" s="311"/>
      <c r="AX198" s="311"/>
      <c r="AY198" s="311"/>
      <c r="AZ198" s="311"/>
      <c r="BA198" s="311"/>
      <c r="BB198" s="311"/>
      <c r="BC198" s="311"/>
      <c r="BD198" s="311"/>
      <c r="BE198" s="311"/>
      <c r="BF198" s="311"/>
      <c r="BG198" s="311"/>
      <c r="BH198" s="311"/>
      <c r="BI198" s="311"/>
      <c r="BJ198" s="311"/>
      <c r="BK198" s="311"/>
      <c r="BL198" s="311"/>
      <c r="BM198" s="311"/>
      <c r="BN198" s="311"/>
      <c r="BO198" s="311"/>
      <c r="BP198" s="311"/>
      <c r="BQ198" s="311"/>
      <c r="BR198" s="311"/>
      <c r="BS198" s="311"/>
      <c r="BT198" s="311"/>
      <c r="BU198" s="311"/>
      <c r="BV198" s="311"/>
      <c r="BW198" s="311"/>
      <c r="BX198" s="311"/>
      <c r="BY198" s="311"/>
      <c r="BZ198" s="311"/>
      <c r="CA198" s="311"/>
      <c r="CB198" s="311"/>
      <c r="CC198" s="311"/>
      <c r="CD198" s="311"/>
      <c r="CE198" s="311"/>
      <c r="CF198" s="311"/>
      <c r="CG198" s="311"/>
      <c r="CH198" s="311"/>
      <c r="CI198" s="311"/>
      <c r="CJ198" s="311"/>
      <c r="CK198" s="311"/>
      <c r="CL198" s="311"/>
      <c r="CM198" s="311"/>
      <c r="CN198" s="311"/>
      <c r="CO198" s="311"/>
      <c r="CP198" s="311"/>
      <c r="CQ198" s="311"/>
      <c r="CR198" s="311"/>
      <c r="CS198" s="311"/>
      <c r="CT198" s="311"/>
      <c r="CU198" s="311"/>
      <c r="CV198" s="311"/>
      <c r="CW198" s="311"/>
      <c r="CX198" s="311"/>
      <c r="CY198" s="311"/>
      <c r="CZ198" s="311"/>
      <c r="DA198" s="311"/>
      <c r="DB198" s="311"/>
      <c r="DC198" s="311"/>
      <c r="DD198" s="311"/>
      <c r="DE198" s="311"/>
      <c r="DF198" s="311"/>
      <c r="DG198" s="311"/>
      <c r="DH198" s="311"/>
      <c r="DI198" s="311"/>
      <c r="DJ198" s="311"/>
      <c r="DK198" s="311"/>
      <c r="DL198" s="311"/>
      <c r="DM198" s="311"/>
      <c r="DN198" s="311"/>
      <c r="DO198" s="311"/>
      <c r="DP198" s="311"/>
      <c r="DQ198" s="311"/>
      <c r="DR198" s="311"/>
      <c r="DS198" s="311"/>
      <c r="DT198" s="311"/>
      <c r="DU198" s="311"/>
      <c r="DV198" s="311"/>
      <c r="DW198" s="311"/>
      <c r="DX198" s="311"/>
      <c r="DY198" s="311"/>
      <c r="DZ198" s="311"/>
      <c r="EA198" s="311"/>
      <c r="EB198" s="311"/>
      <c r="EC198" s="311"/>
      <c r="ED198" s="311"/>
      <c r="EE198" s="311"/>
      <c r="EF198" s="311"/>
      <c r="EG198" s="311"/>
      <c r="EH198" s="311"/>
      <c r="EI198" s="311"/>
      <c r="EJ198" s="311"/>
      <c r="EK198" s="311"/>
      <c r="EL198" s="311"/>
      <c r="EM198" s="311"/>
      <c r="EN198" s="311"/>
      <c r="EO198" s="311"/>
      <c r="EP198" s="311"/>
      <c r="EQ198" s="311"/>
      <c r="ER198" s="311"/>
      <c r="ES198" s="311"/>
      <c r="ET198" s="311"/>
      <c r="EU198" s="311"/>
      <c r="EV198" s="311"/>
      <c r="EW198" s="311"/>
      <c r="EX198" s="311"/>
      <c r="EY198" s="311"/>
      <c r="EZ198" s="311"/>
      <c r="FA198" s="311"/>
      <c r="FB198" s="311"/>
      <c r="FC198" s="311"/>
      <c r="FD198" s="311"/>
      <c r="FE198" s="311"/>
      <c r="FF198" s="311"/>
      <c r="FG198" s="311"/>
      <c r="FH198" s="311"/>
      <c r="FI198" s="311"/>
      <c r="FJ198" s="311"/>
      <c r="FK198" s="311"/>
      <c r="FL198" s="311"/>
      <c r="FM198" s="311"/>
      <c r="FN198" s="311"/>
      <c r="FO198" s="311"/>
      <c r="FP198" s="311"/>
      <c r="FQ198" s="311"/>
      <c r="FR198" s="311"/>
      <c r="FS198" s="311"/>
      <c r="FT198" s="311"/>
      <c r="FU198" s="311"/>
      <c r="FV198" s="311"/>
      <c r="FW198" s="311"/>
      <c r="FX198" s="311"/>
      <c r="FY198" s="311"/>
      <c r="FZ198" s="311"/>
      <c r="GA198" s="311"/>
      <c r="GB198" s="311"/>
      <c r="GC198" s="311"/>
      <c r="GD198" s="311"/>
      <c r="GE198" s="311"/>
      <c r="GF198" s="311"/>
      <c r="GG198" s="311"/>
      <c r="GH198" s="311"/>
      <c r="GI198" s="311"/>
      <c r="GJ198" s="311"/>
      <c r="GK198" s="311"/>
      <c r="GL198" s="311"/>
      <c r="GM198" s="311"/>
      <c r="GN198" s="311"/>
      <c r="GO198" s="311"/>
      <c r="GP198" s="311"/>
      <c r="GQ198" s="311"/>
      <c r="GR198" s="311"/>
      <c r="GS198" s="311"/>
      <c r="GT198" s="311"/>
      <c r="GU198" s="311"/>
      <c r="GV198" s="311"/>
      <c r="GW198" s="311"/>
      <c r="GX198" s="311"/>
      <c r="GY198" s="311"/>
      <c r="GZ198" s="311"/>
      <c r="HA198" s="311"/>
      <c r="HB198" s="311"/>
      <c r="HC198" s="311"/>
      <c r="HD198" s="311"/>
      <c r="HE198" s="311"/>
      <c r="HF198" s="311"/>
      <c r="HG198" s="311"/>
      <c r="HH198" s="311"/>
      <c r="HI198" s="311"/>
      <c r="HJ198" s="311"/>
      <c r="HK198" s="311"/>
      <c r="HL198" s="311"/>
      <c r="HM198" s="311"/>
      <c r="HN198" s="311"/>
      <c r="HO198" s="311"/>
      <c r="HP198" s="311"/>
      <c r="HQ198" s="311"/>
      <c r="HR198" s="311"/>
      <c r="HS198" s="311"/>
      <c r="HT198" s="311"/>
      <c r="HU198" s="311"/>
      <c r="HV198" s="311"/>
      <c r="HW198" s="311"/>
      <c r="HX198" s="311"/>
      <c r="HY198" s="311"/>
      <c r="HZ198" s="311"/>
      <c r="IA198" s="311"/>
    </row>
    <row r="199" s="22" customFormat="1" ht="42" customHeight="1" spans="1:235">
      <c r="A199" s="48"/>
      <c r="B199" s="172"/>
      <c r="C199" s="48"/>
      <c r="D199" s="48"/>
      <c r="E199" s="49"/>
      <c r="F199" s="49"/>
      <c r="G199" s="159" t="s">
        <v>220</v>
      </c>
      <c r="H199" s="73" t="s">
        <v>221</v>
      </c>
      <c r="I199" s="99">
        <v>3814289</v>
      </c>
      <c r="J199" s="99">
        <v>495857.57</v>
      </c>
      <c r="K199" s="94">
        <f t="shared" ref="K199:K202" si="63">J199+I199</f>
        <v>4310146.57</v>
      </c>
      <c r="L199" s="112"/>
      <c r="M199" s="112"/>
      <c r="N199" s="112"/>
      <c r="O199" s="112"/>
      <c r="P199" s="45"/>
      <c r="Q199" s="112"/>
      <c r="R199" s="112">
        <v>-2990515.18</v>
      </c>
      <c r="S199" s="112">
        <f>K199-L199-M199-N199-O199+R199+K200+K201+K202</f>
        <v>4984191.97</v>
      </c>
      <c r="T199" s="112">
        <v>0</v>
      </c>
      <c r="U199" s="112">
        <v>4984191.97</v>
      </c>
      <c r="V199" s="112">
        <v>0</v>
      </c>
      <c r="W199" s="112">
        <f t="shared" si="62"/>
        <v>0</v>
      </c>
      <c r="X199" s="45"/>
      <c r="Y199" s="311"/>
      <c r="Z199" s="311"/>
      <c r="AA199" s="311"/>
      <c r="AB199" s="311"/>
      <c r="AC199" s="311"/>
      <c r="AD199" s="311"/>
      <c r="AE199" s="311"/>
      <c r="AF199" s="311"/>
      <c r="AG199" s="311"/>
      <c r="AH199" s="311"/>
      <c r="AI199" s="311"/>
      <c r="AJ199" s="311"/>
      <c r="AK199" s="311"/>
      <c r="AL199" s="311"/>
      <c r="AM199" s="311"/>
      <c r="AN199" s="311"/>
      <c r="AO199" s="311"/>
      <c r="AP199" s="311"/>
      <c r="AQ199" s="311"/>
      <c r="AR199" s="311"/>
      <c r="AS199" s="311"/>
      <c r="AT199" s="311"/>
      <c r="AU199" s="311"/>
      <c r="AV199" s="311"/>
      <c r="AW199" s="311"/>
      <c r="AX199" s="311"/>
      <c r="AY199" s="311"/>
      <c r="AZ199" s="311"/>
      <c r="BA199" s="311"/>
      <c r="BB199" s="311"/>
      <c r="BC199" s="311"/>
      <c r="BD199" s="311"/>
      <c r="BE199" s="311"/>
      <c r="BF199" s="311"/>
      <c r="BG199" s="311"/>
      <c r="BH199" s="311"/>
      <c r="BI199" s="311"/>
      <c r="BJ199" s="311"/>
      <c r="BK199" s="311"/>
      <c r="BL199" s="311"/>
      <c r="BM199" s="311"/>
      <c r="BN199" s="311"/>
      <c r="BO199" s="311"/>
      <c r="BP199" s="311"/>
      <c r="BQ199" s="311"/>
      <c r="BR199" s="311"/>
      <c r="BS199" s="311"/>
      <c r="BT199" s="311"/>
      <c r="BU199" s="311"/>
      <c r="BV199" s="311"/>
      <c r="BW199" s="311"/>
      <c r="BX199" s="311"/>
      <c r="BY199" s="311"/>
      <c r="BZ199" s="311"/>
      <c r="CA199" s="311"/>
      <c r="CB199" s="311"/>
      <c r="CC199" s="311"/>
      <c r="CD199" s="311"/>
      <c r="CE199" s="311"/>
      <c r="CF199" s="311"/>
      <c r="CG199" s="311"/>
      <c r="CH199" s="311"/>
      <c r="CI199" s="311"/>
      <c r="CJ199" s="311"/>
      <c r="CK199" s="311"/>
      <c r="CL199" s="311"/>
      <c r="CM199" s="311"/>
      <c r="CN199" s="311"/>
      <c r="CO199" s="311"/>
      <c r="CP199" s="311"/>
      <c r="CQ199" s="311"/>
      <c r="CR199" s="311"/>
      <c r="CS199" s="311"/>
      <c r="CT199" s="311"/>
      <c r="CU199" s="311"/>
      <c r="CV199" s="311"/>
      <c r="CW199" s="311"/>
      <c r="CX199" s="311"/>
      <c r="CY199" s="311"/>
      <c r="CZ199" s="311"/>
      <c r="DA199" s="311"/>
      <c r="DB199" s="311"/>
      <c r="DC199" s="311"/>
      <c r="DD199" s="311"/>
      <c r="DE199" s="311"/>
      <c r="DF199" s="311"/>
      <c r="DG199" s="311"/>
      <c r="DH199" s="311"/>
      <c r="DI199" s="311"/>
      <c r="DJ199" s="311"/>
      <c r="DK199" s="311"/>
      <c r="DL199" s="311"/>
      <c r="DM199" s="311"/>
      <c r="DN199" s="311"/>
      <c r="DO199" s="311"/>
      <c r="DP199" s="311"/>
      <c r="DQ199" s="311"/>
      <c r="DR199" s="311"/>
      <c r="DS199" s="311"/>
      <c r="DT199" s="311"/>
      <c r="DU199" s="311"/>
      <c r="DV199" s="311"/>
      <c r="DW199" s="311"/>
      <c r="DX199" s="311"/>
      <c r="DY199" s="311"/>
      <c r="DZ199" s="311"/>
      <c r="EA199" s="311"/>
      <c r="EB199" s="311"/>
      <c r="EC199" s="311"/>
      <c r="ED199" s="311"/>
      <c r="EE199" s="311"/>
      <c r="EF199" s="311"/>
      <c r="EG199" s="311"/>
      <c r="EH199" s="311"/>
      <c r="EI199" s="311"/>
      <c r="EJ199" s="311"/>
      <c r="EK199" s="311"/>
      <c r="EL199" s="311"/>
      <c r="EM199" s="311"/>
      <c r="EN199" s="311"/>
      <c r="EO199" s="311"/>
      <c r="EP199" s="311"/>
      <c r="EQ199" s="311"/>
      <c r="ER199" s="311"/>
      <c r="ES199" s="311"/>
      <c r="ET199" s="311"/>
      <c r="EU199" s="311"/>
      <c r="EV199" s="311"/>
      <c r="EW199" s="311"/>
      <c r="EX199" s="311"/>
      <c r="EY199" s="311"/>
      <c r="EZ199" s="311"/>
      <c r="FA199" s="311"/>
      <c r="FB199" s="311"/>
      <c r="FC199" s="311"/>
      <c r="FD199" s="311"/>
      <c r="FE199" s="311"/>
      <c r="FF199" s="311"/>
      <c r="FG199" s="311"/>
      <c r="FH199" s="311"/>
      <c r="FI199" s="311"/>
      <c r="FJ199" s="311"/>
      <c r="FK199" s="311"/>
      <c r="FL199" s="311"/>
      <c r="FM199" s="311"/>
      <c r="FN199" s="311"/>
      <c r="FO199" s="311"/>
      <c r="FP199" s="311"/>
      <c r="FQ199" s="311"/>
      <c r="FR199" s="311"/>
      <c r="FS199" s="311"/>
      <c r="FT199" s="311"/>
      <c r="FU199" s="311"/>
      <c r="FV199" s="311"/>
      <c r="FW199" s="311"/>
      <c r="FX199" s="311"/>
      <c r="FY199" s="311"/>
      <c r="FZ199" s="311"/>
      <c r="GA199" s="311"/>
      <c r="GB199" s="311"/>
      <c r="GC199" s="311"/>
      <c r="GD199" s="311"/>
      <c r="GE199" s="311"/>
      <c r="GF199" s="311"/>
      <c r="GG199" s="311"/>
      <c r="GH199" s="311"/>
      <c r="GI199" s="311"/>
      <c r="GJ199" s="311"/>
      <c r="GK199" s="311"/>
      <c r="GL199" s="311"/>
      <c r="GM199" s="311"/>
      <c r="GN199" s="311"/>
      <c r="GO199" s="311"/>
      <c r="GP199" s="311"/>
      <c r="GQ199" s="311"/>
      <c r="GR199" s="311"/>
      <c r="GS199" s="311"/>
      <c r="GT199" s="311"/>
      <c r="GU199" s="311"/>
      <c r="GV199" s="311"/>
      <c r="GW199" s="311"/>
      <c r="GX199" s="311"/>
      <c r="GY199" s="311"/>
      <c r="GZ199" s="311"/>
      <c r="HA199" s="311"/>
      <c r="HB199" s="311"/>
      <c r="HC199" s="311"/>
      <c r="HD199" s="311"/>
      <c r="HE199" s="311"/>
      <c r="HF199" s="311"/>
      <c r="HG199" s="311"/>
      <c r="HH199" s="311"/>
      <c r="HI199" s="311"/>
      <c r="HJ199" s="311"/>
      <c r="HK199" s="311"/>
      <c r="HL199" s="311"/>
      <c r="HM199" s="311"/>
      <c r="HN199" s="311"/>
      <c r="HO199" s="311"/>
      <c r="HP199" s="311"/>
      <c r="HQ199" s="311"/>
      <c r="HR199" s="311"/>
      <c r="HS199" s="311"/>
      <c r="HT199" s="311"/>
      <c r="HU199" s="311"/>
      <c r="HV199" s="311"/>
      <c r="HW199" s="311"/>
      <c r="HX199" s="311"/>
      <c r="HY199" s="311"/>
      <c r="HZ199" s="311"/>
      <c r="IA199" s="311"/>
    </row>
    <row r="200" s="23" customFormat="1" ht="42" customHeight="1" spans="1:235">
      <c r="A200" s="48"/>
      <c r="B200" s="172"/>
      <c r="C200" s="48"/>
      <c r="D200" s="48"/>
      <c r="E200" s="49"/>
      <c r="F200" s="49"/>
      <c r="G200" s="175"/>
      <c r="H200" s="73"/>
      <c r="I200" s="99">
        <v>2581578.51</v>
      </c>
      <c r="J200" s="203">
        <v>269332.9</v>
      </c>
      <c r="K200" s="94">
        <f t="shared" si="63"/>
        <v>2850911.41</v>
      </c>
      <c r="L200" s="113"/>
      <c r="M200" s="113"/>
      <c r="N200" s="113"/>
      <c r="O200" s="113"/>
      <c r="P200" s="49"/>
      <c r="Q200" s="113"/>
      <c r="R200" s="113"/>
      <c r="S200" s="113"/>
      <c r="T200" s="113"/>
      <c r="U200" s="113"/>
      <c r="V200" s="113"/>
      <c r="W200" s="113"/>
      <c r="X200" s="49"/>
      <c r="Y200" s="312"/>
      <c r="Z200" s="312"/>
      <c r="AA200" s="312"/>
      <c r="AB200" s="312"/>
      <c r="AC200" s="312"/>
      <c r="AD200" s="312"/>
      <c r="AE200" s="312"/>
      <c r="AF200" s="312"/>
      <c r="AG200" s="312"/>
      <c r="AH200" s="312"/>
      <c r="AI200" s="312"/>
      <c r="AJ200" s="312"/>
      <c r="AK200" s="312"/>
      <c r="AL200" s="312"/>
      <c r="AM200" s="312"/>
      <c r="AN200" s="312"/>
      <c r="AO200" s="312"/>
      <c r="AP200" s="312"/>
      <c r="AQ200" s="312"/>
      <c r="AR200" s="312"/>
      <c r="AS200" s="312"/>
      <c r="AT200" s="312"/>
      <c r="AU200" s="312"/>
      <c r="AV200" s="312"/>
      <c r="AW200" s="312"/>
      <c r="AX200" s="312"/>
      <c r="AY200" s="312"/>
      <c r="AZ200" s="312"/>
      <c r="BA200" s="312"/>
      <c r="BB200" s="312"/>
      <c r="BC200" s="312"/>
      <c r="BD200" s="312"/>
      <c r="BE200" s="312"/>
      <c r="BF200" s="312"/>
      <c r="BG200" s="312"/>
      <c r="BH200" s="312"/>
      <c r="BI200" s="312"/>
      <c r="BJ200" s="312"/>
      <c r="BK200" s="312"/>
      <c r="BL200" s="312"/>
      <c r="BM200" s="312"/>
      <c r="BN200" s="312"/>
      <c r="BO200" s="312"/>
      <c r="BP200" s="312"/>
      <c r="BQ200" s="312"/>
      <c r="BR200" s="312"/>
      <c r="BS200" s="312"/>
      <c r="BT200" s="312"/>
      <c r="BU200" s="312"/>
      <c r="BV200" s="312"/>
      <c r="BW200" s="312"/>
      <c r="BX200" s="312"/>
      <c r="BY200" s="312"/>
      <c r="BZ200" s="312"/>
      <c r="CA200" s="312"/>
      <c r="CB200" s="312"/>
      <c r="CC200" s="312"/>
      <c r="CD200" s="312"/>
      <c r="CE200" s="312"/>
      <c r="CF200" s="312"/>
      <c r="CG200" s="312"/>
      <c r="CH200" s="312"/>
      <c r="CI200" s="312"/>
      <c r="CJ200" s="312"/>
      <c r="CK200" s="312"/>
      <c r="CL200" s="312"/>
      <c r="CM200" s="312"/>
      <c r="CN200" s="312"/>
      <c r="CO200" s="312"/>
      <c r="CP200" s="312"/>
      <c r="CQ200" s="312"/>
      <c r="CR200" s="312"/>
      <c r="CS200" s="312"/>
      <c r="CT200" s="312"/>
      <c r="CU200" s="312"/>
      <c r="CV200" s="312"/>
      <c r="CW200" s="312"/>
      <c r="CX200" s="312"/>
      <c r="CY200" s="312"/>
      <c r="CZ200" s="312"/>
      <c r="DA200" s="312"/>
      <c r="DB200" s="312"/>
      <c r="DC200" s="312"/>
      <c r="DD200" s="312"/>
      <c r="DE200" s="312"/>
      <c r="DF200" s="312"/>
      <c r="DG200" s="312"/>
      <c r="DH200" s="312"/>
      <c r="DI200" s="312"/>
      <c r="DJ200" s="312"/>
      <c r="DK200" s="312"/>
      <c r="DL200" s="312"/>
      <c r="DM200" s="312"/>
      <c r="DN200" s="312"/>
      <c r="DO200" s="312"/>
      <c r="DP200" s="312"/>
      <c r="DQ200" s="312"/>
      <c r="DR200" s="312"/>
      <c r="DS200" s="312"/>
      <c r="DT200" s="312"/>
      <c r="DU200" s="312"/>
      <c r="DV200" s="312"/>
      <c r="DW200" s="312"/>
      <c r="DX200" s="312"/>
      <c r="DY200" s="312"/>
      <c r="DZ200" s="312"/>
      <c r="EA200" s="312"/>
      <c r="EB200" s="312"/>
      <c r="EC200" s="312"/>
      <c r="ED200" s="312"/>
      <c r="EE200" s="312"/>
      <c r="EF200" s="312"/>
      <c r="EG200" s="312"/>
      <c r="EH200" s="312"/>
      <c r="EI200" s="312"/>
      <c r="EJ200" s="312"/>
      <c r="EK200" s="312"/>
      <c r="EL200" s="312"/>
      <c r="EM200" s="312"/>
      <c r="EN200" s="312"/>
      <c r="EO200" s="312"/>
      <c r="EP200" s="312"/>
      <c r="EQ200" s="312"/>
      <c r="ER200" s="312"/>
      <c r="ES200" s="312"/>
      <c r="ET200" s="312"/>
      <c r="EU200" s="312"/>
      <c r="EV200" s="312"/>
      <c r="EW200" s="312"/>
      <c r="EX200" s="312"/>
      <c r="EY200" s="312"/>
      <c r="EZ200" s="312"/>
      <c r="FA200" s="312"/>
      <c r="FB200" s="312"/>
      <c r="FC200" s="312"/>
      <c r="FD200" s="312"/>
      <c r="FE200" s="312"/>
      <c r="FF200" s="312"/>
      <c r="FG200" s="312"/>
      <c r="FH200" s="312"/>
      <c r="FI200" s="312"/>
      <c r="FJ200" s="312"/>
      <c r="FK200" s="312"/>
      <c r="FL200" s="312"/>
      <c r="FM200" s="312"/>
      <c r="FN200" s="312"/>
      <c r="FO200" s="312"/>
      <c r="FP200" s="312"/>
      <c r="FQ200" s="312"/>
      <c r="FR200" s="312"/>
      <c r="FS200" s="312"/>
      <c r="FT200" s="312"/>
      <c r="FU200" s="312"/>
      <c r="FV200" s="312"/>
      <c r="FW200" s="312"/>
      <c r="FX200" s="312"/>
      <c r="FY200" s="312"/>
      <c r="FZ200" s="312"/>
      <c r="GA200" s="312"/>
      <c r="GB200" s="312"/>
      <c r="GC200" s="312"/>
      <c r="GD200" s="312"/>
      <c r="GE200" s="312"/>
      <c r="GF200" s="312"/>
      <c r="GG200" s="312"/>
      <c r="GH200" s="312"/>
      <c r="GI200" s="312"/>
      <c r="GJ200" s="312"/>
      <c r="GK200" s="312"/>
      <c r="GL200" s="312"/>
      <c r="GM200" s="312"/>
      <c r="GN200" s="312"/>
      <c r="GO200" s="312"/>
      <c r="GP200" s="312"/>
      <c r="GQ200" s="312"/>
      <c r="GR200" s="312"/>
      <c r="GS200" s="312"/>
      <c r="GT200" s="312"/>
      <c r="GU200" s="312"/>
      <c r="GV200" s="312"/>
      <c r="GW200" s="312"/>
      <c r="GX200" s="312"/>
      <c r="GY200" s="312"/>
      <c r="GZ200" s="312"/>
      <c r="HA200" s="312"/>
      <c r="HB200" s="312"/>
      <c r="HC200" s="312"/>
      <c r="HD200" s="312"/>
      <c r="HE200" s="312"/>
      <c r="HF200" s="312"/>
      <c r="HG200" s="312"/>
      <c r="HH200" s="312"/>
      <c r="HI200" s="312"/>
      <c r="HJ200" s="312"/>
      <c r="HK200" s="312"/>
      <c r="HL200" s="312"/>
      <c r="HM200" s="312"/>
      <c r="HN200" s="312"/>
      <c r="HO200" s="312"/>
      <c r="HP200" s="312"/>
      <c r="HQ200" s="312"/>
      <c r="HR200" s="312"/>
      <c r="HS200" s="312"/>
      <c r="HT200" s="312"/>
      <c r="HU200" s="312"/>
      <c r="HV200" s="312"/>
      <c r="HW200" s="312"/>
      <c r="HX200" s="312"/>
      <c r="HY200" s="312"/>
      <c r="HZ200" s="312"/>
      <c r="IA200" s="312"/>
    </row>
    <row r="201" s="23" customFormat="1" ht="42" customHeight="1" spans="1:235">
      <c r="A201" s="48"/>
      <c r="B201" s="172"/>
      <c r="C201" s="48"/>
      <c r="D201" s="48"/>
      <c r="E201" s="49"/>
      <c r="F201" s="49"/>
      <c r="G201" s="175"/>
      <c r="H201" s="73"/>
      <c r="I201" s="99">
        <v>411009.17</v>
      </c>
      <c r="J201" s="203"/>
      <c r="K201" s="94">
        <f t="shared" si="63"/>
        <v>411009.17</v>
      </c>
      <c r="L201" s="113"/>
      <c r="M201" s="113"/>
      <c r="N201" s="113"/>
      <c r="O201" s="113"/>
      <c r="P201" s="49"/>
      <c r="Q201" s="113"/>
      <c r="R201" s="113"/>
      <c r="S201" s="113"/>
      <c r="T201" s="113"/>
      <c r="U201" s="113"/>
      <c r="V201" s="113"/>
      <c r="W201" s="113"/>
      <c r="X201" s="49"/>
      <c r="Y201" s="312"/>
      <c r="Z201" s="312"/>
      <c r="AA201" s="312"/>
      <c r="AB201" s="312"/>
      <c r="AC201" s="312"/>
      <c r="AD201" s="312"/>
      <c r="AE201" s="312"/>
      <c r="AF201" s="312"/>
      <c r="AG201" s="312"/>
      <c r="AH201" s="312"/>
      <c r="AI201" s="312"/>
      <c r="AJ201" s="312"/>
      <c r="AK201" s="312"/>
      <c r="AL201" s="312"/>
      <c r="AM201" s="312"/>
      <c r="AN201" s="312"/>
      <c r="AO201" s="312"/>
      <c r="AP201" s="312"/>
      <c r="AQ201" s="312"/>
      <c r="AR201" s="312"/>
      <c r="AS201" s="312"/>
      <c r="AT201" s="312"/>
      <c r="AU201" s="312"/>
      <c r="AV201" s="312"/>
      <c r="AW201" s="312"/>
      <c r="AX201" s="312"/>
      <c r="AY201" s="312"/>
      <c r="AZ201" s="312"/>
      <c r="BA201" s="312"/>
      <c r="BB201" s="312"/>
      <c r="BC201" s="312"/>
      <c r="BD201" s="312"/>
      <c r="BE201" s="312"/>
      <c r="BF201" s="312"/>
      <c r="BG201" s="312"/>
      <c r="BH201" s="312"/>
      <c r="BI201" s="312"/>
      <c r="BJ201" s="312"/>
      <c r="BK201" s="312"/>
      <c r="BL201" s="312"/>
      <c r="BM201" s="312"/>
      <c r="BN201" s="312"/>
      <c r="BO201" s="312"/>
      <c r="BP201" s="312"/>
      <c r="BQ201" s="312"/>
      <c r="BR201" s="312"/>
      <c r="BS201" s="312"/>
      <c r="BT201" s="312"/>
      <c r="BU201" s="312"/>
      <c r="BV201" s="312"/>
      <c r="BW201" s="312"/>
      <c r="BX201" s="312"/>
      <c r="BY201" s="312"/>
      <c r="BZ201" s="312"/>
      <c r="CA201" s="312"/>
      <c r="CB201" s="312"/>
      <c r="CC201" s="312"/>
      <c r="CD201" s="312"/>
      <c r="CE201" s="312"/>
      <c r="CF201" s="312"/>
      <c r="CG201" s="312"/>
      <c r="CH201" s="312"/>
      <c r="CI201" s="312"/>
      <c r="CJ201" s="312"/>
      <c r="CK201" s="312"/>
      <c r="CL201" s="312"/>
      <c r="CM201" s="312"/>
      <c r="CN201" s="312"/>
      <c r="CO201" s="312"/>
      <c r="CP201" s="312"/>
      <c r="CQ201" s="312"/>
      <c r="CR201" s="312"/>
      <c r="CS201" s="312"/>
      <c r="CT201" s="312"/>
      <c r="CU201" s="312"/>
      <c r="CV201" s="312"/>
      <c r="CW201" s="312"/>
      <c r="CX201" s="312"/>
      <c r="CY201" s="312"/>
      <c r="CZ201" s="312"/>
      <c r="DA201" s="312"/>
      <c r="DB201" s="312"/>
      <c r="DC201" s="312"/>
      <c r="DD201" s="312"/>
      <c r="DE201" s="312"/>
      <c r="DF201" s="312"/>
      <c r="DG201" s="312"/>
      <c r="DH201" s="312"/>
      <c r="DI201" s="312"/>
      <c r="DJ201" s="312"/>
      <c r="DK201" s="312"/>
      <c r="DL201" s="312"/>
      <c r="DM201" s="312"/>
      <c r="DN201" s="312"/>
      <c r="DO201" s="312"/>
      <c r="DP201" s="312"/>
      <c r="DQ201" s="312"/>
      <c r="DR201" s="312"/>
      <c r="DS201" s="312"/>
      <c r="DT201" s="312"/>
      <c r="DU201" s="312"/>
      <c r="DV201" s="312"/>
      <c r="DW201" s="312"/>
      <c r="DX201" s="312"/>
      <c r="DY201" s="312"/>
      <c r="DZ201" s="312"/>
      <c r="EA201" s="312"/>
      <c r="EB201" s="312"/>
      <c r="EC201" s="312"/>
      <c r="ED201" s="312"/>
      <c r="EE201" s="312"/>
      <c r="EF201" s="312"/>
      <c r="EG201" s="312"/>
      <c r="EH201" s="312"/>
      <c r="EI201" s="312"/>
      <c r="EJ201" s="312"/>
      <c r="EK201" s="312"/>
      <c r="EL201" s="312"/>
      <c r="EM201" s="312"/>
      <c r="EN201" s="312"/>
      <c r="EO201" s="312"/>
      <c r="EP201" s="312"/>
      <c r="EQ201" s="312"/>
      <c r="ER201" s="312"/>
      <c r="ES201" s="312"/>
      <c r="ET201" s="312"/>
      <c r="EU201" s="312"/>
      <c r="EV201" s="312"/>
      <c r="EW201" s="312"/>
      <c r="EX201" s="312"/>
      <c r="EY201" s="312"/>
      <c r="EZ201" s="312"/>
      <c r="FA201" s="312"/>
      <c r="FB201" s="312"/>
      <c r="FC201" s="312"/>
      <c r="FD201" s="312"/>
      <c r="FE201" s="312"/>
      <c r="FF201" s="312"/>
      <c r="FG201" s="312"/>
      <c r="FH201" s="312"/>
      <c r="FI201" s="312"/>
      <c r="FJ201" s="312"/>
      <c r="FK201" s="312"/>
      <c r="FL201" s="312"/>
      <c r="FM201" s="312"/>
      <c r="FN201" s="312"/>
      <c r="FO201" s="312"/>
      <c r="FP201" s="312"/>
      <c r="FQ201" s="312"/>
      <c r="FR201" s="312"/>
      <c r="FS201" s="312"/>
      <c r="FT201" s="312"/>
      <c r="FU201" s="312"/>
      <c r="FV201" s="312"/>
      <c r="FW201" s="312"/>
      <c r="FX201" s="312"/>
      <c r="FY201" s="312"/>
      <c r="FZ201" s="312"/>
      <c r="GA201" s="312"/>
      <c r="GB201" s="312"/>
      <c r="GC201" s="312"/>
      <c r="GD201" s="312"/>
      <c r="GE201" s="312"/>
      <c r="GF201" s="312"/>
      <c r="GG201" s="312"/>
      <c r="GH201" s="312"/>
      <c r="GI201" s="312"/>
      <c r="GJ201" s="312"/>
      <c r="GK201" s="312"/>
      <c r="GL201" s="312"/>
      <c r="GM201" s="312"/>
      <c r="GN201" s="312"/>
      <c r="GO201" s="312"/>
      <c r="GP201" s="312"/>
      <c r="GQ201" s="312"/>
      <c r="GR201" s="312"/>
      <c r="GS201" s="312"/>
      <c r="GT201" s="312"/>
      <c r="GU201" s="312"/>
      <c r="GV201" s="312"/>
      <c r="GW201" s="312"/>
      <c r="GX201" s="312"/>
      <c r="GY201" s="312"/>
      <c r="GZ201" s="312"/>
      <c r="HA201" s="312"/>
      <c r="HB201" s="312"/>
      <c r="HC201" s="312"/>
      <c r="HD201" s="312"/>
      <c r="HE201" s="312"/>
      <c r="HF201" s="312"/>
      <c r="HG201" s="312"/>
      <c r="HH201" s="312"/>
      <c r="HI201" s="312"/>
      <c r="HJ201" s="312"/>
      <c r="HK201" s="312"/>
      <c r="HL201" s="312"/>
      <c r="HM201" s="312"/>
      <c r="HN201" s="312"/>
      <c r="HO201" s="312"/>
      <c r="HP201" s="312"/>
      <c r="HQ201" s="312"/>
      <c r="HR201" s="312"/>
      <c r="HS201" s="312"/>
      <c r="HT201" s="312"/>
      <c r="HU201" s="312"/>
      <c r="HV201" s="312"/>
      <c r="HW201" s="312"/>
      <c r="HX201" s="312"/>
      <c r="HY201" s="312"/>
      <c r="HZ201" s="312"/>
      <c r="IA201" s="312"/>
    </row>
    <row r="202" s="23" customFormat="1" ht="42" customHeight="1" spans="1:235">
      <c r="A202" s="48"/>
      <c r="B202" s="172"/>
      <c r="C202" s="48"/>
      <c r="D202" s="48"/>
      <c r="E202" s="49"/>
      <c r="F202" s="49"/>
      <c r="G202" s="175"/>
      <c r="H202" s="73"/>
      <c r="I202" s="99">
        <v>379849.06</v>
      </c>
      <c r="J202" s="99">
        <v>22790.94</v>
      </c>
      <c r="K202" s="94">
        <f t="shared" si="63"/>
        <v>402640</v>
      </c>
      <c r="L202" s="114"/>
      <c r="M202" s="114"/>
      <c r="N202" s="114"/>
      <c r="O202" s="114"/>
      <c r="P202" s="81"/>
      <c r="Q202" s="114"/>
      <c r="R202" s="114"/>
      <c r="S202" s="114"/>
      <c r="T202" s="114"/>
      <c r="U202" s="114"/>
      <c r="V202" s="114"/>
      <c r="W202" s="114"/>
      <c r="X202" s="81"/>
      <c r="Y202" s="312"/>
      <c r="Z202" s="312"/>
      <c r="AA202" s="312"/>
      <c r="AB202" s="312"/>
      <c r="AC202" s="312"/>
      <c r="AD202" s="312"/>
      <c r="AE202" s="312"/>
      <c r="AF202" s="312"/>
      <c r="AG202" s="312"/>
      <c r="AH202" s="312"/>
      <c r="AI202" s="312"/>
      <c r="AJ202" s="312"/>
      <c r="AK202" s="312"/>
      <c r="AL202" s="312"/>
      <c r="AM202" s="312"/>
      <c r="AN202" s="312"/>
      <c r="AO202" s="312"/>
      <c r="AP202" s="312"/>
      <c r="AQ202" s="312"/>
      <c r="AR202" s="312"/>
      <c r="AS202" s="312"/>
      <c r="AT202" s="312"/>
      <c r="AU202" s="312"/>
      <c r="AV202" s="312"/>
      <c r="AW202" s="312"/>
      <c r="AX202" s="312"/>
      <c r="AY202" s="312"/>
      <c r="AZ202" s="312"/>
      <c r="BA202" s="312"/>
      <c r="BB202" s="312"/>
      <c r="BC202" s="312"/>
      <c r="BD202" s="312"/>
      <c r="BE202" s="312"/>
      <c r="BF202" s="312"/>
      <c r="BG202" s="312"/>
      <c r="BH202" s="312"/>
      <c r="BI202" s="312"/>
      <c r="BJ202" s="312"/>
      <c r="BK202" s="312"/>
      <c r="BL202" s="312"/>
      <c r="BM202" s="312"/>
      <c r="BN202" s="312"/>
      <c r="BO202" s="312"/>
      <c r="BP202" s="312"/>
      <c r="BQ202" s="312"/>
      <c r="BR202" s="312"/>
      <c r="BS202" s="312"/>
      <c r="BT202" s="312"/>
      <c r="BU202" s="312"/>
      <c r="BV202" s="312"/>
      <c r="BW202" s="312"/>
      <c r="BX202" s="312"/>
      <c r="BY202" s="312"/>
      <c r="BZ202" s="312"/>
      <c r="CA202" s="312"/>
      <c r="CB202" s="312"/>
      <c r="CC202" s="312"/>
      <c r="CD202" s="312"/>
      <c r="CE202" s="312"/>
      <c r="CF202" s="312"/>
      <c r="CG202" s="312"/>
      <c r="CH202" s="312"/>
      <c r="CI202" s="312"/>
      <c r="CJ202" s="312"/>
      <c r="CK202" s="312"/>
      <c r="CL202" s="312"/>
      <c r="CM202" s="312"/>
      <c r="CN202" s="312"/>
      <c r="CO202" s="312"/>
      <c r="CP202" s="312"/>
      <c r="CQ202" s="312"/>
      <c r="CR202" s="312"/>
      <c r="CS202" s="312"/>
      <c r="CT202" s="312"/>
      <c r="CU202" s="312"/>
      <c r="CV202" s="312"/>
      <c r="CW202" s="312"/>
      <c r="CX202" s="312"/>
      <c r="CY202" s="312"/>
      <c r="CZ202" s="312"/>
      <c r="DA202" s="312"/>
      <c r="DB202" s="312"/>
      <c r="DC202" s="312"/>
      <c r="DD202" s="312"/>
      <c r="DE202" s="312"/>
      <c r="DF202" s="312"/>
      <c r="DG202" s="312"/>
      <c r="DH202" s="312"/>
      <c r="DI202" s="312"/>
      <c r="DJ202" s="312"/>
      <c r="DK202" s="312"/>
      <c r="DL202" s="312"/>
      <c r="DM202" s="312"/>
      <c r="DN202" s="312"/>
      <c r="DO202" s="312"/>
      <c r="DP202" s="312"/>
      <c r="DQ202" s="312"/>
      <c r="DR202" s="312"/>
      <c r="DS202" s="312"/>
      <c r="DT202" s="312"/>
      <c r="DU202" s="312"/>
      <c r="DV202" s="312"/>
      <c r="DW202" s="312"/>
      <c r="DX202" s="312"/>
      <c r="DY202" s="312"/>
      <c r="DZ202" s="312"/>
      <c r="EA202" s="312"/>
      <c r="EB202" s="312"/>
      <c r="EC202" s="312"/>
      <c r="ED202" s="312"/>
      <c r="EE202" s="312"/>
      <c r="EF202" s="312"/>
      <c r="EG202" s="312"/>
      <c r="EH202" s="312"/>
      <c r="EI202" s="312"/>
      <c r="EJ202" s="312"/>
      <c r="EK202" s="312"/>
      <c r="EL202" s="312"/>
      <c r="EM202" s="312"/>
      <c r="EN202" s="312"/>
      <c r="EO202" s="312"/>
      <c r="EP202" s="312"/>
      <c r="EQ202" s="312"/>
      <c r="ER202" s="312"/>
      <c r="ES202" s="312"/>
      <c r="ET202" s="312"/>
      <c r="EU202" s="312"/>
      <c r="EV202" s="312"/>
      <c r="EW202" s="312"/>
      <c r="EX202" s="312"/>
      <c r="EY202" s="312"/>
      <c r="EZ202" s="312"/>
      <c r="FA202" s="312"/>
      <c r="FB202" s="312"/>
      <c r="FC202" s="312"/>
      <c r="FD202" s="312"/>
      <c r="FE202" s="312"/>
      <c r="FF202" s="312"/>
      <c r="FG202" s="312"/>
      <c r="FH202" s="312"/>
      <c r="FI202" s="312"/>
      <c r="FJ202" s="312"/>
      <c r="FK202" s="312"/>
      <c r="FL202" s="312"/>
      <c r="FM202" s="312"/>
      <c r="FN202" s="312"/>
      <c r="FO202" s="312"/>
      <c r="FP202" s="312"/>
      <c r="FQ202" s="312"/>
      <c r="FR202" s="312"/>
      <c r="FS202" s="312"/>
      <c r="FT202" s="312"/>
      <c r="FU202" s="312"/>
      <c r="FV202" s="312"/>
      <c r="FW202" s="312"/>
      <c r="FX202" s="312"/>
      <c r="FY202" s="312"/>
      <c r="FZ202" s="312"/>
      <c r="GA202" s="312"/>
      <c r="GB202" s="312"/>
      <c r="GC202" s="312"/>
      <c r="GD202" s="312"/>
      <c r="GE202" s="312"/>
      <c r="GF202" s="312"/>
      <c r="GG202" s="312"/>
      <c r="GH202" s="312"/>
      <c r="GI202" s="312"/>
      <c r="GJ202" s="312"/>
      <c r="GK202" s="312"/>
      <c r="GL202" s="312"/>
      <c r="GM202" s="312"/>
      <c r="GN202" s="312"/>
      <c r="GO202" s="312"/>
      <c r="GP202" s="312"/>
      <c r="GQ202" s="312"/>
      <c r="GR202" s="312"/>
      <c r="GS202" s="312"/>
      <c r="GT202" s="312"/>
      <c r="GU202" s="312"/>
      <c r="GV202" s="312"/>
      <c r="GW202" s="312"/>
      <c r="GX202" s="312"/>
      <c r="GY202" s="312"/>
      <c r="GZ202" s="312"/>
      <c r="HA202" s="312"/>
      <c r="HB202" s="312"/>
      <c r="HC202" s="312"/>
      <c r="HD202" s="312"/>
      <c r="HE202" s="312"/>
      <c r="HF202" s="312"/>
      <c r="HG202" s="312"/>
      <c r="HH202" s="312"/>
      <c r="HI202" s="312"/>
      <c r="HJ202" s="312"/>
      <c r="HK202" s="312"/>
      <c r="HL202" s="312"/>
      <c r="HM202" s="312"/>
      <c r="HN202" s="312"/>
      <c r="HO202" s="312"/>
      <c r="HP202" s="312"/>
      <c r="HQ202" s="312"/>
      <c r="HR202" s="312"/>
      <c r="HS202" s="312"/>
      <c r="HT202" s="312"/>
      <c r="HU202" s="312"/>
      <c r="HV202" s="312"/>
      <c r="HW202" s="312"/>
      <c r="HX202" s="312"/>
      <c r="HY202" s="312"/>
      <c r="HZ202" s="312"/>
      <c r="IA202" s="312"/>
    </row>
    <row r="203" s="23" customFormat="1" ht="42" customHeight="1" spans="1:235">
      <c r="A203" s="153"/>
      <c r="B203" s="254"/>
      <c r="C203" s="153"/>
      <c r="D203" s="153"/>
      <c r="E203" s="81"/>
      <c r="F203" s="81"/>
      <c r="G203" s="255" t="s">
        <v>385</v>
      </c>
      <c r="H203" s="76" t="s">
        <v>386</v>
      </c>
      <c r="I203" s="118">
        <v>2255101.87</v>
      </c>
      <c r="J203" s="118">
        <v>0</v>
      </c>
      <c r="K203" s="101">
        <v>2255101.87</v>
      </c>
      <c r="L203" s="202"/>
      <c r="M203" s="202"/>
      <c r="N203" s="202"/>
      <c r="O203" s="202"/>
      <c r="P203" s="106"/>
      <c r="Q203" s="114"/>
      <c r="R203" s="114"/>
      <c r="S203" s="114">
        <f>K203</f>
        <v>2255101.87</v>
      </c>
      <c r="T203" s="114"/>
      <c r="U203" s="114">
        <f>0</f>
        <v>0</v>
      </c>
      <c r="V203" s="114"/>
      <c r="W203" s="114">
        <f t="shared" si="62"/>
        <v>2255101.87</v>
      </c>
      <c r="X203" s="81"/>
      <c r="Y203" s="312"/>
      <c r="Z203" s="312"/>
      <c r="AA203" s="312"/>
      <c r="AB203" s="312"/>
      <c r="AC203" s="312"/>
      <c r="AD203" s="312"/>
      <c r="AE203" s="312"/>
      <c r="AF203" s="312"/>
      <c r="AG203" s="312"/>
      <c r="AH203" s="312"/>
      <c r="AI203" s="312"/>
      <c r="AJ203" s="312"/>
      <c r="AK203" s="312"/>
      <c r="AL203" s="312"/>
      <c r="AM203" s="312"/>
      <c r="AN203" s="312"/>
      <c r="AO203" s="312"/>
      <c r="AP203" s="312"/>
      <c r="AQ203" s="312"/>
      <c r="AR203" s="312"/>
      <c r="AS203" s="312"/>
      <c r="AT203" s="312"/>
      <c r="AU203" s="312"/>
      <c r="AV203" s="312"/>
      <c r="AW203" s="312"/>
      <c r="AX203" s="312"/>
      <c r="AY203" s="312"/>
      <c r="AZ203" s="312"/>
      <c r="BA203" s="312"/>
      <c r="BB203" s="312"/>
      <c r="BC203" s="312"/>
      <c r="BD203" s="312"/>
      <c r="BE203" s="312"/>
      <c r="BF203" s="312"/>
      <c r="BG203" s="312"/>
      <c r="BH203" s="312"/>
      <c r="BI203" s="312"/>
      <c r="BJ203" s="312"/>
      <c r="BK203" s="312"/>
      <c r="BL203" s="312"/>
      <c r="BM203" s="312"/>
      <c r="BN203" s="312"/>
      <c r="BO203" s="312"/>
      <c r="BP203" s="312"/>
      <c r="BQ203" s="312"/>
      <c r="BR203" s="312"/>
      <c r="BS203" s="312"/>
      <c r="BT203" s="312"/>
      <c r="BU203" s="312"/>
      <c r="BV203" s="312"/>
      <c r="BW203" s="312"/>
      <c r="BX203" s="312"/>
      <c r="BY203" s="312"/>
      <c r="BZ203" s="312"/>
      <c r="CA203" s="312"/>
      <c r="CB203" s="312"/>
      <c r="CC203" s="312"/>
      <c r="CD203" s="312"/>
      <c r="CE203" s="312"/>
      <c r="CF203" s="312"/>
      <c r="CG203" s="312"/>
      <c r="CH203" s="312"/>
      <c r="CI203" s="312"/>
      <c r="CJ203" s="312"/>
      <c r="CK203" s="312"/>
      <c r="CL203" s="312"/>
      <c r="CM203" s="312"/>
      <c r="CN203" s="312"/>
      <c r="CO203" s="312"/>
      <c r="CP203" s="312"/>
      <c r="CQ203" s="312"/>
      <c r="CR203" s="312"/>
      <c r="CS203" s="312"/>
      <c r="CT203" s="312"/>
      <c r="CU203" s="312"/>
      <c r="CV203" s="312"/>
      <c r="CW203" s="312"/>
      <c r="CX203" s="312"/>
      <c r="CY203" s="312"/>
      <c r="CZ203" s="312"/>
      <c r="DA203" s="312"/>
      <c r="DB203" s="312"/>
      <c r="DC203" s="312"/>
      <c r="DD203" s="312"/>
      <c r="DE203" s="312"/>
      <c r="DF203" s="312"/>
      <c r="DG203" s="312"/>
      <c r="DH203" s="312"/>
      <c r="DI203" s="312"/>
      <c r="DJ203" s="312"/>
      <c r="DK203" s="312"/>
      <c r="DL203" s="312"/>
      <c r="DM203" s="312"/>
      <c r="DN203" s="312"/>
      <c r="DO203" s="312"/>
      <c r="DP203" s="312"/>
      <c r="DQ203" s="312"/>
      <c r="DR203" s="312"/>
      <c r="DS203" s="312"/>
      <c r="DT203" s="312"/>
      <c r="DU203" s="312"/>
      <c r="DV203" s="312"/>
      <c r="DW203" s="312"/>
      <c r="DX203" s="312"/>
      <c r="DY203" s="312"/>
      <c r="DZ203" s="312"/>
      <c r="EA203" s="312"/>
      <c r="EB203" s="312"/>
      <c r="EC203" s="312"/>
      <c r="ED203" s="312"/>
      <c r="EE203" s="312"/>
      <c r="EF203" s="312"/>
      <c r="EG203" s="312"/>
      <c r="EH203" s="312"/>
      <c r="EI203" s="312"/>
      <c r="EJ203" s="312"/>
      <c r="EK203" s="312"/>
      <c r="EL203" s="312"/>
      <c r="EM203" s="312"/>
      <c r="EN203" s="312"/>
      <c r="EO203" s="312"/>
      <c r="EP203" s="312"/>
      <c r="EQ203" s="312"/>
      <c r="ER203" s="312"/>
      <c r="ES203" s="312"/>
      <c r="ET203" s="312"/>
      <c r="EU203" s="312"/>
      <c r="EV203" s="312"/>
      <c r="EW203" s="312"/>
      <c r="EX203" s="312"/>
      <c r="EY203" s="312"/>
      <c r="EZ203" s="312"/>
      <c r="FA203" s="312"/>
      <c r="FB203" s="312"/>
      <c r="FC203" s="312"/>
      <c r="FD203" s="312"/>
      <c r="FE203" s="312"/>
      <c r="FF203" s="312"/>
      <c r="FG203" s="312"/>
      <c r="FH203" s="312"/>
      <c r="FI203" s="312"/>
      <c r="FJ203" s="312"/>
      <c r="FK203" s="312"/>
      <c r="FL203" s="312"/>
      <c r="FM203" s="312"/>
      <c r="FN203" s="312"/>
      <c r="FO203" s="312"/>
      <c r="FP203" s="312"/>
      <c r="FQ203" s="312"/>
      <c r="FR203" s="312"/>
      <c r="FS203" s="312"/>
      <c r="FT203" s="312"/>
      <c r="FU203" s="312"/>
      <c r="FV203" s="312"/>
      <c r="FW203" s="312"/>
      <c r="FX203" s="312"/>
      <c r="FY203" s="312"/>
      <c r="FZ203" s="312"/>
      <c r="GA203" s="312"/>
      <c r="GB203" s="312"/>
      <c r="GC203" s="312"/>
      <c r="GD203" s="312"/>
      <c r="GE203" s="312"/>
      <c r="GF203" s="312"/>
      <c r="GG203" s="312"/>
      <c r="GH203" s="312"/>
      <c r="GI203" s="312"/>
      <c r="GJ203" s="312"/>
      <c r="GK203" s="312"/>
      <c r="GL203" s="312"/>
      <c r="GM203" s="312"/>
      <c r="GN203" s="312"/>
      <c r="GO203" s="312"/>
      <c r="GP203" s="312"/>
      <c r="GQ203" s="312"/>
      <c r="GR203" s="312"/>
      <c r="GS203" s="312"/>
      <c r="GT203" s="312"/>
      <c r="GU203" s="312"/>
      <c r="GV203" s="312"/>
      <c r="GW203" s="312"/>
      <c r="GX203" s="312"/>
      <c r="GY203" s="312"/>
      <c r="GZ203" s="312"/>
      <c r="HA203" s="312"/>
      <c r="HB203" s="312"/>
      <c r="HC203" s="312"/>
      <c r="HD203" s="312"/>
      <c r="HE203" s="312"/>
      <c r="HF203" s="312"/>
      <c r="HG203" s="312"/>
      <c r="HH203" s="312"/>
      <c r="HI203" s="312"/>
      <c r="HJ203" s="312"/>
      <c r="HK203" s="312"/>
      <c r="HL203" s="312"/>
      <c r="HM203" s="312"/>
      <c r="HN203" s="312"/>
      <c r="HO203" s="312"/>
      <c r="HP203" s="312"/>
      <c r="HQ203" s="312"/>
      <c r="HR203" s="312"/>
      <c r="HS203" s="312"/>
      <c r="HT203" s="312"/>
      <c r="HU203" s="312"/>
      <c r="HV203" s="312"/>
      <c r="HW203" s="312"/>
      <c r="HX203" s="312"/>
      <c r="HY203" s="312"/>
      <c r="HZ203" s="312"/>
      <c r="IA203" s="312"/>
    </row>
    <row r="204" s="23" customFormat="1" ht="45" customHeight="1" spans="1:24">
      <c r="A204" s="156">
        <v>26</v>
      </c>
      <c r="B204" s="157" t="s">
        <v>222</v>
      </c>
      <c r="C204" s="158"/>
      <c r="D204" s="157" t="s">
        <v>223</v>
      </c>
      <c r="E204" s="145">
        <v>104523.9</v>
      </c>
      <c r="F204" s="145"/>
      <c r="G204" s="66" t="s">
        <v>224</v>
      </c>
      <c r="H204" s="66" t="s">
        <v>225</v>
      </c>
      <c r="I204" s="94">
        <v>104523.9</v>
      </c>
      <c r="J204" s="94">
        <v>0</v>
      </c>
      <c r="K204" s="94">
        <f t="shared" ref="K204:K208" si="64">I204+J204</f>
        <v>104523.9</v>
      </c>
      <c r="L204" s="94"/>
      <c r="M204" s="94"/>
      <c r="N204" s="94"/>
      <c r="O204" s="94"/>
      <c r="P204" s="94"/>
      <c r="Q204" s="94"/>
      <c r="R204" s="94"/>
      <c r="S204" s="94">
        <f t="shared" ref="S204:S209" si="65">K204-L204-M204-N204-O204+R204</f>
        <v>104523.9</v>
      </c>
      <c r="T204" s="108">
        <v>0</v>
      </c>
      <c r="U204" s="94">
        <f>K204</f>
        <v>104523.9</v>
      </c>
      <c r="V204" s="94"/>
      <c r="W204" s="94">
        <f t="shared" si="62"/>
        <v>0</v>
      </c>
      <c r="X204" s="145"/>
    </row>
    <row r="205" s="22" customFormat="1" ht="40.9" spans="1:235">
      <c r="A205" s="156">
        <v>23</v>
      </c>
      <c r="B205" s="157" t="s">
        <v>226</v>
      </c>
      <c r="C205" s="158" t="s">
        <v>227</v>
      </c>
      <c r="D205" s="157" t="s">
        <v>228</v>
      </c>
      <c r="E205" s="256">
        <v>7588343.88</v>
      </c>
      <c r="F205" s="256"/>
      <c r="G205" s="74" t="s">
        <v>229</v>
      </c>
      <c r="H205" s="74" t="s">
        <v>230</v>
      </c>
      <c r="I205" s="99">
        <v>6715348.57</v>
      </c>
      <c r="J205" s="99">
        <v>872995.31</v>
      </c>
      <c r="K205" s="94">
        <f>J205+I205</f>
        <v>7588343.88</v>
      </c>
      <c r="L205" s="94"/>
      <c r="M205" s="94">
        <v>379417.19</v>
      </c>
      <c r="N205" s="94"/>
      <c r="O205" s="94"/>
      <c r="P205" s="94"/>
      <c r="Q205" s="94"/>
      <c r="R205" s="94"/>
      <c r="S205" s="94">
        <f t="shared" si="65"/>
        <v>7208926.69</v>
      </c>
      <c r="T205" s="108">
        <v>0</v>
      </c>
      <c r="U205" s="302">
        <v>7208926.69</v>
      </c>
      <c r="V205" s="302"/>
      <c r="W205" s="94">
        <f t="shared" si="62"/>
        <v>0</v>
      </c>
      <c r="X205" s="145"/>
      <c r="Y205" s="313"/>
      <c r="Z205" s="313"/>
      <c r="AA205" s="313"/>
      <c r="AB205" s="313"/>
      <c r="AC205" s="313"/>
      <c r="AD205" s="313"/>
      <c r="AE205" s="313"/>
      <c r="AF205" s="313"/>
      <c r="AG205" s="313"/>
      <c r="AH205" s="313"/>
      <c r="AI205" s="313"/>
      <c r="AJ205" s="313"/>
      <c r="AK205" s="313"/>
      <c r="AL205" s="313"/>
      <c r="AM205" s="313"/>
      <c r="AN205" s="313"/>
      <c r="AO205" s="313"/>
      <c r="AP205" s="313"/>
      <c r="AQ205" s="313"/>
      <c r="AR205" s="313"/>
      <c r="AS205" s="313"/>
      <c r="AT205" s="313"/>
      <c r="AU205" s="313"/>
      <c r="AV205" s="313"/>
      <c r="AW205" s="313"/>
      <c r="AX205" s="313"/>
      <c r="AY205" s="313"/>
      <c r="AZ205" s="313"/>
      <c r="BA205" s="313"/>
      <c r="BB205" s="313"/>
      <c r="BC205" s="313"/>
      <c r="BD205" s="313"/>
      <c r="BE205" s="313"/>
      <c r="BF205" s="313"/>
      <c r="BG205" s="313"/>
      <c r="BH205" s="313"/>
      <c r="BI205" s="313"/>
      <c r="BJ205" s="313"/>
      <c r="BK205" s="313"/>
      <c r="BL205" s="313"/>
      <c r="BM205" s="313"/>
      <c r="BN205" s="313"/>
      <c r="BO205" s="313"/>
      <c r="BP205" s="313"/>
      <c r="BQ205" s="313"/>
      <c r="BR205" s="313"/>
      <c r="BS205" s="313"/>
      <c r="BT205" s="313"/>
      <c r="BU205" s="313"/>
      <c r="BV205" s="313"/>
      <c r="BW205" s="313"/>
      <c r="BX205" s="313"/>
      <c r="BY205" s="313"/>
      <c r="BZ205" s="313"/>
      <c r="CA205" s="313"/>
      <c r="CB205" s="313"/>
      <c r="CC205" s="313"/>
      <c r="CD205" s="313"/>
      <c r="CE205" s="313"/>
      <c r="CF205" s="313"/>
      <c r="CG205" s="313"/>
      <c r="CH205" s="313"/>
      <c r="CI205" s="313"/>
      <c r="CJ205" s="313"/>
      <c r="CK205" s="313"/>
      <c r="CL205" s="313"/>
      <c r="CM205" s="313"/>
      <c r="CN205" s="313"/>
      <c r="CO205" s="313"/>
      <c r="CP205" s="313"/>
      <c r="CQ205" s="313"/>
      <c r="CR205" s="313"/>
      <c r="CS205" s="313"/>
      <c r="CT205" s="313"/>
      <c r="CU205" s="313"/>
      <c r="CV205" s="313"/>
      <c r="CW205" s="313"/>
      <c r="CX205" s="313"/>
      <c r="CY205" s="313"/>
      <c r="CZ205" s="313"/>
      <c r="DA205" s="313"/>
      <c r="DB205" s="313"/>
      <c r="DC205" s="313"/>
      <c r="DD205" s="313"/>
      <c r="DE205" s="313"/>
      <c r="DF205" s="313"/>
      <c r="DG205" s="313"/>
      <c r="DH205" s="313"/>
      <c r="DI205" s="313"/>
      <c r="DJ205" s="313"/>
      <c r="DK205" s="313"/>
      <c r="DL205" s="313"/>
      <c r="DM205" s="313"/>
      <c r="DN205" s="313"/>
      <c r="DO205" s="313"/>
      <c r="DP205" s="313"/>
      <c r="DQ205" s="313"/>
      <c r="DR205" s="313"/>
      <c r="DS205" s="313"/>
      <c r="DT205" s="313"/>
      <c r="DU205" s="313"/>
      <c r="DV205" s="313"/>
      <c r="DW205" s="313"/>
      <c r="DX205" s="313"/>
      <c r="DY205" s="313"/>
      <c r="DZ205" s="313"/>
      <c r="EA205" s="313"/>
      <c r="EB205" s="313"/>
      <c r="EC205" s="313"/>
      <c r="ED205" s="313"/>
      <c r="EE205" s="313"/>
      <c r="EF205" s="313"/>
      <c r="EG205" s="313"/>
      <c r="EH205" s="313"/>
      <c r="EI205" s="313"/>
      <c r="EJ205" s="313"/>
      <c r="EK205" s="313"/>
      <c r="EL205" s="313"/>
      <c r="EM205" s="313"/>
      <c r="EN205" s="313"/>
      <c r="EO205" s="313"/>
      <c r="EP205" s="313"/>
      <c r="EQ205" s="313"/>
      <c r="ER205" s="313"/>
      <c r="ES205" s="313"/>
      <c r="ET205" s="313"/>
      <c r="EU205" s="313"/>
      <c r="EV205" s="313"/>
      <c r="EW205" s="313"/>
      <c r="EX205" s="313"/>
      <c r="EY205" s="313"/>
      <c r="EZ205" s="313"/>
      <c r="FA205" s="313"/>
      <c r="FB205" s="313"/>
      <c r="FC205" s="313"/>
      <c r="FD205" s="313"/>
      <c r="FE205" s="313"/>
      <c r="FF205" s="313"/>
      <c r="FG205" s="313"/>
      <c r="FH205" s="313"/>
      <c r="FI205" s="313"/>
      <c r="FJ205" s="313"/>
      <c r="FK205" s="313"/>
      <c r="FL205" s="313"/>
      <c r="FM205" s="313"/>
      <c r="FN205" s="313"/>
      <c r="FO205" s="313"/>
      <c r="FP205" s="313"/>
      <c r="FQ205" s="313"/>
      <c r="FR205" s="313"/>
      <c r="FS205" s="313"/>
      <c r="FT205" s="313"/>
      <c r="FU205" s="313"/>
      <c r="FV205" s="313"/>
      <c r="FW205" s="313"/>
      <c r="FX205" s="313"/>
      <c r="FY205" s="313"/>
      <c r="FZ205" s="313"/>
      <c r="GA205" s="313"/>
      <c r="GB205" s="313"/>
      <c r="GC205" s="313"/>
      <c r="GD205" s="313"/>
      <c r="GE205" s="313"/>
      <c r="GF205" s="313"/>
      <c r="GG205" s="313"/>
      <c r="GH205" s="313"/>
      <c r="GI205" s="313"/>
      <c r="GJ205" s="313"/>
      <c r="GK205" s="313"/>
      <c r="GL205" s="313"/>
      <c r="GM205" s="313"/>
      <c r="GN205" s="313"/>
      <c r="GO205" s="313"/>
      <c r="GP205" s="313"/>
      <c r="GQ205" s="313"/>
      <c r="GR205" s="313"/>
      <c r="GS205" s="313"/>
      <c r="GT205" s="313"/>
      <c r="GU205" s="313"/>
      <c r="GV205" s="313"/>
      <c r="GW205" s="313"/>
      <c r="GX205" s="313"/>
      <c r="GY205" s="313"/>
      <c r="GZ205" s="313"/>
      <c r="HA205" s="313"/>
      <c r="HB205" s="313"/>
      <c r="HC205" s="313"/>
      <c r="HD205" s="313"/>
      <c r="HE205" s="313"/>
      <c r="HF205" s="313"/>
      <c r="HG205" s="313"/>
      <c r="HH205" s="313"/>
      <c r="HI205" s="313"/>
      <c r="HJ205" s="313"/>
      <c r="HK205" s="313"/>
      <c r="HL205" s="313"/>
      <c r="HM205" s="313"/>
      <c r="HN205" s="313"/>
      <c r="HO205" s="313"/>
      <c r="HP205" s="313"/>
      <c r="HQ205" s="313"/>
      <c r="HR205" s="313"/>
      <c r="HS205" s="313"/>
      <c r="HT205" s="313"/>
      <c r="HU205" s="313"/>
      <c r="HV205" s="313"/>
      <c r="HW205" s="313"/>
      <c r="HX205" s="313"/>
      <c r="HY205" s="313"/>
      <c r="HZ205" s="313"/>
      <c r="IA205" s="313"/>
    </row>
    <row r="206" s="22" customFormat="1" ht="40.5" spans="1:24">
      <c r="A206" s="156">
        <v>24</v>
      </c>
      <c r="B206" s="157" t="s">
        <v>231</v>
      </c>
      <c r="C206" s="158" t="s">
        <v>232</v>
      </c>
      <c r="D206" s="157" t="s">
        <v>233</v>
      </c>
      <c r="E206" s="145">
        <v>371000</v>
      </c>
      <c r="F206" s="145"/>
      <c r="G206" s="72" t="s">
        <v>234</v>
      </c>
      <c r="H206" s="66" t="s">
        <v>235</v>
      </c>
      <c r="I206" s="94">
        <f>K206-J206</f>
        <v>349999.99</v>
      </c>
      <c r="J206" s="94">
        <v>21000.01</v>
      </c>
      <c r="K206" s="94">
        <v>371000</v>
      </c>
      <c r="L206" s="94">
        <v>0</v>
      </c>
      <c r="M206" s="94">
        <v>0</v>
      </c>
      <c r="N206" s="94">
        <v>0</v>
      </c>
      <c r="O206" s="94">
        <v>0</v>
      </c>
      <c r="P206" s="94"/>
      <c r="Q206" s="94"/>
      <c r="R206" s="94">
        <v>0</v>
      </c>
      <c r="S206" s="94">
        <f t="shared" si="65"/>
        <v>371000</v>
      </c>
      <c r="T206" s="108">
        <v>0</v>
      </c>
      <c r="U206" s="94">
        <v>371000</v>
      </c>
      <c r="V206" s="94"/>
      <c r="W206" s="94">
        <f t="shared" si="62"/>
        <v>0</v>
      </c>
      <c r="X206" s="145"/>
    </row>
    <row r="207" s="22" customFormat="1" ht="61" customHeight="1" spans="1:24">
      <c r="A207" s="156">
        <v>25</v>
      </c>
      <c r="B207" s="157" t="s">
        <v>236</v>
      </c>
      <c r="C207" s="158" t="s">
        <v>237</v>
      </c>
      <c r="D207" s="165" t="s">
        <v>154</v>
      </c>
      <c r="E207" s="145">
        <v>98000</v>
      </c>
      <c r="F207" s="145"/>
      <c r="G207" s="72" t="s">
        <v>238</v>
      </c>
      <c r="H207" s="66" t="s">
        <v>239</v>
      </c>
      <c r="I207" s="94">
        <f>98000-J207</f>
        <v>92452.83</v>
      </c>
      <c r="J207" s="94">
        <v>5547.17</v>
      </c>
      <c r="K207" s="94">
        <f t="shared" si="64"/>
        <v>98000</v>
      </c>
      <c r="L207" s="94"/>
      <c r="M207" s="94"/>
      <c r="N207" s="94"/>
      <c r="O207" s="94"/>
      <c r="P207" s="94"/>
      <c r="Q207" s="94"/>
      <c r="R207" s="94"/>
      <c r="S207" s="94">
        <f t="shared" si="65"/>
        <v>98000</v>
      </c>
      <c r="T207" s="108">
        <v>0</v>
      </c>
      <c r="U207" s="94">
        <f>K207+R207</f>
        <v>98000</v>
      </c>
      <c r="V207" s="94"/>
      <c r="W207" s="94">
        <f t="shared" si="62"/>
        <v>0</v>
      </c>
      <c r="X207" s="145"/>
    </row>
    <row r="208" s="23" customFormat="1" ht="45" customHeight="1" spans="1:24">
      <c r="A208" s="156">
        <v>26</v>
      </c>
      <c r="B208" s="157" t="s">
        <v>166</v>
      </c>
      <c r="C208" s="257" t="s">
        <v>240</v>
      </c>
      <c r="D208" s="157" t="s">
        <v>168</v>
      </c>
      <c r="E208" s="258">
        <v>9654.85</v>
      </c>
      <c r="F208" s="258"/>
      <c r="G208" s="50" t="s">
        <v>241</v>
      </c>
      <c r="H208" s="50" t="s">
        <v>242</v>
      </c>
      <c r="I208" s="108">
        <v>9108.34905660377</v>
      </c>
      <c r="J208" s="108">
        <v>546.5</v>
      </c>
      <c r="K208" s="94">
        <f t="shared" si="64"/>
        <v>9654.84905660377</v>
      </c>
      <c r="L208" s="94">
        <v>0</v>
      </c>
      <c r="M208" s="94">
        <v>0</v>
      </c>
      <c r="N208" s="94">
        <v>0</v>
      </c>
      <c r="O208" s="94">
        <v>0</v>
      </c>
      <c r="P208" s="94"/>
      <c r="Q208" s="94"/>
      <c r="R208" s="94">
        <v>0</v>
      </c>
      <c r="S208" s="94">
        <f t="shared" si="65"/>
        <v>9654.84905660377</v>
      </c>
      <c r="T208" s="108">
        <v>0</v>
      </c>
      <c r="U208" s="108">
        <v>9654.85</v>
      </c>
      <c r="V208" s="108"/>
      <c r="W208" s="94">
        <f t="shared" si="62"/>
        <v>-0.000943396225920878</v>
      </c>
      <c r="X208" s="145"/>
    </row>
    <row r="209" s="23" customFormat="1" ht="45" customHeight="1" spans="1:24">
      <c r="A209" s="43">
        <v>27</v>
      </c>
      <c r="B209" s="259" t="s">
        <v>318</v>
      </c>
      <c r="C209" s="259"/>
      <c r="D209" s="259" t="s">
        <v>244</v>
      </c>
      <c r="E209" s="69">
        <v>722880</v>
      </c>
      <c r="F209" s="69"/>
      <c r="G209" s="74" t="s">
        <v>245</v>
      </c>
      <c r="H209" s="74" t="s">
        <v>246</v>
      </c>
      <c r="I209" s="94">
        <v>575745.13</v>
      </c>
      <c r="J209" s="94">
        <f>K209-I209</f>
        <v>74846.87</v>
      </c>
      <c r="K209" s="94">
        <v>650592</v>
      </c>
      <c r="L209" s="94">
        <v>0</v>
      </c>
      <c r="M209" s="94">
        <v>0</v>
      </c>
      <c r="N209" s="94">
        <v>0</v>
      </c>
      <c r="O209" s="94">
        <v>72288</v>
      </c>
      <c r="P209" s="94"/>
      <c r="Q209" s="94"/>
      <c r="R209" s="108">
        <v>0</v>
      </c>
      <c r="S209" s="94">
        <f t="shared" si="65"/>
        <v>578304</v>
      </c>
      <c r="T209" s="108">
        <v>0</v>
      </c>
      <c r="U209" s="108">
        <v>379417.19</v>
      </c>
      <c r="V209" s="108"/>
      <c r="W209" s="94">
        <f t="shared" si="62"/>
        <v>198886.81</v>
      </c>
      <c r="X209" s="145"/>
    </row>
    <row r="210" s="23" customFormat="1" ht="45" customHeight="1" spans="1:24">
      <c r="A210" s="153"/>
      <c r="B210" s="260"/>
      <c r="C210" s="261"/>
      <c r="D210" s="261"/>
      <c r="E210" s="71"/>
      <c r="F210" s="71"/>
      <c r="G210" s="76" t="s">
        <v>387</v>
      </c>
      <c r="H210" s="76" t="s">
        <v>388</v>
      </c>
      <c r="I210" s="101">
        <v>63971.68</v>
      </c>
      <c r="J210" s="101"/>
      <c r="K210" s="101">
        <f>I210</f>
        <v>63971.68</v>
      </c>
      <c r="L210" s="101"/>
      <c r="M210" s="101"/>
      <c r="N210" s="101"/>
      <c r="O210" s="101"/>
      <c r="P210" s="101"/>
      <c r="Q210" s="94"/>
      <c r="R210" s="108"/>
      <c r="S210" s="101">
        <v>63971.68</v>
      </c>
      <c r="T210" s="108"/>
      <c r="U210" s="108"/>
      <c r="V210" s="108"/>
      <c r="W210" s="309">
        <f t="shared" ref="W210:W212" si="66">S210</f>
        <v>63971.68</v>
      </c>
      <c r="X210" s="145"/>
    </row>
    <row r="211" s="23" customFormat="1" ht="45" customHeight="1" spans="1:24">
      <c r="A211" s="156"/>
      <c r="B211" s="262" t="s">
        <v>389</v>
      </c>
      <c r="C211" s="166"/>
      <c r="D211" s="166" t="s">
        <v>49</v>
      </c>
      <c r="E211" s="47"/>
      <c r="F211" s="47"/>
      <c r="G211" s="76" t="s">
        <v>385</v>
      </c>
      <c r="H211" s="76" t="s">
        <v>390</v>
      </c>
      <c r="I211" s="101">
        <v>225148.11</v>
      </c>
      <c r="J211" s="101"/>
      <c r="K211" s="101">
        <f>I211</f>
        <v>225148.11</v>
      </c>
      <c r="L211" s="101"/>
      <c r="M211" s="101"/>
      <c r="N211" s="101"/>
      <c r="O211" s="101"/>
      <c r="P211" s="101"/>
      <c r="Q211" s="94"/>
      <c r="R211" s="108"/>
      <c r="S211" s="101">
        <f>K211</f>
        <v>225148.11</v>
      </c>
      <c r="T211" s="108"/>
      <c r="U211" s="108"/>
      <c r="V211" s="108"/>
      <c r="W211" s="309">
        <f t="shared" si="66"/>
        <v>225148.11</v>
      </c>
      <c r="X211" s="145"/>
    </row>
    <row r="212" s="23" customFormat="1" ht="45" customHeight="1" spans="1:24">
      <c r="A212" s="156"/>
      <c r="B212" s="262" t="s">
        <v>391</v>
      </c>
      <c r="C212" s="166"/>
      <c r="D212" s="166" t="s">
        <v>103</v>
      </c>
      <c r="E212" s="47"/>
      <c r="F212" s="47"/>
      <c r="G212" s="76" t="s">
        <v>392</v>
      </c>
      <c r="H212" s="76" t="s">
        <v>393</v>
      </c>
      <c r="I212" s="101">
        <v>61320.75</v>
      </c>
      <c r="J212" s="101"/>
      <c r="K212" s="101">
        <f t="shared" ref="K212:K230" si="67">I212+J212</f>
        <v>61320.75</v>
      </c>
      <c r="L212" s="101"/>
      <c r="M212" s="101"/>
      <c r="N212" s="101"/>
      <c r="O212" s="101"/>
      <c r="P212" s="101"/>
      <c r="Q212" s="94"/>
      <c r="R212" s="108"/>
      <c r="S212" s="101">
        <f>K212</f>
        <v>61320.75</v>
      </c>
      <c r="T212" s="108"/>
      <c r="U212" s="108"/>
      <c r="V212" s="108"/>
      <c r="W212" s="309">
        <f t="shared" si="66"/>
        <v>61320.75</v>
      </c>
      <c r="X212" s="145"/>
    </row>
    <row r="213" s="23" customFormat="1" ht="45" customHeight="1" spans="1:24">
      <c r="A213" s="156">
        <v>28</v>
      </c>
      <c r="B213" s="216" t="s">
        <v>196</v>
      </c>
      <c r="C213" s="217"/>
      <c r="D213" s="218"/>
      <c r="E213" s="258">
        <v>10000</v>
      </c>
      <c r="F213" s="258"/>
      <c r="G213" s="50" t="s">
        <v>197</v>
      </c>
      <c r="H213" s="51" t="s">
        <v>198</v>
      </c>
      <c r="I213" s="108">
        <v>3952.44</v>
      </c>
      <c r="J213" s="108"/>
      <c r="K213" s="94">
        <f t="shared" si="67"/>
        <v>3952.44</v>
      </c>
      <c r="L213" s="94">
        <v>0</v>
      </c>
      <c r="M213" s="94">
        <v>0</v>
      </c>
      <c r="N213" s="94">
        <v>0</v>
      </c>
      <c r="O213" s="94">
        <v>0</v>
      </c>
      <c r="P213" s="94"/>
      <c r="Q213" s="94"/>
      <c r="R213" s="94">
        <v>0</v>
      </c>
      <c r="S213" s="94">
        <f t="shared" ref="S213:S216" si="68">K213-L213-M213-N213-O213+R213</f>
        <v>3952.44</v>
      </c>
      <c r="T213" s="108">
        <v>0</v>
      </c>
      <c r="U213" s="108">
        <v>3952.44</v>
      </c>
      <c r="V213" s="108"/>
      <c r="W213" s="94">
        <f t="shared" ref="W213:W230" si="69">S213+T213-U213-V213</f>
        <v>0</v>
      </c>
      <c r="X213" s="145"/>
    </row>
    <row r="214" s="23" customFormat="1" ht="45" customHeight="1" spans="1:24">
      <c r="A214" s="156"/>
      <c r="B214" s="216"/>
      <c r="C214" s="217"/>
      <c r="D214" s="218"/>
      <c r="E214" s="258"/>
      <c r="F214" s="258"/>
      <c r="G214" s="212" t="s">
        <v>458</v>
      </c>
      <c r="H214" s="200" t="s">
        <v>200</v>
      </c>
      <c r="I214" s="109">
        <v>23246.84</v>
      </c>
      <c r="J214" s="109"/>
      <c r="K214" s="101">
        <f t="shared" si="67"/>
        <v>23246.84</v>
      </c>
      <c r="L214" s="94"/>
      <c r="M214" s="94"/>
      <c r="N214" s="94"/>
      <c r="O214" s="94"/>
      <c r="P214" s="94"/>
      <c r="Q214" s="94"/>
      <c r="R214" s="94"/>
      <c r="S214" s="94"/>
      <c r="T214" s="108"/>
      <c r="U214" s="108"/>
      <c r="V214" s="108"/>
      <c r="W214" s="94"/>
      <c r="X214" s="145"/>
    </row>
    <row r="215" s="23" customFormat="1" ht="45" customHeight="1" spans="1:24">
      <c r="A215" s="156">
        <v>29</v>
      </c>
      <c r="B215" s="216" t="s">
        <v>312</v>
      </c>
      <c r="C215" s="217"/>
      <c r="D215" s="218"/>
      <c r="E215" s="258"/>
      <c r="F215" s="258"/>
      <c r="G215" s="188" t="s">
        <v>248</v>
      </c>
      <c r="H215" s="258"/>
      <c r="I215" s="108">
        <f>SUM(I216:I230)</f>
        <v>60083.7</v>
      </c>
      <c r="J215" s="108">
        <f>J216+J223+J224</f>
        <v>0</v>
      </c>
      <c r="K215" s="108">
        <f t="shared" si="67"/>
        <v>60083.7</v>
      </c>
      <c r="L215" s="94"/>
      <c r="M215" s="94"/>
      <c r="N215" s="94"/>
      <c r="O215" s="94"/>
      <c r="P215" s="94"/>
      <c r="Q215" s="94"/>
      <c r="R215" s="108"/>
      <c r="S215" s="108">
        <f t="shared" si="68"/>
        <v>60083.7</v>
      </c>
      <c r="T215" s="108">
        <v>0</v>
      </c>
      <c r="U215" s="108">
        <f>K215+R215</f>
        <v>60083.7</v>
      </c>
      <c r="V215" s="94"/>
      <c r="W215" s="94">
        <f t="shared" si="69"/>
        <v>0</v>
      </c>
      <c r="X215" s="145"/>
    </row>
    <row r="216" s="23" customFormat="1" ht="45" customHeight="1" spans="1:24">
      <c r="A216" s="175"/>
      <c r="B216" s="263" t="s">
        <v>249</v>
      </c>
      <c r="C216" s="264"/>
      <c r="D216" s="265"/>
      <c r="E216" s="192"/>
      <c r="F216" s="192">
        <v>2023</v>
      </c>
      <c r="G216" s="188" t="s">
        <v>250</v>
      </c>
      <c r="H216" s="258"/>
      <c r="I216" s="108">
        <v>3770</v>
      </c>
      <c r="J216" s="108"/>
      <c r="K216" s="94">
        <f t="shared" si="67"/>
        <v>3770</v>
      </c>
      <c r="L216" s="94"/>
      <c r="M216" s="94"/>
      <c r="N216" s="94"/>
      <c r="O216" s="94"/>
      <c r="P216" s="94"/>
      <c r="Q216" s="94"/>
      <c r="R216" s="108"/>
      <c r="S216" s="94">
        <f t="shared" si="68"/>
        <v>3770</v>
      </c>
      <c r="T216" s="108">
        <v>0</v>
      </c>
      <c r="U216" s="94">
        <f>K216+R216</f>
        <v>3770</v>
      </c>
      <c r="V216" s="94"/>
      <c r="W216" s="94">
        <f t="shared" si="69"/>
        <v>0</v>
      </c>
      <c r="X216" s="145"/>
    </row>
    <row r="217" s="23" customFormat="1" ht="45" customHeight="1" spans="1:24">
      <c r="A217" s="175"/>
      <c r="B217" s="266"/>
      <c r="C217" s="267"/>
      <c r="D217" s="268"/>
      <c r="E217" s="198"/>
      <c r="F217" s="198"/>
      <c r="G217" s="188" t="s">
        <v>251</v>
      </c>
      <c r="H217" s="258"/>
      <c r="I217" s="108">
        <v>8043</v>
      </c>
      <c r="J217" s="108"/>
      <c r="K217" s="94">
        <f t="shared" si="67"/>
        <v>8043</v>
      </c>
      <c r="L217" s="94"/>
      <c r="M217" s="94"/>
      <c r="N217" s="94"/>
      <c r="O217" s="94"/>
      <c r="P217" s="94"/>
      <c r="Q217" s="94"/>
      <c r="R217" s="108"/>
      <c r="S217" s="94">
        <v>8043</v>
      </c>
      <c r="T217" s="108"/>
      <c r="U217" s="94">
        <v>8043</v>
      </c>
      <c r="V217" s="94"/>
      <c r="W217" s="94">
        <f t="shared" si="69"/>
        <v>0</v>
      </c>
      <c r="X217" s="145"/>
    </row>
    <row r="218" s="23" customFormat="1" ht="45" customHeight="1" spans="1:24">
      <c r="A218" s="175"/>
      <c r="B218" s="266"/>
      <c r="C218" s="267"/>
      <c r="D218" s="268"/>
      <c r="E218" s="198"/>
      <c r="F218" s="198">
        <v>2024</v>
      </c>
      <c r="G218" s="188" t="s">
        <v>320</v>
      </c>
      <c r="H218" s="258"/>
      <c r="I218" s="108">
        <v>9579</v>
      </c>
      <c r="J218" s="108">
        <v>0</v>
      </c>
      <c r="K218" s="94">
        <f t="shared" si="67"/>
        <v>9579</v>
      </c>
      <c r="L218" s="94"/>
      <c r="M218" s="94"/>
      <c r="N218" s="94"/>
      <c r="O218" s="94"/>
      <c r="P218" s="94"/>
      <c r="Q218" s="94"/>
      <c r="R218" s="108"/>
      <c r="S218" s="94">
        <f t="shared" ref="S218:S220" si="70">K218</f>
        <v>9579</v>
      </c>
      <c r="T218" s="108"/>
      <c r="U218" s="94">
        <f t="shared" ref="U218:U223" si="71">S218</f>
        <v>9579</v>
      </c>
      <c r="V218" s="94"/>
      <c r="W218" s="94">
        <f t="shared" si="69"/>
        <v>0</v>
      </c>
      <c r="X218" s="145"/>
    </row>
    <row r="219" s="23" customFormat="1" ht="45" customHeight="1" spans="1:24">
      <c r="A219" s="175"/>
      <c r="B219" s="266"/>
      <c r="C219" s="267"/>
      <c r="D219" s="268"/>
      <c r="E219" s="198"/>
      <c r="F219" s="198"/>
      <c r="G219" s="188" t="s">
        <v>341</v>
      </c>
      <c r="H219" s="258"/>
      <c r="I219" s="108">
        <v>7041</v>
      </c>
      <c r="J219" s="108"/>
      <c r="K219" s="94">
        <f t="shared" si="67"/>
        <v>7041</v>
      </c>
      <c r="L219" s="94"/>
      <c r="M219" s="94"/>
      <c r="N219" s="94"/>
      <c r="O219" s="94"/>
      <c r="P219" s="94"/>
      <c r="Q219" s="94"/>
      <c r="R219" s="108"/>
      <c r="S219" s="94">
        <f t="shared" si="70"/>
        <v>7041</v>
      </c>
      <c r="T219" s="108"/>
      <c r="U219" s="94">
        <f t="shared" si="71"/>
        <v>7041</v>
      </c>
      <c r="V219" s="94"/>
      <c r="W219" s="94">
        <f t="shared" si="69"/>
        <v>0</v>
      </c>
      <c r="X219" s="145"/>
    </row>
    <row r="220" s="23" customFormat="1" ht="45" customHeight="1" spans="1:24">
      <c r="A220" s="175"/>
      <c r="B220" s="266"/>
      <c r="C220" s="267"/>
      <c r="D220" s="268"/>
      <c r="E220" s="198"/>
      <c r="F220" s="198"/>
      <c r="G220" s="269" t="s">
        <v>342</v>
      </c>
      <c r="H220" s="270"/>
      <c r="I220" s="109">
        <v>8282</v>
      </c>
      <c r="J220" s="109"/>
      <c r="K220" s="101">
        <f t="shared" si="67"/>
        <v>8282</v>
      </c>
      <c r="L220" s="101"/>
      <c r="M220" s="101"/>
      <c r="N220" s="101"/>
      <c r="O220" s="101"/>
      <c r="P220" s="101"/>
      <c r="Q220" s="101"/>
      <c r="R220" s="109"/>
      <c r="S220" s="94">
        <f t="shared" si="70"/>
        <v>8282</v>
      </c>
      <c r="T220" s="108"/>
      <c r="U220" s="94">
        <f t="shared" si="71"/>
        <v>8282</v>
      </c>
      <c r="V220" s="94"/>
      <c r="W220" s="94">
        <f t="shared" si="69"/>
        <v>0</v>
      </c>
      <c r="X220" s="145"/>
    </row>
    <row r="221" s="23" customFormat="1" ht="45" customHeight="1" spans="1:24">
      <c r="A221" s="175"/>
      <c r="B221" s="266"/>
      <c r="C221" s="267"/>
      <c r="D221" s="268"/>
      <c r="E221" s="198"/>
      <c r="F221" s="198"/>
      <c r="G221" s="269" t="s">
        <v>343</v>
      </c>
      <c r="H221" s="270"/>
      <c r="I221" s="109">
        <v>1800</v>
      </c>
      <c r="J221" s="109"/>
      <c r="K221" s="101">
        <f t="shared" si="67"/>
        <v>1800</v>
      </c>
      <c r="L221" s="101"/>
      <c r="M221" s="101"/>
      <c r="N221" s="101"/>
      <c r="O221" s="101"/>
      <c r="P221" s="101"/>
      <c r="Q221" s="101"/>
      <c r="R221" s="109"/>
      <c r="S221" s="94">
        <v>1800</v>
      </c>
      <c r="T221" s="108"/>
      <c r="U221" s="94">
        <f t="shared" si="71"/>
        <v>1800</v>
      </c>
      <c r="V221" s="94"/>
      <c r="W221" s="94">
        <f t="shared" si="69"/>
        <v>0</v>
      </c>
      <c r="X221" s="145"/>
    </row>
    <row r="222" s="23" customFormat="1" ht="45" customHeight="1" spans="1:24">
      <c r="A222" s="175"/>
      <c r="B222" s="271"/>
      <c r="C222" s="272"/>
      <c r="D222" s="273"/>
      <c r="E222" s="199"/>
      <c r="F222" s="199"/>
      <c r="G222" s="188" t="s">
        <v>344</v>
      </c>
      <c r="H222" s="258"/>
      <c r="I222" s="108"/>
      <c r="J222" s="108"/>
      <c r="K222" s="94">
        <f t="shared" si="67"/>
        <v>0</v>
      </c>
      <c r="L222" s="94"/>
      <c r="M222" s="94"/>
      <c r="N222" s="94"/>
      <c r="O222" s="94"/>
      <c r="P222" s="94"/>
      <c r="Q222" s="94"/>
      <c r="R222" s="108"/>
      <c r="S222" s="94"/>
      <c r="T222" s="108"/>
      <c r="U222" s="94">
        <f t="shared" si="71"/>
        <v>0</v>
      </c>
      <c r="V222" s="94"/>
      <c r="W222" s="94">
        <f t="shared" si="69"/>
        <v>0</v>
      </c>
      <c r="X222" s="145"/>
    </row>
    <row r="223" s="23" customFormat="1" ht="45" customHeight="1" spans="1:24">
      <c r="A223" s="175"/>
      <c r="B223" s="274" t="s">
        <v>252</v>
      </c>
      <c r="C223" s="275"/>
      <c r="D223" s="276"/>
      <c r="E223" s="258"/>
      <c r="F223" s="258"/>
      <c r="G223" s="188" t="s">
        <v>250</v>
      </c>
      <c r="H223" s="258"/>
      <c r="I223" s="108"/>
      <c r="J223" s="108"/>
      <c r="K223" s="94">
        <f t="shared" si="67"/>
        <v>0</v>
      </c>
      <c r="L223" s="94"/>
      <c r="M223" s="94"/>
      <c r="N223" s="94"/>
      <c r="O223" s="94"/>
      <c r="P223" s="94"/>
      <c r="Q223" s="94"/>
      <c r="R223" s="108"/>
      <c r="S223" s="94">
        <f t="shared" ref="S223:S227" si="72">K223</f>
        <v>0</v>
      </c>
      <c r="T223" s="94"/>
      <c r="U223" s="94">
        <f t="shared" si="71"/>
        <v>0</v>
      </c>
      <c r="V223" s="94"/>
      <c r="W223" s="94">
        <f t="shared" si="69"/>
        <v>0</v>
      </c>
      <c r="X223" s="145"/>
    </row>
    <row r="224" s="23" customFormat="1" ht="45" customHeight="1" spans="1:24">
      <c r="A224" s="175"/>
      <c r="B224" s="263" t="s">
        <v>253</v>
      </c>
      <c r="C224" s="264"/>
      <c r="D224" s="265"/>
      <c r="E224" s="192"/>
      <c r="F224" s="192"/>
      <c r="G224" s="188" t="s">
        <v>251</v>
      </c>
      <c r="H224" s="258"/>
      <c r="I224" s="108">
        <v>200</v>
      </c>
      <c r="J224" s="108">
        <v>0</v>
      </c>
      <c r="K224" s="94">
        <f t="shared" si="67"/>
        <v>200</v>
      </c>
      <c r="L224" s="94"/>
      <c r="M224" s="94"/>
      <c r="N224" s="94"/>
      <c r="O224" s="94"/>
      <c r="P224" s="94"/>
      <c r="Q224" s="94"/>
      <c r="R224" s="108"/>
      <c r="S224" s="94">
        <f t="shared" si="72"/>
        <v>200</v>
      </c>
      <c r="T224" s="94"/>
      <c r="U224" s="94">
        <f>K224+R224</f>
        <v>200</v>
      </c>
      <c r="V224" s="94"/>
      <c r="W224" s="94">
        <f t="shared" si="69"/>
        <v>0</v>
      </c>
      <c r="X224" s="145"/>
    </row>
    <row r="225" s="23" customFormat="1" ht="45" customHeight="1" spans="1:24">
      <c r="A225" s="175"/>
      <c r="B225" s="266"/>
      <c r="C225" s="267"/>
      <c r="D225" s="268"/>
      <c r="E225" s="198"/>
      <c r="F225" s="198"/>
      <c r="G225" s="188" t="s">
        <v>320</v>
      </c>
      <c r="H225" s="258"/>
      <c r="I225" s="108">
        <v>800</v>
      </c>
      <c r="J225" s="108">
        <v>0</v>
      </c>
      <c r="K225" s="94">
        <f t="shared" si="67"/>
        <v>800</v>
      </c>
      <c r="L225" s="94"/>
      <c r="M225" s="94"/>
      <c r="N225" s="94"/>
      <c r="O225" s="94"/>
      <c r="P225" s="94"/>
      <c r="Q225" s="94"/>
      <c r="R225" s="108"/>
      <c r="S225" s="94">
        <f t="shared" si="72"/>
        <v>800</v>
      </c>
      <c r="T225" s="94"/>
      <c r="U225" s="94">
        <f t="shared" ref="U225:U227" si="73">S225</f>
        <v>800</v>
      </c>
      <c r="V225" s="94"/>
      <c r="W225" s="94">
        <f t="shared" si="69"/>
        <v>0</v>
      </c>
      <c r="X225" s="145"/>
    </row>
    <row r="226" s="23" customFormat="1" ht="45" customHeight="1" spans="1:24">
      <c r="A226" s="175"/>
      <c r="B226" s="266"/>
      <c r="C226" s="267"/>
      <c r="D226" s="268"/>
      <c r="E226" s="198"/>
      <c r="F226" s="198"/>
      <c r="G226" s="188" t="s">
        <v>341</v>
      </c>
      <c r="H226" s="258"/>
      <c r="I226" s="108">
        <v>8961.68</v>
      </c>
      <c r="J226" s="108">
        <f>3.66+17.77+5.45+3126-2948.99+4653-4369.57</f>
        <v>487.320000000001</v>
      </c>
      <c r="K226" s="94">
        <f t="shared" si="67"/>
        <v>9449</v>
      </c>
      <c r="L226" s="94"/>
      <c r="M226" s="94"/>
      <c r="N226" s="94"/>
      <c r="O226" s="94"/>
      <c r="P226" s="94"/>
      <c r="Q226" s="94"/>
      <c r="R226" s="108"/>
      <c r="S226" s="94">
        <f t="shared" si="72"/>
        <v>9449</v>
      </c>
      <c r="T226" s="94"/>
      <c r="U226" s="94">
        <f t="shared" si="73"/>
        <v>9449</v>
      </c>
      <c r="V226" s="94"/>
      <c r="W226" s="94">
        <f t="shared" si="69"/>
        <v>0</v>
      </c>
      <c r="X226" s="145"/>
    </row>
    <row r="227" s="23" customFormat="1" ht="45" customHeight="1" spans="1:24">
      <c r="A227" s="175"/>
      <c r="B227" s="266"/>
      <c r="C227" s="267"/>
      <c r="D227" s="268"/>
      <c r="E227" s="198"/>
      <c r="F227" s="198"/>
      <c r="G227" s="269" t="s">
        <v>362</v>
      </c>
      <c r="H227" s="270"/>
      <c r="I227" s="109">
        <v>11607.02</v>
      </c>
      <c r="J227" s="109">
        <f>9.17+9.17+20.83+1609.02-1537.11+803.76-768.46+3.81+3.64+3.81+3.64+43.7+3570.6-3331.23</f>
        <v>444.35</v>
      </c>
      <c r="K227" s="101">
        <f t="shared" si="67"/>
        <v>12051.37</v>
      </c>
      <c r="L227" s="101"/>
      <c r="M227" s="101"/>
      <c r="N227" s="101"/>
      <c r="O227" s="101"/>
      <c r="P227" s="101"/>
      <c r="Q227" s="101"/>
      <c r="R227" s="109"/>
      <c r="S227" s="94">
        <f t="shared" si="72"/>
        <v>12051.37</v>
      </c>
      <c r="T227" s="94"/>
      <c r="U227" s="94">
        <f t="shared" si="73"/>
        <v>12051.37</v>
      </c>
      <c r="V227" s="94"/>
      <c r="W227" s="94">
        <f t="shared" si="69"/>
        <v>0</v>
      </c>
      <c r="X227" s="145"/>
    </row>
    <row r="228" s="23" customFormat="1" ht="45" customHeight="1" spans="1:24">
      <c r="A228" s="175"/>
      <c r="B228" s="266"/>
      <c r="C228" s="267"/>
      <c r="D228" s="268"/>
      <c r="E228" s="198"/>
      <c r="F228" s="198"/>
      <c r="G228" s="188"/>
      <c r="H228" s="258"/>
      <c r="I228" s="108"/>
      <c r="J228" s="109"/>
      <c r="K228" s="94">
        <f t="shared" si="67"/>
        <v>0</v>
      </c>
      <c r="L228" s="94"/>
      <c r="M228" s="94"/>
      <c r="N228" s="94"/>
      <c r="O228" s="94"/>
      <c r="P228" s="94"/>
      <c r="Q228" s="94"/>
      <c r="R228" s="108"/>
      <c r="S228" s="94"/>
      <c r="T228" s="94"/>
      <c r="U228" s="94"/>
      <c r="V228" s="94"/>
      <c r="W228" s="94">
        <f t="shared" si="69"/>
        <v>0</v>
      </c>
      <c r="X228" s="145"/>
    </row>
    <row r="229" s="23" customFormat="1" ht="45" customHeight="1" spans="1:24">
      <c r="A229" s="175"/>
      <c r="B229" s="271"/>
      <c r="C229" s="272"/>
      <c r="D229" s="273"/>
      <c r="E229" s="199"/>
      <c r="F229" s="199"/>
      <c r="G229" s="188"/>
      <c r="H229" s="258"/>
      <c r="I229" s="108"/>
      <c r="J229" s="108"/>
      <c r="K229" s="94">
        <f t="shared" si="67"/>
        <v>0</v>
      </c>
      <c r="L229" s="94"/>
      <c r="M229" s="94"/>
      <c r="N229" s="94"/>
      <c r="O229" s="94"/>
      <c r="P229" s="94"/>
      <c r="Q229" s="94"/>
      <c r="R229" s="108"/>
      <c r="S229" s="94"/>
      <c r="T229" s="94"/>
      <c r="U229" s="94"/>
      <c r="V229" s="94"/>
      <c r="W229" s="94">
        <f t="shared" si="69"/>
        <v>0</v>
      </c>
      <c r="X229" s="145"/>
    </row>
    <row r="230" s="23" customFormat="1" ht="45" customHeight="1" spans="1:24">
      <c r="A230" s="175"/>
      <c r="B230" s="274" t="s">
        <v>254</v>
      </c>
      <c r="C230" s="275"/>
      <c r="D230" s="276"/>
      <c r="E230" s="258"/>
      <c r="F230" s="258"/>
      <c r="G230" s="188" t="s">
        <v>250</v>
      </c>
      <c r="H230" s="258"/>
      <c r="I230" s="108"/>
      <c r="J230" s="108"/>
      <c r="K230" s="94">
        <f t="shared" si="67"/>
        <v>0</v>
      </c>
      <c r="L230" s="94"/>
      <c r="M230" s="94"/>
      <c r="N230" s="94"/>
      <c r="O230" s="94"/>
      <c r="P230" s="94"/>
      <c r="Q230" s="94"/>
      <c r="R230" s="108"/>
      <c r="S230" s="94">
        <f>K230</f>
        <v>0</v>
      </c>
      <c r="T230" s="94"/>
      <c r="U230" s="94">
        <f>S230</f>
        <v>0</v>
      </c>
      <c r="V230" s="94"/>
      <c r="W230" s="94">
        <f t="shared" si="69"/>
        <v>0</v>
      </c>
      <c r="X230" s="145"/>
    </row>
    <row r="231" s="20" customFormat="1" ht="36" customHeight="1" spans="1:24">
      <c r="A231" s="277" t="s">
        <v>255</v>
      </c>
      <c r="B231" s="277"/>
      <c r="C231" s="277"/>
      <c r="D231" s="277"/>
      <c r="E231" s="278">
        <f>SUM(E198:E215)</f>
        <v>18872786.57</v>
      </c>
      <c r="F231" s="278">
        <f>SUM(F198:F215)</f>
        <v>0</v>
      </c>
      <c r="G231" s="243"/>
      <c r="H231" s="243" t="s">
        <v>316</v>
      </c>
      <c r="I231" s="300">
        <f t="shared" ref="I231:K231" si="74">SUM(I198:I202,I204:I217,I223:I224,I230)-I215-I212-I211-I210</f>
        <v>15073116.7890566</v>
      </c>
      <c r="J231" s="300">
        <f t="shared" si="74"/>
        <v>1762917.27</v>
      </c>
      <c r="K231" s="300">
        <f t="shared" si="74"/>
        <v>16836034.0590566</v>
      </c>
      <c r="L231" s="300">
        <f t="shared" ref="L231:O231" si="75">SUM(L198:L202,L204:L217,L223:L224,L230)-L215</f>
        <v>0</v>
      </c>
      <c r="M231" s="300">
        <f t="shared" si="75"/>
        <v>379417.19</v>
      </c>
      <c r="N231" s="300">
        <f t="shared" si="75"/>
        <v>0</v>
      </c>
      <c r="O231" s="300">
        <f t="shared" si="75"/>
        <v>72288</v>
      </c>
      <c r="P231" s="300"/>
      <c r="Q231" s="300">
        <f t="shared" ref="Q231:V231" si="76">SUM(Q198:Q202,Q204:Q217,Q223:Q224,Q230)-Q215</f>
        <v>0</v>
      </c>
      <c r="R231" s="300">
        <f t="shared" si="76"/>
        <v>0</v>
      </c>
      <c r="S231" s="300">
        <f t="shared" si="76"/>
        <v>16711522.5690566</v>
      </c>
      <c r="T231" s="300">
        <f t="shared" si="76"/>
        <v>0</v>
      </c>
      <c r="U231" s="300">
        <f t="shared" si="76"/>
        <v>16162195.22</v>
      </c>
      <c r="V231" s="300">
        <f t="shared" si="76"/>
        <v>0</v>
      </c>
      <c r="W231" s="300">
        <f>SUM(W198:W202,W204:W217,W223:W224,W230)-W215-W212-W211-W210</f>
        <v>198886.809056604</v>
      </c>
      <c r="X231" s="307"/>
    </row>
    <row r="232" s="21" customFormat="1" ht="36" customHeight="1" spans="1:25">
      <c r="A232" s="277"/>
      <c r="B232" s="277"/>
      <c r="C232" s="277"/>
      <c r="D232" s="277"/>
      <c r="E232" s="278"/>
      <c r="F232" s="278"/>
      <c r="G232" s="212"/>
      <c r="H232" s="212" t="s">
        <v>317</v>
      </c>
      <c r="I232" s="301">
        <f>I225+I218+I219+I226+I227+I220+I221+I212+I211+I210+I203</f>
        <v>2653613.11</v>
      </c>
      <c r="J232" s="301">
        <f t="shared" ref="I232:K232" si="77">J225+J218+J219+J226+J227+J220+J221+J212+J211+J210+J203</f>
        <v>931.670000000001</v>
      </c>
      <c r="K232" s="301">
        <f t="shared" si="77"/>
        <v>2654544.78</v>
      </c>
      <c r="L232" s="301">
        <f t="shared" ref="L232:V232" si="78">L225+L218+L219+L226+L227+L220</f>
        <v>0</v>
      </c>
      <c r="M232" s="301">
        <f t="shared" si="78"/>
        <v>0</v>
      </c>
      <c r="N232" s="301">
        <f t="shared" si="78"/>
        <v>0</v>
      </c>
      <c r="O232" s="301">
        <f t="shared" si="78"/>
        <v>0</v>
      </c>
      <c r="P232" s="301">
        <f t="shared" si="78"/>
        <v>0</v>
      </c>
      <c r="Q232" s="301">
        <f t="shared" si="78"/>
        <v>0</v>
      </c>
      <c r="R232" s="301">
        <f t="shared" si="78"/>
        <v>0</v>
      </c>
      <c r="S232" s="301">
        <f t="shared" si="78"/>
        <v>47202.37</v>
      </c>
      <c r="T232" s="301">
        <f t="shared" si="78"/>
        <v>0</v>
      </c>
      <c r="U232" s="301">
        <f t="shared" si="78"/>
        <v>47202.37</v>
      </c>
      <c r="V232" s="301">
        <f t="shared" si="78"/>
        <v>0</v>
      </c>
      <c r="W232" s="301">
        <f>W203+W210+W211+W212</f>
        <v>2605542.41</v>
      </c>
      <c r="X232" s="308"/>
      <c r="Y232" s="21">
        <f>W232+W231</f>
        <v>2804429.2190566</v>
      </c>
    </row>
    <row r="233" s="21" customFormat="1" ht="36" customHeight="1" spans="1:24">
      <c r="A233" s="277"/>
      <c r="B233" s="279"/>
      <c r="C233" s="280"/>
      <c r="D233" s="280"/>
      <c r="E233" s="281"/>
      <c r="F233" s="281"/>
      <c r="G233" s="248"/>
      <c r="H233" s="282"/>
      <c r="I233" s="301"/>
      <c r="J233" s="301"/>
      <c r="K233" s="301"/>
      <c r="L233" s="301">
        <f>SUM(L231:Q231)</f>
        <v>451705.19</v>
      </c>
      <c r="M233" s="301"/>
      <c r="N233" s="301"/>
      <c r="O233" s="301"/>
      <c r="P233" s="301"/>
      <c r="Q233" s="301"/>
      <c r="R233" s="301"/>
      <c r="S233" s="301"/>
      <c r="T233" s="301"/>
      <c r="U233" s="301"/>
      <c r="V233" s="301"/>
      <c r="W233" s="301"/>
      <c r="X233" s="308"/>
    </row>
    <row r="234" s="21" customFormat="1" ht="36" customHeight="1" spans="1:24">
      <c r="A234" s="277"/>
      <c r="B234" s="279"/>
      <c r="C234" s="280"/>
      <c r="D234" s="280"/>
      <c r="E234" s="281"/>
      <c r="F234" s="281"/>
      <c r="G234" s="248"/>
      <c r="H234" s="282"/>
      <c r="I234" s="301">
        <f t="shared" ref="I234:K234" si="79">I232+I231</f>
        <v>17726729.8990566</v>
      </c>
      <c r="J234" s="301">
        <f t="shared" si="79"/>
        <v>1763848.94</v>
      </c>
      <c r="K234" s="301">
        <f t="shared" si="79"/>
        <v>19490578.8390566</v>
      </c>
      <c r="L234" s="301"/>
      <c r="M234" s="301"/>
      <c r="N234" s="301"/>
      <c r="O234" s="301"/>
      <c r="P234" s="301"/>
      <c r="Q234" s="301"/>
      <c r="R234" s="301"/>
      <c r="S234" s="301">
        <f t="shared" ref="S234:W234" si="80">S232+S231</f>
        <v>16758724.9390566</v>
      </c>
      <c r="T234" s="301"/>
      <c r="U234" s="301">
        <f t="shared" si="80"/>
        <v>16209397.59</v>
      </c>
      <c r="V234" s="301">
        <f t="shared" si="80"/>
        <v>0</v>
      </c>
      <c r="W234" s="301">
        <f t="shared" si="80"/>
        <v>2804429.2190566</v>
      </c>
      <c r="X234" s="308"/>
    </row>
    <row r="235" s="1" customFormat="1" ht="36" customHeight="1" spans="1:24">
      <c r="A235" s="283"/>
      <c r="B235" s="216" t="s">
        <v>256</v>
      </c>
      <c r="C235" s="217"/>
      <c r="D235" s="217"/>
      <c r="E235" s="253"/>
      <c r="F235" s="253"/>
      <c r="G235" s="217"/>
      <c r="H235" s="218"/>
      <c r="I235" s="94"/>
      <c r="J235" s="94"/>
      <c r="K235" s="94"/>
      <c r="L235" s="94"/>
      <c r="M235" s="94"/>
      <c r="N235" s="94"/>
      <c r="O235" s="94"/>
      <c r="P235" s="94"/>
      <c r="Q235" s="94"/>
      <c r="R235" s="94"/>
      <c r="S235" s="94">
        <f t="shared" ref="S235:S241" si="81">K235-L235-M235-N235-O235+R235</f>
        <v>0</v>
      </c>
      <c r="T235" s="94"/>
      <c r="U235" s="94"/>
      <c r="V235" s="94"/>
      <c r="W235" s="94"/>
      <c r="X235" s="145"/>
    </row>
    <row r="236" s="22" customFormat="1" ht="42" customHeight="1" spans="1:235">
      <c r="A236" s="156">
        <v>29</v>
      </c>
      <c r="B236" s="157" t="s">
        <v>257</v>
      </c>
      <c r="C236" s="158"/>
      <c r="D236" s="157" t="s">
        <v>98</v>
      </c>
      <c r="E236" s="145">
        <v>58000</v>
      </c>
      <c r="F236" s="145"/>
      <c r="G236" s="157" t="s">
        <v>258</v>
      </c>
      <c r="H236" s="157" t="s">
        <v>259</v>
      </c>
      <c r="I236" s="94">
        <v>54716.98</v>
      </c>
      <c r="J236" s="94">
        <v>3283.02</v>
      </c>
      <c r="K236" s="94">
        <f t="shared" ref="K236:K239" si="82">J236+I236</f>
        <v>58000</v>
      </c>
      <c r="L236" s="237"/>
      <c r="M236" s="237"/>
      <c r="N236" s="237"/>
      <c r="O236" s="237"/>
      <c r="P236" s="237"/>
      <c r="Q236" s="237"/>
      <c r="R236" s="237"/>
      <c r="S236" s="94">
        <f t="shared" si="81"/>
        <v>58000</v>
      </c>
      <c r="T236" s="94"/>
      <c r="U236" s="237">
        <v>58000</v>
      </c>
      <c r="V236" s="237"/>
      <c r="W236" s="237">
        <f t="shared" ref="W236:W242" si="83">S236+T236-U236-V236</f>
        <v>0</v>
      </c>
      <c r="X236" s="158"/>
      <c r="Y236" s="311"/>
      <c r="Z236" s="311"/>
      <c r="AA236" s="311"/>
      <c r="AB236" s="311"/>
      <c r="AC236" s="311"/>
      <c r="AD236" s="311"/>
      <c r="AE236" s="311"/>
      <c r="AF236" s="311"/>
      <c r="AG236" s="311"/>
      <c r="AH236" s="311"/>
      <c r="AI236" s="311"/>
      <c r="AJ236" s="311"/>
      <c r="AK236" s="311"/>
      <c r="AL236" s="311"/>
      <c r="AM236" s="311"/>
      <c r="AN236" s="311"/>
      <c r="AO236" s="311"/>
      <c r="AP236" s="311"/>
      <c r="AQ236" s="311"/>
      <c r="AR236" s="311"/>
      <c r="AS236" s="311"/>
      <c r="AT236" s="311"/>
      <c r="AU236" s="311"/>
      <c r="AV236" s="311"/>
      <c r="AW236" s="311"/>
      <c r="AX236" s="311"/>
      <c r="AY236" s="311"/>
      <c r="AZ236" s="311"/>
      <c r="BA236" s="311"/>
      <c r="BB236" s="311"/>
      <c r="BC236" s="311"/>
      <c r="BD236" s="311"/>
      <c r="BE236" s="311"/>
      <c r="BF236" s="311"/>
      <c r="BG236" s="311"/>
      <c r="BH236" s="311"/>
      <c r="BI236" s="311"/>
      <c r="BJ236" s="311"/>
      <c r="BK236" s="311"/>
      <c r="BL236" s="311"/>
      <c r="BM236" s="311"/>
      <c r="BN236" s="311"/>
      <c r="BO236" s="311"/>
      <c r="BP236" s="311"/>
      <c r="BQ236" s="311"/>
      <c r="BR236" s="311"/>
      <c r="BS236" s="311"/>
      <c r="BT236" s="311"/>
      <c r="BU236" s="311"/>
      <c r="BV236" s="311"/>
      <c r="BW236" s="311"/>
      <c r="BX236" s="311"/>
      <c r="BY236" s="311"/>
      <c r="BZ236" s="311"/>
      <c r="CA236" s="311"/>
      <c r="CB236" s="311"/>
      <c r="CC236" s="311"/>
      <c r="CD236" s="311"/>
      <c r="CE236" s="311"/>
      <c r="CF236" s="311"/>
      <c r="CG236" s="311"/>
      <c r="CH236" s="311"/>
      <c r="CI236" s="311"/>
      <c r="CJ236" s="311"/>
      <c r="CK236" s="311"/>
      <c r="CL236" s="311"/>
      <c r="CM236" s="311"/>
      <c r="CN236" s="311"/>
      <c r="CO236" s="311"/>
      <c r="CP236" s="311"/>
      <c r="CQ236" s="311"/>
      <c r="CR236" s="311"/>
      <c r="CS236" s="311"/>
      <c r="CT236" s="311"/>
      <c r="CU236" s="311"/>
      <c r="CV236" s="311"/>
      <c r="CW236" s="311"/>
      <c r="CX236" s="311"/>
      <c r="CY236" s="311"/>
      <c r="CZ236" s="311"/>
      <c r="DA236" s="311"/>
      <c r="DB236" s="311"/>
      <c r="DC236" s="311"/>
      <c r="DD236" s="311"/>
      <c r="DE236" s="311"/>
      <c r="DF236" s="311"/>
      <c r="DG236" s="311"/>
      <c r="DH236" s="311"/>
      <c r="DI236" s="311"/>
      <c r="DJ236" s="311"/>
      <c r="DK236" s="311"/>
      <c r="DL236" s="311"/>
      <c r="DM236" s="311"/>
      <c r="DN236" s="311"/>
      <c r="DO236" s="311"/>
      <c r="DP236" s="311"/>
      <c r="DQ236" s="311"/>
      <c r="DR236" s="311"/>
      <c r="DS236" s="311"/>
      <c r="DT236" s="311"/>
      <c r="DU236" s="311"/>
      <c r="DV236" s="311"/>
      <c r="DW236" s="311"/>
      <c r="DX236" s="311"/>
      <c r="DY236" s="311"/>
      <c r="DZ236" s="311"/>
      <c r="EA236" s="311"/>
      <c r="EB236" s="311"/>
      <c r="EC236" s="311"/>
      <c r="ED236" s="311"/>
      <c r="EE236" s="311"/>
      <c r="EF236" s="311"/>
      <c r="EG236" s="311"/>
      <c r="EH236" s="311"/>
      <c r="EI236" s="311"/>
      <c r="EJ236" s="311"/>
      <c r="EK236" s="311"/>
      <c r="EL236" s="311"/>
      <c r="EM236" s="311"/>
      <c r="EN236" s="311"/>
      <c r="EO236" s="311"/>
      <c r="EP236" s="311"/>
      <c r="EQ236" s="311"/>
      <c r="ER236" s="311"/>
      <c r="ES236" s="311"/>
      <c r="ET236" s="311"/>
      <c r="EU236" s="311"/>
      <c r="EV236" s="311"/>
      <c r="EW236" s="311"/>
      <c r="EX236" s="311"/>
      <c r="EY236" s="311"/>
      <c r="EZ236" s="311"/>
      <c r="FA236" s="311"/>
      <c r="FB236" s="311"/>
      <c r="FC236" s="311"/>
      <c r="FD236" s="311"/>
      <c r="FE236" s="311"/>
      <c r="FF236" s="311"/>
      <c r="FG236" s="311"/>
      <c r="FH236" s="311"/>
      <c r="FI236" s="311"/>
      <c r="FJ236" s="311"/>
      <c r="FK236" s="311"/>
      <c r="FL236" s="311"/>
      <c r="FM236" s="311"/>
      <c r="FN236" s="311"/>
      <c r="FO236" s="311"/>
      <c r="FP236" s="311"/>
      <c r="FQ236" s="311"/>
      <c r="FR236" s="311"/>
      <c r="FS236" s="311"/>
      <c r="FT236" s="311"/>
      <c r="FU236" s="311"/>
      <c r="FV236" s="311"/>
      <c r="FW236" s="311"/>
      <c r="FX236" s="311"/>
      <c r="FY236" s="311"/>
      <c r="FZ236" s="311"/>
      <c r="GA236" s="311"/>
      <c r="GB236" s="311"/>
      <c r="GC236" s="311"/>
      <c r="GD236" s="311"/>
      <c r="GE236" s="311"/>
      <c r="GF236" s="311"/>
      <c r="GG236" s="311"/>
      <c r="GH236" s="311"/>
      <c r="GI236" s="311"/>
      <c r="GJ236" s="311"/>
      <c r="GK236" s="311"/>
      <c r="GL236" s="311"/>
      <c r="GM236" s="311"/>
      <c r="GN236" s="311"/>
      <c r="GO236" s="311"/>
      <c r="GP236" s="311"/>
      <c r="GQ236" s="311"/>
      <c r="GR236" s="311"/>
      <c r="GS236" s="311"/>
      <c r="GT236" s="311"/>
      <c r="GU236" s="311"/>
      <c r="GV236" s="311"/>
      <c r="GW236" s="311"/>
      <c r="GX236" s="311"/>
      <c r="GY236" s="311"/>
      <c r="GZ236" s="311"/>
      <c r="HA236" s="311"/>
      <c r="HB236" s="311"/>
      <c r="HC236" s="311"/>
      <c r="HD236" s="311"/>
      <c r="HE236" s="311"/>
      <c r="HF236" s="311"/>
      <c r="HG236" s="311"/>
      <c r="HH236" s="311"/>
      <c r="HI236" s="311"/>
      <c r="HJ236" s="311"/>
      <c r="HK236" s="311"/>
      <c r="HL236" s="311"/>
      <c r="HM236" s="311"/>
      <c r="HN236" s="311"/>
      <c r="HO236" s="311"/>
      <c r="HP236" s="311"/>
      <c r="HQ236" s="311"/>
      <c r="HR236" s="311"/>
      <c r="HS236" s="311"/>
      <c r="HT236" s="311"/>
      <c r="HU236" s="311"/>
      <c r="HV236" s="311"/>
      <c r="HW236" s="311"/>
      <c r="HX236" s="311"/>
      <c r="HY236" s="311"/>
      <c r="HZ236" s="311"/>
      <c r="IA236" s="311"/>
    </row>
    <row r="237" s="22" customFormat="1" ht="38" customHeight="1" spans="1:235">
      <c r="A237" s="156">
        <v>30</v>
      </c>
      <c r="B237" s="157" t="s">
        <v>260</v>
      </c>
      <c r="C237" s="158"/>
      <c r="D237" s="157" t="s">
        <v>261</v>
      </c>
      <c r="E237" s="256">
        <v>300000</v>
      </c>
      <c r="F237" s="256"/>
      <c r="G237" s="284" t="s">
        <v>262</v>
      </c>
      <c r="H237" s="284" t="s">
        <v>263</v>
      </c>
      <c r="I237" s="302">
        <v>283018.87</v>
      </c>
      <c r="J237" s="302">
        <v>16981.13</v>
      </c>
      <c r="K237" s="94">
        <f t="shared" si="82"/>
        <v>300000</v>
      </c>
      <c r="L237" s="237"/>
      <c r="M237" s="237"/>
      <c r="N237" s="237"/>
      <c r="O237" s="237"/>
      <c r="P237" s="237"/>
      <c r="Q237" s="237"/>
      <c r="R237" s="310"/>
      <c r="S237" s="94">
        <f t="shared" si="81"/>
        <v>300000</v>
      </c>
      <c r="T237" s="94"/>
      <c r="U237" s="310">
        <v>300000</v>
      </c>
      <c r="V237" s="310"/>
      <c r="W237" s="237">
        <f t="shared" si="83"/>
        <v>0</v>
      </c>
      <c r="X237" s="158"/>
      <c r="Y237" s="313"/>
      <c r="Z237" s="313"/>
      <c r="AA237" s="313"/>
      <c r="AB237" s="313"/>
      <c r="AC237" s="313"/>
      <c r="AD237" s="313"/>
      <c r="AE237" s="313"/>
      <c r="AF237" s="313"/>
      <c r="AG237" s="313"/>
      <c r="AH237" s="313"/>
      <c r="AI237" s="313"/>
      <c r="AJ237" s="313"/>
      <c r="AK237" s="313"/>
      <c r="AL237" s="313"/>
      <c r="AM237" s="313"/>
      <c r="AN237" s="313"/>
      <c r="AO237" s="313"/>
      <c r="AP237" s="313"/>
      <c r="AQ237" s="313"/>
      <c r="AR237" s="313"/>
      <c r="AS237" s="313"/>
      <c r="AT237" s="313"/>
      <c r="AU237" s="313"/>
      <c r="AV237" s="313"/>
      <c r="AW237" s="313"/>
      <c r="AX237" s="313"/>
      <c r="AY237" s="313"/>
      <c r="AZ237" s="313"/>
      <c r="BA237" s="313"/>
      <c r="BB237" s="313"/>
      <c r="BC237" s="313"/>
      <c r="BD237" s="313"/>
      <c r="BE237" s="313"/>
      <c r="BF237" s="313"/>
      <c r="BG237" s="313"/>
      <c r="BH237" s="313"/>
      <c r="BI237" s="313"/>
      <c r="BJ237" s="313"/>
      <c r="BK237" s="313"/>
      <c r="BL237" s="313"/>
      <c r="BM237" s="313"/>
      <c r="BN237" s="313"/>
      <c r="BO237" s="313"/>
      <c r="BP237" s="313"/>
      <c r="BQ237" s="313"/>
      <c r="BR237" s="313"/>
      <c r="BS237" s="313"/>
      <c r="BT237" s="313"/>
      <c r="BU237" s="313"/>
      <c r="BV237" s="313"/>
      <c r="BW237" s="313"/>
      <c r="BX237" s="313"/>
      <c r="BY237" s="313"/>
      <c r="BZ237" s="313"/>
      <c r="CA237" s="313"/>
      <c r="CB237" s="313"/>
      <c r="CC237" s="313"/>
      <c r="CD237" s="313"/>
      <c r="CE237" s="313"/>
      <c r="CF237" s="313"/>
      <c r="CG237" s="313"/>
      <c r="CH237" s="313"/>
      <c r="CI237" s="313"/>
      <c r="CJ237" s="313"/>
      <c r="CK237" s="313"/>
      <c r="CL237" s="313"/>
      <c r="CM237" s="313"/>
      <c r="CN237" s="313"/>
      <c r="CO237" s="313"/>
      <c r="CP237" s="313"/>
      <c r="CQ237" s="313"/>
      <c r="CR237" s="313"/>
      <c r="CS237" s="313"/>
      <c r="CT237" s="313"/>
      <c r="CU237" s="313"/>
      <c r="CV237" s="313"/>
      <c r="CW237" s="313"/>
      <c r="CX237" s="313"/>
      <c r="CY237" s="313"/>
      <c r="CZ237" s="313"/>
      <c r="DA237" s="313"/>
      <c r="DB237" s="313"/>
      <c r="DC237" s="313"/>
      <c r="DD237" s="313"/>
      <c r="DE237" s="313"/>
      <c r="DF237" s="313"/>
      <c r="DG237" s="313"/>
      <c r="DH237" s="313"/>
      <c r="DI237" s="313"/>
      <c r="DJ237" s="313"/>
      <c r="DK237" s="313"/>
      <c r="DL237" s="313"/>
      <c r="DM237" s="313"/>
      <c r="DN237" s="313"/>
      <c r="DO237" s="313"/>
      <c r="DP237" s="313"/>
      <c r="DQ237" s="313"/>
      <c r="DR237" s="313"/>
      <c r="DS237" s="313"/>
      <c r="DT237" s="313"/>
      <c r="DU237" s="313"/>
      <c r="DV237" s="313"/>
      <c r="DW237" s="313"/>
      <c r="DX237" s="313"/>
      <c r="DY237" s="313"/>
      <c r="DZ237" s="313"/>
      <c r="EA237" s="313"/>
      <c r="EB237" s="313"/>
      <c r="EC237" s="313"/>
      <c r="ED237" s="313"/>
      <c r="EE237" s="313"/>
      <c r="EF237" s="313"/>
      <c r="EG237" s="313"/>
      <c r="EH237" s="313"/>
      <c r="EI237" s="313"/>
      <c r="EJ237" s="313"/>
      <c r="EK237" s="313"/>
      <c r="EL237" s="313"/>
      <c r="EM237" s="313"/>
      <c r="EN237" s="313"/>
      <c r="EO237" s="313"/>
      <c r="EP237" s="313"/>
      <c r="EQ237" s="313"/>
      <c r="ER237" s="313"/>
      <c r="ES237" s="313"/>
      <c r="ET237" s="313"/>
      <c r="EU237" s="313"/>
      <c r="EV237" s="313"/>
      <c r="EW237" s="313"/>
      <c r="EX237" s="313"/>
      <c r="EY237" s="313"/>
      <c r="EZ237" s="313"/>
      <c r="FA237" s="313"/>
      <c r="FB237" s="313"/>
      <c r="FC237" s="313"/>
      <c r="FD237" s="313"/>
      <c r="FE237" s="313"/>
      <c r="FF237" s="313"/>
      <c r="FG237" s="313"/>
      <c r="FH237" s="313"/>
      <c r="FI237" s="313"/>
      <c r="FJ237" s="313"/>
      <c r="FK237" s="313"/>
      <c r="FL237" s="313"/>
      <c r="FM237" s="313"/>
      <c r="FN237" s="313"/>
      <c r="FO237" s="313"/>
      <c r="FP237" s="313"/>
      <c r="FQ237" s="313"/>
      <c r="FR237" s="313"/>
      <c r="FS237" s="313"/>
      <c r="FT237" s="313"/>
      <c r="FU237" s="313"/>
      <c r="FV237" s="313"/>
      <c r="FW237" s="313"/>
      <c r="FX237" s="313"/>
      <c r="FY237" s="313"/>
      <c r="FZ237" s="313"/>
      <c r="GA237" s="313"/>
      <c r="GB237" s="313"/>
      <c r="GC237" s="313"/>
      <c r="GD237" s="313"/>
      <c r="GE237" s="313"/>
      <c r="GF237" s="313"/>
      <c r="GG237" s="313"/>
      <c r="GH237" s="313"/>
      <c r="GI237" s="313"/>
      <c r="GJ237" s="313"/>
      <c r="GK237" s="313"/>
      <c r="GL237" s="313"/>
      <c r="GM237" s="313"/>
      <c r="GN237" s="313"/>
      <c r="GO237" s="313"/>
      <c r="GP237" s="313"/>
      <c r="GQ237" s="313"/>
      <c r="GR237" s="313"/>
      <c r="GS237" s="313"/>
      <c r="GT237" s="313"/>
      <c r="GU237" s="313"/>
      <c r="GV237" s="313"/>
      <c r="GW237" s="313"/>
      <c r="GX237" s="313"/>
      <c r="GY237" s="313"/>
      <c r="GZ237" s="313"/>
      <c r="HA237" s="313"/>
      <c r="HB237" s="313"/>
      <c r="HC237" s="313"/>
      <c r="HD237" s="313"/>
      <c r="HE237" s="313"/>
      <c r="HF237" s="313"/>
      <c r="HG237" s="313"/>
      <c r="HH237" s="313"/>
      <c r="HI237" s="313"/>
      <c r="HJ237" s="313"/>
      <c r="HK237" s="313"/>
      <c r="HL237" s="313"/>
      <c r="HM237" s="313"/>
      <c r="HN237" s="313"/>
      <c r="HO237" s="313"/>
      <c r="HP237" s="313"/>
      <c r="HQ237" s="313"/>
      <c r="HR237" s="313"/>
      <c r="HS237" s="313"/>
      <c r="HT237" s="313"/>
      <c r="HU237" s="313"/>
      <c r="HV237" s="313"/>
      <c r="HW237" s="313"/>
      <c r="HX237" s="313"/>
      <c r="HY237" s="313"/>
      <c r="HZ237" s="313"/>
      <c r="IA237" s="313"/>
    </row>
    <row r="238" s="22" customFormat="1" ht="53" customHeight="1" spans="1:24">
      <c r="A238" s="156">
        <v>31</v>
      </c>
      <c r="B238" s="157" t="s">
        <v>264</v>
      </c>
      <c r="C238" s="158"/>
      <c r="D238" s="157" t="s">
        <v>265</v>
      </c>
      <c r="E238" s="145">
        <v>140000</v>
      </c>
      <c r="F238" s="145"/>
      <c r="G238" s="157" t="s">
        <v>266</v>
      </c>
      <c r="H238" s="157" t="s">
        <v>267</v>
      </c>
      <c r="I238" s="94">
        <v>132075.47</v>
      </c>
      <c r="J238" s="94">
        <v>7924.53</v>
      </c>
      <c r="K238" s="94">
        <f t="shared" si="82"/>
        <v>140000</v>
      </c>
      <c r="L238" s="237"/>
      <c r="M238" s="237"/>
      <c r="N238" s="237"/>
      <c r="O238" s="237"/>
      <c r="P238" s="237"/>
      <c r="Q238" s="237"/>
      <c r="R238" s="237"/>
      <c r="S238" s="94">
        <f t="shared" si="81"/>
        <v>140000</v>
      </c>
      <c r="T238" s="94"/>
      <c r="U238" s="237">
        <v>140000</v>
      </c>
      <c r="V238" s="237"/>
      <c r="W238" s="237">
        <f t="shared" si="83"/>
        <v>0</v>
      </c>
      <c r="X238" s="158"/>
    </row>
    <row r="239" s="22" customFormat="1" ht="45" customHeight="1" spans="1:24">
      <c r="A239" s="156">
        <v>32</v>
      </c>
      <c r="B239" s="157" t="s">
        <v>268</v>
      </c>
      <c r="C239" s="158"/>
      <c r="D239" s="157" t="s">
        <v>178</v>
      </c>
      <c r="E239" s="145">
        <v>48000</v>
      </c>
      <c r="F239" s="145"/>
      <c r="G239" s="157" t="s">
        <v>269</v>
      </c>
      <c r="H239" s="157" t="s">
        <v>270</v>
      </c>
      <c r="I239" s="94">
        <v>45283.02</v>
      </c>
      <c r="J239" s="94">
        <v>2716.98</v>
      </c>
      <c r="K239" s="94">
        <f t="shared" si="82"/>
        <v>48000</v>
      </c>
      <c r="L239" s="237"/>
      <c r="M239" s="237"/>
      <c r="N239" s="237"/>
      <c r="O239" s="237"/>
      <c r="P239" s="237"/>
      <c r="Q239" s="237"/>
      <c r="R239" s="237"/>
      <c r="S239" s="94">
        <f t="shared" si="81"/>
        <v>48000</v>
      </c>
      <c r="T239" s="94"/>
      <c r="U239" s="237">
        <v>48000</v>
      </c>
      <c r="V239" s="237"/>
      <c r="W239" s="237">
        <f t="shared" si="83"/>
        <v>0</v>
      </c>
      <c r="X239" s="158"/>
    </row>
    <row r="240" s="22" customFormat="1" ht="45" customHeight="1" spans="1:24">
      <c r="A240" s="156">
        <v>33</v>
      </c>
      <c r="B240" s="157" t="s">
        <v>271</v>
      </c>
      <c r="C240" s="158"/>
      <c r="D240" s="157" t="s">
        <v>272</v>
      </c>
      <c r="E240" s="145">
        <v>23800</v>
      </c>
      <c r="F240" s="145"/>
      <c r="G240" s="285" t="s">
        <v>365</v>
      </c>
      <c r="H240" s="285" t="s">
        <v>366</v>
      </c>
      <c r="I240" s="101">
        <v>22452.83</v>
      </c>
      <c r="J240" s="101">
        <v>1347.17</v>
      </c>
      <c r="K240" s="101">
        <f>I240+J240</f>
        <v>23800</v>
      </c>
      <c r="L240" s="101"/>
      <c r="M240" s="101"/>
      <c r="N240" s="101"/>
      <c r="O240" s="101"/>
      <c r="P240" s="101"/>
      <c r="Q240" s="101"/>
      <c r="R240" s="101"/>
      <c r="S240" s="101">
        <f t="shared" si="81"/>
        <v>23800</v>
      </c>
      <c r="T240" s="101"/>
      <c r="U240" s="101">
        <f>S240</f>
        <v>23800</v>
      </c>
      <c r="V240" s="94"/>
      <c r="W240" s="237">
        <f t="shared" si="83"/>
        <v>0</v>
      </c>
      <c r="X240" s="158"/>
    </row>
    <row r="241" s="22" customFormat="1" ht="45" customHeight="1" spans="1:24">
      <c r="A241" s="156">
        <v>34</v>
      </c>
      <c r="B241" s="157" t="s">
        <v>273</v>
      </c>
      <c r="C241" s="158" t="s">
        <v>274</v>
      </c>
      <c r="D241" s="157" t="s">
        <v>275</v>
      </c>
      <c r="E241" s="145">
        <v>29800</v>
      </c>
      <c r="F241" s="145"/>
      <c r="G241" s="66" t="s">
        <v>276</v>
      </c>
      <c r="H241" s="66" t="s">
        <v>277</v>
      </c>
      <c r="I241" s="94">
        <v>28113.21</v>
      </c>
      <c r="J241" s="94">
        <v>1686.79</v>
      </c>
      <c r="K241" s="94">
        <v>29800</v>
      </c>
      <c r="L241" s="94">
        <v>0</v>
      </c>
      <c r="M241" s="94">
        <v>0</v>
      </c>
      <c r="N241" s="94">
        <v>0</v>
      </c>
      <c r="O241" s="94">
        <v>0</v>
      </c>
      <c r="P241" s="94"/>
      <c r="Q241" s="94"/>
      <c r="R241" s="94">
        <v>0</v>
      </c>
      <c r="S241" s="94">
        <f t="shared" si="81"/>
        <v>29800</v>
      </c>
      <c r="T241" s="94"/>
      <c r="U241" s="94">
        <v>29800</v>
      </c>
      <c r="V241" s="94"/>
      <c r="W241" s="237">
        <f t="shared" si="83"/>
        <v>0</v>
      </c>
      <c r="X241" s="158"/>
    </row>
    <row r="242" s="23" customFormat="1" ht="47" customHeight="1" spans="1:24">
      <c r="A242" s="286"/>
      <c r="B242" s="286" t="s">
        <v>394</v>
      </c>
      <c r="C242" s="286"/>
      <c r="D242" s="286" t="s">
        <v>56</v>
      </c>
      <c r="E242" s="286"/>
      <c r="F242" s="103"/>
      <c r="G242" s="285" t="s">
        <v>459</v>
      </c>
      <c r="H242" s="285" t="s">
        <v>396</v>
      </c>
      <c r="I242" s="101">
        <v>235849.06</v>
      </c>
      <c r="J242" s="101">
        <f>250000-I242</f>
        <v>14150.94</v>
      </c>
      <c r="K242" s="101">
        <f>I242+J242</f>
        <v>250000</v>
      </c>
      <c r="L242" s="101"/>
      <c r="M242" s="101"/>
      <c r="N242" s="101"/>
      <c r="O242" s="101"/>
      <c r="P242" s="101"/>
      <c r="Q242" s="101"/>
      <c r="R242" s="101"/>
      <c r="S242" s="101">
        <f>K242</f>
        <v>250000</v>
      </c>
      <c r="T242" s="101"/>
      <c r="U242" s="94"/>
      <c r="V242" s="94"/>
      <c r="W242" s="94">
        <f t="shared" si="83"/>
        <v>250000</v>
      </c>
      <c r="X242" s="158"/>
    </row>
    <row r="243" s="23" customFormat="1" ht="47" customHeight="1" spans="1:24">
      <c r="A243" s="287"/>
      <c r="B243" s="287"/>
      <c r="C243" s="287"/>
      <c r="D243" s="287"/>
      <c r="E243" s="287"/>
      <c r="F243" s="105"/>
      <c r="G243" s="288" t="s">
        <v>490</v>
      </c>
      <c r="H243" s="288" t="s">
        <v>491</v>
      </c>
      <c r="I243" s="288">
        <v>6893119.39</v>
      </c>
      <c r="J243" s="101">
        <f>620380.75</f>
        <v>620380.75</v>
      </c>
      <c r="K243" s="101">
        <f>J243+I243</f>
        <v>7513500.14</v>
      </c>
      <c r="L243" s="303"/>
      <c r="M243" s="101"/>
      <c r="N243" s="101"/>
      <c r="O243" s="101"/>
      <c r="P243" s="101"/>
      <c r="Q243" s="101"/>
      <c r="R243" s="101"/>
      <c r="S243" s="101"/>
      <c r="T243" s="101"/>
      <c r="U243" s="94"/>
      <c r="V243" s="94"/>
      <c r="W243" s="94"/>
      <c r="X243" s="158"/>
    </row>
    <row r="244" s="23" customFormat="1" ht="47" customHeight="1" spans="1:24">
      <c r="A244" s="287"/>
      <c r="B244" s="287"/>
      <c r="C244" s="287"/>
      <c r="D244" s="287"/>
      <c r="E244" s="287"/>
      <c r="F244" s="105"/>
      <c r="G244" s="68"/>
      <c r="H244" s="285"/>
      <c r="I244" s="210"/>
      <c r="J244" s="101"/>
      <c r="K244" s="101"/>
      <c r="L244" s="303"/>
      <c r="M244" s="101"/>
      <c r="N244" s="101"/>
      <c r="O244" s="101"/>
      <c r="P244" s="101"/>
      <c r="Q244" s="101"/>
      <c r="R244" s="101"/>
      <c r="S244" s="101"/>
      <c r="T244" s="101"/>
      <c r="U244" s="94"/>
      <c r="V244" s="94"/>
      <c r="W244" s="94"/>
      <c r="X244" s="158"/>
    </row>
    <row r="245" s="23" customFormat="1" ht="47" customHeight="1" spans="1:24">
      <c r="A245" s="287"/>
      <c r="B245" s="287"/>
      <c r="C245" s="287"/>
      <c r="D245" s="287"/>
      <c r="E245" s="287"/>
      <c r="F245" s="105"/>
      <c r="G245" s="68"/>
      <c r="H245" s="285"/>
      <c r="I245" s="210"/>
      <c r="J245" s="101"/>
      <c r="K245" s="101"/>
      <c r="L245" s="303"/>
      <c r="M245" s="101"/>
      <c r="N245" s="101"/>
      <c r="O245" s="101"/>
      <c r="P245" s="101"/>
      <c r="Q245" s="101"/>
      <c r="R245" s="101"/>
      <c r="S245" s="101"/>
      <c r="T245" s="101"/>
      <c r="U245" s="94"/>
      <c r="V245" s="94"/>
      <c r="W245" s="94"/>
      <c r="X245" s="158"/>
    </row>
    <row r="246" s="23" customFormat="1" ht="47" customHeight="1" spans="1:24">
      <c r="A246" s="289"/>
      <c r="B246" s="290" t="s">
        <v>166</v>
      </c>
      <c r="C246" s="291" t="s">
        <v>240</v>
      </c>
      <c r="D246" s="292" t="s">
        <v>168</v>
      </c>
      <c r="E246" s="293"/>
      <c r="F246" s="293"/>
      <c r="G246" s="294" t="s">
        <v>460</v>
      </c>
      <c r="H246" s="285" t="s">
        <v>461</v>
      </c>
      <c r="I246" s="304">
        <v>134916.31</v>
      </c>
      <c r="J246" s="101">
        <v>8094.98</v>
      </c>
      <c r="K246" s="101">
        <f>J246+I246</f>
        <v>143011.29</v>
      </c>
      <c r="L246" s="305"/>
      <c r="M246" s="101"/>
      <c r="N246" s="101"/>
      <c r="O246" s="101"/>
      <c r="P246" s="101"/>
      <c r="Q246" s="101"/>
      <c r="R246" s="101"/>
      <c r="S246" s="101"/>
      <c r="T246" s="101"/>
      <c r="U246" s="94"/>
      <c r="V246" s="94"/>
      <c r="W246" s="94"/>
      <c r="X246" s="158"/>
    </row>
    <row r="247" s="23" customFormat="1" ht="47" customHeight="1" spans="1:24">
      <c r="A247" s="289"/>
      <c r="B247" s="290"/>
      <c r="C247" s="291"/>
      <c r="D247" s="292"/>
      <c r="E247" s="293"/>
      <c r="F247" s="293"/>
      <c r="G247" s="294" t="s">
        <v>462</v>
      </c>
      <c r="H247" s="285" t="s">
        <v>463</v>
      </c>
      <c r="I247" s="304">
        <v>476989.43</v>
      </c>
      <c r="J247" s="101">
        <v>28619.37</v>
      </c>
      <c r="K247" s="101">
        <f>J247+I247</f>
        <v>505608.8</v>
      </c>
      <c r="L247" s="305"/>
      <c r="M247" s="101"/>
      <c r="N247" s="101"/>
      <c r="O247" s="101"/>
      <c r="P247" s="101"/>
      <c r="Q247" s="101"/>
      <c r="R247" s="101"/>
      <c r="S247" s="101"/>
      <c r="T247" s="101"/>
      <c r="U247" s="94"/>
      <c r="V247" s="94"/>
      <c r="W247" s="94"/>
      <c r="X247" s="158"/>
    </row>
    <row r="248" s="23" customFormat="1" ht="47" customHeight="1" spans="1:24">
      <c r="A248" s="289"/>
      <c r="B248" s="290"/>
      <c r="C248" s="291"/>
      <c r="D248" s="292"/>
      <c r="E248" s="293"/>
      <c r="F248" s="293"/>
      <c r="G248" s="294" t="s">
        <v>464</v>
      </c>
      <c r="H248" s="285" t="s">
        <v>465</v>
      </c>
      <c r="I248" s="304">
        <v>9900000</v>
      </c>
      <c r="J248" s="101">
        <v>0</v>
      </c>
      <c r="K248" s="101">
        <f>J248+I248</f>
        <v>9900000</v>
      </c>
      <c r="L248" s="305"/>
      <c r="M248" s="101"/>
      <c r="N248" s="101"/>
      <c r="O248" s="101"/>
      <c r="P248" s="101"/>
      <c r="Q248" s="101"/>
      <c r="R248" s="101"/>
      <c r="S248" s="101"/>
      <c r="T248" s="101"/>
      <c r="U248" s="94"/>
      <c r="V248" s="94"/>
      <c r="W248" s="94"/>
      <c r="X248" s="158"/>
    </row>
    <row r="249" s="23" customFormat="1" ht="47" customHeight="1" spans="1:24">
      <c r="A249" s="289"/>
      <c r="B249" s="290"/>
      <c r="C249" s="291"/>
      <c r="D249" s="292"/>
      <c r="E249" s="293"/>
      <c r="F249" s="293"/>
      <c r="G249" s="294" t="s">
        <v>464</v>
      </c>
      <c r="H249" s="285" t="s">
        <v>465</v>
      </c>
      <c r="I249" s="304">
        <v>100000</v>
      </c>
      <c r="J249" s="101">
        <v>0</v>
      </c>
      <c r="K249" s="101">
        <f>J249+I249</f>
        <v>100000</v>
      </c>
      <c r="L249" s="305"/>
      <c r="M249" s="101"/>
      <c r="N249" s="101"/>
      <c r="O249" s="101"/>
      <c r="P249" s="101"/>
      <c r="Q249" s="101"/>
      <c r="R249" s="101"/>
      <c r="S249" s="101"/>
      <c r="T249" s="101"/>
      <c r="U249" s="94"/>
      <c r="V249" s="94"/>
      <c r="W249" s="94"/>
      <c r="X249" s="158"/>
    </row>
    <row r="250" s="23" customFormat="1" ht="47" customHeight="1" spans="1:24">
      <c r="A250" s="289"/>
      <c r="B250" s="295" t="s">
        <v>492</v>
      </c>
      <c r="C250" s="296"/>
      <c r="D250" s="292"/>
      <c r="E250" s="297"/>
      <c r="F250" s="297"/>
      <c r="G250" s="298" t="s">
        <v>493</v>
      </c>
      <c r="H250" s="298" t="s">
        <v>494</v>
      </c>
      <c r="I250" s="298">
        <v>29203539.84</v>
      </c>
      <c r="J250" s="101">
        <f>K250-I250</f>
        <v>3796460.16</v>
      </c>
      <c r="K250" s="101">
        <f>33000000</f>
        <v>33000000</v>
      </c>
      <c r="L250" s="303"/>
      <c r="M250" s="101"/>
      <c r="N250" s="101"/>
      <c r="O250" s="101"/>
      <c r="P250" s="101"/>
      <c r="Q250" s="101"/>
      <c r="R250" s="101"/>
      <c r="S250" s="101"/>
      <c r="T250" s="101"/>
      <c r="U250" s="94"/>
      <c r="V250" s="94"/>
      <c r="W250" s="94"/>
      <c r="X250" s="158"/>
    </row>
    <row r="251" s="23" customFormat="1" ht="47" customHeight="1" spans="1:24">
      <c r="A251" s="289"/>
      <c r="B251" s="295"/>
      <c r="C251" s="299"/>
      <c r="D251" s="292"/>
      <c r="E251" s="297"/>
      <c r="F251" s="297"/>
      <c r="G251" s="162"/>
      <c r="H251" s="285"/>
      <c r="I251" s="306"/>
      <c r="J251" s="101"/>
      <c r="K251" s="101"/>
      <c r="L251" s="303"/>
      <c r="M251" s="101"/>
      <c r="N251" s="101"/>
      <c r="O251" s="101"/>
      <c r="P251" s="101"/>
      <c r="Q251" s="101"/>
      <c r="R251" s="101"/>
      <c r="S251" s="101"/>
      <c r="T251" s="101"/>
      <c r="U251" s="94"/>
      <c r="V251" s="94"/>
      <c r="W251" s="94"/>
      <c r="X251" s="158"/>
    </row>
    <row r="252" s="23" customFormat="1" ht="47" customHeight="1" spans="1:24">
      <c r="A252" s="289"/>
      <c r="B252" s="295"/>
      <c r="C252" s="299"/>
      <c r="D252" s="292"/>
      <c r="E252" s="297"/>
      <c r="F252" s="297"/>
      <c r="G252" s="162"/>
      <c r="H252" s="285"/>
      <c r="I252" s="306"/>
      <c r="J252" s="101"/>
      <c r="K252" s="101"/>
      <c r="L252" s="303"/>
      <c r="M252" s="101"/>
      <c r="N252" s="101"/>
      <c r="O252" s="101"/>
      <c r="P252" s="101"/>
      <c r="Q252" s="101"/>
      <c r="R252" s="101"/>
      <c r="S252" s="101"/>
      <c r="T252" s="101"/>
      <c r="U252" s="94"/>
      <c r="V252" s="94"/>
      <c r="W252" s="94"/>
      <c r="X252" s="158"/>
    </row>
    <row r="253" s="23" customFormat="1" ht="47" customHeight="1" spans="1:24">
      <c r="A253" s="289"/>
      <c r="B253" s="295"/>
      <c r="C253" s="299"/>
      <c r="D253" s="292"/>
      <c r="E253" s="297"/>
      <c r="F253" s="297"/>
      <c r="G253" s="162"/>
      <c r="H253" s="285"/>
      <c r="I253" s="306"/>
      <c r="J253" s="101"/>
      <c r="K253" s="101"/>
      <c r="L253" s="303"/>
      <c r="M253" s="101"/>
      <c r="N253" s="101"/>
      <c r="O253" s="101"/>
      <c r="P253" s="101"/>
      <c r="Q253" s="101"/>
      <c r="R253" s="101"/>
      <c r="S253" s="101"/>
      <c r="T253" s="101"/>
      <c r="U253" s="94"/>
      <c r="V253" s="94"/>
      <c r="W253" s="94"/>
      <c r="X253" s="158"/>
    </row>
    <row r="254" s="23" customFormat="1" ht="47" customHeight="1" spans="1:24">
      <c r="A254" s="289"/>
      <c r="B254" s="295"/>
      <c r="C254" s="299"/>
      <c r="D254" s="292"/>
      <c r="E254" s="297"/>
      <c r="F254" s="297"/>
      <c r="G254" s="162"/>
      <c r="H254" s="285"/>
      <c r="I254" s="306"/>
      <c r="J254" s="101"/>
      <c r="K254" s="101"/>
      <c r="L254" s="303"/>
      <c r="M254" s="101"/>
      <c r="N254" s="101"/>
      <c r="O254" s="101"/>
      <c r="P254" s="101"/>
      <c r="Q254" s="101"/>
      <c r="R254" s="101"/>
      <c r="S254" s="101"/>
      <c r="T254" s="101"/>
      <c r="U254" s="94"/>
      <c r="V254" s="94"/>
      <c r="W254" s="94"/>
      <c r="X254" s="158"/>
    </row>
    <row r="255" s="23" customFormat="1" ht="47" customHeight="1" spans="1:24">
      <c r="A255" s="289"/>
      <c r="B255" s="295"/>
      <c r="C255" s="299"/>
      <c r="D255" s="292"/>
      <c r="E255" s="297"/>
      <c r="F255" s="297"/>
      <c r="G255" s="162"/>
      <c r="H255" s="285"/>
      <c r="I255" s="306"/>
      <c r="J255" s="101"/>
      <c r="K255" s="101"/>
      <c r="L255" s="303"/>
      <c r="M255" s="101"/>
      <c r="N255" s="101"/>
      <c r="O255" s="101"/>
      <c r="P255" s="101"/>
      <c r="Q255" s="101"/>
      <c r="R255" s="101"/>
      <c r="S255" s="101"/>
      <c r="T255" s="101"/>
      <c r="U255" s="94"/>
      <c r="V255" s="94"/>
      <c r="W255" s="94"/>
      <c r="X255" s="158"/>
    </row>
    <row r="256" s="23" customFormat="1" ht="47" customHeight="1" spans="1:24">
      <c r="A256" s="289"/>
      <c r="B256" s="295"/>
      <c r="C256" s="299"/>
      <c r="D256" s="292"/>
      <c r="E256" s="297"/>
      <c r="F256" s="297"/>
      <c r="G256" s="162"/>
      <c r="H256" s="285"/>
      <c r="I256" s="306"/>
      <c r="J256" s="101"/>
      <c r="K256" s="101"/>
      <c r="L256" s="303"/>
      <c r="M256" s="101"/>
      <c r="N256" s="101"/>
      <c r="O256" s="101"/>
      <c r="P256" s="101"/>
      <c r="Q256" s="101"/>
      <c r="R256" s="101"/>
      <c r="S256" s="101"/>
      <c r="T256" s="101"/>
      <c r="U256" s="94"/>
      <c r="V256" s="94"/>
      <c r="W256" s="94"/>
      <c r="X256" s="158"/>
    </row>
    <row r="257" s="23" customFormat="1" ht="47" customHeight="1" spans="1:24">
      <c r="A257" s="289"/>
      <c r="B257" s="295"/>
      <c r="C257" s="299"/>
      <c r="D257" s="292"/>
      <c r="E257" s="297"/>
      <c r="F257" s="297"/>
      <c r="G257" s="162"/>
      <c r="H257" s="285"/>
      <c r="I257" s="306"/>
      <c r="J257" s="101"/>
      <c r="K257" s="101"/>
      <c r="L257" s="303"/>
      <c r="M257" s="101"/>
      <c r="N257" s="101"/>
      <c r="O257" s="101"/>
      <c r="P257" s="101"/>
      <c r="Q257" s="101"/>
      <c r="R257" s="101"/>
      <c r="S257" s="101"/>
      <c r="T257" s="101"/>
      <c r="U257" s="94"/>
      <c r="V257" s="94"/>
      <c r="W257" s="94"/>
      <c r="X257" s="158"/>
    </row>
    <row r="258" s="23" customFormat="1" ht="47" customHeight="1" spans="1:24">
      <c r="A258" s="289"/>
      <c r="B258" s="295"/>
      <c r="C258" s="299"/>
      <c r="D258" s="292"/>
      <c r="E258" s="297"/>
      <c r="F258" s="297"/>
      <c r="G258" s="162"/>
      <c r="H258" s="285"/>
      <c r="I258" s="306"/>
      <c r="J258" s="101"/>
      <c r="K258" s="101"/>
      <c r="L258" s="303"/>
      <c r="M258" s="101"/>
      <c r="N258" s="101"/>
      <c r="O258" s="101"/>
      <c r="P258" s="101"/>
      <c r="Q258" s="101"/>
      <c r="R258" s="101"/>
      <c r="S258" s="101"/>
      <c r="T258" s="101"/>
      <c r="U258" s="94"/>
      <c r="V258" s="94"/>
      <c r="W258" s="94"/>
      <c r="X258" s="158"/>
    </row>
    <row r="259" s="23" customFormat="1" ht="47" customHeight="1" spans="1:24">
      <c r="A259" s="289"/>
      <c r="B259" s="295"/>
      <c r="C259" s="299"/>
      <c r="D259" s="292"/>
      <c r="E259" s="297"/>
      <c r="F259" s="297"/>
      <c r="G259" s="162"/>
      <c r="H259" s="285"/>
      <c r="I259" s="306"/>
      <c r="J259" s="101"/>
      <c r="K259" s="101"/>
      <c r="L259" s="303"/>
      <c r="M259" s="101"/>
      <c r="N259" s="101"/>
      <c r="O259" s="101"/>
      <c r="P259" s="101"/>
      <c r="Q259" s="101"/>
      <c r="R259" s="101"/>
      <c r="S259" s="101"/>
      <c r="T259" s="101"/>
      <c r="U259" s="94"/>
      <c r="V259" s="94"/>
      <c r="W259" s="94"/>
      <c r="X259" s="158"/>
    </row>
    <row r="260" s="23" customFormat="1" ht="47" customHeight="1" spans="1:24">
      <c r="A260" s="289"/>
      <c r="B260" s="295"/>
      <c r="C260" s="299"/>
      <c r="D260" s="292"/>
      <c r="E260" s="297"/>
      <c r="F260" s="297"/>
      <c r="G260" s="162"/>
      <c r="H260" s="285"/>
      <c r="I260" s="306"/>
      <c r="J260" s="101"/>
      <c r="K260" s="101"/>
      <c r="L260" s="303"/>
      <c r="M260" s="101"/>
      <c r="N260" s="101"/>
      <c r="O260" s="101"/>
      <c r="P260" s="101"/>
      <c r="Q260" s="101"/>
      <c r="R260" s="101"/>
      <c r="S260" s="101"/>
      <c r="T260" s="101"/>
      <c r="U260" s="94"/>
      <c r="V260" s="94"/>
      <c r="W260" s="94"/>
      <c r="X260" s="158"/>
    </row>
    <row r="261" s="23" customFormat="1" ht="47" customHeight="1" spans="1:24">
      <c r="A261" s="289"/>
      <c r="B261" s="295"/>
      <c r="C261" s="299"/>
      <c r="D261" s="292"/>
      <c r="E261" s="297"/>
      <c r="F261" s="297"/>
      <c r="G261" s="162"/>
      <c r="H261" s="285"/>
      <c r="I261" s="306"/>
      <c r="J261" s="101"/>
      <c r="K261" s="101"/>
      <c r="L261" s="303"/>
      <c r="M261" s="101"/>
      <c r="N261" s="101"/>
      <c r="O261" s="101"/>
      <c r="P261" s="101"/>
      <c r="Q261" s="101"/>
      <c r="R261" s="101"/>
      <c r="S261" s="101"/>
      <c r="T261" s="101"/>
      <c r="U261" s="94"/>
      <c r="V261" s="94"/>
      <c r="W261" s="94"/>
      <c r="X261" s="158"/>
    </row>
    <row r="262" s="23" customFormat="1" ht="47" customHeight="1" spans="1:24">
      <c r="A262" s="289"/>
      <c r="B262" s="295"/>
      <c r="C262" s="299"/>
      <c r="D262" s="292"/>
      <c r="E262" s="297"/>
      <c r="F262" s="297"/>
      <c r="G262" s="162"/>
      <c r="H262" s="285"/>
      <c r="I262" s="306"/>
      <c r="J262" s="101"/>
      <c r="K262" s="101"/>
      <c r="L262" s="303"/>
      <c r="M262" s="101"/>
      <c r="N262" s="101"/>
      <c r="O262" s="101"/>
      <c r="P262" s="101"/>
      <c r="Q262" s="101"/>
      <c r="R262" s="101"/>
      <c r="S262" s="101"/>
      <c r="T262" s="101"/>
      <c r="U262" s="94"/>
      <c r="V262" s="94"/>
      <c r="W262" s="94"/>
      <c r="X262" s="158"/>
    </row>
    <row r="263" s="23" customFormat="1" ht="45" customHeight="1" spans="1:24">
      <c r="A263" s="289">
        <v>35</v>
      </c>
      <c r="B263" s="263" t="s">
        <v>249</v>
      </c>
      <c r="C263" s="264"/>
      <c r="D263" s="265"/>
      <c r="E263" s="314"/>
      <c r="F263" s="145" t="s">
        <v>295</v>
      </c>
      <c r="G263" s="145" t="s">
        <v>207</v>
      </c>
      <c r="H263" s="66"/>
      <c r="I263" s="94">
        <v>5480</v>
      </c>
      <c r="J263" s="94">
        <v>0</v>
      </c>
      <c r="K263" s="94">
        <f>J263+I263</f>
        <v>5480</v>
      </c>
      <c r="L263" s="94"/>
      <c r="M263" s="94"/>
      <c r="N263" s="94"/>
      <c r="O263" s="94"/>
      <c r="P263" s="94"/>
      <c r="Q263" s="94"/>
      <c r="R263" s="94"/>
      <c r="S263" s="94">
        <f>K263-L263-M263-N263-O263+R263</f>
        <v>5480</v>
      </c>
      <c r="T263" s="94"/>
      <c r="U263" s="94">
        <v>5480</v>
      </c>
      <c r="V263" s="94"/>
      <c r="W263" s="237">
        <f t="shared" ref="W263:W282" si="84">S263+T263-U263-V263</f>
        <v>0</v>
      </c>
      <c r="X263" s="158"/>
    </row>
    <row r="264" s="23" customFormat="1" ht="45" customHeight="1" spans="1:24">
      <c r="A264" s="315"/>
      <c r="B264" s="266"/>
      <c r="C264" s="267"/>
      <c r="D264" s="268"/>
      <c r="E264" s="314"/>
      <c r="F264" s="103" t="s">
        <v>296</v>
      </c>
      <c r="G264" s="174" t="s">
        <v>321</v>
      </c>
      <c r="H264" s="285" t="s">
        <v>322</v>
      </c>
      <c r="I264" s="101">
        <v>980</v>
      </c>
      <c r="J264" s="101"/>
      <c r="K264" s="101">
        <f t="shared" ref="K264:K274" si="85">I264+J264</f>
        <v>980</v>
      </c>
      <c r="L264" s="101"/>
      <c r="M264" s="101"/>
      <c r="N264" s="101"/>
      <c r="O264" s="101"/>
      <c r="P264" s="101"/>
      <c r="Q264" s="101"/>
      <c r="R264" s="101"/>
      <c r="S264" s="101">
        <v>980</v>
      </c>
      <c r="T264" s="101"/>
      <c r="U264" s="101">
        <v>980</v>
      </c>
      <c r="V264" s="94"/>
      <c r="W264" s="237">
        <f t="shared" si="84"/>
        <v>0</v>
      </c>
      <c r="X264" s="158"/>
    </row>
    <row r="265" s="23" customFormat="1" ht="45" customHeight="1" spans="1:24">
      <c r="A265" s="315"/>
      <c r="B265" s="266"/>
      <c r="C265" s="267"/>
      <c r="D265" s="268"/>
      <c r="E265" s="314"/>
      <c r="F265" s="105"/>
      <c r="G265" s="174" t="s">
        <v>337</v>
      </c>
      <c r="H265" s="285"/>
      <c r="I265" s="101">
        <v>879</v>
      </c>
      <c r="J265" s="101"/>
      <c r="K265" s="101">
        <f t="shared" si="85"/>
        <v>879</v>
      </c>
      <c r="L265" s="101"/>
      <c r="M265" s="101"/>
      <c r="N265" s="101"/>
      <c r="O265" s="101"/>
      <c r="P265" s="101"/>
      <c r="Q265" s="101"/>
      <c r="R265" s="101"/>
      <c r="S265" s="101">
        <f t="shared" ref="S265:S272" si="86">K265</f>
        <v>879</v>
      </c>
      <c r="T265" s="101"/>
      <c r="U265" s="101">
        <f t="shared" ref="U265:U268" si="87">S265</f>
        <v>879</v>
      </c>
      <c r="V265" s="94"/>
      <c r="W265" s="237">
        <f t="shared" si="84"/>
        <v>0</v>
      </c>
      <c r="X265" s="158"/>
    </row>
    <row r="266" s="23" customFormat="1" ht="45" customHeight="1" spans="1:24">
      <c r="A266" s="315"/>
      <c r="B266" s="266"/>
      <c r="C266" s="267"/>
      <c r="D266" s="268"/>
      <c r="E266" s="314"/>
      <c r="F266" s="105"/>
      <c r="G266" s="174" t="s">
        <v>338</v>
      </c>
      <c r="H266" s="285"/>
      <c r="I266" s="101">
        <v>4442</v>
      </c>
      <c r="J266" s="101"/>
      <c r="K266" s="101">
        <f t="shared" si="85"/>
        <v>4442</v>
      </c>
      <c r="L266" s="101"/>
      <c r="M266" s="101"/>
      <c r="N266" s="101"/>
      <c r="O266" s="101"/>
      <c r="P266" s="101"/>
      <c r="Q266" s="101"/>
      <c r="R266" s="101"/>
      <c r="S266" s="101">
        <f t="shared" si="86"/>
        <v>4442</v>
      </c>
      <c r="T266" s="101"/>
      <c r="U266" s="101">
        <f t="shared" si="87"/>
        <v>4442</v>
      </c>
      <c r="V266" s="94"/>
      <c r="W266" s="237">
        <f t="shared" si="84"/>
        <v>0</v>
      </c>
      <c r="X266" s="158"/>
    </row>
    <row r="267" s="23" customFormat="1" ht="45" customHeight="1" spans="1:24">
      <c r="A267" s="315"/>
      <c r="B267" s="266"/>
      <c r="C267" s="267"/>
      <c r="D267" s="268"/>
      <c r="E267" s="314"/>
      <c r="F267" s="105"/>
      <c r="G267" s="174" t="s">
        <v>339</v>
      </c>
      <c r="H267" s="285"/>
      <c r="I267" s="101">
        <v>1330</v>
      </c>
      <c r="J267" s="101"/>
      <c r="K267" s="101">
        <f t="shared" si="85"/>
        <v>1330</v>
      </c>
      <c r="L267" s="101"/>
      <c r="M267" s="101"/>
      <c r="N267" s="101"/>
      <c r="O267" s="101"/>
      <c r="P267" s="101"/>
      <c r="Q267" s="101"/>
      <c r="R267" s="101"/>
      <c r="S267" s="101">
        <f t="shared" si="86"/>
        <v>1330</v>
      </c>
      <c r="T267" s="101"/>
      <c r="U267" s="101">
        <f t="shared" si="87"/>
        <v>1330</v>
      </c>
      <c r="V267" s="94"/>
      <c r="W267" s="237">
        <f t="shared" si="84"/>
        <v>0</v>
      </c>
      <c r="X267" s="158"/>
    </row>
    <row r="268" s="23" customFormat="1" ht="45" customHeight="1" spans="1:24">
      <c r="A268" s="315"/>
      <c r="B268" s="271"/>
      <c r="C268" s="272"/>
      <c r="D268" s="273"/>
      <c r="E268" s="314"/>
      <c r="F268" s="106"/>
      <c r="G268" s="269" t="s">
        <v>422</v>
      </c>
      <c r="H268" s="285"/>
      <c r="I268" s="101">
        <v>8883</v>
      </c>
      <c r="J268" s="101"/>
      <c r="K268" s="101">
        <f t="shared" si="85"/>
        <v>8883</v>
      </c>
      <c r="L268" s="101"/>
      <c r="M268" s="101"/>
      <c r="N268" s="101"/>
      <c r="O268" s="101"/>
      <c r="P268" s="101"/>
      <c r="Q268" s="101"/>
      <c r="R268" s="101"/>
      <c r="S268" s="101">
        <f t="shared" si="86"/>
        <v>8883</v>
      </c>
      <c r="T268" s="101"/>
      <c r="U268" s="101">
        <f t="shared" si="87"/>
        <v>8883</v>
      </c>
      <c r="V268" s="94"/>
      <c r="W268" s="237">
        <f t="shared" si="84"/>
        <v>0</v>
      </c>
      <c r="X268" s="158"/>
    </row>
    <row r="269" s="23" customFormat="1" ht="45" customHeight="1" spans="1:24">
      <c r="A269" s="175"/>
      <c r="B269" s="263" t="s">
        <v>466</v>
      </c>
      <c r="C269" s="264"/>
      <c r="D269" s="265"/>
      <c r="E269" s="192"/>
      <c r="F269" s="193" t="s">
        <v>310</v>
      </c>
      <c r="G269" s="269" t="s">
        <v>422</v>
      </c>
      <c r="H269" s="316" t="s">
        <v>467</v>
      </c>
      <c r="I269" s="101">
        <v>11037.72</v>
      </c>
      <c r="J269" s="101">
        <v>662.28</v>
      </c>
      <c r="K269" s="101">
        <f t="shared" si="85"/>
        <v>11700</v>
      </c>
      <c r="L269" s="101"/>
      <c r="M269" s="101"/>
      <c r="N269" s="101"/>
      <c r="O269" s="101"/>
      <c r="P269" s="101"/>
      <c r="Q269" s="101"/>
      <c r="R269" s="109"/>
      <c r="S269" s="101">
        <f t="shared" si="86"/>
        <v>11700</v>
      </c>
      <c r="T269" s="94"/>
      <c r="U269" s="94">
        <f>K269+R269</f>
        <v>11700</v>
      </c>
      <c r="V269" s="94"/>
      <c r="W269" s="94">
        <f t="shared" si="84"/>
        <v>0</v>
      </c>
      <c r="X269" s="145"/>
    </row>
    <row r="270" s="23" customFormat="1" ht="45" customHeight="1" spans="1:24">
      <c r="A270" s="175"/>
      <c r="B270" s="266"/>
      <c r="C270" s="267"/>
      <c r="D270" s="268"/>
      <c r="E270" s="198"/>
      <c r="F270" s="195"/>
      <c r="G270" s="269" t="s">
        <v>485</v>
      </c>
      <c r="H270" s="270"/>
      <c r="I270" s="109">
        <v>12835</v>
      </c>
      <c r="J270" s="109">
        <v>0</v>
      </c>
      <c r="K270" s="101">
        <f t="shared" si="85"/>
        <v>12835</v>
      </c>
      <c r="L270" s="101"/>
      <c r="M270" s="101"/>
      <c r="N270" s="101"/>
      <c r="O270" s="101"/>
      <c r="P270" s="101"/>
      <c r="Q270" s="101"/>
      <c r="R270" s="109"/>
      <c r="S270" s="101">
        <f t="shared" si="86"/>
        <v>12835</v>
      </c>
      <c r="T270" s="94"/>
      <c r="U270" s="94">
        <f t="shared" ref="U270:U272" si="88">S270</f>
        <v>12835</v>
      </c>
      <c r="V270" s="94"/>
      <c r="W270" s="94">
        <f t="shared" si="84"/>
        <v>0</v>
      </c>
      <c r="X270" s="145"/>
    </row>
    <row r="271" s="23" customFormat="1" ht="45" customHeight="1" spans="1:24">
      <c r="A271" s="175"/>
      <c r="B271" s="266"/>
      <c r="C271" s="267"/>
      <c r="D271" s="268"/>
      <c r="E271" s="198"/>
      <c r="F271" s="195"/>
      <c r="G271" s="269"/>
      <c r="H271" s="270"/>
      <c r="I271" s="109"/>
      <c r="J271" s="109"/>
      <c r="K271" s="101">
        <f t="shared" si="85"/>
        <v>0</v>
      </c>
      <c r="L271" s="101"/>
      <c r="M271" s="101"/>
      <c r="N271" s="101"/>
      <c r="O271" s="101"/>
      <c r="P271" s="101"/>
      <c r="Q271" s="101"/>
      <c r="R271" s="109"/>
      <c r="S271" s="101">
        <f t="shared" si="86"/>
        <v>0</v>
      </c>
      <c r="T271" s="94"/>
      <c r="U271" s="94">
        <f t="shared" si="88"/>
        <v>0</v>
      </c>
      <c r="V271" s="94"/>
      <c r="W271" s="94">
        <f t="shared" si="84"/>
        <v>0</v>
      </c>
      <c r="X271" s="145"/>
    </row>
    <row r="272" s="23" customFormat="1" ht="45" customHeight="1" spans="1:24">
      <c r="A272" s="175"/>
      <c r="B272" s="266"/>
      <c r="C272" s="267"/>
      <c r="D272" s="268"/>
      <c r="E272" s="198"/>
      <c r="F272" s="195"/>
      <c r="G272" s="269"/>
      <c r="H272" s="270"/>
      <c r="I272" s="109"/>
      <c r="J272" s="109"/>
      <c r="K272" s="101">
        <f t="shared" si="85"/>
        <v>0</v>
      </c>
      <c r="L272" s="101"/>
      <c r="M272" s="101"/>
      <c r="N272" s="101"/>
      <c r="O272" s="101"/>
      <c r="P272" s="101"/>
      <c r="Q272" s="101"/>
      <c r="R272" s="109"/>
      <c r="S272" s="101">
        <f t="shared" si="86"/>
        <v>0</v>
      </c>
      <c r="T272" s="94"/>
      <c r="U272" s="94">
        <f t="shared" si="88"/>
        <v>0</v>
      </c>
      <c r="V272" s="94"/>
      <c r="W272" s="94">
        <f t="shared" si="84"/>
        <v>0</v>
      </c>
      <c r="X272" s="145"/>
    </row>
    <row r="273" s="23" customFormat="1" ht="45" customHeight="1" spans="1:24">
      <c r="A273" s="175"/>
      <c r="B273" s="266"/>
      <c r="C273" s="267"/>
      <c r="D273" s="268"/>
      <c r="E273" s="198"/>
      <c r="F273" s="195"/>
      <c r="G273" s="269"/>
      <c r="H273" s="270"/>
      <c r="I273" s="109"/>
      <c r="J273" s="109"/>
      <c r="K273" s="101">
        <f t="shared" si="85"/>
        <v>0</v>
      </c>
      <c r="L273" s="101"/>
      <c r="M273" s="101"/>
      <c r="N273" s="101"/>
      <c r="O273" s="101"/>
      <c r="P273" s="101"/>
      <c r="Q273" s="101"/>
      <c r="R273" s="109"/>
      <c r="S273" s="101"/>
      <c r="T273" s="94"/>
      <c r="U273" s="94"/>
      <c r="V273" s="94"/>
      <c r="W273" s="94">
        <f t="shared" si="84"/>
        <v>0</v>
      </c>
      <c r="X273" s="145"/>
    </row>
    <row r="274" s="23" customFormat="1" ht="45" customHeight="1" spans="1:24">
      <c r="A274" s="175"/>
      <c r="B274" s="271"/>
      <c r="C274" s="272"/>
      <c r="D274" s="273"/>
      <c r="E274" s="199"/>
      <c r="F274" s="201"/>
      <c r="G274" s="269"/>
      <c r="H274" s="270"/>
      <c r="I274" s="109"/>
      <c r="J274" s="109"/>
      <c r="K274" s="101">
        <f t="shared" si="85"/>
        <v>0</v>
      </c>
      <c r="L274" s="101"/>
      <c r="M274" s="101"/>
      <c r="N274" s="101"/>
      <c r="O274" s="101"/>
      <c r="P274" s="101"/>
      <c r="Q274" s="101"/>
      <c r="R274" s="109"/>
      <c r="S274" s="101"/>
      <c r="T274" s="94"/>
      <c r="U274" s="94"/>
      <c r="V274" s="94"/>
      <c r="W274" s="94">
        <f t="shared" si="84"/>
        <v>0</v>
      </c>
      <c r="X274" s="145"/>
    </row>
    <row r="275" s="23" customFormat="1" ht="45" customHeight="1" spans="1:24">
      <c r="A275" s="317"/>
      <c r="B275" s="263" t="s">
        <v>254</v>
      </c>
      <c r="C275" s="264"/>
      <c r="D275" s="265"/>
      <c r="E275" s="145"/>
      <c r="F275" s="145" t="s">
        <v>295</v>
      </c>
      <c r="G275" s="66" t="s">
        <v>278</v>
      </c>
      <c r="H275" s="145"/>
      <c r="I275" s="94">
        <v>13509.5</v>
      </c>
      <c r="J275" s="94">
        <f>55.45+15.05</f>
        <v>70.5</v>
      </c>
      <c r="K275" s="94">
        <f>J275+I275</f>
        <v>13580</v>
      </c>
      <c r="L275" s="94"/>
      <c r="M275" s="94"/>
      <c r="N275" s="94"/>
      <c r="O275" s="94"/>
      <c r="P275" s="94"/>
      <c r="Q275" s="94"/>
      <c r="R275" s="94"/>
      <c r="S275" s="94">
        <f>K275-L275-M275-N275-O275+R275</f>
        <v>13580</v>
      </c>
      <c r="T275" s="94"/>
      <c r="U275" s="94">
        <v>13580</v>
      </c>
      <c r="V275" s="94"/>
      <c r="W275" s="237">
        <f t="shared" si="84"/>
        <v>0</v>
      </c>
      <c r="X275" s="158"/>
    </row>
    <row r="276" s="23" customFormat="1" ht="45" customHeight="1" spans="1:24">
      <c r="A276" s="317"/>
      <c r="B276" s="266"/>
      <c r="C276" s="267"/>
      <c r="D276" s="268"/>
      <c r="E276" s="145"/>
      <c r="F276" s="103" t="s">
        <v>296</v>
      </c>
      <c r="G276" s="285" t="s">
        <v>468</v>
      </c>
      <c r="H276" s="174"/>
      <c r="I276" s="101">
        <v>15673</v>
      </c>
      <c r="J276" s="101">
        <v>0</v>
      </c>
      <c r="K276" s="101">
        <f>I276+J276</f>
        <v>15673</v>
      </c>
      <c r="L276" s="101"/>
      <c r="M276" s="101"/>
      <c r="N276" s="101"/>
      <c r="O276" s="101"/>
      <c r="P276" s="101"/>
      <c r="Q276" s="101"/>
      <c r="R276" s="101"/>
      <c r="S276" s="101">
        <f>K276</f>
        <v>15673</v>
      </c>
      <c r="T276" s="101"/>
      <c r="U276" s="101">
        <f>S276</f>
        <v>15673</v>
      </c>
      <c r="V276" s="94"/>
      <c r="W276" s="237">
        <f t="shared" si="84"/>
        <v>0</v>
      </c>
      <c r="X276" s="158"/>
    </row>
    <row r="277" s="23" customFormat="1" ht="45" customHeight="1" spans="1:24">
      <c r="A277" s="317"/>
      <c r="B277" s="271"/>
      <c r="C277" s="272"/>
      <c r="D277" s="273"/>
      <c r="E277" s="145"/>
      <c r="F277" s="105"/>
      <c r="G277" s="285"/>
      <c r="H277" s="174"/>
      <c r="I277" s="101"/>
      <c r="J277" s="101"/>
      <c r="K277" s="101"/>
      <c r="L277" s="101"/>
      <c r="M277" s="101"/>
      <c r="N277" s="101"/>
      <c r="O277" s="101"/>
      <c r="P277" s="101"/>
      <c r="Q277" s="101"/>
      <c r="R277" s="101"/>
      <c r="S277" s="101">
        <f>K277</f>
        <v>0</v>
      </c>
      <c r="T277" s="101"/>
      <c r="U277" s="101">
        <f>S277</f>
        <v>0</v>
      </c>
      <c r="V277" s="94"/>
      <c r="W277" s="237">
        <f t="shared" si="84"/>
        <v>0</v>
      </c>
      <c r="X277" s="158"/>
    </row>
    <row r="278" s="23" customFormat="1" ht="45" customHeight="1" spans="1:24">
      <c r="A278" s="317"/>
      <c r="B278" s="318" t="s">
        <v>345</v>
      </c>
      <c r="C278" s="275"/>
      <c r="D278" s="276"/>
      <c r="E278" s="145"/>
      <c r="F278" s="103" t="s">
        <v>296</v>
      </c>
      <c r="G278" s="174" t="s">
        <v>337</v>
      </c>
      <c r="H278" s="285" t="s">
        <v>367</v>
      </c>
      <c r="I278" s="101">
        <v>48316.83</v>
      </c>
      <c r="J278" s="101">
        <v>483.17</v>
      </c>
      <c r="K278" s="101">
        <f>J278+I278</f>
        <v>48800</v>
      </c>
      <c r="L278" s="101"/>
      <c r="M278" s="101"/>
      <c r="N278" s="101"/>
      <c r="O278" s="101"/>
      <c r="P278" s="101"/>
      <c r="Q278" s="101"/>
      <c r="R278" s="101"/>
      <c r="S278" s="101">
        <f>K278</f>
        <v>48800</v>
      </c>
      <c r="T278" s="101"/>
      <c r="U278" s="101">
        <f>S278</f>
        <v>48800</v>
      </c>
      <c r="V278" s="94"/>
      <c r="W278" s="237">
        <f t="shared" si="84"/>
        <v>0</v>
      </c>
      <c r="X278" s="158"/>
    </row>
    <row r="279" s="23" customFormat="1" ht="45" customHeight="1" spans="1:24">
      <c r="A279" s="317"/>
      <c r="B279" s="319" t="s">
        <v>495</v>
      </c>
      <c r="C279" s="320"/>
      <c r="D279" s="321"/>
      <c r="E279" s="45"/>
      <c r="F279" s="105"/>
      <c r="G279" s="174" t="s">
        <v>478</v>
      </c>
      <c r="H279" s="322" t="s">
        <v>496</v>
      </c>
      <c r="I279" s="101">
        <v>7722.78</v>
      </c>
      <c r="J279" s="101">
        <v>77.22</v>
      </c>
      <c r="K279" s="101">
        <f>J279+I279</f>
        <v>7800</v>
      </c>
      <c r="L279" s="101"/>
      <c r="M279" s="101"/>
      <c r="N279" s="101"/>
      <c r="O279" s="101"/>
      <c r="P279" s="101"/>
      <c r="Q279" s="101"/>
      <c r="R279" s="101"/>
      <c r="S279" s="101"/>
      <c r="T279" s="101"/>
      <c r="U279" s="101"/>
      <c r="V279" s="94"/>
      <c r="W279" s="237"/>
      <c r="X279" s="158"/>
    </row>
    <row r="280" s="23" customFormat="1" ht="45" customHeight="1" spans="1:24">
      <c r="A280" s="317"/>
      <c r="B280" s="323"/>
      <c r="C280" s="324"/>
      <c r="D280" s="325"/>
      <c r="E280" s="49"/>
      <c r="F280" s="105"/>
      <c r="G280" s="326" t="s">
        <v>497</v>
      </c>
      <c r="H280" s="327"/>
      <c r="I280" s="343">
        <v>28015.38</v>
      </c>
      <c r="J280" s="101"/>
      <c r="K280" s="101">
        <f>J280+I280</f>
        <v>28015.38</v>
      </c>
      <c r="L280" s="101"/>
      <c r="M280" s="101"/>
      <c r="N280" s="101"/>
      <c r="O280" s="101"/>
      <c r="P280" s="101"/>
      <c r="Q280" s="101"/>
      <c r="R280" s="101"/>
      <c r="S280" s="101"/>
      <c r="T280" s="101"/>
      <c r="U280" s="101"/>
      <c r="V280" s="94"/>
      <c r="W280" s="237"/>
      <c r="X280" s="158"/>
    </row>
    <row r="281" s="23" customFormat="1" ht="45" customHeight="1" spans="1:24">
      <c r="A281" s="317"/>
      <c r="B281" s="323"/>
      <c r="C281" s="324"/>
      <c r="D281" s="325"/>
      <c r="E281" s="49"/>
      <c r="F281" s="105"/>
      <c r="G281" s="174"/>
      <c r="H281" s="285"/>
      <c r="I281" s="101"/>
      <c r="J281" s="101"/>
      <c r="K281" s="101"/>
      <c r="L281" s="101"/>
      <c r="M281" s="101"/>
      <c r="N281" s="101"/>
      <c r="O281" s="101"/>
      <c r="P281" s="101"/>
      <c r="Q281" s="101"/>
      <c r="R281" s="101"/>
      <c r="S281" s="101"/>
      <c r="T281" s="101"/>
      <c r="U281" s="101"/>
      <c r="V281" s="94"/>
      <c r="W281" s="237"/>
      <c r="X281" s="158"/>
    </row>
    <row r="282" s="23" customFormat="1" ht="45" customHeight="1" spans="1:24">
      <c r="A282" s="317"/>
      <c r="B282" s="323"/>
      <c r="C282" s="324"/>
      <c r="D282" s="325"/>
      <c r="E282" s="81"/>
      <c r="F282" s="105"/>
      <c r="G282" s="174"/>
      <c r="H282" s="285"/>
      <c r="I282" s="101"/>
      <c r="J282" s="101"/>
      <c r="K282" s="101"/>
      <c r="L282" s="101"/>
      <c r="M282" s="101"/>
      <c r="N282" s="101"/>
      <c r="O282" s="101"/>
      <c r="P282" s="101"/>
      <c r="Q282" s="101"/>
      <c r="R282" s="101"/>
      <c r="S282" s="101"/>
      <c r="T282" s="101"/>
      <c r="U282" s="101"/>
      <c r="V282" s="94"/>
      <c r="W282" s="237"/>
      <c r="X282" s="158"/>
    </row>
    <row r="283" s="23" customFormat="1" ht="45" customHeight="1" spans="1:24">
      <c r="A283" s="317"/>
      <c r="B283" s="263" t="s">
        <v>253</v>
      </c>
      <c r="C283" s="264"/>
      <c r="D283" s="265"/>
      <c r="E283" s="145"/>
      <c r="F283" s="105"/>
      <c r="G283" s="174" t="s">
        <v>338</v>
      </c>
      <c r="H283" s="285" t="s">
        <v>368</v>
      </c>
      <c r="I283" s="101">
        <v>1166.15</v>
      </c>
      <c r="J283" s="101">
        <f>7.13+3.72</f>
        <v>10.85</v>
      </c>
      <c r="K283" s="101">
        <f>J283+I283</f>
        <v>1177</v>
      </c>
      <c r="L283" s="101"/>
      <c r="M283" s="101"/>
      <c r="N283" s="101"/>
      <c r="O283" s="101"/>
      <c r="P283" s="101"/>
      <c r="Q283" s="101"/>
      <c r="R283" s="101"/>
      <c r="S283" s="101">
        <f>K283</f>
        <v>1177</v>
      </c>
      <c r="T283" s="101"/>
      <c r="U283" s="101">
        <f>S283</f>
        <v>1177</v>
      </c>
      <c r="V283" s="94"/>
      <c r="W283" s="237">
        <f>S283+T283-U283-V283</f>
        <v>0</v>
      </c>
      <c r="X283" s="158"/>
    </row>
    <row r="284" s="23" customFormat="1" ht="45" customHeight="1" spans="1:24">
      <c r="A284" s="317"/>
      <c r="B284" s="266"/>
      <c r="C284" s="267"/>
      <c r="D284" s="268"/>
      <c r="E284" s="145"/>
      <c r="F284" s="105"/>
      <c r="G284" s="174" t="s">
        <v>339</v>
      </c>
      <c r="H284" s="285" t="s">
        <v>368</v>
      </c>
      <c r="I284" s="101">
        <v>1523.66</v>
      </c>
      <c r="J284" s="101">
        <f>1453.13-1423.66</f>
        <v>29.47</v>
      </c>
      <c r="K284" s="101">
        <f>I284+J284</f>
        <v>1553.13</v>
      </c>
      <c r="L284" s="101"/>
      <c r="M284" s="101"/>
      <c r="N284" s="101"/>
      <c r="O284" s="101"/>
      <c r="P284" s="101"/>
      <c r="Q284" s="101"/>
      <c r="R284" s="101"/>
      <c r="S284" s="101">
        <f>K284</f>
        <v>1553.13</v>
      </c>
      <c r="T284" s="101"/>
      <c r="U284" s="101">
        <f>S284</f>
        <v>1553.13</v>
      </c>
      <c r="V284" s="94"/>
      <c r="W284" s="237">
        <f>S284+T284-U284-V284</f>
        <v>0</v>
      </c>
      <c r="X284" s="158"/>
    </row>
    <row r="285" s="23" customFormat="1" ht="45" customHeight="1" spans="1:24">
      <c r="A285" s="317"/>
      <c r="B285" s="266"/>
      <c r="C285" s="267"/>
      <c r="D285" s="268"/>
      <c r="E285" s="145"/>
      <c r="F285" s="105"/>
      <c r="G285" s="269" t="s">
        <v>422</v>
      </c>
      <c r="H285" s="285" t="s">
        <v>368</v>
      </c>
      <c r="I285" s="109">
        <v>18807.16</v>
      </c>
      <c r="J285" s="109">
        <f>816.26-775.99+799.49-761.14+3135.89-3002.08+846.74</f>
        <v>1059.17</v>
      </c>
      <c r="K285" s="101">
        <f>J285+I285</f>
        <v>19866.33</v>
      </c>
      <c r="L285" s="101"/>
      <c r="M285" s="101"/>
      <c r="N285" s="101"/>
      <c r="O285" s="101"/>
      <c r="P285" s="101"/>
      <c r="Q285" s="101"/>
      <c r="R285" s="101"/>
      <c r="S285" s="101">
        <f>K285</f>
        <v>19866.33</v>
      </c>
      <c r="T285" s="101"/>
      <c r="U285" s="101">
        <f>S285</f>
        <v>19866.33</v>
      </c>
      <c r="V285" s="94"/>
      <c r="W285" s="237">
        <f>S285+T285-U285-V285</f>
        <v>0</v>
      </c>
      <c r="X285" s="158"/>
    </row>
    <row r="286" s="23" customFormat="1" ht="45" customHeight="1" spans="1:24">
      <c r="A286" s="317"/>
      <c r="B286" s="266"/>
      <c r="C286" s="267"/>
      <c r="D286" s="268"/>
      <c r="E286" s="145"/>
      <c r="F286" s="105"/>
      <c r="G286" s="174" t="s">
        <v>478</v>
      </c>
      <c r="H286" s="285" t="s">
        <v>368</v>
      </c>
      <c r="I286" s="101">
        <v>3212.85</v>
      </c>
      <c r="J286" s="109">
        <f>818.67-780.75+945.25-903.82+389-370.66+1220-1157.62</f>
        <v>160.07</v>
      </c>
      <c r="K286" s="101">
        <f>J286+I286</f>
        <v>3372.92</v>
      </c>
      <c r="L286" s="101"/>
      <c r="M286" s="101"/>
      <c r="N286" s="101"/>
      <c r="O286" s="101"/>
      <c r="P286" s="101"/>
      <c r="Q286" s="101"/>
      <c r="R286" s="101"/>
      <c r="S286" s="101"/>
      <c r="T286" s="101"/>
      <c r="U286" s="101"/>
      <c r="V286" s="94"/>
      <c r="W286" s="237"/>
      <c r="X286" s="158"/>
    </row>
    <row r="287" s="23" customFormat="1" ht="45" customHeight="1" spans="1:24">
      <c r="A287" s="317"/>
      <c r="B287" s="266"/>
      <c r="C287" s="267"/>
      <c r="D287" s="268"/>
      <c r="E287" s="145"/>
      <c r="F287" s="105"/>
      <c r="G287" s="269"/>
      <c r="H287" s="285"/>
      <c r="I287" s="109"/>
      <c r="J287" s="109"/>
      <c r="K287" s="101"/>
      <c r="L287" s="101"/>
      <c r="M287" s="101"/>
      <c r="N287" s="101"/>
      <c r="O287" s="101"/>
      <c r="P287" s="101"/>
      <c r="Q287" s="101"/>
      <c r="R287" s="101"/>
      <c r="S287" s="101"/>
      <c r="T287" s="101"/>
      <c r="U287" s="101"/>
      <c r="V287" s="94"/>
      <c r="W287" s="237"/>
      <c r="X287" s="158"/>
    </row>
    <row r="288" s="23" customFormat="1" ht="45" customHeight="1" spans="1:24">
      <c r="A288" s="317"/>
      <c r="B288" s="266"/>
      <c r="C288" s="267"/>
      <c r="D288" s="268"/>
      <c r="E288" s="145"/>
      <c r="F288" s="105"/>
      <c r="G288" s="269"/>
      <c r="H288" s="285"/>
      <c r="I288" s="109"/>
      <c r="J288" s="109"/>
      <c r="K288" s="101"/>
      <c r="L288" s="101"/>
      <c r="M288" s="101"/>
      <c r="N288" s="101"/>
      <c r="O288" s="101"/>
      <c r="P288" s="101"/>
      <c r="Q288" s="101"/>
      <c r="R288" s="101"/>
      <c r="S288" s="101"/>
      <c r="T288" s="101"/>
      <c r="U288" s="101"/>
      <c r="V288" s="94"/>
      <c r="W288" s="237"/>
      <c r="X288" s="158"/>
    </row>
    <row r="289" s="23" customFormat="1" ht="45" customHeight="1" spans="1:24">
      <c r="A289" s="317"/>
      <c r="B289" s="271"/>
      <c r="C289" s="272"/>
      <c r="D289" s="273"/>
      <c r="E289" s="145"/>
      <c r="F289" s="106"/>
      <c r="G289" s="174"/>
      <c r="H289" s="285"/>
      <c r="I289" s="101"/>
      <c r="J289" s="101"/>
      <c r="K289" s="101"/>
      <c r="L289" s="101"/>
      <c r="M289" s="101"/>
      <c r="N289" s="101"/>
      <c r="O289" s="101"/>
      <c r="P289" s="101"/>
      <c r="Q289" s="101"/>
      <c r="R289" s="101"/>
      <c r="S289" s="101">
        <f>K289</f>
        <v>0</v>
      </c>
      <c r="T289" s="101"/>
      <c r="U289" s="101">
        <f>S289</f>
        <v>0</v>
      </c>
      <c r="V289" s="94"/>
      <c r="W289" s="237">
        <f>S289+T289-U289-V289</f>
        <v>0</v>
      </c>
      <c r="X289" s="158"/>
    </row>
    <row r="290" s="20" customFormat="1" ht="36" customHeight="1" spans="1:24">
      <c r="A290" s="277" t="s">
        <v>323</v>
      </c>
      <c r="B290" s="277"/>
      <c r="C290" s="277"/>
      <c r="D290" s="277"/>
      <c r="E290" s="278"/>
      <c r="F290" s="278"/>
      <c r="G290" s="243"/>
      <c r="H290" s="243" t="s">
        <v>316</v>
      </c>
      <c r="I290" s="300">
        <f>I275+I263+I236+I237+I238+I239+I241</f>
        <v>562197.05</v>
      </c>
      <c r="J290" s="300">
        <f>J275+J263+J236+J237+J238+J239+J241</f>
        <v>32662.95</v>
      </c>
      <c r="K290" s="300">
        <f>K275+K263+K236+K237+K238+K239+K241</f>
        <v>594860</v>
      </c>
      <c r="L290" s="300">
        <f t="shared" ref="L290:R290" si="89">SUM(L236:L263,L275)-L240</f>
        <v>0</v>
      </c>
      <c r="M290" s="300">
        <f t="shared" si="89"/>
        <v>0</v>
      </c>
      <c r="N290" s="300">
        <f t="shared" si="89"/>
        <v>0</v>
      </c>
      <c r="O290" s="300">
        <f t="shared" si="89"/>
        <v>0</v>
      </c>
      <c r="P290" s="300">
        <f t="shared" si="89"/>
        <v>0</v>
      </c>
      <c r="Q290" s="300">
        <f t="shared" si="89"/>
        <v>0</v>
      </c>
      <c r="R290" s="300">
        <f t="shared" si="89"/>
        <v>0</v>
      </c>
      <c r="S290" s="300">
        <f>SUM(S236:S263,S275)-S240-S242</f>
        <v>594860</v>
      </c>
      <c r="T290" s="300">
        <f>SUM(T236:T263,T275)</f>
        <v>0</v>
      </c>
      <c r="U290" s="300">
        <f>SUM(U236:U263,U275)</f>
        <v>618660</v>
      </c>
      <c r="V290" s="300">
        <f>SUM(V236:V263,V275)</f>
        <v>0</v>
      </c>
      <c r="W290" s="300">
        <f>SUM(W236:W263,W275)-W242</f>
        <v>0</v>
      </c>
      <c r="X290" s="307"/>
    </row>
    <row r="291" s="20" customFormat="1" ht="36" customHeight="1" spans="1:24">
      <c r="A291" s="277"/>
      <c r="B291" s="277"/>
      <c r="C291" s="277"/>
      <c r="D291" s="277"/>
      <c r="E291" s="278"/>
      <c r="F291" s="278"/>
      <c r="G291" s="212"/>
      <c r="H291" s="212" t="s">
        <v>317</v>
      </c>
      <c r="I291" s="301">
        <f>SUM(I276:I289,I264:I274,I242:I262,I240)</f>
        <v>47131691.39</v>
      </c>
      <c r="J291" s="301">
        <f>SUM(J276:J289,J264:J274,J242:J262,J240)</f>
        <v>4471535.6</v>
      </c>
      <c r="K291" s="301">
        <f>SUM(K276:K289,K264:K274,K242:K262,K240)</f>
        <v>51603226.99</v>
      </c>
      <c r="L291" s="301">
        <f t="shared" ref="L291:U291" si="90">L264+L265+L278+L266+L283+L240</f>
        <v>0</v>
      </c>
      <c r="M291" s="301">
        <f t="shared" si="90"/>
        <v>0</v>
      </c>
      <c r="N291" s="301">
        <f t="shared" si="90"/>
        <v>0</v>
      </c>
      <c r="O291" s="301">
        <f t="shared" si="90"/>
        <v>0</v>
      </c>
      <c r="P291" s="301">
        <f t="shared" si="90"/>
        <v>0</v>
      </c>
      <c r="Q291" s="301">
        <f t="shared" si="90"/>
        <v>0</v>
      </c>
      <c r="R291" s="301">
        <f t="shared" si="90"/>
        <v>0</v>
      </c>
      <c r="S291" s="301">
        <f t="shared" si="90"/>
        <v>80078</v>
      </c>
      <c r="T291" s="301">
        <f t="shared" si="90"/>
        <v>0</v>
      </c>
      <c r="U291" s="301">
        <f t="shared" si="90"/>
        <v>80078</v>
      </c>
      <c r="V291" s="301">
        <f>V264</f>
        <v>0</v>
      </c>
      <c r="W291" s="301">
        <f>W242</f>
        <v>250000</v>
      </c>
      <c r="X291" s="308"/>
    </row>
    <row r="292" s="20" customFormat="1" ht="36" customHeight="1" spans="1:24">
      <c r="A292" s="277"/>
      <c r="B292" s="277"/>
      <c r="C292" s="277"/>
      <c r="D292" s="277"/>
      <c r="E292" s="278"/>
      <c r="F292" s="328"/>
      <c r="G292" s="282"/>
      <c r="H292" s="282"/>
      <c r="I292" s="344">
        <v>36148445.24</v>
      </c>
      <c r="J292" s="344">
        <f>3796460.16+620380.75+77.22</f>
        <v>4416918.13</v>
      </c>
      <c r="K292" s="344">
        <f>J292+I292</f>
        <v>40565363.37</v>
      </c>
      <c r="L292" s="344"/>
      <c r="M292" s="344"/>
      <c r="N292" s="344"/>
      <c r="O292" s="345"/>
      <c r="P292" s="345"/>
      <c r="Q292" s="344"/>
      <c r="R292" s="344"/>
      <c r="S292" s="344"/>
      <c r="T292" s="344"/>
      <c r="U292" s="344"/>
      <c r="V292" s="344"/>
      <c r="W292" s="344"/>
      <c r="X292" s="358"/>
    </row>
    <row r="293" s="20" customFormat="1" ht="36" customHeight="1" spans="1:24">
      <c r="A293" s="277"/>
      <c r="B293" s="277"/>
      <c r="C293" s="277"/>
      <c r="D293" s="277"/>
      <c r="E293" s="278"/>
      <c r="F293" s="328"/>
      <c r="G293" s="282"/>
      <c r="H293" s="282"/>
      <c r="I293" s="344">
        <f>I291+I290+I292</f>
        <v>83842333.68</v>
      </c>
      <c r="J293" s="344">
        <f>J291+J290+J292</f>
        <v>8921116.68</v>
      </c>
      <c r="K293" s="344">
        <f>K291+K290+K292</f>
        <v>92763450.36</v>
      </c>
      <c r="L293" s="344">
        <f>L291+L290</f>
        <v>0</v>
      </c>
      <c r="M293" s="344"/>
      <c r="N293" s="344"/>
      <c r="O293" s="345"/>
      <c r="P293" s="345"/>
      <c r="Q293" s="344"/>
      <c r="R293" s="344"/>
      <c r="S293" s="344"/>
      <c r="T293" s="344"/>
      <c r="U293" s="344"/>
      <c r="V293" s="344"/>
      <c r="W293" s="344">
        <f>W291+W290</f>
        <v>250000</v>
      </c>
      <c r="X293" s="358"/>
    </row>
    <row r="294" s="20" customFormat="1" ht="36" customHeight="1" spans="1:24">
      <c r="A294" s="277" t="s">
        <v>280</v>
      </c>
      <c r="B294" s="277"/>
      <c r="C294" s="277"/>
      <c r="D294" s="277"/>
      <c r="E294" s="278"/>
      <c r="F294" s="328"/>
      <c r="G294" s="329">
        <f>287000000+17000000+599600</f>
        <v>304599600</v>
      </c>
      <c r="H294" s="329" t="s">
        <v>316</v>
      </c>
      <c r="I294" s="346">
        <f>I290+I231+I193</f>
        <v>276211639.289057</v>
      </c>
      <c r="J294" s="346">
        <f t="shared" ref="I294:N294" si="91">J290+J231+J193</f>
        <v>27586932.85</v>
      </c>
      <c r="K294" s="346">
        <f t="shared" si="91"/>
        <v>303798572.139057</v>
      </c>
      <c r="L294" s="346">
        <f t="shared" si="91"/>
        <v>2208694.43</v>
      </c>
      <c r="M294" s="346">
        <f t="shared" si="91"/>
        <v>379417.19</v>
      </c>
      <c r="N294" s="346">
        <f t="shared" si="91"/>
        <v>0</v>
      </c>
      <c r="O294" s="347">
        <f>O290+O231+O193+P290+Q290+P231+Q231+P193+Q193</f>
        <v>689308.32</v>
      </c>
      <c r="P294" s="347"/>
      <c r="Q294" s="329"/>
      <c r="R294" s="346">
        <f t="shared" ref="R294:W294" si="92">R290+R231+R193</f>
        <v>116593.5</v>
      </c>
      <c r="S294" s="346">
        <f t="shared" si="92"/>
        <v>299133186.239057</v>
      </c>
      <c r="T294" s="346">
        <f t="shared" si="92"/>
        <v>1855000</v>
      </c>
      <c r="U294" s="346">
        <f t="shared" si="92"/>
        <v>267044735.34</v>
      </c>
      <c r="V294" s="346">
        <f t="shared" si="92"/>
        <v>1855000</v>
      </c>
      <c r="W294" s="346">
        <f t="shared" si="92"/>
        <v>31761810.3590566</v>
      </c>
      <c r="X294" s="329"/>
    </row>
    <row r="295" ht="26" customHeight="1" spans="1:24">
      <c r="A295" s="277"/>
      <c r="B295" s="277"/>
      <c r="C295" s="277"/>
      <c r="D295" s="277"/>
      <c r="E295" s="278"/>
      <c r="F295" s="330"/>
      <c r="G295" s="212"/>
      <c r="H295" s="212" t="s">
        <v>317</v>
      </c>
      <c r="I295" s="301">
        <f t="shared" ref="I295:O295" si="93">I291+I232+I194</f>
        <v>114910846.11</v>
      </c>
      <c r="J295" s="301">
        <f t="shared" si="93"/>
        <v>9273877.32</v>
      </c>
      <c r="K295" s="301">
        <f t="shared" si="93"/>
        <v>124184723.43</v>
      </c>
      <c r="L295" s="301">
        <f t="shared" si="93"/>
        <v>225405</v>
      </c>
      <c r="M295" s="301">
        <f t="shared" si="93"/>
        <v>0</v>
      </c>
      <c r="N295" s="301">
        <f t="shared" si="93"/>
        <v>0</v>
      </c>
      <c r="O295" s="301">
        <f t="shared" si="93"/>
        <v>201576.1</v>
      </c>
      <c r="P295" s="301"/>
      <c r="Q295" s="301"/>
      <c r="R295" s="301">
        <f t="shared" ref="R295:W295" si="94">R291+R232+R194</f>
        <v>-116593.5</v>
      </c>
      <c r="S295" s="301">
        <f t="shared" si="94"/>
        <v>24040460.25</v>
      </c>
      <c r="T295" s="301">
        <f t="shared" si="94"/>
        <v>0</v>
      </c>
      <c r="U295" s="301">
        <f t="shared" si="94"/>
        <v>33457189.4</v>
      </c>
      <c r="V295" s="301">
        <f t="shared" si="94"/>
        <v>2681000</v>
      </c>
      <c r="W295" s="301">
        <f t="shared" si="94"/>
        <v>-9102043.83</v>
      </c>
      <c r="X295" s="359"/>
    </row>
    <row r="296" ht="26" customHeight="1" spans="1:24">
      <c r="A296" s="277"/>
      <c r="B296" s="277"/>
      <c r="C296" s="277"/>
      <c r="D296" s="277"/>
      <c r="E296" s="278"/>
      <c r="F296" s="330"/>
      <c r="G296" s="212"/>
      <c r="H296" s="212" t="s">
        <v>469</v>
      </c>
      <c r="I296" s="301"/>
      <c r="J296" s="301"/>
      <c r="K296" s="301"/>
      <c r="L296" s="301"/>
      <c r="M296" s="301"/>
      <c r="N296" s="301"/>
      <c r="O296" s="348"/>
      <c r="P296" s="345"/>
      <c r="Q296" s="344"/>
      <c r="R296" s="301"/>
      <c r="S296" s="301"/>
      <c r="T296" s="301"/>
      <c r="U296" s="301"/>
      <c r="V296" s="360"/>
      <c r="W296" s="360"/>
      <c r="X296" s="361"/>
    </row>
    <row r="297" ht="38" customHeight="1" spans="1:24">
      <c r="A297" s="277"/>
      <c r="B297" s="277"/>
      <c r="C297" s="277"/>
      <c r="D297" s="277"/>
      <c r="E297" s="278"/>
      <c r="F297" s="331"/>
      <c r="G297" s="196"/>
      <c r="H297" s="37" t="s">
        <v>346</v>
      </c>
      <c r="I297" s="349">
        <f>I295+I294-I296</f>
        <v>391122485.399057</v>
      </c>
      <c r="J297" s="349">
        <f t="shared" ref="J297:O297" si="95">J295+J294</f>
        <v>36860810.17</v>
      </c>
      <c r="K297" s="349">
        <f t="shared" si="95"/>
        <v>427983295.569057</v>
      </c>
      <c r="L297" s="350">
        <f t="shared" si="95"/>
        <v>2434099.43</v>
      </c>
      <c r="M297" s="350">
        <f t="shared" si="95"/>
        <v>379417.19</v>
      </c>
      <c r="N297" s="350">
        <f t="shared" si="95"/>
        <v>0</v>
      </c>
      <c r="O297" s="351">
        <f t="shared" si="95"/>
        <v>890884.42</v>
      </c>
      <c r="P297" s="352"/>
      <c r="Q297" s="362"/>
      <c r="R297" s="349">
        <f t="shared" ref="R297:W297" si="96">R295+R294</f>
        <v>0</v>
      </c>
      <c r="S297" s="349">
        <f t="shared" si="96"/>
        <v>323173646.489057</v>
      </c>
      <c r="T297" s="349">
        <f t="shared" si="96"/>
        <v>1855000</v>
      </c>
      <c r="U297" s="349">
        <f t="shared" si="96"/>
        <v>300501924.74</v>
      </c>
      <c r="V297" s="363">
        <f t="shared" si="96"/>
        <v>4536000</v>
      </c>
      <c r="W297" s="364">
        <f t="shared" si="96"/>
        <v>22659766.5290566</v>
      </c>
      <c r="X297" s="365"/>
    </row>
    <row r="298" ht="42" customHeight="1" spans="9:24">
      <c r="I298" s="29">
        <v>282809197.78</v>
      </c>
      <c r="L298" s="353">
        <f>L297+M297+N297+O297</f>
        <v>3704401.04</v>
      </c>
      <c r="M298" s="353"/>
      <c r="N298" s="353"/>
      <c r="O298" s="353"/>
      <c r="P298" s="353"/>
      <c r="Q298" s="353"/>
      <c r="R298" s="29"/>
      <c r="S298" s="366"/>
      <c r="T298" s="367"/>
      <c r="U298" s="29"/>
      <c r="V298" s="368"/>
      <c r="W298" s="368">
        <f>W129+W127</f>
        <v>524460.25</v>
      </c>
      <c r="X298" s="369"/>
    </row>
    <row r="299" ht="40" customHeight="1" spans="8:24">
      <c r="H299" s="332" t="s">
        <v>369</v>
      </c>
      <c r="I299" s="354">
        <v>276211639.289057</v>
      </c>
      <c r="J299" s="354">
        <v>27586932.8509434</v>
      </c>
      <c r="K299" s="354">
        <v>303798572.14</v>
      </c>
      <c r="L299" s="29">
        <v>2208694.43</v>
      </c>
      <c r="M299" s="29">
        <v>379417.19</v>
      </c>
      <c r="N299" s="29"/>
      <c r="O299" s="29"/>
      <c r="P299" s="29"/>
      <c r="Q299" s="29"/>
      <c r="R299" s="29"/>
      <c r="S299" s="367"/>
      <c r="T299" s="367"/>
      <c r="U299" s="29"/>
      <c r="V299" s="368"/>
      <c r="W299" s="370">
        <f>W297-W298</f>
        <v>22135306.2790566</v>
      </c>
      <c r="X299" s="369"/>
    </row>
    <row r="300" spans="9:24">
      <c r="I300" s="29">
        <f>I294-I299</f>
        <v>0</v>
      </c>
      <c r="J300" s="29">
        <f>J294-J299</f>
        <v>-0.000943399965763092</v>
      </c>
      <c r="K300" s="29">
        <f>K294-K299</f>
        <v>-0.000943481922149658</v>
      </c>
      <c r="W300" s="368"/>
      <c r="X300" s="371"/>
    </row>
    <row r="301" spans="23:24">
      <c r="W301" s="368"/>
      <c r="X301" s="371"/>
    </row>
    <row r="302" ht="44" customHeight="1" spans="7:23">
      <c r="G302" s="333">
        <f>I297-I234</f>
        <v>373395755.5</v>
      </c>
      <c r="H302" s="332" t="s">
        <v>370</v>
      </c>
      <c r="I302" s="354">
        <f>25279064.57+25579568.94+23276.43+65046236.89</f>
        <v>115928146.83</v>
      </c>
      <c r="J302" s="354">
        <f>4101010.42-14256.7+5187533.92</f>
        <v>9274287.64</v>
      </c>
      <c r="K302" s="354">
        <f>J302+I302</f>
        <v>125202434.47</v>
      </c>
      <c r="M302" s="355">
        <v>66547236.77</v>
      </c>
      <c r="N302" s="355">
        <f>M302+I305</f>
        <v>66547236.77</v>
      </c>
      <c r="Q302" s="29"/>
      <c r="R302" s="29"/>
      <c r="S302" s="367"/>
      <c r="U302" s="355"/>
      <c r="W302" s="368">
        <v>22135306.28</v>
      </c>
    </row>
    <row r="303" ht="35" customHeight="1" spans="7:23">
      <c r="G303" s="333">
        <f>'[1]202405导出'!$C$44</f>
        <v>308412043.15</v>
      </c>
      <c r="Q303" s="29"/>
      <c r="R303" s="29">
        <f>I297-I298</f>
        <v>108313287.619057</v>
      </c>
      <c r="S303" s="367">
        <f>R305-R303</f>
        <v>-90586557.7190566</v>
      </c>
      <c r="W303" s="368">
        <v>2605542.41</v>
      </c>
    </row>
    <row r="304" spans="7:23">
      <c r="G304" s="333">
        <f>G302-G303</f>
        <v>64983712.35</v>
      </c>
      <c r="Q304" s="29"/>
      <c r="R304" s="29"/>
      <c r="S304" s="367"/>
      <c r="W304" s="368"/>
    </row>
    <row r="305" ht="27" customHeight="1" spans="9:23">
      <c r="I305" s="356">
        <f>I302-I295-954776.19-I367</f>
        <v>1.3766111806035e-8</v>
      </c>
      <c r="J305" s="29">
        <f>J302-J295-J367</f>
        <v>2.97973201668356e-10</v>
      </c>
      <c r="K305" s="356">
        <f>K302-K295-954776.19-K367</f>
        <v>6.61384547129273e-9</v>
      </c>
      <c r="L305" s="355"/>
      <c r="M305" s="355"/>
      <c r="Q305" s="29"/>
      <c r="R305" s="29">
        <v>17726729.9</v>
      </c>
      <c r="S305" s="367"/>
      <c r="W305" s="368"/>
    </row>
    <row r="306" spans="15:23">
      <c r="O306" s="355"/>
      <c r="W306" s="368">
        <f>W299-W302</f>
        <v>-0.00094340369105339</v>
      </c>
    </row>
    <row r="307" spans="13:23">
      <c r="M307" s="355">
        <f>I302+I307</f>
        <v>115928146.83</v>
      </c>
      <c r="N307" s="355"/>
      <c r="W307" s="368"/>
    </row>
    <row r="308" spans="23:23">
      <c r="W308" s="368"/>
    </row>
    <row r="309" spans="23:23">
      <c r="W309" s="368"/>
    </row>
    <row r="310" s="15" customFormat="1" ht="34" customHeight="1" spans="1:24">
      <c r="A310" s="36" t="s">
        <v>1</v>
      </c>
      <c r="B310" s="36" t="s">
        <v>2</v>
      </c>
      <c r="C310" s="36" t="s">
        <v>3</v>
      </c>
      <c r="D310" s="36" t="s">
        <v>4</v>
      </c>
      <c r="E310" s="37" t="s">
        <v>5</v>
      </c>
      <c r="F310" s="37" t="s">
        <v>6</v>
      </c>
      <c r="G310" s="36" t="s">
        <v>7</v>
      </c>
      <c r="H310" s="36" t="s">
        <v>8</v>
      </c>
      <c r="I310" s="86" t="s">
        <v>285</v>
      </c>
      <c r="J310" s="87"/>
      <c r="K310" s="87"/>
      <c r="L310" s="88" t="s">
        <v>286</v>
      </c>
      <c r="M310" s="89"/>
      <c r="N310" s="89"/>
      <c r="O310" s="89"/>
      <c r="P310" s="89"/>
      <c r="Q310" s="89"/>
      <c r="R310" s="122" t="s">
        <v>11</v>
      </c>
      <c r="S310" s="123" t="s">
        <v>12</v>
      </c>
      <c r="T310" s="124"/>
      <c r="U310" s="123" t="s">
        <v>287</v>
      </c>
      <c r="V310" s="124"/>
      <c r="W310" s="122" t="s">
        <v>14</v>
      </c>
      <c r="X310" s="122" t="s">
        <v>289</v>
      </c>
    </row>
    <row r="311" s="16" customFormat="1" ht="32" customHeight="1" spans="1:24">
      <c r="A311" s="36"/>
      <c r="B311" s="36"/>
      <c r="C311" s="36"/>
      <c r="D311" s="36"/>
      <c r="E311" s="37"/>
      <c r="F311" s="37"/>
      <c r="G311" s="36"/>
      <c r="H311" s="36"/>
      <c r="I311" s="36" t="s">
        <v>18</v>
      </c>
      <c r="J311" s="36" t="s">
        <v>19</v>
      </c>
      <c r="K311" s="36" t="s">
        <v>20</v>
      </c>
      <c r="L311" s="36" t="s">
        <v>290</v>
      </c>
      <c r="M311" s="36" t="s">
        <v>291</v>
      </c>
      <c r="N311" s="36" t="s">
        <v>23</v>
      </c>
      <c r="O311" s="90" t="s">
        <v>292</v>
      </c>
      <c r="P311" s="91"/>
      <c r="Q311" s="125"/>
      <c r="R311" s="126"/>
      <c r="S311" s="127" t="s">
        <v>26</v>
      </c>
      <c r="T311" s="92" t="s">
        <v>27</v>
      </c>
      <c r="U311" s="127" t="s">
        <v>28</v>
      </c>
      <c r="V311" s="127" t="s">
        <v>27</v>
      </c>
      <c r="W311" s="126"/>
      <c r="X311" s="126"/>
    </row>
    <row r="312" s="16" customFormat="1" ht="44" customHeight="1" spans="1:24">
      <c r="A312" s="36"/>
      <c r="B312" s="36"/>
      <c r="C312" s="36"/>
      <c r="D312" s="36"/>
      <c r="E312" s="37"/>
      <c r="F312" s="37"/>
      <c r="G312" s="36"/>
      <c r="H312" s="36"/>
      <c r="I312" s="36"/>
      <c r="J312" s="36"/>
      <c r="K312" s="36"/>
      <c r="L312" s="36"/>
      <c r="M312" s="36"/>
      <c r="N312" s="36"/>
      <c r="O312" s="92" t="s">
        <v>293</v>
      </c>
      <c r="P312" s="92" t="s">
        <v>294</v>
      </c>
      <c r="Q312" s="92" t="s">
        <v>25</v>
      </c>
      <c r="R312" s="126"/>
      <c r="S312" s="127"/>
      <c r="T312" s="125"/>
      <c r="U312" s="128"/>
      <c r="V312" s="128"/>
      <c r="W312" s="129"/>
      <c r="X312" s="129"/>
    </row>
    <row r="313" s="1" customFormat="1" ht="36" customHeight="1" spans="1:24">
      <c r="A313" s="216" t="s">
        <v>397</v>
      </c>
      <c r="B313" s="334"/>
      <c r="C313" s="334"/>
      <c r="D313" s="334"/>
      <c r="E313" s="335"/>
      <c r="F313" s="335"/>
      <c r="G313" s="334"/>
      <c r="H313" s="336"/>
      <c r="I313" s="94"/>
      <c r="J313" s="94"/>
      <c r="K313" s="94"/>
      <c r="L313" s="94"/>
      <c r="M313" s="94"/>
      <c r="N313" s="94"/>
      <c r="O313" s="94"/>
      <c r="P313" s="94"/>
      <c r="Q313" s="94"/>
      <c r="R313" s="94"/>
      <c r="S313" s="94">
        <f>K313-L313-M313-N313-O313+R313</f>
        <v>0</v>
      </c>
      <c r="T313" s="94"/>
      <c r="U313" s="94"/>
      <c r="V313" s="94"/>
      <c r="W313" s="94"/>
      <c r="X313" s="145"/>
    </row>
    <row r="314" s="22" customFormat="1" ht="13.9" spans="1:235">
      <c r="A314" s="337" t="s">
        <v>398</v>
      </c>
      <c r="B314" s="338"/>
      <c r="C314" s="338"/>
      <c r="D314" s="338"/>
      <c r="E314" s="339"/>
      <c r="F314" s="103" t="s">
        <v>296</v>
      </c>
      <c r="G314" s="174" t="s">
        <v>339</v>
      </c>
      <c r="H314" s="285" t="s">
        <v>399</v>
      </c>
      <c r="I314" s="94">
        <v>1180</v>
      </c>
      <c r="J314" s="94"/>
      <c r="K314" s="94">
        <f>J314+I314</f>
        <v>1180</v>
      </c>
      <c r="L314" s="237"/>
      <c r="M314" s="237"/>
      <c r="N314" s="237"/>
      <c r="O314" s="237"/>
      <c r="P314" s="237"/>
      <c r="Q314" s="237"/>
      <c r="R314" s="237"/>
      <c r="S314" s="94">
        <f>K314</f>
        <v>1180</v>
      </c>
      <c r="T314" s="94"/>
      <c r="U314" s="237">
        <f>S314</f>
        <v>1180</v>
      </c>
      <c r="V314" s="237"/>
      <c r="W314" s="237">
        <f>S314+T314-U314-V314</f>
        <v>0</v>
      </c>
      <c r="X314" s="158"/>
      <c r="Y314" s="311"/>
      <c r="Z314" s="311"/>
      <c r="AA314" s="311"/>
      <c r="AB314" s="311"/>
      <c r="AC314" s="311"/>
      <c r="AD314" s="311"/>
      <c r="AE314" s="311"/>
      <c r="AF314" s="311"/>
      <c r="AG314" s="311"/>
      <c r="AH314" s="311"/>
      <c r="AI314" s="311"/>
      <c r="AJ314" s="311"/>
      <c r="AK314" s="311"/>
      <c r="AL314" s="311"/>
      <c r="AM314" s="311"/>
      <c r="AN314" s="311"/>
      <c r="AO314" s="311"/>
      <c r="AP314" s="311"/>
      <c r="AQ314" s="311"/>
      <c r="AR314" s="311"/>
      <c r="AS314" s="311"/>
      <c r="AT314" s="311"/>
      <c r="AU314" s="311"/>
      <c r="AV314" s="311"/>
      <c r="AW314" s="311"/>
      <c r="AX314" s="311"/>
      <c r="AY314" s="311"/>
      <c r="AZ314" s="311"/>
      <c r="BA314" s="311"/>
      <c r="BB314" s="311"/>
      <c r="BC314" s="311"/>
      <c r="BD314" s="311"/>
      <c r="BE314" s="311"/>
      <c r="BF314" s="311"/>
      <c r="BG314" s="311"/>
      <c r="BH314" s="311"/>
      <c r="BI314" s="311"/>
      <c r="BJ314" s="311"/>
      <c r="BK314" s="311"/>
      <c r="BL314" s="311"/>
      <c r="BM314" s="311"/>
      <c r="BN314" s="311"/>
      <c r="BO314" s="311"/>
      <c r="BP314" s="311"/>
      <c r="BQ314" s="311"/>
      <c r="BR314" s="311"/>
      <c r="BS314" s="311"/>
      <c r="BT314" s="311"/>
      <c r="BU314" s="311"/>
      <c r="BV314" s="311"/>
      <c r="BW314" s="311"/>
      <c r="BX314" s="311"/>
      <c r="BY314" s="311"/>
      <c r="BZ314" s="311"/>
      <c r="CA314" s="311"/>
      <c r="CB314" s="311"/>
      <c r="CC314" s="311"/>
      <c r="CD314" s="311"/>
      <c r="CE314" s="311"/>
      <c r="CF314" s="311"/>
      <c r="CG314" s="311"/>
      <c r="CH314" s="311"/>
      <c r="CI314" s="311"/>
      <c r="CJ314" s="311"/>
      <c r="CK314" s="311"/>
      <c r="CL314" s="311"/>
      <c r="CM314" s="311"/>
      <c r="CN314" s="311"/>
      <c r="CO314" s="311"/>
      <c r="CP314" s="311"/>
      <c r="CQ314" s="311"/>
      <c r="CR314" s="311"/>
      <c r="CS314" s="311"/>
      <c r="CT314" s="311"/>
      <c r="CU314" s="311"/>
      <c r="CV314" s="311"/>
      <c r="CW314" s="311"/>
      <c r="CX314" s="311"/>
      <c r="CY314" s="311"/>
      <c r="CZ314" s="311"/>
      <c r="DA314" s="311"/>
      <c r="DB314" s="311"/>
      <c r="DC314" s="311"/>
      <c r="DD314" s="311"/>
      <c r="DE314" s="311"/>
      <c r="DF314" s="311"/>
      <c r="DG314" s="311"/>
      <c r="DH314" s="311"/>
      <c r="DI314" s="311"/>
      <c r="DJ314" s="311"/>
      <c r="DK314" s="311"/>
      <c r="DL314" s="311"/>
      <c r="DM314" s="311"/>
      <c r="DN314" s="311"/>
      <c r="DO314" s="311"/>
      <c r="DP314" s="311"/>
      <c r="DQ314" s="311"/>
      <c r="DR314" s="311"/>
      <c r="DS314" s="311"/>
      <c r="DT314" s="311"/>
      <c r="DU314" s="311"/>
      <c r="DV314" s="311"/>
      <c r="DW314" s="311"/>
      <c r="DX314" s="311"/>
      <c r="DY314" s="311"/>
      <c r="DZ314" s="311"/>
      <c r="EA314" s="311"/>
      <c r="EB314" s="311"/>
      <c r="EC314" s="311"/>
      <c r="ED314" s="311"/>
      <c r="EE314" s="311"/>
      <c r="EF314" s="311"/>
      <c r="EG314" s="311"/>
      <c r="EH314" s="311"/>
      <c r="EI314" s="311"/>
      <c r="EJ314" s="311"/>
      <c r="EK314" s="311"/>
      <c r="EL314" s="311"/>
      <c r="EM314" s="311"/>
      <c r="EN314" s="311"/>
      <c r="EO314" s="311"/>
      <c r="EP314" s="311"/>
      <c r="EQ314" s="311"/>
      <c r="ER314" s="311"/>
      <c r="ES314" s="311"/>
      <c r="ET314" s="311"/>
      <c r="EU314" s="311"/>
      <c r="EV314" s="311"/>
      <c r="EW314" s="311"/>
      <c r="EX314" s="311"/>
      <c r="EY314" s="311"/>
      <c r="EZ314" s="311"/>
      <c r="FA314" s="311"/>
      <c r="FB314" s="311"/>
      <c r="FC314" s="311"/>
      <c r="FD314" s="311"/>
      <c r="FE314" s="311"/>
      <c r="FF314" s="311"/>
      <c r="FG314" s="311"/>
      <c r="FH314" s="311"/>
      <c r="FI314" s="311"/>
      <c r="FJ314" s="311"/>
      <c r="FK314" s="311"/>
      <c r="FL314" s="311"/>
      <c r="FM314" s="311"/>
      <c r="FN314" s="311"/>
      <c r="FO314" s="311"/>
      <c r="FP314" s="311"/>
      <c r="FQ314" s="311"/>
      <c r="FR314" s="311"/>
      <c r="FS314" s="311"/>
      <c r="FT314" s="311"/>
      <c r="FU314" s="311"/>
      <c r="FV314" s="311"/>
      <c r="FW314" s="311"/>
      <c r="FX314" s="311"/>
      <c r="FY314" s="311"/>
      <c r="FZ314" s="311"/>
      <c r="GA314" s="311"/>
      <c r="GB314" s="311"/>
      <c r="GC314" s="311"/>
      <c r="GD314" s="311"/>
      <c r="GE314" s="311"/>
      <c r="GF314" s="311"/>
      <c r="GG314" s="311"/>
      <c r="GH314" s="311"/>
      <c r="GI314" s="311"/>
      <c r="GJ314" s="311"/>
      <c r="GK314" s="311"/>
      <c r="GL314" s="311"/>
      <c r="GM314" s="311"/>
      <c r="GN314" s="311"/>
      <c r="GO314" s="311"/>
      <c r="GP314" s="311"/>
      <c r="GQ314" s="311"/>
      <c r="GR314" s="311"/>
      <c r="GS314" s="311"/>
      <c r="GT314" s="311"/>
      <c r="GU314" s="311"/>
      <c r="GV314" s="311"/>
      <c r="GW314" s="311"/>
      <c r="GX314" s="311"/>
      <c r="GY314" s="311"/>
      <c r="GZ314" s="311"/>
      <c r="HA314" s="311"/>
      <c r="HB314" s="311"/>
      <c r="HC314" s="311"/>
      <c r="HD314" s="311"/>
      <c r="HE314" s="311"/>
      <c r="HF314" s="311"/>
      <c r="HG314" s="311"/>
      <c r="HH314" s="311"/>
      <c r="HI314" s="311"/>
      <c r="HJ314" s="311"/>
      <c r="HK314" s="311"/>
      <c r="HL314" s="311"/>
      <c r="HM314" s="311"/>
      <c r="HN314" s="311"/>
      <c r="HO314" s="311"/>
      <c r="HP314" s="311"/>
      <c r="HQ314" s="311"/>
      <c r="HR314" s="311"/>
      <c r="HS314" s="311"/>
      <c r="HT314" s="311"/>
      <c r="HU314" s="311"/>
      <c r="HV314" s="311"/>
      <c r="HW314" s="311"/>
      <c r="HX314" s="311"/>
      <c r="HY314" s="311"/>
      <c r="HZ314" s="311"/>
      <c r="IA314" s="311"/>
    </row>
    <row r="315" s="22" customFormat="1" ht="13.9" spans="1:235">
      <c r="A315" s="340"/>
      <c r="B315" s="341"/>
      <c r="C315" s="341"/>
      <c r="D315" s="341"/>
      <c r="E315" s="342"/>
      <c r="F315" s="105"/>
      <c r="G315" s="174" t="s">
        <v>339</v>
      </c>
      <c r="H315" s="285" t="s">
        <v>368</v>
      </c>
      <c r="I315" s="302">
        <v>3519.8</v>
      </c>
      <c r="J315" s="302">
        <f>7.49+18.71</f>
        <v>26.2</v>
      </c>
      <c r="K315" s="94">
        <f>J315+I315</f>
        <v>3546</v>
      </c>
      <c r="L315" s="237"/>
      <c r="M315" s="237"/>
      <c r="N315" s="237"/>
      <c r="O315" s="237"/>
      <c r="P315" s="237"/>
      <c r="Q315" s="237"/>
      <c r="R315" s="310"/>
      <c r="S315" s="94">
        <f>K315</f>
        <v>3546</v>
      </c>
      <c r="T315" s="94"/>
      <c r="U315" s="237">
        <f>S315</f>
        <v>3546</v>
      </c>
      <c r="V315" s="310"/>
      <c r="W315" s="237">
        <f>S315+T315-U315-V315</f>
        <v>0</v>
      </c>
      <c r="X315" s="158"/>
      <c r="Y315" s="313"/>
      <c r="Z315" s="313"/>
      <c r="AA315" s="313"/>
      <c r="AB315" s="313"/>
      <c r="AC315" s="313"/>
      <c r="AD315" s="313"/>
      <c r="AE315" s="313"/>
      <c r="AF315" s="313"/>
      <c r="AG315" s="313"/>
      <c r="AH315" s="313"/>
      <c r="AI315" s="313"/>
      <c r="AJ315" s="313"/>
      <c r="AK315" s="313"/>
      <c r="AL315" s="313"/>
      <c r="AM315" s="313"/>
      <c r="AN315" s="313"/>
      <c r="AO315" s="313"/>
      <c r="AP315" s="313"/>
      <c r="AQ315" s="313"/>
      <c r="AR315" s="313"/>
      <c r="AS315" s="313"/>
      <c r="AT315" s="313"/>
      <c r="AU315" s="313"/>
      <c r="AV315" s="313"/>
      <c r="AW315" s="313"/>
      <c r="AX315" s="313"/>
      <c r="AY315" s="313"/>
      <c r="AZ315" s="313"/>
      <c r="BA315" s="313"/>
      <c r="BB315" s="313"/>
      <c r="BC315" s="313"/>
      <c r="BD315" s="313"/>
      <c r="BE315" s="313"/>
      <c r="BF315" s="313"/>
      <c r="BG315" s="313"/>
      <c r="BH315" s="313"/>
      <c r="BI315" s="313"/>
      <c r="BJ315" s="313"/>
      <c r="BK315" s="313"/>
      <c r="BL315" s="313"/>
      <c r="BM315" s="313"/>
      <c r="BN315" s="313"/>
      <c r="BO315" s="313"/>
      <c r="BP315" s="313"/>
      <c r="BQ315" s="313"/>
      <c r="BR315" s="313"/>
      <c r="BS315" s="313"/>
      <c r="BT315" s="313"/>
      <c r="BU315" s="313"/>
      <c r="BV315" s="313"/>
      <c r="BW315" s="313"/>
      <c r="BX315" s="313"/>
      <c r="BY315" s="313"/>
      <c r="BZ315" s="313"/>
      <c r="CA315" s="313"/>
      <c r="CB315" s="313"/>
      <c r="CC315" s="313"/>
      <c r="CD315" s="313"/>
      <c r="CE315" s="313"/>
      <c r="CF315" s="313"/>
      <c r="CG315" s="313"/>
      <c r="CH315" s="313"/>
      <c r="CI315" s="313"/>
      <c r="CJ315" s="313"/>
      <c r="CK315" s="313"/>
      <c r="CL315" s="313"/>
      <c r="CM315" s="313"/>
      <c r="CN315" s="313"/>
      <c r="CO315" s="313"/>
      <c r="CP315" s="313"/>
      <c r="CQ315" s="313"/>
      <c r="CR315" s="313"/>
      <c r="CS315" s="313"/>
      <c r="CT315" s="313"/>
      <c r="CU315" s="313"/>
      <c r="CV315" s="313"/>
      <c r="CW315" s="313"/>
      <c r="CX315" s="313"/>
      <c r="CY315" s="313"/>
      <c r="CZ315" s="313"/>
      <c r="DA315" s="313"/>
      <c r="DB315" s="313"/>
      <c r="DC315" s="313"/>
      <c r="DD315" s="313"/>
      <c r="DE315" s="313"/>
      <c r="DF315" s="313"/>
      <c r="DG315" s="313"/>
      <c r="DH315" s="313"/>
      <c r="DI315" s="313"/>
      <c r="DJ315" s="313"/>
      <c r="DK315" s="313"/>
      <c r="DL315" s="313"/>
      <c r="DM315" s="313"/>
      <c r="DN315" s="313"/>
      <c r="DO315" s="313"/>
      <c r="DP315" s="313"/>
      <c r="DQ315" s="313"/>
      <c r="DR315" s="313"/>
      <c r="DS315" s="313"/>
      <c r="DT315" s="313"/>
      <c r="DU315" s="313"/>
      <c r="DV315" s="313"/>
      <c r="DW315" s="313"/>
      <c r="DX315" s="313"/>
      <c r="DY315" s="313"/>
      <c r="DZ315" s="313"/>
      <c r="EA315" s="313"/>
      <c r="EB315" s="313"/>
      <c r="EC315" s="313"/>
      <c r="ED315" s="313"/>
      <c r="EE315" s="313"/>
      <c r="EF315" s="313"/>
      <c r="EG315" s="313"/>
      <c r="EH315" s="313"/>
      <c r="EI315" s="313"/>
      <c r="EJ315" s="313"/>
      <c r="EK315" s="313"/>
      <c r="EL315" s="313"/>
      <c r="EM315" s="313"/>
      <c r="EN315" s="313"/>
      <c r="EO315" s="313"/>
      <c r="EP315" s="313"/>
      <c r="EQ315" s="313"/>
      <c r="ER315" s="313"/>
      <c r="ES315" s="313"/>
      <c r="ET315" s="313"/>
      <c r="EU315" s="313"/>
      <c r="EV315" s="313"/>
      <c r="EW315" s="313"/>
      <c r="EX315" s="313"/>
      <c r="EY315" s="313"/>
      <c r="EZ315" s="313"/>
      <c r="FA315" s="313"/>
      <c r="FB315" s="313"/>
      <c r="FC315" s="313"/>
      <c r="FD315" s="313"/>
      <c r="FE315" s="313"/>
      <c r="FF315" s="313"/>
      <c r="FG315" s="313"/>
      <c r="FH315" s="313"/>
      <c r="FI315" s="313"/>
      <c r="FJ315" s="313"/>
      <c r="FK315" s="313"/>
      <c r="FL315" s="313"/>
      <c r="FM315" s="313"/>
      <c r="FN315" s="313"/>
      <c r="FO315" s="313"/>
      <c r="FP315" s="313"/>
      <c r="FQ315" s="313"/>
      <c r="FR315" s="313"/>
      <c r="FS315" s="313"/>
      <c r="FT315" s="313"/>
      <c r="FU315" s="313"/>
      <c r="FV315" s="313"/>
      <c r="FW315" s="313"/>
      <c r="FX315" s="313"/>
      <c r="FY315" s="313"/>
      <c r="FZ315" s="313"/>
      <c r="GA315" s="313"/>
      <c r="GB315" s="313"/>
      <c r="GC315" s="313"/>
      <c r="GD315" s="313"/>
      <c r="GE315" s="313"/>
      <c r="GF315" s="313"/>
      <c r="GG315" s="313"/>
      <c r="GH315" s="313"/>
      <c r="GI315" s="313"/>
      <c r="GJ315" s="313"/>
      <c r="GK315" s="313"/>
      <c r="GL315" s="313"/>
      <c r="GM315" s="313"/>
      <c r="GN315" s="313"/>
      <c r="GO315" s="313"/>
      <c r="GP315" s="313"/>
      <c r="GQ315" s="313"/>
      <c r="GR315" s="313"/>
      <c r="GS315" s="313"/>
      <c r="GT315" s="313"/>
      <c r="GU315" s="313"/>
      <c r="GV315" s="313"/>
      <c r="GW315" s="313"/>
      <c r="GX315" s="313"/>
      <c r="GY315" s="313"/>
      <c r="GZ315" s="313"/>
      <c r="HA315" s="313"/>
      <c r="HB315" s="313"/>
      <c r="HC315" s="313"/>
      <c r="HD315" s="313"/>
      <c r="HE315" s="313"/>
      <c r="HF315" s="313"/>
      <c r="HG315" s="313"/>
      <c r="HH315" s="313"/>
      <c r="HI315" s="313"/>
      <c r="HJ315" s="313"/>
      <c r="HK315" s="313"/>
      <c r="HL315" s="313"/>
      <c r="HM315" s="313"/>
      <c r="HN315" s="313"/>
      <c r="HO315" s="313"/>
      <c r="HP315" s="313"/>
      <c r="HQ315" s="313"/>
      <c r="HR315" s="313"/>
      <c r="HS315" s="313"/>
      <c r="HT315" s="313"/>
      <c r="HU315" s="313"/>
      <c r="HV315" s="313"/>
      <c r="HW315" s="313"/>
      <c r="HX315" s="313"/>
      <c r="HY315" s="313"/>
      <c r="HZ315" s="313"/>
      <c r="IA315" s="313"/>
    </row>
    <row r="316" s="22" customFormat="1" ht="13.9" spans="1:235">
      <c r="A316" s="340"/>
      <c r="B316" s="341"/>
      <c r="C316" s="341"/>
      <c r="D316" s="341"/>
      <c r="E316" s="342"/>
      <c r="F316" s="105"/>
      <c r="G316" s="174" t="s">
        <v>423</v>
      </c>
      <c r="H316" s="285" t="s">
        <v>399</v>
      </c>
      <c r="I316" s="302">
        <v>7420</v>
      </c>
      <c r="J316" s="302"/>
      <c r="K316" s="94">
        <f>I316+J316</f>
        <v>7420</v>
      </c>
      <c r="L316" s="237"/>
      <c r="M316" s="237"/>
      <c r="N316" s="237"/>
      <c r="O316" s="237"/>
      <c r="P316" s="237"/>
      <c r="Q316" s="237"/>
      <c r="R316" s="310"/>
      <c r="S316" s="94"/>
      <c r="T316" s="94"/>
      <c r="U316" s="237"/>
      <c r="V316" s="310"/>
      <c r="W316" s="237"/>
      <c r="X316" s="158"/>
      <c r="Y316" s="313"/>
      <c r="Z316" s="313"/>
      <c r="AA316" s="313"/>
      <c r="AB316" s="313"/>
      <c r="AC316" s="313"/>
      <c r="AD316" s="313"/>
      <c r="AE316" s="313"/>
      <c r="AF316" s="313"/>
      <c r="AG316" s="313"/>
      <c r="AH316" s="313"/>
      <c r="AI316" s="313"/>
      <c r="AJ316" s="313"/>
      <c r="AK316" s="313"/>
      <c r="AL316" s="313"/>
      <c r="AM316" s="313"/>
      <c r="AN316" s="313"/>
      <c r="AO316" s="313"/>
      <c r="AP316" s="313"/>
      <c r="AQ316" s="313"/>
      <c r="AR316" s="313"/>
      <c r="AS316" s="313"/>
      <c r="AT316" s="313"/>
      <c r="AU316" s="313"/>
      <c r="AV316" s="313"/>
      <c r="AW316" s="313"/>
      <c r="AX316" s="313"/>
      <c r="AY316" s="313"/>
      <c r="AZ316" s="313"/>
      <c r="BA316" s="313"/>
      <c r="BB316" s="313"/>
      <c r="BC316" s="313"/>
      <c r="BD316" s="313"/>
      <c r="BE316" s="313"/>
      <c r="BF316" s="313"/>
      <c r="BG316" s="313"/>
      <c r="BH316" s="313"/>
      <c r="BI316" s="313"/>
      <c r="BJ316" s="313"/>
      <c r="BK316" s="313"/>
      <c r="BL316" s="313"/>
      <c r="BM316" s="313"/>
      <c r="BN316" s="313"/>
      <c r="BO316" s="313"/>
      <c r="BP316" s="313"/>
      <c r="BQ316" s="313"/>
      <c r="BR316" s="313"/>
      <c r="BS316" s="313"/>
      <c r="BT316" s="313"/>
      <c r="BU316" s="313"/>
      <c r="BV316" s="313"/>
      <c r="BW316" s="313"/>
      <c r="BX316" s="313"/>
      <c r="BY316" s="313"/>
      <c r="BZ316" s="313"/>
      <c r="CA316" s="313"/>
      <c r="CB316" s="313"/>
      <c r="CC316" s="313"/>
      <c r="CD316" s="313"/>
      <c r="CE316" s="313"/>
      <c r="CF316" s="313"/>
      <c r="CG316" s="313"/>
      <c r="CH316" s="313"/>
      <c r="CI316" s="313"/>
      <c r="CJ316" s="313"/>
      <c r="CK316" s="313"/>
      <c r="CL316" s="313"/>
      <c r="CM316" s="313"/>
      <c r="CN316" s="313"/>
      <c r="CO316" s="313"/>
      <c r="CP316" s="313"/>
      <c r="CQ316" s="313"/>
      <c r="CR316" s="313"/>
      <c r="CS316" s="313"/>
      <c r="CT316" s="313"/>
      <c r="CU316" s="313"/>
      <c r="CV316" s="313"/>
      <c r="CW316" s="313"/>
      <c r="CX316" s="313"/>
      <c r="CY316" s="313"/>
      <c r="CZ316" s="313"/>
      <c r="DA316" s="313"/>
      <c r="DB316" s="313"/>
      <c r="DC316" s="313"/>
      <c r="DD316" s="313"/>
      <c r="DE316" s="313"/>
      <c r="DF316" s="313"/>
      <c r="DG316" s="313"/>
      <c r="DH316" s="313"/>
      <c r="DI316" s="313"/>
      <c r="DJ316" s="313"/>
      <c r="DK316" s="313"/>
      <c r="DL316" s="313"/>
      <c r="DM316" s="313"/>
      <c r="DN316" s="313"/>
      <c r="DO316" s="313"/>
      <c r="DP316" s="313"/>
      <c r="DQ316" s="313"/>
      <c r="DR316" s="313"/>
      <c r="DS316" s="313"/>
      <c r="DT316" s="313"/>
      <c r="DU316" s="313"/>
      <c r="DV316" s="313"/>
      <c r="DW316" s="313"/>
      <c r="DX316" s="313"/>
      <c r="DY316" s="313"/>
      <c r="DZ316" s="313"/>
      <c r="EA316" s="313"/>
      <c r="EB316" s="313"/>
      <c r="EC316" s="313"/>
      <c r="ED316" s="313"/>
      <c r="EE316" s="313"/>
      <c r="EF316" s="313"/>
      <c r="EG316" s="313"/>
      <c r="EH316" s="313"/>
      <c r="EI316" s="313"/>
      <c r="EJ316" s="313"/>
      <c r="EK316" s="313"/>
      <c r="EL316" s="313"/>
      <c r="EM316" s="313"/>
      <c r="EN316" s="313"/>
      <c r="EO316" s="313"/>
      <c r="EP316" s="313"/>
      <c r="EQ316" s="313"/>
      <c r="ER316" s="313"/>
      <c r="ES316" s="313"/>
      <c r="ET316" s="313"/>
      <c r="EU316" s="313"/>
      <c r="EV316" s="313"/>
      <c r="EW316" s="313"/>
      <c r="EX316" s="313"/>
      <c r="EY316" s="313"/>
      <c r="EZ316" s="313"/>
      <c r="FA316" s="313"/>
      <c r="FB316" s="313"/>
      <c r="FC316" s="313"/>
      <c r="FD316" s="313"/>
      <c r="FE316" s="313"/>
      <c r="FF316" s="313"/>
      <c r="FG316" s="313"/>
      <c r="FH316" s="313"/>
      <c r="FI316" s="313"/>
      <c r="FJ316" s="313"/>
      <c r="FK316" s="313"/>
      <c r="FL316" s="313"/>
      <c r="FM316" s="313"/>
      <c r="FN316" s="313"/>
      <c r="FO316" s="313"/>
      <c r="FP316" s="313"/>
      <c r="FQ316" s="313"/>
      <c r="FR316" s="313"/>
      <c r="FS316" s="313"/>
      <c r="FT316" s="313"/>
      <c r="FU316" s="313"/>
      <c r="FV316" s="313"/>
      <c r="FW316" s="313"/>
      <c r="FX316" s="313"/>
      <c r="FY316" s="313"/>
      <c r="FZ316" s="313"/>
      <c r="GA316" s="313"/>
      <c r="GB316" s="313"/>
      <c r="GC316" s="313"/>
      <c r="GD316" s="313"/>
      <c r="GE316" s="313"/>
      <c r="GF316" s="313"/>
      <c r="GG316" s="313"/>
      <c r="GH316" s="313"/>
      <c r="GI316" s="313"/>
      <c r="GJ316" s="313"/>
      <c r="GK316" s="313"/>
      <c r="GL316" s="313"/>
      <c r="GM316" s="313"/>
      <c r="GN316" s="313"/>
      <c r="GO316" s="313"/>
      <c r="GP316" s="313"/>
      <c r="GQ316" s="313"/>
      <c r="GR316" s="313"/>
      <c r="GS316" s="313"/>
      <c r="GT316" s="313"/>
      <c r="GU316" s="313"/>
      <c r="GV316" s="313"/>
      <c r="GW316" s="313"/>
      <c r="GX316" s="313"/>
      <c r="GY316" s="313"/>
      <c r="GZ316" s="313"/>
      <c r="HA316" s="313"/>
      <c r="HB316" s="313"/>
      <c r="HC316" s="313"/>
      <c r="HD316" s="313"/>
      <c r="HE316" s="313"/>
      <c r="HF316" s="313"/>
      <c r="HG316" s="313"/>
      <c r="HH316" s="313"/>
      <c r="HI316" s="313"/>
      <c r="HJ316" s="313"/>
      <c r="HK316" s="313"/>
      <c r="HL316" s="313"/>
      <c r="HM316" s="313"/>
      <c r="HN316" s="313"/>
      <c r="HO316" s="313"/>
      <c r="HP316" s="313"/>
      <c r="HQ316" s="313"/>
      <c r="HR316" s="313"/>
      <c r="HS316" s="313"/>
      <c r="HT316" s="313"/>
      <c r="HU316" s="313"/>
      <c r="HV316" s="313"/>
      <c r="HW316" s="313"/>
      <c r="HX316" s="313"/>
      <c r="HY316" s="313"/>
      <c r="HZ316" s="313"/>
      <c r="IA316" s="313"/>
    </row>
    <row r="317" s="22" customFormat="1" ht="13.9" spans="1:235">
      <c r="A317" s="340"/>
      <c r="B317" s="341"/>
      <c r="C317" s="341"/>
      <c r="D317" s="341"/>
      <c r="E317" s="342"/>
      <c r="F317" s="105"/>
      <c r="G317" s="174" t="s">
        <v>423</v>
      </c>
      <c r="H317" s="285" t="s">
        <v>368</v>
      </c>
      <c r="I317" s="302">
        <v>3045.54</v>
      </c>
      <c r="J317" s="302">
        <f>11.23+11.23</f>
        <v>22.46</v>
      </c>
      <c r="K317" s="94">
        <f>I317+J317</f>
        <v>3068</v>
      </c>
      <c r="L317" s="237"/>
      <c r="M317" s="237"/>
      <c r="N317" s="237"/>
      <c r="O317" s="237"/>
      <c r="P317" s="237"/>
      <c r="Q317" s="237"/>
      <c r="R317" s="310"/>
      <c r="S317" s="94"/>
      <c r="T317" s="94"/>
      <c r="U317" s="237"/>
      <c r="V317" s="310"/>
      <c r="W317" s="237"/>
      <c r="X317" s="158"/>
      <c r="Y317" s="313"/>
      <c r="Z317" s="313"/>
      <c r="AA317" s="313"/>
      <c r="AB317" s="313"/>
      <c r="AC317" s="313"/>
      <c r="AD317" s="313"/>
      <c r="AE317" s="313"/>
      <c r="AF317" s="313"/>
      <c r="AG317" s="313"/>
      <c r="AH317" s="313"/>
      <c r="AI317" s="313"/>
      <c r="AJ317" s="313"/>
      <c r="AK317" s="313"/>
      <c r="AL317" s="313"/>
      <c r="AM317" s="313"/>
      <c r="AN317" s="313"/>
      <c r="AO317" s="313"/>
      <c r="AP317" s="313"/>
      <c r="AQ317" s="313"/>
      <c r="AR317" s="313"/>
      <c r="AS317" s="313"/>
      <c r="AT317" s="313"/>
      <c r="AU317" s="313"/>
      <c r="AV317" s="313"/>
      <c r="AW317" s="313"/>
      <c r="AX317" s="313"/>
      <c r="AY317" s="313"/>
      <c r="AZ317" s="313"/>
      <c r="BA317" s="313"/>
      <c r="BB317" s="313"/>
      <c r="BC317" s="313"/>
      <c r="BD317" s="313"/>
      <c r="BE317" s="313"/>
      <c r="BF317" s="313"/>
      <c r="BG317" s="313"/>
      <c r="BH317" s="313"/>
      <c r="BI317" s="313"/>
      <c r="BJ317" s="313"/>
      <c r="BK317" s="313"/>
      <c r="BL317" s="313"/>
      <c r="BM317" s="313"/>
      <c r="BN317" s="313"/>
      <c r="BO317" s="313"/>
      <c r="BP317" s="313"/>
      <c r="BQ317" s="313"/>
      <c r="BR317" s="313"/>
      <c r="BS317" s="313"/>
      <c r="BT317" s="313"/>
      <c r="BU317" s="313"/>
      <c r="BV317" s="313"/>
      <c r="BW317" s="313"/>
      <c r="BX317" s="313"/>
      <c r="BY317" s="313"/>
      <c r="BZ317" s="313"/>
      <c r="CA317" s="313"/>
      <c r="CB317" s="313"/>
      <c r="CC317" s="313"/>
      <c r="CD317" s="313"/>
      <c r="CE317" s="313"/>
      <c r="CF317" s="313"/>
      <c r="CG317" s="313"/>
      <c r="CH317" s="313"/>
      <c r="CI317" s="313"/>
      <c r="CJ317" s="313"/>
      <c r="CK317" s="313"/>
      <c r="CL317" s="313"/>
      <c r="CM317" s="313"/>
      <c r="CN317" s="313"/>
      <c r="CO317" s="313"/>
      <c r="CP317" s="313"/>
      <c r="CQ317" s="313"/>
      <c r="CR317" s="313"/>
      <c r="CS317" s="313"/>
      <c r="CT317" s="313"/>
      <c r="CU317" s="313"/>
      <c r="CV317" s="313"/>
      <c r="CW317" s="313"/>
      <c r="CX317" s="313"/>
      <c r="CY317" s="313"/>
      <c r="CZ317" s="313"/>
      <c r="DA317" s="313"/>
      <c r="DB317" s="313"/>
      <c r="DC317" s="313"/>
      <c r="DD317" s="313"/>
      <c r="DE317" s="313"/>
      <c r="DF317" s="313"/>
      <c r="DG317" s="313"/>
      <c r="DH317" s="313"/>
      <c r="DI317" s="313"/>
      <c r="DJ317" s="313"/>
      <c r="DK317" s="313"/>
      <c r="DL317" s="313"/>
      <c r="DM317" s="313"/>
      <c r="DN317" s="313"/>
      <c r="DO317" s="313"/>
      <c r="DP317" s="313"/>
      <c r="DQ317" s="313"/>
      <c r="DR317" s="313"/>
      <c r="DS317" s="313"/>
      <c r="DT317" s="313"/>
      <c r="DU317" s="313"/>
      <c r="DV317" s="313"/>
      <c r="DW317" s="313"/>
      <c r="DX317" s="313"/>
      <c r="DY317" s="313"/>
      <c r="DZ317" s="313"/>
      <c r="EA317" s="313"/>
      <c r="EB317" s="313"/>
      <c r="EC317" s="313"/>
      <c r="ED317" s="313"/>
      <c r="EE317" s="313"/>
      <c r="EF317" s="313"/>
      <c r="EG317" s="313"/>
      <c r="EH317" s="313"/>
      <c r="EI317" s="313"/>
      <c r="EJ317" s="313"/>
      <c r="EK317" s="313"/>
      <c r="EL317" s="313"/>
      <c r="EM317" s="313"/>
      <c r="EN317" s="313"/>
      <c r="EO317" s="313"/>
      <c r="EP317" s="313"/>
      <c r="EQ317" s="313"/>
      <c r="ER317" s="313"/>
      <c r="ES317" s="313"/>
      <c r="ET317" s="313"/>
      <c r="EU317" s="313"/>
      <c r="EV317" s="313"/>
      <c r="EW317" s="313"/>
      <c r="EX317" s="313"/>
      <c r="EY317" s="313"/>
      <c r="EZ317" s="313"/>
      <c r="FA317" s="313"/>
      <c r="FB317" s="313"/>
      <c r="FC317" s="313"/>
      <c r="FD317" s="313"/>
      <c r="FE317" s="313"/>
      <c r="FF317" s="313"/>
      <c r="FG317" s="313"/>
      <c r="FH317" s="313"/>
      <c r="FI317" s="313"/>
      <c r="FJ317" s="313"/>
      <c r="FK317" s="313"/>
      <c r="FL317" s="313"/>
      <c r="FM317" s="313"/>
      <c r="FN317" s="313"/>
      <c r="FO317" s="313"/>
      <c r="FP317" s="313"/>
      <c r="FQ317" s="313"/>
      <c r="FR317" s="313"/>
      <c r="FS317" s="313"/>
      <c r="FT317" s="313"/>
      <c r="FU317" s="313"/>
      <c r="FV317" s="313"/>
      <c r="FW317" s="313"/>
      <c r="FX317" s="313"/>
      <c r="FY317" s="313"/>
      <c r="FZ317" s="313"/>
      <c r="GA317" s="313"/>
      <c r="GB317" s="313"/>
      <c r="GC317" s="313"/>
      <c r="GD317" s="313"/>
      <c r="GE317" s="313"/>
      <c r="GF317" s="313"/>
      <c r="GG317" s="313"/>
      <c r="GH317" s="313"/>
      <c r="GI317" s="313"/>
      <c r="GJ317" s="313"/>
      <c r="GK317" s="313"/>
      <c r="GL317" s="313"/>
      <c r="GM317" s="313"/>
      <c r="GN317" s="313"/>
      <c r="GO317" s="313"/>
      <c r="GP317" s="313"/>
      <c r="GQ317" s="313"/>
      <c r="GR317" s="313"/>
      <c r="GS317" s="313"/>
      <c r="GT317" s="313"/>
      <c r="GU317" s="313"/>
      <c r="GV317" s="313"/>
      <c r="GW317" s="313"/>
      <c r="GX317" s="313"/>
      <c r="GY317" s="313"/>
      <c r="GZ317" s="313"/>
      <c r="HA317" s="313"/>
      <c r="HB317" s="313"/>
      <c r="HC317" s="313"/>
      <c r="HD317" s="313"/>
      <c r="HE317" s="313"/>
      <c r="HF317" s="313"/>
      <c r="HG317" s="313"/>
      <c r="HH317" s="313"/>
      <c r="HI317" s="313"/>
      <c r="HJ317" s="313"/>
      <c r="HK317" s="313"/>
      <c r="HL317" s="313"/>
      <c r="HM317" s="313"/>
      <c r="HN317" s="313"/>
      <c r="HO317" s="313"/>
      <c r="HP317" s="313"/>
      <c r="HQ317" s="313"/>
      <c r="HR317" s="313"/>
      <c r="HS317" s="313"/>
      <c r="HT317" s="313"/>
      <c r="HU317" s="313"/>
      <c r="HV317" s="313"/>
      <c r="HW317" s="313"/>
      <c r="HX317" s="313"/>
      <c r="HY317" s="313"/>
      <c r="HZ317" s="313"/>
      <c r="IA317" s="313"/>
    </row>
    <row r="318" s="22" customFormat="1" ht="13.9" spans="1:235">
      <c r="A318" s="340"/>
      <c r="B318" s="341"/>
      <c r="C318" s="341"/>
      <c r="D318" s="341"/>
      <c r="E318" s="342"/>
      <c r="F318" s="105"/>
      <c r="G318" s="174" t="s">
        <v>478</v>
      </c>
      <c r="H318" s="285" t="s">
        <v>368</v>
      </c>
      <c r="I318" s="302">
        <v>11334.65</v>
      </c>
      <c r="J318" s="357">
        <f>11.23+7.49+18.71+7.49+32.79+3.64</f>
        <v>81.35</v>
      </c>
      <c r="K318" s="94">
        <f>I318+J318</f>
        <v>11416</v>
      </c>
      <c r="L318" s="237"/>
      <c r="M318" s="237"/>
      <c r="N318" s="237"/>
      <c r="O318" s="237"/>
      <c r="P318" s="237"/>
      <c r="Q318" s="237"/>
      <c r="R318" s="310"/>
      <c r="S318" s="94"/>
      <c r="T318" s="94"/>
      <c r="U318" s="237"/>
      <c r="V318" s="310"/>
      <c r="W318" s="237"/>
      <c r="X318" s="158"/>
      <c r="Y318" s="313"/>
      <c r="Z318" s="313"/>
      <c r="AA318" s="313"/>
      <c r="AB318" s="313"/>
      <c r="AC318" s="313"/>
      <c r="AD318" s="313"/>
      <c r="AE318" s="313"/>
      <c r="AF318" s="313"/>
      <c r="AG318" s="313"/>
      <c r="AH318" s="313"/>
      <c r="AI318" s="313"/>
      <c r="AJ318" s="313"/>
      <c r="AK318" s="313"/>
      <c r="AL318" s="313"/>
      <c r="AM318" s="313"/>
      <c r="AN318" s="313"/>
      <c r="AO318" s="313"/>
      <c r="AP318" s="313"/>
      <c r="AQ318" s="313"/>
      <c r="AR318" s="313"/>
      <c r="AS318" s="313"/>
      <c r="AT318" s="313"/>
      <c r="AU318" s="313"/>
      <c r="AV318" s="313"/>
      <c r="AW318" s="313"/>
      <c r="AX318" s="313"/>
      <c r="AY318" s="313"/>
      <c r="AZ318" s="313"/>
      <c r="BA318" s="313"/>
      <c r="BB318" s="313"/>
      <c r="BC318" s="313"/>
      <c r="BD318" s="313"/>
      <c r="BE318" s="313"/>
      <c r="BF318" s="313"/>
      <c r="BG318" s="313"/>
      <c r="BH318" s="313"/>
      <c r="BI318" s="313"/>
      <c r="BJ318" s="313"/>
      <c r="BK318" s="313"/>
      <c r="BL318" s="313"/>
      <c r="BM318" s="313"/>
      <c r="BN318" s="313"/>
      <c r="BO318" s="313"/>
      <c r="BP318" s="313"/>
      <c r="BQ318" s="313"/>
      <c r="BR318" s="313"/>
      <c r="BS318" s="313"/>
      <c r="BT318" s="313"/>
      <c r="BU318" s="313"/>
      <c r="BV318" s="313"/>
      <c r="BW318" s="313"/>
      <c r="BX318" s="313"/>
      <c r="BY318" s="313"/>
      <c r="BZ318" s="313"/>
      <c r="CA318" s="313"/>
      <c r="CB318" s="313"/>
      <c r="CC318" s="313"/>
      <c r="CD318" s="313"/>
      <c r="CE318" s="313"/>
      <c r="CF318" s="313"/>
      <c r="CG318" s="313"/>
      <c r="CH318" s="313"/>
      <c r="CI318" s="313"/>
      <c r="CJ318" s="313"/>
      <c r="CK318" s="313"/>
      <c r="CL318" s="313"/>
      <c r="CM318" s="313"/>
      <c r="CN318" s="313"/>
      <c r="CO318" s="313"/>
      <c r="CP318" s="313"/>
      <c r="CQ318" s="313"/>
      <c r="CR318" s="313"/>
      <c r="CS318" s="313"/>
      <c r="CT318" s="313"/>
      <c r="CU318" s="313"/>
      <c r="CV318" s="313"/>
      <c r="CW318" s="313"/>
      <c r="CX318" s="313"/>
      <c r="CY318" s="313"/>
      <c r="CZ318" s="313"/>
      <c r="DA318" s="313"/>
      <c r="DB318" s="313"/>
      <c r="DC318" s="313"/>
      <c r="DD318" s="313"/>
      <c r="DE318" s="313"/>
      <c r="DF318" s="313"/>
      <c r="DG318" s="313"/>
      <c r="DH318" s="313"/>
      <c r="DI318" s="313"/>
      <c r="DJ318" s="313"/>
      <c r="DK318" s="313"/>
      <c r="DL318" s="313"/>
      <c r="DM318" s="313"/>
      <c r="DN318" s="313"/>
      <c r="DO318" s="313"/>
      <c r="DP318" s="313"/>
      <c r="DQ318" s="313"/>
      <c r="DR318" s="313"/>
      <c r="DS318" s="313"/>
      <c r="DT318" s="313"/>
      <c r="DU318" s="313"/>
      <c r="DV318" s="313"/>
      <c r="DW318" s="313"/>
      <c r="DX318" s="313"/>
      <c r="DY318" s="313"/>
      <c r="DZ318" s="313"/>
      <c r="EA318" s="313"/>
      <c r="EB318" s="313"/>
      <c r="EC318" s="313"/>
      <c r="ED318" s="313"/>
      <c r="EE318" s="313"/>
      <c r="EF318" s="313"/>
      <c r="EG318" s="313"/>
      <c r="EH318" s="313"/>
      <c r="EI318" s="313"/>
      <c r="EJ318" s="313"/>
      <c r="EK318" s="313"/>
      <c r="EL318" s="313"/>
      <c r="EM318" s="313"/>
      <c r="EN318" s="313"/>
      <c r="EO318" s="313"/>
      <c r="EP318" s="313"/>
      <c r="EQ318" s="313"/>
      <c r="ER318" s="313"/>
      <c r="ES318" s="313"/>
      <c r="ET318" s="313"/>
      <c r="EU318" s="313"/>
      <c r="EV318" s="313"/>
      <c r="EW318" s="313"/>
      <c r="EX318" s="313"/>
      <c r="EY318" s="313"/>
      <c r="EZ318" s="313"/>
      <c r="FA318" s="313"/>
      <c r="FB318" s="313"/>
      <c r="FC318" s="313"/>
      <c r="FD318" s="313"/>
      <c r="FE318" s="313"/>
      <c r="FF318" s="313"/>
      <c r="FG318" s="313"/>
      <c r="FH318" s="313"/>
      <c r="FI318" s="313"/>
      <c r="FJ318" s="313"/>
      <c r="FK318" s="313"/>
      <c r="FL318" s="313"/>
      <c r="FM318" s="313"/>
      <c r="FN318" s="313"/>
      <c r="FO318" s="313"/>
      <c r="FP318" s="313"/>
      <c r="FQ318" s="313"/>
      <c r="FR318" s="313"/>
      <c r="FS318" s="313"/>
      <c r="FT318" s="313"/>
      <c r="FU318" s="313"/>
      <c r="FV318" s="313"/>
      <c r="FW318" s="313"/>
      <c r="FX318" s="313"/>
      <c r="FY318" s="313"/>
      <c r="FZ318" s="313"/>
      <c r="GA318" s="313"/>
      <c r="GB318" s="313"/>
      <c r="GC318" s="313"/>
      <c r="GD318" s="313"/>
      <c r="GE318" s="313"/>
      <c r="GF318" s="313"/>
      <c r="GG318" s="313"/>
      <c r="GH318" s="313"/>
      <c r="GI318" s="313"/>
      <c r="GJ318" s="313"/>
      <c r="GK318" s="313"/>
      <c r="GL318" s="313"/>
      <c r="GM318" s="313"/>
      <c r="GN318" s="313"/>
      <c r="GO318" s="313"/>
      <c r="GP318" s="313"/>
      <c r="GQ318" s="313"/>
      <c r="GR318" s="313"/>
      <c r="GS318" s="313"/>
      <c r="GT318" s="313"/>
      <c r="GU318" s="313"/>
      <c r="GV318" s="313"/>
      <c r="GW318" s="313"/>
      <c r="GX318" s="313"/>
      <c r="GY318" s="313"/>
      <c r="GZ318" s="313"/>
      <c r="HA318" s="313"/>
      <c r="HB318" s="313"/>
      <c r="HC318" s="313"/>
      <c r="HD318" s="313"/>
      <c r="HE318" s="313"/>
      <c r="HF318" s="313"/>
      <c r="HG318" s="313"/>
      <c r="HH318" s="313"/>
      <c r="HI318" s="313"/>
      <c r="HJ318" s="313"/>
      <c r="HK318" s="313"/>
      <c r="HL318" s="313"/>
      <c r="HM318" s="313"/>
      <c r="HN318" s="313"/>
      <c r="HO318" s="313"/>
      <c r="HP318" s="313"/>
      <c r="HQ318" s="313"/>
      <c r="HR318" s="313"/>
      <c r="HS318" s="313"/>
      <c r="HT318" s="313"/>
      <c r="HU318" s="313"/>
      <c r="HV318" s="313"/>
      <c r="HW318" s="313"/>
      <c r="HX318" s="313"/>
      <c r="HY318" s="313"/>
      <c r="HZ318" s="313"/>
      <c r="IA318" s="313"/>
    </row>
    <row r="319" s="22" customFormat="1" spans="1:235">
      <c r="A319" s="340"/>
      <c r="B319" s="341"/>
      <c r="C319" s="341"/>
      <c r="D319" s="341"/>
      <c r="E319" s="342"/>
      <c r="F319" s="105"/>
      <c r="G319" s="174"/>
      <c r="H319" s="285"/>
      <c r="I319" s="302"/>
      <c r="J319" s="302"/>
      <c r="K319" s="94"/>
      <c r="L319" s="237"/>
      <c r="M319" s="237"/>
      <c r="N319" s="237"/>
      <c r="O319" s="237"/>
      <c r="P319" s="237"/>
      <c r="Q319" s="237"/>
      <c r="R319" s="310"/>
      <c r="S319" s="94"/>
      <c r="T319" s="94"/>
      <c r="U319" s="237"/>
      <c r="V319" s="310"/>
      <c r="W319" s="237"/>
      <c r="X319" s="158"/>
      <c r="Y319" s="313"/>
      <c r="Z319" s="313"/>
      <c r="AA319" s="313"/>
      <c r="AB319" s="313"/>
      <c r="AC319" s="313"/>
      <c r="AD319" s="313"/>
      <c r="AE319" s="313"/>
      <c r="AF319" s="313"/>
      <c r="AG319" s="313"/>
      <c r="AH319" s="313"/>
      <c r="AI319" s="313"/>
      <c r="AJ319" s="313"/>
      <c r="AK319" s="313"/>
      <c r="AL319" s="313"/>
      <c r="AM319" s="313"/>
      <c r="AN319" s="313"/>
      <c r="AO319" s="313"/>
      <c r="AP319" s="313"/>
      <c r="AQ319" s="313"/>
      <c r="AR319" s="313"/>
      <c r="AS319" s="313"/>
      <c r="AT319" s="313"/>
      <c r="AU319" s="313"/>
      <c r="AV319" s="313"/>
      <c r="AW319" s="313"/>
      <c r="AX319" s="313"/>
      <c r="AY319" s="313"/>
      <c r="AZ319" s="313"/>
      <c r="BA319" s="313"/>
      <c r="BB319" s="313"/>
      <c r="BC319" s="313"/>
      <c r="BD319" s="313"/>
      <c r="BE319" s="313"/>
      <c r="BF319" s="313"/>
      <c r="BG319" s="313"/>
      <c r="BH319" s="313"/>
      <c r="BI319" s="313"/>
      <c r="BJ319" s="313"/>
      <c r="BK319" s="313"/>
      <c r="BL319" s="313"/>
      <c r="BM319" s="313"/>
      <c r="BN319" s="313"/>
      <c r="BO319" s="313"/>
      <c r="BP319" s="313"/>
      <c r="BQ319" s="313"/>
      <c r="BR319" s="313"/>
      <c r="BS319" s="313"/>
      <c r="BT319" s="313"/>
      <c r="BU319" s="313"/>
      <c r="BV319" s="313"/>
      <c r="BW319" s="313"/>
      <c r="BX319" s="313"/>
      <c r="BY319" s="313"/>
      <c r="BZ319" s="313"/>
      <c r="CA319" s="313"/>
      <c r="CB319" s="313"/>
      <c r="CC319" s="313"/>
      <c r="CD319" s="313"/>
      <c r="CE319" s="313"/>
      <c r="CF319" s="313"/>
      <c r="CG319" s="313"/>
      <c r="CH319" s="313"/>
      <c r="CI319" s="313"/>
      <c r="CJ319" s="313"/>
      <c r="CK319" s="313"/>
      <c r="CL319" s="313"/>
      <c r="CM319" s="313"/>
      <c r="CN319" s="313"/>
      <c r="CO319" s="313"/>
      <c r="CP319" s="313"/>
      <c r="CQ319" s="313"/>
      <c r="CR319" s="313"/>
      <c r="CS319" s="313"/>
      <c r="CT319" s="313"/>
      <c r="CU319" s="313"/>
      <c r="CV319" s="313"/>
      <c r="CW319" s="313"/>
      <c r="CX319" s="313"/>
      <c r="CY319" s="313"/>
      <c r="CZ319" s="313"/>
      <c r="DA319" s="313"/>
      <c r="DB319" s="313"/>
      <c r="DC319" s="313"/>
      <c r="DD319" s="313"/>
      <c r="DE319" s="313"/>
      <c r="DF319" s="313"/>
      <c r="DG319" s="313"/>
      <c r="DH319" s="313"/>
      <c r="DI319" s="313"/>
      <c r="DJ319" s="313"/>
      <c r="DK319" s="313"/>
      <c r="DL319" s="313"/>
      <c r="DM319" s="313"/>
      <c r="DN319" s="313"/>
      <c r="DO319" s="313"/>
      <c r="DP319" s="313"/>
      <c r="DQ319" s="313"/>
      <c r="DR319" s="313"/>
      <c r="DS319" s="313"/>
      <c r="DT319" s="313"/>
      <c r="DU319" s="313"/>
      <c r="DV319" s="313"/>
      <c r="DW319" s="313"/>
      <c r="DX319" s="313"/>
      <c r="DY319" s="313"/>
      <c r="DZ319" s="313"/>
      <c r="EA319" s="313"/>
      <c r="EB319" s="313"/>
      <c r="EC319" s="313"/>
      <c r="ED319" s="313"/>
      <c r="EE319" s="313"/>
      <c r="EF319" s="313"/>
      <c r="EG319" s="313"/>
      <c r="EH319" s="313"/>
      <c r="EI319" s="313"/>
      <c r="EJ319" s="313"/>
      <c r="EK319" s="313"/>
      <c r="EL319" s="313"/>
      <c r="EM319" s="313"/>
      <c r="EN319" s="313"/>
      <c r="EO319" s="313"/>
      <c r="EP319" s="313"/>
      <c r="EQ319" s="313"/>
      <c r="ER319" s="313"/>
      <c r="ES319" s="313"/>
      <c r="ET319" s="313"/>
      <c r="EU319" s="313"/>
      <c r="EV319" s="313"/>
      <c r="EW319" s="313"/>
      <c r="EX319" s="313"/>
      <c r="EY319" s="313"/>
      <c r="EZ319" s="313"/>
      <c r="FA319" s="313"/>
      <c r="FB319" s="313"/>
      <c r="FC319" s="313"/>
      <c r="FD319" s="313"/>
      <c r="FE319" s="313"/>
      <c r="FF319" s="313"/>
      <c r="FG319" s="313"/>
      <c r="FH319" s="313"/>
      <c r="FI319" s="313"/>
      <c r="FJ319" s="313"/>
      <c r="FK319" s="313"/>
      <c r="FL319" s="313"/>
      <c r="FM319" s="313"/>
      <c r="FN319" s="313"/>
      <c r="FO319" s="313"/>
      <c r="FP319" s="313"/>
      <c r="FQ319" s="313"/>
      <c r="FR319" s="313"/>
      <c r="FS319" s="313"/>
      <c r="FT319" s="313"/>
      <c r="FU319" s="313"/>
      <c r="FV319" s="313"/>
      <c r="FW319" s="313"/>
      <c r="FX319" s="313"/>
      <c r="FY319" s="313"/>
      <c r="FZ319" s="313"/>
      <c r="GA319" s="313"/>
      <c r="GB319" s="313"/>
      <c r="GC319" s="313"/>
      <c r="GD319" s="313"/>
      <c r="GE319" s="313"/>
      <c r="GF319" s="313"/>
      <c r="GG319" s="313"/>
      <c r="GH319" s="313"/>
      <c r="GI319" s="313"/>
      <c r="GJ319" s="313"/>
      <c r="GK319" s="313"/>
      <c r="GL319" s="313"/>
      <c r="GM319" s="313"/>
      <c r="GN319" s="313"/>
      <c r="GO319" s="313"/>
      <c r="GP319" s="313"/>
      <c r="GQ319" s="313"/>
      <c r="GR319" s="313"/>
      <c r="GS319" s="313"/>
      <c r="GT319" s="313"/>
      <c r="GU319" s="313"/>
      <c r="GV319" s="313"/>
      <c r="GW319" s="313"/>
      <c r="GX319" s="313"/>
      <c r="GY319" s="313"/>
      <c r="GZ319" s="313"/>
      <c r="HA319" s="313"/>
      <c r="HB319" s="313"/>
      <c r="HC319" s="313"/>
      <c r="HD319" s="313"/>
      <c r="HE319" s="313"/>
      <c r="HF319" s="313"/>
      <c r="HG319" s="313"/>
      <c r="HH319" s="313"/>
      <c r="HI319" s="313"/>
      <c r="HJ319" s="313"/>
      <c r="HK319" s="313"/>
      <c r="HL319" s="313"/>
      <c r="HM319" s="313"/>
      <c r="HN319" s="313"/>
      <c r="HO319" s="313"/>
      <c r="HP319" s="313"/>
      <c r="HQ319" s="313"/>
      <c r="HR319" s="313"/>
      <c r="HS319" s="313"/>
      <c r="HT319" s="313"/>
      <c r="HU319" s="313"/>
      <c r="HV319" s="313"/>
      <c r="HW319" s="313"/>
      <c r="HX319" s="313"/>
      <c r="HY319" s="313"/>
      <c r="HZ319" s="313"/>
      <c r="IA319" s="313"/>
    </row>
    <row r="320" s="22" customFormat="1" spans="1:235">
      <c r="A320" s="340"/>
      <c r="B320" s="341"/>
      <c r="C320" s="341"/>
      <c r="D320" s="341"/>
      <c r="E320" s="342"/>
      <c r="F320" s="105"/>
      <c r="G320" s="174"/>
      <c r="H320" s="285"/>
      <c r="I320" s="302"/>
      <c r="J320" s="302"/>
      <c r="K320" s="94"/>
      <c r="L320" s="237"/>
      <c r="M320" s="237"/>
      <c r="N320" s="237"/>
      <c r="O320" s="237"/>
      <c r="P320" s="237"/>
      <c r="Q320" s="237"/>
      <c r="R320" s="310"/>
      <c r="S320" s="94"/>
      <c r="T320" s="94"/>
      <c r="U320" s="237"/>
      <c r="V320" s="310"/>
      <c r="W320" s="237"/>
      <c r="X320" s="158"/>
      <c r="Y320" s="313"/>
      <c r="Z320" s="313"/>
      <c r="AA320" s="313"/>
      <c r="AB320" s="313"/>
      <c r="AC320" s="313"/>
      <c r="AD320" s="313"/>
      <c r="AE320" s="313"/>
      <c r="AF320" s="313"/>
      <c r="AG320" s="313"/>
      <c r="AH320" s="313"/>
      <c r="AI320" s="313"/>
      <c r="AJ320" s="313"/>
      <c r="AK320" s="313"/>
      <c r="AL320" s="313"/>
      <c r="AM320" s="313"/>
      <c r="AN320" s="313"/>
      <c r="AO320" s="313"/>
      <c r="AP320" s="313"/>
      <c r="AQ320" s="313"/>
      <c r="AR320" s="313"/>
      <c r="AS320" s="313"/>
      <c r="AT320" s="313"/>
      <c r="AU320" s="313"/>
      <c r="AV320" s="313"/>
      <c r="AW320" s="313"/>
      <c r="AX320" s="313"/>
      <c r="AY320" s="313"/>
      <c r="AZ320" s="313"/>
      <c r="BA320" s="313"/>
      <c r="BB320" s="313"/>
      <c r="BC320" s="313"/>
      <c r="BD320" s="313"/>
      <c r="BE320" s="313"/>
      <c r="BF320" s="313"/>
      <c r="BG320" s="313"/>
      <c r="BH320" s="313"/>
      <c r="BI320" s="313"/>
      <c r="BJ320" s="313"/>
      <c r="BK320" s="313"/>
      <c r="BL320" s="313"/>
      <c r="BM320" s="313"/>
      <c r="BN320" s="313"/>
      <c r="BO320" s="313"/>
      <c r="BP320" s="313"/>
      <c r="BQ320" s="313"/>
      <c r="BR320" s="313"/>
      <c r="BS320" s="313"/>
      <c r="BT320" s="313"/>
      <c r="BU320" s="313"/>
      <c r="BV320" s="313"/>
      <c r="BW320" s="313"/>
      <c r="BX320" s="313"/>
      <c r="BY320" s="313"/>
      <c r="BZ320" s="313"/>
      <c r="CA320" s="313"/>
      <c r="CB320" s="313"/>
      <c r="CC320" s="313"/>
      <c r="CD320" s="313"/>
      <c r="CE320" s="313"/>
      <c r="CF320" s="313"/>
      <c r="CG320" s="313"/>
      <c r="CH320" s="313"/>
      <c r="CI320" s="313"/>
      <c r="CJ320" s="313"/>
      <c r="CK320" s="313"/>
      <c r="CL320" s="313"/>
      <c r="CM320" s="313"/>
      <c r="CN320" s="313"/>
      <c r="CO320" s="313"/>
      <c r="CP320" s="313"/>
      <c r="CQ320" s="313"/>
      <c r="CR320" s="313"/>
      <c r="CS320" s="313"/>
      <c r="CT320" s="313"/>
      <c r="CU320" s="313"/>
      <c r="CV320" s="313"/>
      <c r="CW320" s="313"/>
      <c r="CX320" s="313"/>
      <c r="CY320" s="313"/>
      <c r="CZ320" s="313"/>
      <c r="DA320" s="313"/>
      <c r="DB320" s="313"/>
      <c r="DC320" s="313"/>
      <c r="DD320" s="313"/>
      <c r="DE320" s="313"/>
      <c r="DF320" s="313"/>
      <c r="DG320" s="313"/>
      <c r="DH320" s="313"/>
      <c r="DI320" s="313"/>
      <c r="DJ320" s="313"/>
      <c r="DK320" s="313"/>
      <c r="DL320" s="313"/>
      <c r="DM320" s="313"/>
      <c r="DN320" s="313"/>
      <c r="DO320" s="313"/>
      <c r="DP320" s="313"/>
      <c r="DQ320" s="313"/>
      <c r="DR320" s="313"/>
      <c r="DS320" s="313"/>
      <c r="DT320" s="313"/>
      <c r="DU320" s="313"/>
      <c r="DV320" s="313"/>
      <c r="DW320" s="313"/>
      <c r="DX320" s="313"/>
      <c r="DY320" s="313"/>
      <c r="DZ320" s="313"/>
      <c r="EA320" s="313"/>
      <c r="EB320" s="313"/>
      <c r="EC320" s="313"/>
      <c r="ED320" s="313"/>
      <c r="EE320" s="313"/>
      <c r="EF320" s="313"/>
      <c r="EG320" s="313"/>
      <c r="EH320" s="313"/>
      <c r="EI320" s="313"/>
      <c r="EJ320" s="313"/>
      <c r="EK320" s="313"/>
      <c r="EL320" s="313"/>
      <c r="EM320" s="313"/>
      <c r="EN320" s="313"/>
      <c r="EO320" s="313"/>
      <c r="EP320" s="313"/>
      <c r="EQ320" s="313"/>
      <c r="ER320" s="313"/>
      <c r="ES320" s="313"/>
      <c r="ET320" s="313"/>
      <c r="EU320" s="313"/>
      <c r="EV320" s="313"/>
      <c r="EW320" s="313"/>
      <c r="EX320" s="313"/>
      <c r="EY320" s="313"/>
      <c r="EZ320" s="313"/>
      <c r="FA320" s="313"/>
      <c r="FB320" s="313"/>
      <c r="FC320" s="313"/>
      <c r="FD320" s="313"/>
      <c r="FE320" s="313"/>
      <c r="FF320" s="313"/>
      <c r="FG320" s="313"/>
      <c r="FH320" s="313"/>
      <c r="FI320" s="313"/>
      <c r="FJ320" s="313"/>
      <c r="FK320" s="313"/>
      <c r="FL320" s="313"/>
      <c r="FM320" s="313"/>
      <c r="FN320" s="313"/>
      <c r="FO320" s="313"/>
      <c r="FP320" s="313"/>
      <c r="FQ320" s="313"/>
      <c r="FR320" s="313"/>
      <c r="FS320" s="313"/>
      <c r="FT320" s="313"/>
      <c r="FU320" s="313"/>
      <c r="FV320" s="313"/>
      <c r="FW320" s="313"/>
      <c r="FX320" s="313"/>
      <c r="FY320" s="313"/>
      <c r="FZ320" s="313"/>
      <c r="GA320" s="313"/>
      <c r="GB320" s="313"/>
      <c r="GC320" s="313"/>
      <c r="GD320" s="313"/>
      <c r="GE320" s="313"/>
      <c r="GF320" s="313"/>
      <c r="GG320" s="313"/>
      <c r="GH320" s="313"/>
      <c r="GI320" s="313"/>
      <c r="GJ320" s="313"/>
      <c r="GK320" s="313"/>
      <c r="GL320" s="313"/>
      <c r="GM320" s="313"/>
      <c r="GN320" s="313"/>
      <c r="GO320" s="313"/>
      <c r="GP320" s="313"/>
      <c r="GQ320" s="313"/>
      <c r="GR320" s="313"/>
      <c r="GS320" s="313"/>
      <c r="GT320" s="313"/>
      <c r="GU320" s="313"/>
      <c r="GV320" s="313"/>
      <c r="GW320" s="313"/>
      <c r="GX320" s="313"/>
      <c r="GY320" s="313"/>
      <c r="GZ320" s="313"/>
      <c r="HA320" s="313"/>
      <c r="HB320" s="313"/>
      <c r="HC320" s="313"/>
      <c r="HD320" s="313"/>
      <c r="HE320" s="313"/>
      <c r="HF320" s="313"/>
      <c r="HG320" s="313"/>
      <c r="HH320" s="313"/>
      <c r="HI320" s="313"/>
      <c r="HJ320" s="313"/>
      <c r="HK320" s="313"/>
      <c r="HL320" s="313"/>
      <c r="HM320" s="313"/>
      <c r="HN320" s="313"/>
      <c r="HO320" s="313"/>
      <c r="HP320" s="313"/>
      <c r="HQ320" s="313"/>
      <c r="HR320" s="313"/>
      <c r="HS320" s="313"/>
      <c r="HT320" s="313"/>
      <c r="HU320" s="313"/>
      <c r="HV320" s="313"/>
      <c r="HW320" s="313"/>
      <c r="HX320" s="313"/>
      <c r="HY320" s="313"/>
      <c r="HZ320" s="313"/>
      <c r="IA320" s="313"/>
    </row>
    <row r="321" s="22" customFormat="1" spans="1:235">
      <c r="A321" s="372"/>
      <c r="B321" s="373"/>
      <c r="C321" s="373"/>
      <c r="D321" s="373"/>
      <c r="E321" s="374"/>
      <c r="F321" s="105"/>
      <c r="G321" s="174"/>
      <c r="H321" s="285"/>
      <c r="I321" s="302"/>
      <c r="J321" s="302"/>
      <c r="K321" s="94"/>
      <c r="L321" s="237"/>
      <c r="M321" s="237"/>
      <c r="N321" s="237"/>
      <c r="O321" s="237"/>
      <c r="P321" s="237"/>
      <c r="Q321" s="237"/>
      <c r="R321" s="310"/>
      <c r="S321" s="94"/>
      <c r="T321" s="94"/>
      <c r="U321" s="237"/>
      <c r="V321" s="310"/>
      <c r="W321" s="237"/>
      <c r="X321" s="158"/>
      <c r="Y321" s="313"/>
      <c r="Z321" s="313"/>
      <c r="AA321" s="313"/>
      <c r="AB321" s="313"/>
      <c r="AC321" s="313"/>
      <c r="AD321" s="313"/>
      <c r="AE321" s="313"/>
      <c r="AF321" s="313"/>
      <c r="AG321" s="313"/>
      <c r="AH321" s="313"/>
      <c r="AI321" s="313"/>
      <c r="AJ321" s="313"/>
      <c r="AK321" s="313"/>
      <c r="AL321" s="313"/>
      <c r="AM321" s="313"/>
      <c r="AN321" s="313"/>
      <c r="AO321" s="313"/>
      <c r="AP321" s="313"/>
      <c r="AQ321" s="313"/>
      <c r="AR321" s="313"/>
      <c r="AS321" s="313"/>
      <c r="AT321" s="313"/>
      <c r="AU321" s="313"/>
      <c r="AV321" s="313"/>
      <c r="AW321" s="313"/>
      <c r="AX321" s="313"/>
      <c r="AY321" s="313"/>
      <c r="AZ321" s="313"/>
      <c r="BA321" s="313"/>
      <c r="BB321" s="313"/>
      <c r="BC321" s="313"/>
      <c r="BD321" s="313"/>
      <c r="BE321" s="313"/>
      <c r="BF321" s="313"/>
      <c r="BG321" s="313"/>
      <c r="BH321" s="313"/>
      <c r="BI321" s="313"/>
      <c r="BJ321" s="313"/>
      <c r="BK321" s="313"/>
      <c r="BL321" s="313"/>
      <c r="BM321" s="313"/>
      <c r="BN321" s="313"/>
      <c r="BO321" s="313"/>
      <c r="BP321" s="313"/>
      <c r="BQ321" s="313"/>
      <c r="BR321" s="313"/>
      <c r="BS321" s="313"/>
      <c r="BT321" s="313"/>
      <c r="BU321" s="313"/>
      <c r="BV321" s="313"/>
      <c r="BW321" s="313"/>
      <c r="BX321" s="313"/>
      <c r="BY321" s="313"/>
      <c r="BZ321" s="313"/>
      <c r="CA321" s="313"/>
      <c r="CB321" s="313"/>
      <c r="CC321" s="313"/>
      <c r="CD321" s="313"/>
      <c r="CE321" s="313"/>
      <c r="CF321" s="313"/>
      <c r="CG321" s="313"/>
      <c r="CH321" s="313"/>
      <c r="CI321" s="313"/>
      <c r="CJ321" s="313"/>
      <c r="CK321" s="313"/>
      <c r="CL321" s="313"/>
      <c r="CM321" s="313"/>
      <c r="CN321" s="313"/>
      <c r="CO321" s="313"/>
      <c r="CP321" s="313"/>
      <c r="CQ321" s="313"/>
      <c r="CR321" s="313"/>
      <c r="CS321" s="313"/>
      <c r="CT321" s="313"/>
      <c r="CU321" s="313"/>
      <c r="CV321" s="313"/>
      <c r="CW321" s="313"/>
      <c r="CX321" s="313"/>
      <c r="CY321" s="313"/>
      <c r="CZ321" s="313"/>
      <c r="DA321" s="313"/>
      <c r="DB321" s="313"/>
      <c r="DC321" s="313"/>
      <c r="DD321" s="313"/>
      <c r="DE321" s="313"/>
      <c r="DF321" s="313"/>
      <c r="DG321" s="313"/>
      <c r="DH321" s="313"/>
      <c r="DI321" s="313"/>
      <c r="DJ321" s="313"/>
      <c r="DK321" s="313"/>
      <c r="DL321" s="313"/>
      <c r="DM321" s="313"/>
      <c r="DN321" s="313"/>
      <c r="DO321" s="313"/>
      <c r="DP321" s="313"/>
      <c r="DQ321" s="313"/>
      <c r="DR321" s="313"/>
      <c r="DS321" s="313"/>
      <c r="DT321" s="313"/>
      <c r="DU321" s="313"/>
      <c r="DV321" s="313"/>
      <c r="DW321" s="313"/>
      <c r="DX321" s="313"/>
      <c r="DY321" s="313"/>
      <c r="DZ321" s="313"/>
      <c r="EA321" s="313"/>
      <c r="EB321" s="313"/>
      <c r="EC321" s="313"/>
      <c r="ED321" s="313"/>
      <c r="EE321" s="313"/>
      <c r="EF321" s="313"/>
      <c r="EG321" s="313"/>
      <c r="EH321" s="313"/>
      <c r="EI321" s="313"/>
      <c r="EJ321" s="313"/>
      <c r="EK321" s="313"/>
      <c r="EL321" s="313"/>
      <c r="EM321" s="313"/>
      <c r="EN321" s="313"/>
      <c r="EO321" s="313"/>
      <c r="EP321" s="313"/>
      <c r="EQ321" s="313"/>
      <c r="ER321" s="313"/>
      <c r="ES321" s="313"/>
      <c r="ET321" s="313"/>
      <c r="EU321" s="313"/>
      <c r="EV321" s="313"/>
      <c r="EW321" s="313"/>
      <c r="EX321" s="313"/>
      <c r="EY321" s="313"/>
      <c r="EZ321" s="313"/>
      <c r="FA321" s="313"/>
      <c r="FB321" s="313"/>
      <c r="FC321" s="313"/>
      <c r="FD321" s="313"/>
      <c r="FE321" s="313"/>
      <c r="FF321" s="313"/>
      <c r="FG321" s="313"/>
      <c r="FH321" s="313"/>
      <c r="FI321" s="313"/>
      <c r="FJ321" s="313"/>
      <c r="FK321" s="313"/>
      <c r="FL321" s="313"/>
      <c r="FM321" s="313"/>
      <c r="FN321" s="313"/>
      <c r="FO321" s="313"/>
      <c r="FP321" s="313"/>
      <c r="FQ321" s="313"/>
      <c r="FR321" s="313"/>
      <c r="FS321" s="313"/>
      <c r="FT321" s="313"/>
      <c r="FU321" s="313"/>
      <c r="FV321" s="313"/>
      <c r="FW321" s="313"/>
      <c r="FX321" s="313"/>
      <c r="FY321" s="313"/>
      <c r="FZ321" s="313"/>
      <c r="GA321" s="313"/>
      <c r="GB321" s="313"/>
      <c r="GC321" s="313"/>
      <c r="GD321" s="313"/>
      <c r="GE321" s="313"/>
      <c r="GF321" s="313"/>
      <c r="GG321" s="313"/>
      <c r="GH321" s="313"/>
      <c r="GI321" s="313"/>
      <c r="GJ321" s="313"/>
      <c r="GK321" s="313"/>
      <c r="GL321" s="313"/>
      <c r="GM321" s="313"/>
      <c r="GN321" s="313"/>
      <c r="GO321" s="313"/>
      <c r="GP321" s="313"/>
      <c r="GQ321" s="313"/>
      <c r="GR321" s="313"/>
      <c r="GS321" s="313"/>
      <c r="GT321" s="313"/>
      <c r="GU321" s="313"/>
      <c r="GV321" s="313"/>
      <c r="GW321" s="313"/>
      <c r="GX321" s="313"/>
      <c r="GY321" s="313"/>
      <c r="GZ321" s="313"/>
      <c r="HA321" s="313"/>
      <c r="HB321" s="313"/>
      <c r="HC321" s="313"/>
      <c r="HD321" s="313"/>
      <c r="HE321" s="313"/>
      <c r="HF321" s="313"/>
      <c r="HG321" s="313"/>
      <c r="HH321" s="313"/>
      <c r="HI321" s="313"/>
      <c r="HJ321" s="313"/>
      <c r="HK321" s="313"/>
      <c r="HL321" s="313"/>
      <c r="HM321" s="313"/>
      <c r="HN321" s="313"/>
      <c r="HO321" s="313"/>
      <c r="HP321" s="313"/>
      <c r="HQ321" s="313"/>
      <c r="HR321" s="313"/>
      <c r="HS321" s="313"/>
      <c r="HT321" s="313"/>
      <c r="HU321" s="313"/>
      <c r="HV321" s="313"/>
      <c r="HW321" s="313"/>
      <c r="HX321" s="313"/>
      <c r="HY321" s="313"/>
      <c r="HZ321" s="313"/>
      <c r="IA321" s="313"/>
    </row>
    <row r="322" s="22" customFormat="1" ht="13.9" spans="1:24">
      <c r="A322" s="337" t="s">
        <v>400</v>
      </c>
      <c r="B322" s="338"/>
      <c r="C322" s="338"/>
      <c r="D322" s="338"/>
      <c r="E322" s="339"/>
      <c r="F322" s="375" t="s">
        <v>296</v>
      </c>
      <c r="G322" s="174" t="s">
        <v>339</v>
      </c>
      <c r="H322" s="285" t="s">
        <v>368</v>
      </c>
      <c r="I322" s="94">
        <v>6072.28</v>
      </c>
      <c r="J322" s="94">
        <f>14.57+7.29+21.86</f>
        <v>43.72</v>
      </c>
      <c r="K322" s="94">
        <f>J322+I322</f>
        <v>6116</v>
      </c>
      <c r="L322" s="237"/>
      <c r="M322" s="237"/>
      <c r="N322" s="237"/>
      <c r="O322" s="237"/>
      <c r="P322" s="237"/>
      <c r="Q322" s="237"/>
      <c r="R322" s="237"/>
      <c r="S322" s="94">
        <f>K322</f>
        <v>6116</v>
      </c>
      <c r="T322" s="94"/>
      <c r="U322" s="237">
        <f>S322</f>
        <v>6116</v>
      </c>
      <c r="V322" s="237"/>
      <c r="W322" s="237">
        <f>S322+T322-U322-V322</f>
        <v>0</v>
      </c>
      <c r="X322" s="158"/>
    </row>
    <row r="323" s="22" customFormat="1" ht="13.9" spans="1:24">
      <c r="A323" s="340"/>
      <c r="B323" s="341"/>
      <c r="C323" s="341"/>
      <c r="D323" s="341"/>
      <c r="E323" s="342"/>
      <c r="F323" s="375"/>
      <c r="G323" s="174" t="s">
        <v>423</v>
      </c>
      <c r="H323" s="285" t="s">
        <v>399</v>
      </c>
      <c r="I323" s="94">
        <v>2768</v>
      </c>
      <c r="J323" s="94"/>
      <c r="K323" s="94">
        <f>J323+I323</f>
        <v>2768</v>
      </c>
      <c r="L323" s="237"/>
      <c r="M323" s="237"/>
      <c r="N323" s="237"/>
      <c r="O323" s="237"/>
      <c r="P323" s="237"/>
      <c r="Q323" s="237"/>
      <c r="R323" s="237"/>
      <c r="S323" s="94"/>
      <c r="T323" s="94"/>
      <c r="U323" s="237"/>
      <c r="V323" s="237"/>
      <c r="W323" s="237"/>
      <c r="X323" s="158"/>
    </row>
    <row r="324" s="22" customFormat="1" ht="13.9" spans="1:24">
      <c r="A324" s="340"/>
      <c r="B324" s="341"/>
      <c r="C324" s="341"/>
      <c r="D324" s="341"/>
      <c r="E324" s="342"/>
      <c r="F324" s="375"/>
      <c r="G324" s="174" t="s">
        <v>423</v>
      </c>
      <c r="H324" s="285" t="s">
        <v>368</v>
      </c>
      <c r="I324" s="94">
        <v>1417.82</v>
      </c>
      <c r="J324" s="94">
        <f>-12.56+6.18+4.32+4.12+2.06+2.06</f>
        <v>6.18</v>
      </c>
      <c r="K324" s="94">
        <f>J324+I324</f>
        <v>1424</v>
      </c>
      <c r="L324" s="237"/>
      <c r="M324" s="237"/>
      <c r="N324" s="237"/>
      <c r="O324" s="237"/>
      <c r="P324" s="237"/>
      <c r="Q324" s="237"/>
      <c r="R324" s="237"/>
      <c r="S324" s="94"/>
      <c r="T324" s="94"/>
      <c r="U324" s="237"/>
      <c r="V324" s="237"/>
      <c r="W324" s="237"/>
      <c r="X324" s="158"/>
    </row>
    <row r="325" s="22" customFormat="1" ht="13.9" spans="1:24">
      <c r="A325" s="340"/>
      <c r="B325" s="341"/>
      <c r="C325" s="341"/>
      <c r="D325" s="341"/>
      <c r="E325" s="342"/>
      <c r="F325" s="375"/>
      <c r="G325" s="174" t="s">
        <v>478</v>
      </c>
      <c r="H325" s="285" t="s">
        <v>399</v>
      </c>
      <c r="I325" s="94">
        <v>2150</v>
      </c>
      <c r="J325" s="94"/>
      <c r="K325" s="94">
        <f>I325+J325</f>
        <v>2150</v>
      </c>
      <c r="L325" s="237"/>
      <c r="M325" s="237"/>
      <c r="N325" s="237"/>
      <c r="O325" s="237"/>
      <c r="P325" s="237"/>
      <c r="Q325" s="237"/>
      <c r="R325" s="237"/>
      <c r="S325" s="94"/>
      <c r="T325" s="94"/>
      <c r="U325" s="237"/>
      <c r="V325" s="237"/>
      <c r="W325" s="237"/>
      <c r="X325" s="158"/>
    </row>
    <row r="326" s="22" customFormat="1" ht="13.9" spans="1:24">
      <c r="A326" s="340"/>
      <c r="B326" s="341"/>
      <c r="C326" s="341"/>
      <c r="D326" s="341"/>
      <c r="E326" s="342"/>
      <c r="F326" s="375"/>
      <c r="G326" s="174" t="s">
        <v>478</v>
      </c>
      <c r="H326" s="285" t="s">
        <v>368</v>
      </c>
      <c r="I326" s="94">
        <v>1729.7</v>
      </c>
      <c r="J326" s="93">
        <f>6.18+4.12</f>
        <v>10.3</v>
      </c>
      <c r="K326" s="94">
        <f>J326+I326</f>
        <v>1740</v>
      </c>
      <c r="L326" s="237"/>
      <c r="M326" s="237"/>
      <c r="N326" s="237"/>
      <c r="O326" s="237"/>
      <c r="P326" s="237"/>
      <c r="Q326" s="237"/>
      <c r="R326" s="237"/>
      <c r="S326" s="94"/>
      <c r="T326" s="94"/>
      <c r="U326" s="237"/>
      <c r="V326" s="237"/>
      <c r="W326" s="237"/>
      <c r="X326" s="158"/>
    </row>
    <row r="327" s="22" customFormat="1" spans="1:24">
      <c r="A327" s="340"/>
      <c r="B327" s="341"/>
      <c r="C327" s="341"/>
      <c r="D327" s="341"/>
      <c r="E327" s="342"/>
      <c r="F327" s="375"/>
      <c r="G327" s="174"/>
      <c r="H327" s="285"/>
      <c r="I327" s="94"/>
      <c r="J327" s="94"/>
      <c r="K327" s="94"/>
      <c r="L327" s="237"/>
      <c r="M327" s="237"/>
      <c r="N327" s="237"/>
      <c r="O327" s="237"/>
      <c r="P327" s="237"/>
      <c r="Q327" s="237"/>
      <c r="R327" s="237"/>
      <c r="S327" s="94"/>
      <c r="T327" s="94"/>
      <c r="U327" s="237"/>
      <c r="V327" s="237"/>
      <c r="W327" s="237"/>
      <c r="X327" s="158"/>
    </row>
    <row r="328" s="22" customFormat="1" spans="1:24">
      <c r="A328" s="340"/>
      <c r="B328" s="341"/>
      <c r="C328" s="341"/>
      <c r="D328" s="341"/>
      <c r="E328" s="342"/>
      <c r="F328" s="375"/>
      <c r="G328" s="174"/>
      <c r="H328" s="285"/>
      <c r="I328" s="94"/>
      <c r="J328" s="94"/>
      <c r="K328" s="94"/>
      <c r="L328" s="237"/>
      <c r="M328" s="237"/>
      <c r="N328" s="237"/>
      <c r="O328" s="237"/>
      <c r="P328" s="237"/>
      <c r="Q328" s="237"/>
      <c r="R328" s="237"/>
      <c r="S328" s="94"/>
      <c r="T328" s="94"/>
      <c r="U328" s="237"/>
      <c r="V328" s="237"/>
      <c r="W328" s="237"/>
      <c r="X328" s="158"/>
    </row>
    <row r="329" s="22" customFormat="1" spans="1:24">
      <c r="A329" s="340"/>
      <c r="B329" s="341"/>
      <c r="C329" s="341"/>
      <c r="D329" s="341"/>
      <c r="E329" s="342"/>
      <c r="F329" s="375"/>
      <c r="G329" s="174"/>
      <c r="H329" s="285"/>
      <c r="I329" s="94"/>
      <c r="J329" s="94"/>
      <c r="K329" s="94"/>
      <c r="L329" s="237"/>
      <c r="M329" s="237"/>
      <c r="N329" s="237"/>
      <c r="O329" s="237"/>
      <c r="P329" s="237"/>
      <c r="Q329" s="237"/>
      <c r="R329" s="237"/>
      <c r="S329" s="94"/>
      <c r="T329" s="94"/>
      <c r="U329" s="237"/>
      <c r="V329" s="237"/>
      <c r="W329" s="237"/>
      <c r="X329" s="158"/>
    </row>
    <row r="330" s="22" customFormat="1" spans="1:24">
      <c r="A330" s="340"/>
      <c r="B330" s="341"/>
      <c r="C330" s="341"/>
      <c r="D330" s="341"/>
      <c r="E330" s="342"/>
      <c r="F330" s="375"/>
      <c r="G330" s="174"/>
      <c r="H330" s="285"/>
      <c r="I330" s="94"/>
      <c r="J330" s="94"/>
      <c r="K330" s="94"/>
      <c r="L330" s="237"/>
      <c r="M330" s="237"/>
      <c r="N330" s="237"/>
      <c r="O330" s="237"/>
      <c r="P330" s="237"/>
      <c r="Q330" s="237"/>
      <c r="R330" s="237"/>
      <c r="S330" s="94"/>
      <c r="T330" s="94"/>
      <c r="U330" s="237"/>
      <c r="V330" s="237"/>
      <c r="W330" s="237"/>
      <c r="X330" s="158"/>
    </row>
    <row r="331" s="22" customFormat="1" spans="1:24">
      <c r="A331" s="340"/>
      <c r="B331" s="341"/>
      <c r="C331" s="341"/>
      <c r="D331" s="341"/>
      <c r="E331" s="342"/>
      <c r="F331" s="375"/>
      <c r="G331" s="174"/>
      <c r="H331" s="285"/>
      <c r="I331" s="94"/>
      <c r="J331" s="94"/>
      <c r="K331" s="94">
        <f>J331+I331</f>
        <v>0</v>
      </c>
      <c r="L331" s="237"/>
      <c r="M331" s="237"/>
      <c r="N331" s="237"/>
      <c r="O331" s="237"/>
      <c r="P331" s="237"/>
      <c r="Q331" s="237"/>
      <c r="R331" s="237"/>
      <c r="S331" s="94"/>
      <c r="T331" s="94"/>
      <c r="U331" s="237"/>
      <c r="V331" s="237"/>
      <c r="W331" s="237"/>
      <c r="X331" s="158"/>
    </row>
    <row r="332" s="22" customFormat="1" spans="1:24">
      <c r="A332" s="372"/>
      <c r="B332" s="373"/>
      <c r="C332" s="373"/>
      <c r="D332" s="373"/>
      <c r="E332" s="374"/>
      <c r="F332" s="375"/>
      <c r="G332" s="174"/>
      <c r="H332" s="285"/>
      <c r="I332" s="94"/>
      <c r="J332" s="94"/>
      <c r="K332" s="94">
        <f t="shared" ref="K332:K337" si="97">J332+I332</f>
        <v>0</v>
      </c>
      <c r="L332" s="237"/>
      <c r="M332" s="237"/>
      <c r="N332" s="237"/>
      <c r="O332" s="237"/>
      <c r="P332" s="237"/>
      <c r="Q332" s="237"/>
      <c r="R332" s="237"/>
      <c r="S332" s="94"/>
      <c r="T332" s="94"/>
      <c r="U332" s="237"/>
      <c r="V332" s="237"/>
      <c r="W332" s="237"/>
      <c r="X332" s="158"/>
    </row>
    <row r="333" s="22" customFormat="1" ht="13.9" spans="1:24">
      <c r="A333" s="337" t="s">
        <v>401</v>
      </c>
      <c r="B333" s="338"/>
      <c r="C333" s="338"/>
      <c r="D333" s="338"/>
      <c r="E333" s="339"/>
      <c r="F333" s="103" t="s">
        <v>296</v>
      </c>
      <c r="G333" s="174" t="s">
        <v>339</v>
      </c>
      <c r="H333" s="285" t="s">
        <v>368</v>
      </c>
      <c r="I333" s="94">
        <v>1012.87</v>
      </c>
      <c r="J333" s="94">
        <v>7.13</v>
      </c>
      <c r="K333" s="94">
        <f t="shared" si="97"/>
        <v>1020</v>
      </c>
      <c r="L333" s="237"/>
      <c r="M333" s="237"/>
      <c r="N333" s="237"/>
      <c r="O333" s="237"/>
      <c r="P333" s="237"/>
      <c r="Q333" s="237"/>
      <c r="R333" s="237"/>
      <c r="S333" s="94">
        <f>K333</f>
        <v>1020</v>
      </c>
      <c r="T333" s="94"/>
      <c r="U333" s="237">
        <f>S333</f>
        <v>1020</v>
      </c>
      <c r="V333" s="237"/>
      <c r="W333" s="237">
        <f>S333+T333-U333-V333</f>
        <v>0</v>
      </c>
      <c r="X333" s="158"/>
    </row>
    <row r="334" s="22" customFormat="1" ht="13.9" spans="1:24">
      <c r="A334" s="340"/>
      <c r="B334" s="341"/>
      <c r="C334" s="341"/>
      <c r="D334" s="341"/>
      <c r="E334" s="342"/>
      <c r="F334" s="105"/>
      <c r="G334" s="174" t="s">
        <v>423</v>
      </c>
      <c r="H334" s="285" t="s">
        <v>399</v>
      </c>
      <c r="I334" s="94">
        <v>850</v>
      </c>
      <c r="J334" s="94"/>
      <c r="K334" s="94">
        <f t="shared" si="97"/>
        <v>850</v>
      </c>
      <c r="L334" s="237"/>
      <c r="M334" s="237"/>
      <c r="N334" s="237"/>
      <c r="O334" s="237"/>
      <c r="P334" s="237"/>
      <c r="Q334" s="237"/>
      <c r="R334" s="237"/>
      <c r="S334" s="94"/>
      <c r="T334" s="94"/>
      <c r="U334" s="237"/>
      <c r="V334" s="237"/>
      <c r="W334" s="237"/>
      <c r="X334" s="158"/>
    </row>
    <row r="335" s="22" customFormat="1" ht="13.9" spans="1:24">
      <c r="A335" s="340"/>
      <c r="B335" s="341"/>
      <c r="C335" s="341"/>
      <c r="D335" s="341"/>
      <c r="E335" s="342"/>
      <c r="F335" s="105"/>
      <c r="G335" s="174" t="s">
        <v>423</v>
      </c>
      <c r="H335" s="285" t="s">
        <v>368</v>
      </c>
      <c r="I335" s="94">
        <v>1477.36</v>
      </c>
      <c r="J335" s="94">
        <v>52.64</v>
      </c>
      <c r="K335" s="94">
        <f t="shared" si="97"/>
        <v>1530</v>
      </c>
      <c r="L335" s="237"/>
      <c r="M335" s="237"/>
      <c r="N335" s="237"/>
      <c r="O335" s="237"/>
      <c r="P335" s="237"/>
      <c r="Q335" s="237"/>
      <c r="R335" s="237"/>
      <c r="S335" s="94"/>
      <c r="T335" s="94"/>
      <c r="U335" s="237"/>
      <c r="V335" s="237"/>
      <c r="W335" s="237"/>
      <c r="X335" s="158"/>
    </row>
    <row r="336" s="22" customFormat="1" ht="13.9" spans="1:24">
      <c r="A336" s="340"/>
      <c r="B336" s="341"/>
      <c r="C336" s="341"/>
      <c r="D336" s="341"/>
      <c r="E336" s="342"/>
      <c r="F336" s="105"/>
      <c r="G336" s="174" t="s">
        <v>478</v>
      </c>
      <c r="H336" s="285" t="s">
        <v>399</v>
      </c>
      <c r="I336" s="94">
        <v>2725</v>
      </c>
      <c r="J336" s="94"/>
      <c r="K336" s="94">
        <f>I336+J336</f>
        <v>2725</v>
      </c>
      <c r="L336" s="237"/>
      <c r="M336" s="237"/>
      <c r="N336" s="237"/>
      <c r="O336" s="237"/>
      <c r="P336" s="237"/>
      <c r="Q336" s="237"/>
      <c r="R336" s="237"/>
      <c r="S336" s="94"/>
      <c r="T336" s="94"/>
      <c r="U336" s="237"/>
      <c r="V336" s="237"/>
      <c r="W336" s="237"/>
      <c r="X336" s="158"/>
    </row>
    <row r="337" s="22" customFormat="1" ht="13.9" spans="1:24">
      <c r="A337" s="340"/>
      <c r="B337" s="341"/>
      <c r="C337" s="341"/>
      <c r="D337" s="341"/>
      <c r="E337" s="342"/>
      <c r="F337" s="105"/>
      <c r="G337" s="174" t="s">
        <v>478</v>
      </c>
      <c r="H337" s="285" t="s">
        <v>368</v>
      </c>
      <c r="I337" s="94">
        <v>2259</v>
      </c>
      <c r="J337" s="93">
        <f>3.74+19.13+18.57+3.56</f>
        <v>45</v>
      </c>
      <c r="K337" s="94">
        <f t="shared" si="97"/>
        <v>2304</v>
      </c>
      <c r="L337" s="237"/>
      <c r="M337" s="237"/>
      <c r="N337" s="237"/>
      <c r="O337" s="237"/>
      <c r="P337" s="237"/>
      <c r="Q337" s="237"/>
      <c r="R337" s="237"/>
      <c r="S337" s="94"/>
      <c r="T337" s="94"/>
      <c r="U337" s="237"/>
      <c r="V337" s="237"/>
      <c r="W337" s="237"/>
      <c r="X337" s="158"/>
    </row>
    <row r="338" s="22" customFormat="1" spans="1:24">
      <c r="A338" s="340"/>
      <c r="B338" s="341"/>
      <c r="C338" s="341"/>
      <c r="D338" s="341"/>
      <c r="E338" s="342"/>
      <c r="F338" s="105"/>
      <c r="G338" s="174"/>
      <c r="H338" s="285"/>
      <c r="I338" s="94"/>
      <c r="J338" s="94"/>
      <c r="K338" s="94"/>
      <c r="L338" s="237"/>
      <c r="M338" s="237"/>
      <c r="N338" s="237"/>
      <c r="O338" s="237"/>
      <c r="P338" s="237"/>
      <c r="Q338" s="237"/>
      <c r="R338" s="237"/>
      <c r="S338" s="94"/>
      <c r="T338" s="94"/>
      <c r="U338" s="237"/>
      <c r="V338" s="237"/>
      <c r="W338" s="237"/>
      <c r="X338" s="158"/>
    </row>
    <row r="339" s="22" customFormat="1" spans="1:24">
      <c r="A339" s="340"/>
      <c r="B339" s="341"/>
      <c r="C339" s="341"/>
      <c r="D339" s="341"/>
      <c r="E339" s="342"/>
      <c r="F339" s="105"/>
      <c r="G339" s="174"/>
      <c r="H339" s="285"/>
      <c r="I339" s="94"/>
      <c r="J339" s="94"/>
      <c r="K339" s="94"/>
      <c r="L339" s="237"/>
      <c r="M339" s="237"/>
      <c r="N339" s="237"/>
      <c r="O339" s="237"/>
      <c r="P339" s="237"/>
      <c r="Q339" s="237"/>
      <c r="R339" s="237"/>
      <c r="S339" s="94"/>
      <c r="T339" s="94"/>
      <c r="U339" s="237"/>
      <c r="V339" s="237"/>
      <c r="W339" s="237"/>
      <c r="X339" s="158"/>
    </row>
    <row r="340" s="22" customFormat="1" spans="1:24">
      <c r="A340" s="340"/>
      <c r="B340" s="341"/>
      <c r="C340" s="341"/>
      <c r="D340" s="341"/>
      <c r="E340" s="342"/>
      <c r="F340" s="105"/>
      <c r="G340" s="174"/>
      <c r="H340" s="285"/>
      <c r="I340" s="94"/>
      <c r="J340" s="94"/>
      <c r="K340" s="94"/>
      <c r="L340" s="237"/>
      <c r="M340" s="237"/>
      <c r="N340" s="237"/>
      <c r="O340" s="237"/>
      <c r="P340" s="237"/>
      <c r="Q340" s="237"/>
      <c r="R340" s="237"/>
      <c r="S340" s="94"/>
      <c r="T340" s="94"/>
      <c r="U340" s="237"/>
      <c r="V340" s="237"/>
      <c r="W340" s="237"/>
      <c r="X340" s="158"/>
    </row>
    <row r="341" s="22" customFormat="1" spans="1:24">
      <c r="A341" s="340"/>
      <c r="B341" s="341"/>
      <c r="C341" s="341"/>
      <c r="D341" s="341"/>
      <c r="E341" s="342"/>
      <c r="F341" s="105"/>
      <c r="G341" s="174"/>
      <c r="H341" s="285"/>
      <c r="I341" s="94"/>
      <c r="J341" s="94"/>
      <c r="K341" s="94"/>
      <c r="L341" s="237"/>
      <c r="M341" s="237"/>
      <c r="N341" s="237"/>
      <c r="O341" s="237"/>
      <c r="P341" s="237"/>
      <c r="Q341" s="237"/>
      <c r="R341" s="237"/>
      <c r="S341" s="94"/>
      <c r="T341" s="94"/>
      <c r="U341" s="237"/>
      <c r="V341" s="237"/>
      <c r="W341" s="237"/>
      <c r="X341" s="158"/>
    </row>
    <row r="342" s="22" customFormat="1" spans="1:24">
      <c r="A342" s="340"/>
      <c r="B342" s="341"/>
      <c r="C342" s="341"/>
      <c r="D342" s="341"/>
      <c r="E342" s="342"/>
      <c r="F342" s="105"/>
      <c r="G342" s="174"/>
      <c r="H342" s="285"/>
      <c r="I342" s="94"/>
      <c r="J342" s="94"/>
      <c r="K342" s="94"/>
      <c r="L342" s="237"/>
      <c r="M342" s="237"/>
      <c r="N342" s="237"/>
      <c r="O342" s="237"/>
      <c r="P342" s="237"/>
      <c r="Q342" s="237"/>
      <c r="R342" s="237"/>
      <c r="S342" s="94"/>
      <c r="T342" s="94"/>
      <c r="U342" s="237"/>
      <c r="V342" s="237"/>
      <c r="W342" s="237"/>
      <c r="X342" s="158"/>
    </row>
    <row r="343" s="22" customFormat="1" spans="1:24">
      <c r="A343" s="340"/>
      <c r="B343" s="341"/>
      <c r="C343" s="341"/>
      <c r="D343" s="341"/>
      <c r="E343" s="342"/>
      <c r="F343" s="105"/>
      <c r="G343" s="174"/>
      <c r="H343" s="285"/>
      <c r="I343" s="94"/>
      <c r="J343" s="94"/>
      <c r="K343" s="94">
        <f t="shared" ref="K343:K349" si="98">J343+I343</f>
        <v>0</v>
      </c>
      <c r="L343" s="237"/>
      <c r="M343" s="237"/>
      <c r="N343" s="237"/>
      <c r="O343" s="237"/>
      <c r="P343" s="237"/>
      <c r="Q343" s="237"/>
      <c r="R343" s="237"/>
      <c r="S343" s="94"/>
      <c r="T343" s="94"/>
      <c r="U343" s="237"/>
      <c r="V343" s="237"/>
      <c r="W343" s="237"/>
      <c r="X343" s="158"/>
    </row>
    <row r="344" s="22" customFormat="1" spans="1:24">
      <c r="A344" s="340"/>
      <c r="B344" s="341"/>
      <c r="C344" s="341"/>
      <c r="D344" s="341"/>
      <c r="E344" s="342"/>
      <c r="F344" s="105"/>
      <c r="G344" s="174"/>
      <c r="H344" s="285"/>
      <c r="I344" s="94"/>
      <c r="J344" s="94"/>
      <c r="K344" s="94">
        <f t="shared" si="98"/>
        <v>0</v>
      </c>
      <c r="L344" s="237"/>
      <c r="M344" s="237"/>
      <c r="N344" s="237"/>
      <c r="O344" s="237"/>
      <c r="P344" s="237"/>
      <c r="Q344" s="237"/>
      <c r="R344" s="237"/>
      <c r="S344" s="94"/>
      <c r="T344" s="94"/>
      <c r="U344" s="237"/>
      <c r="V344" s="237"/>
      <c r="W344" s="237"/>
      <c r="X344" s="158"/>
    </row>
    <row r="345" s="22" customFormat="1" ht="13.9" spans="1:24">
      <c r="A345" s="166" t="s">
        <v>402</v>
      </c>
      <c r="B345" s="166"/>
      <c r="C345" s="166"/>
      <c r="D345" s="166"/>
      <c r="E345" s="376"/>
      <c r="F345" s="375" t="s">
        <v>296</v>
      </c>
      <c r="G345" s="174" t="s">
        <v>339</v>
      </c>
      <c r="H345" s="285" t="s">
        <v>399</v>
      </c>
      <c r="I345" s="94">
        <v>2369</v>
      </c>
      <c r="J345" s="94"/>
      <c r="K345" s="94">
        <f t="shared" si="98"/>
        <v>2369</v>
      </c>
      <c r="L345" s="237"/>
      <c r="M345" s="237"/>
      <c r="N345" s="237"/>
      <c r="O345" s="237"/>
      <c r="P345" s="237"/>
      <c r="Q345" s="237"/>
      <c r="R345" s="237"/>
      <c r="S345" s="94">
        <f>K345</f>
        <v>2369</v>
      </c>
      <c r="T345" s="94"/>
      <c r="U345" s="237">
        <f>S345</f>
        <v>2369</v>
      </c>
      <c r="V345" s="237"/>
      <c r="W345" s="237">
        <f>S345+T345-U345-V345</f>
        <v>0</v>
      </c>
      <c r="X345" s="158"/>
    </row>
    <row r="346" s="22" customFormat="1" ht="13.9" spans="1:24">
      <c r="A346" s="166"/>
      <c r="B346" s="166"/>
      <c r="C346" s="166"/>
      <c r="D346" s="166"/>
      <c r="E346" s="376"/>
      <c r="F346" s="375" t="s">
        <v>296</v>
      </c>
      <c r="G346" s="174" t="s">
        <v>339</v>
      </c>
      <c r="H346" s="285" t="s">
        <v>368</v>
      </c>
      <c r="I346" s="94">
        <v>705.8</v>
      </c>
      <c r="J346" s="94">
        <f>745.43-705.8</f>
        <v>39.63</v>
      </c>
      <c r="K346" s="94">
        <f t="shared" si="98"/>
        <v>745.43</v>
      </c>
      <c r="L346" s="237"/>
      <c r="M346" s="237"/>
      <c r="N346" s="237"/>
      <c r="O346" s="237"/>
      <c r="P346" s="237"/>
      <c r="Q346" s="237"/>
      <c r="R346" s="237"/>
      <c r="S346" s="94">
        <f>K346</f>
        <v>745.43</v>
      </c>
      <c r="T346" s="94"/>
      <c r="U346" s="237">
        <f>S346</f>
        <v>745.43</v>
      </c>
      <c r="V346" s="237"/>
      <c r="W346" s="237">
        <f>S346+T346-U346-V346</f>
        <v>0</v>
      </c>
      <c r="X346" s="158"/>
    </row>
    <row r="347" s="22" customFormat="1" ht="13.9" spans="1:24">
      <c r="A347" s="166"/>
      <c r="B347" s="166"/>
      <c r="C347" s="166"/>
      <c r="D347" s="166"/>
      <c r="E347" s="376"/>
      <c r="F347" s="375"/>
      <c r="G347" s="174" t="s">
        <v>423</v>
      </c>
      <c r="H347" s="285" t="s">
        <v>399</v>
      </c>
      <c r="I347" s="94">
        <v>1105</v>
      </c>
      <c r="J347" s="94"/>
      <c r="K347" s="94">
        <f t="shared" si="98"/>
        <v>1105</v>
      </c>
      <c r="L347" s="237"/>
      <c r="M347" s="237"/>
      <c r="N347" s="237"/>
      <c r="O347" s="237"/>
      <c r="P347" s="237"/>
      <c r="Q347" s="237"/>
      <c r="R347" s="237"/>
      <c r="S347" s="94"/>
      <c r="T347" s="94"/>
      <c r="U347" s="237"/>
      <c r="V347" s="237"/>
      <c r="W347" s="237"/>
      <c r="X347" s="158"/>
    </row>
    <row r="348" s="22" customFormat="1" ht="13.9" spans="1:24">
      <c r="A348" s="166"/>
      <c r="B348" s="166"/>
      <c r="C348" s="166"/>
      <c r="D348" s="166"/>
      <c r="E348" s="376"/>
      <c r="F348" s="375"/>
      <c r="G348" s="174" t="s">
        <v>423</v>
      </c>
      <c r="H348" s="285" t="s">
        <v>368</v>
      </c>
      <c r="I348" s="94">
        <v>1489.71</v>
      </c>
      <c r="J348" s="94">
        <f>1565.42-1489.71</f>
        <v>75.71</v>
      </c>
      <c r="K348" s="94">
        <f t="shared" si="98"/>
        <v>1565.42</v>
      </c>
      <c r="L348" s="237"/>
      <c r="M348" s="237"/>
      <c r="N348" s="237"/>
      <c r="O348" s="237"/>
      <c r="P348" s="237"/>
      <c r="Q348" s="237"/>
      <c r="R348" s="237"/>
      <c r="S348" s="94"/>
      <c r="T348" s="94"/>
      <c r="U348" s="237"/>
      <c r="V348" s="237"/>
      <c r="W348" s="237"/>
      <c r="X348" s="158"/>
    </row>
    <row r="349" s="22" customFormat="1" ht="13.9" spans="1:24">
      <c r="A349" s="166"/>
      <c r="B349" s="166"/>
      <c r="C349" s="166"/>
      <c r="D349" s="166"/>
      <c r="E349" s="376"/>
      <c r="F349" s="375"/>
      <c r="G349" s="174" t="s">
        <v>478</v>
      </c>
      <c r="H349" s="285" t="s">
        <v>399</v>
      </c>
      <c r="I349" s="94">
        <v>1390</v>
      </c>
      <c r="J349" s="94"/>
      <c r="K349" s="94">
        <f t="shared" si="98"/>
        <v>1390</v>
      </c>
      <c r="L349" s="237"/>
      <c r="M349" s="237"/>
      <c r="N349" s="237"/>
      <c r="O349" s="237"/>
      <c r="P349" s="237"/>
      <c r="Q349" s="237"/>
      <c r="R349" s="237"/>
      <c r="S349" s="94"/>
      <c r="T349" s="94"/>
      <c r="U349" s="237"/>
      <c r="V349" s="237"/>
      <c r="W349" s="237"/>
      <c r="X349" s="158"/>
    </row>
    <row r="350" s="22" customFormat="1" spans="1:24">
      <c r="A350" s="166"/>
      <c r="B350" s="166"/>
      <c r="C350" s="166"/>
      <c r="D350" s="166"/>
      <c r="E350" s="376"/>
      <c r="F350" s="375"/>
      <c r="G350" s="174"/>
      <c r="H350" s="285"/>
      <c r="I350" s="94"/>
      <c r="J350" s="94"/>
      <c r="K350" s="94"/>
      <c r="L350" s="237"/>
      <c r="M350" s="237"/>
      <c r="N350" s="237"/>
      <c r="O350" s="237"/>
      <c r="P350" s="237"/>
      <c r="Q350" s="237"/>
      <c r="R350" s="237"/>
      <c r="S350" s="94"/>
      <c r="T350" s="94"/>
      <c r="U350" s="237"/>
      <c r="V350" s="237"/>
      <c r="W350" s="237"/>
      <c r="X350" s="158"/>
    </row>
    <row r="351" s="22" customFormat="1" spans="1:24">
      <c r="A351" s="166"/>
      <c r="B351" s="166"/>
      <c r="C351" s="166"/>
      <c r="D351" s="166"/>
      <c r="E351" s="376"/>
      <c r="F351" s="375"/>
      <c r="G351" s="174"/>
      <c r="H351" s="285"/>
      <c r="I351" s="94"/>
      <c r="J351" s="94"/>
      <c r="K351" s="94"/>
      <c r="L351" s="237"/>
      <c r="M351" s="237"/>
      <c r="N351" s="237"/>
      <c r="O351" s="237"/>
      <c r="P351" s="237"/>
      <c r="Q351" s="237"/>
      <c r="R351" s="237"/>
      <c r="S351" s="94"/>
      <c r="T351" s="94"/>
      <c r="U351" s="237"/>
      <c r="V351" s="237"/>
      <c r="W351" s="237"/>
      <c r="X351" s="158"/>
    </row>
    <row r="352" s="22" customFormat="1" spans="1:24">
      <c r="A352" s="166"/>
      <c r="B352" s="166"/>
      <c r="C352" s="166"/>
      <c r="D352" s="166"/>
      <c r="E352" s="376"/>
      <c r="F352" s="375"/>
      <c r="G352" s="174"/>
      <c r="H352" s="285"/>
      <c r="I352" s="94"/>
      <c r="J352" s="94"/>
      <c r="K352" s="94"/>
      <c r="L352" s="237"/>
      <c r="M352" s="237"/>
      <c r="N352" s="237"/>
      <c r="O352" s="237"/>
      <c r="P352" s="237"/>
      <c r="Q352" s="237"/>
      <c r="R352" s="237"/>
      <c r="S352" s="94"/>
      <c r="T352" s="94"/>
      <c r="U352" s="237"/>
      <c r="V352" s="237"/>
      <c r="W352" s="237"/>
      <c r="X352" s="158"/>
    </row>
    <row r="353" s="22" customFormat="1" ht="13.9" spans="1:24">
      <c r="A353" s="166"/>
      <c r="B353" s="166"/>
      <c r="C353" s="166"/>
      <c r="D353" s="166"/>
      <c r="E353" s="377" t="s">
        <v>403</v>
      </c>
      <c r="F353" s="375" t="s">
        <v>296</v>
      </c>
      <c r="G353" s="174" t="s">
        <v>339</v>
      </c>
      <c r="H353" s="285" t="s">
        <v>404</v>
      </c>
      <c r="I353" s="94">
        <v>1000</v>
      </c>
      <c r="J353" s="94"/>
      <c r="K353" s="94">
        <f t="shared" ref="K353:K361" si="99">J353+I353</f>
        <v>1000</v>
      </c>
      <c r="L353" s="237"/>
      <c r="M353" s="237"/>
      <c r="N353" s="237"/>
      <c r="O353" s="237"/>
      <c r="P353" s="237"/>
      <c r="Q353" s="237"/>
      <c r="R353" s="237"/>
      <c r="S353" s="94">
        <f>K353</f>
        <v>1000</v>
      </c>
      <c r="T353" s="94"/>
      <c r="U353" s="237">
        <f>S353</f>
        <v>1000</v>
      </c>
      <c r="V353" s="237"/>
      <c r="W353" s="237">
        <f>S353+T353-U353-V353</f>
        <v>0</v>
      </c>
      <c r="X353" s="158"/>
    </row>
    <row r="354" s="22" customFormat="1" ht="13.9" spans="1:24">
      <c r="A354" s="166" t="s">
        <v>405</v>
      </c>
      <c r="B354" s="166"/>
      <c r="C354" s="166"/>
      <c r="D354" s="166"/>
      <c r="E354" s="166"/>
      <c r="F354" s="102" t="s">
        <v>296</v>
      </c>
      <c r="G354" s="174" t="s">
        <v>339</v>
      </c>
      <c r="H354" s="285" t="s">
        <v>404</v>
      </c>
      <c r="I354" s="94">
        <v>1800</v>
      </c>
      <c r="J354" s="94"/>
      <c r="K354" s="94">
        <f t="shared" si="99"/>
        <v>1800</v>
      </c>
      <c r="L354" s="237"/>
      <c r="M354" s="237"/>
      <c r="N354" s="237"/>
      <c r="O354" s="382"/>
      <c r="P354" s="237"/>
      <c r="Q354" s="237"/>
      <c r="R354" s="237"/>
      <c r="S354" s="134">
        <f>K354</f>
        <v>1800</v>
      </c>
      <c r="T354" s="94"/>
      <c r="U354" s="237">
        <f>S354</f>
        <v>1800</v>
      </c>
      <c r="V354" s="237"/>
      <c r="W354" s="237">
        <f>S354+T354-U354-V354</f>
        <v>0</v>
      </c>
      <c r="X354" s="158"/>
    </row>
    <row r="355" s="23" customFormat="1" ht="13.9" spans="1:24">
      <c r="A355" s="166"/>
      <c r="B355" s="166"/>
      <c r="C355" s="166"/>
      <c r="D355" s="166"/>
      <c r="E355" s="166"/>
      <c r="F355" s="102"/>
      <c r="G355" s="174" t="s">
        <v>423</v>
      </c>
      <c r="H355" s="285" t="s">
        <v>399</v>
      </c>
      <c r="I355" s="95">
        <v>3703</v>
      </c>
      <c r="J355" s="95"/>
      <c r="K355" s="94">
        <f t="shared" si="99"/>
        <v>3703</v>
      </c>
      <c r="L355" s="235"/>
      <c r="M355" s="235"/>
      <c r="N355" s="235"/>
      <c r="O355" s="383"/>
      <c r="P355" s="235"/>
      <c r="Q355" s="235"/>
      <c r="R355" s="235"/>
      <c r="S355" s="384"/>
      <c r="T355" s="384"/>
      <c r="U355" s="224"/>
      <c r="V355" s="224"/>
      <c r="W355" s="224"/>
      <c r="X355" s="231"/>
    </row>
    <row r="356" s="23" customFormat="1" spans="1:24">
      <c r="A356" s="166"/>
      <c r="B356" s="166"/>
      <c r="C356" s="166"/>
      <c r="D356" s="166"/>
      <c r="E356" s="166"/>
      <c r="F356" s="102"/>
      <c r="G356" s="52"/>
      <c r="H356" s="68"/>
      <c r="I356" s="95"/>
      <c r="J356" s="95"/>
      <c r="K356" s="94">
        <f t="shared" si="99"/>
        <v>0</v>
      </c>
      <c r="L356" s="235"/>
      <c r="M356" s="235"/>
      <c r="N356" s="235"/>
      <c r="O356" s="383"/>
      <c r="P356" s="235"/>
      <c r="Q356" s="235"/>
      <c r="R356" s="235"/>
      <c r="S356" s="384"/>
      <c r="T356" s="384"/>
      <c r="U356" s="224"/>
      <c r="V356" s="224"/>
      <c r="W356" s="224"/>
      <c r="X356" s="231"/>
    </row>
    <row r="357" s="23" customFormat="1" spans="1:24">
      <c r="A357" s="166"/>
      <c r="B357" s="166"/>
      <c r="C357" s="166"/>
      <c r="D357" s="166"/>
      <c r="E357" s="166"/>
      <c r="F357" s="102"/>
      <c r="G357" s="52"/>
      <c r="H357" s="68"/>
      <c r="I357" s="95"/>
      <c r="J357" s="95"/>
      <c r="K357" s="94">
        <f t="shared" si="99"/>
        <v>0</v>
      </c>
      <c r="L357" s="235"/>
      <c r="M357" s="235"/>
      <c r="N357" s="235"/>
      <c r="O357" s="383"/>
      <c r="P357" s="235"/>
      <c r="Q357" s="235"/>
      <c r="R357" s="235"/>
      <c r="S357" s="384"/>
      <c r="T357" s="384"/>
      <c r="U357" s="224"/>
      <c r="V357" s="224"/>
      <c r="W357" s="224"/>
      <c r="X357" s="231"/>
    </row>
    <row r="358" s="23" customFormat="1" spans="1:24">
      <c r="A358" s="166"/>
      <c r="B358" s="166"/>
      <c r="C358" s="166"/>
      <c r="D358" s="166"/>
      <c r="E358" s="166"/>
      <c r="F358" s="102"/>
      <c r="G358" s="52"/>
      <c r="H358" s="68"/>
      <c r="I358" s="95"/>
      <c r="J358" s="95"/>
      <c r="K358" s="94">
        <f t="shared" si="99"/>
        <v>0</v>
      </c>
      <c r="L358" s="235"/>
      <c r="M358" s="235"/>
      <c r="N358" s="235"/>
      <c r="O358" s="383"/>
      <c r="P358" s="235"/>
      <c r="Q358" s="235"/>
      <c r="R358" s="235"/>
      <c r="S358" s="384"/>
      <c r="T358" s="384"/>
      <c r="U358" s="224"/>
      <c r="V358" s="224"/>
      <c r="W358" s="224"/>
      <c r="X358" s="231"/>
    </row>
    <row r="359" s="23" customFormat="1" spans="1:24">
      <c r="A359" s="166"/>
      <c r="B359" s="166"/>
      <c r="C359" s="166"/>
      <c r="D359" s="166"/>
      <c r="E359" s="166"/>
      <c r="F359" s="102"/>
      <c r="G359" s="52"/>
      <c r="H359" s="68"/>
      <c r="I359" s="95"/>
      <c r="J359" s="95"/>
      <c r="K359" s="94">
        <f t="shared" si="99"/>
        <v>0</v>
      </c>
      <c r="L359" s="235"/>
      <c r="M359" s="235"/>
      <c r="N359" s="235"/>
      <c r="O359" s="383"/>
      <c r="P359" s="235"/>
      <c r="Q359" s="235"/>
      <c r="R359" s="235"/>
      <c r="S359" s="384"/>
      <c r="T359" s="384"/>
      <c r="U359" s="224"/>
      <c r="V359" s="224"/>
      <c r="W359" s="224"/>
      <c r="X359" s="231"/>
    </row>
    <row r="360" s="23" customFormat="1" spans="1:24">
      <c r="A360" s="166"/>
      <c r="B360" s="166"/>
      <c r="C360" s="166"/>
      <c r="D360" s="166"/>
      <c r="E360" s="166"/>
      <c r="F360" s="102"/>
      <c r="G360" s="52"/>
      <c r="H360" s="68"/>
      <c r="I360" s="95"/>
      <c r="J360" s="95"/>
      <c r="K360" s="94">
        <f t="shared" si="99"/>
        <v>0</v>
      </c>
      <c r="L360" s="235"/>
      <c r="M360" s="235"/>
      <c r="N360" s="235"/>
      <c r="O360" s="383"/>
      <c r="P360" s="235"/>
      <c r="Q360" s="235"/>
      <c r="R360" s="235"/>
      <c r="S360" s="384"/>
      <c r="T360" s="384"/>
      <c r="U360" s="224"/>
      <c r="V360" s="224"/>
      <c r="W360" s="224"/>
      <c r="X360" s="231"/>
    </row>
    <row r="361" s="23" customFormat="1" spans="1:24">
      <c r="A361" s="166"/>
      <c r="B361" s="166"/>
      <c r="C361" s="166"/>
      <c r="D361" s="166"/>
      <c r="E361" s="166"/>
      <c r="F361" s="102"/>
      <c r="G361" s="52"/>
      <c r="H361" s="68"/>
      <c r="I361" s="95"/>
      <c r="J361" s="95"/>
      <c r="K361" s="94">
        <f t="shared" si="99"/>
        <v>0</v>
      </c>
      <c r="L361" s="235"/>
      <c r="M361" s="235"/>
      <c r="N361" s="235"/>
      <c r="O361" s="383"/>
      <c r="P361" s="235"/>
      <c r="Q361" s="235"/>
      <c r="R361" s="235"/>
      <c r="S361" s="384"/>
      <c r="T361" s="384"/>
      <c r="U361" s="224"/>
      <c r="V361" s="224"/>
      <c r="W361" s="224"/>
      <c r="X361" s="231"/>
    </row>
    <row r="362" s="23" customFormat="1" spans="1:24">
      <c r="A362" s="166"/>
      <c r="B362" s="166"/>
      <c r="C362" s="166"/>
      <c r="D362" s="166"/>
      <c r="E362" s="166"/>
      <c r="F362" s="102"/>
      <c r="G362" s="52"/>
      <c r="H362" s="68"/>
      <c r="I362" s="95"/>
      <c r="J362" s="95"/>
      <c r="K362" s="95"/>
      <c r="L362" s="235"/>
      <c r="M362" s="235"/>
      <c r="N362" s="235"/>
      <c r="O362" s="383"/>
      <c r="P362" s="235"/>
      <c r="Q362" s="235"/>
      <c r="R362" s="235"/>
      <c r="S362" s="384"/>
      <c r="T362" s="384"/>
      <c r="U362" s="224"/>
      <c r="V362" s="224"/>
      <c r="W362" s="224"/>
      <c r="X362" s="231"/>
    </row>
    <row r="363" s="23" customFormat="1" spans="1:24">
      <c r="A363" s="166"/>
      <c r="B363" s="166"/>
      <c r="C363" s="166"/>
      <c r="D363" s="166"/>
      <c r="E363" s="166"/>
      <c r="F363" s="102"/>
      <c r="G363" s="52"/>
      <c r="H363" s="68"/>
      <c r="I363" s="95"/>
      <c r="J363" s="95"/>
      <c r="K363" s="95"/>
      <c r="L363" s="235"/>
      <c r="M363" s="235"/>
      <c r="N363" s="235"/>
      <c r="O363" s="383"/>
      <c r="P363" s="235"/>
      <c r="Q363" s="235"/>
      <c r="R363" s="235"/>
      <c r="S363" s="384"/>
      <c r="T363" s="384"/>
      <c r="U363" s="224"/>
      <c r="V363" s="224"/>
      <c r="W363" s="224"/>
      <c r="X363" s="231"/>
    </row>
    <row r="364" s="23" customFormat="1" spans="1:24">
      <c r="A364" s="166"/>
      <c r="B364" s="166"/>
      <c r="C364" s="166"/>
      <c r="D364" s="166"/>
      <c r="E364" s="166"/>
      <c r="F364" s="102"/>
      <c r="G364" s="52"/>
      <c r="H364" s="68"/>
      <c r="I364" s="95"/>
      <c r="J364" s="95"/>
      <c r="K364" s="95"/>
      <c r="L364" s="235"/>
      <c r="M364" s="235"/>
      <c r="N364" s="235"/>
      <c r="O364" s="383"/>
      <c r="P364" s="235"/>
      <c r="Q364" s="235"/>
      <c r="R364" s="235"/>
      <c r="S364" s="384"/>
      <c r="T364" s="384"/>
      <c r="U364" s="224"/>
      <c r="V364" s="224"/>
      <c r="W364" s="224"/>
      <c r="X364" s="231"/>
    </row>
    <row r="365" s="23" customFormat="1" spans="1:24">
      <c r="A365" s="341"/>
      <c r="B365" s="341"/>
      <c r="C365" s="341"/>
      <c r="D365" s="341"/>
      <c r="E365" s="378"/>
      <c r="F365" s="379"/>
      <c r="G365" s="380"/>
      <c r="H365" s="381"/>
      <c r="I365" s="384"/>
      <c r="J365" s="384"/>
      <c r="K365" s="384"/>
      <c r="L365" s="224"/>
      <c r="M365" s="224"/>
      <c r="N365" s="224"/>
      <c r="P365" s="224"/>
      <c r="Q365" s="224"/>
      <c r="R365" s="224"/>
      <c r="S365" s="384"/>
      <c r="T365" s="384"/>
      <c r="U365" s="224"/>
      <c r="V365" s="224"/>
      <c r="W365" s="224"/>
      <c r="X365" s="231"/>
    </row>
    <row r="366" spans="19:21">
      <c r="S366" s="29"/>
      <c r="T366" s="29">
        <f>SUM(T313:T354)</f>
        <v>0</v>
      </c>
      <c r="U366" s="29"/>
    </row>
    <row r="367" ht="31" customHeight="1" spans="9:21">
      <c r="I367" s="29">
        <f>SUM(I314:I366)</f>
        <v>62524.53</v>
      </c>
      <c r="J367" s="29">
        <f>SUM(J314:J366)</f>
        <v>410.32</v>
      </c>
      <c r="K367" s="29">
        <f>SUM(K314:K366)</f>
        <v>62934.85</v>
      </c>
      <c r="S367" s="29">
        <f>SUM(S314:S366)</f>
        <v>17776.43</v>
      </c>
      <c r="T367" s="29">
        <f>SUM(T314:T366)</f>
        <v>0</v>
      </c>
      <c r="U367" s="29">
        <f>SUM(U314:U366)</f>
        <v>17776.43</v>
      </c>
    </row>
    <row r="377" spans="10:10">
      <c r="J377" s="366"/>
    </row>
  </sheetData>
  <mergeCells count="370">
    <mergeCell ref="A1:W1"/>
    <mergeCell ref="I2:K2"/>
    <mergeCell ref="L2:Q2"/>
    <mergeCell ref="S2:T2"/>
    <mergeCell ref="U2:V2"/>
    <mergeCell ref="O3:Q3"/>
    <mergeCell ref="B5:H5"/>
    <mergeCell ref="F26:H26"/>
    <mergeCell ref="F27:H27"/>
    <mergeCell ref="F35:H35"/>
    <mergeCell ref="F36:H36"/>
    <mergeCell ref="F51:H51"/>
    <mergeCell ref="F52:H52"/>
    <mergeCell ref="F60:H60"/>
    <mergeCell ref="F61:H61"/>
    <mergeCell ref="F70:H70"/>
    <mergeCell ref="F71:H71"/>
    <mergeCell ref="G73:H73"/>
    <mergeCell ref="B135:D135"/>
    <mergeCell ref="B192:D192"/>
    <mergeCell ref="B197:H197"/>
    <mergeCell ref="B213:D213"/>
    <mergeCell ref="B215:D215"/>
    <mergeCell ref="B223:D223"/>
    <mergeCell ref="B230:D230"/>
    <mergeCell ref="B235:H235"/>
    <mergeCell ref="B250:D250"/>
    <mergeCell ref="B278:D278"/>
    <mergeCell ref="G280:H280"/>
    <mergeCell ref="O294:Q294"/>
    <mergeCell ref="O297:Q297"/>
    <mergeCell ref="L298:Q298"/>
    <mergeCell ref="I310:K310"/>
    <mergeCell ref="L310:Q310"/>
    <mergeCell ref="S310:T310"/>
    <mergeCell ref="U310:V310"/>
    <mergeCell ref="O311:Q311"/>
    <mergeCell ref="A313:H313"/>
    <mergeCell ref="A2:A4"/>
    <mergeCell ref="A6:A27"/>
    <mergeCell ref="A29:A36"/>
    <mergeCell ref="A37:A52"/>
    <mergeCell ref="A53:A61"/>
    <mergeCell ref="A62:A71"/>
    <mergeCell ref="A72:A73"/>
    <mergeCell ref="A81:A84"/>
    <mergeCell ref="A97:A98"/>
    <mergeCell ref="A99:A100"/>
    <mergeCell ref="A101:A102"/>
    <mergeCell ref="A116:A119"/>
    <mergeCell ref="A120:A124"/>
    <mergeCell ref="A136:A192"/>
    <mergeCell ref="A198:A203"/>
    <mergeCell ref="A209:A210"/>
    <mergeCell ref="A242:A245"/>
    <mergeCell ref="A263:A275"/>
    <mergeCell ref="A310:A312"/>
    <mergeCell ref="B2:B4"/>
    <mergeCell ref="B6:B27"/>
    <mergeCell ref="B29:B36"/>
    <mergeCell ref="B37:B52"/>
    <mergeCell ref="B53:B61"/>
    <mergeCell ref="B62:B71"/>
    <mergeCell ref="B72:B73"/>
    <mergeCell ref="B81:B84"/>
    <mergeCell ref="B97:B98"/>
    <mergeCell ref="B99:B100"/>
    <mergeCell ref="B101:B102"/>
    <mergeCell ref="B198:B203"/>
    <mergeCell ref="B209:B210"/>
    <mergeCell ref="B242:B245"/>
    <mergeCell ref="B310:B312"/>
    <mergeCell ref="C2:C4"/>
    <mergeCell ref="C6:C27"/>
    <mergeCell ref="C29:C36"/>
    <mergeCell ref="C37:C52"/>
    <mergeCell ref="C53:C61"/>
    <mergeCell ref="C62:C71"/>
    <mergeCell ref="C72:C73"/>
    <mergeCell ref="C81:C84"/>
    <mergeCell ref="C97:C98"/>
    <mergeCell ref="C99:C100"/>
    <mergeCell ref="C101:C102"/>
    <mergeCell ref="C198:C203"/>
    <mergeCell ref="C209:C210"/>
    <mergeCell ref="C242:C245"/>
    <mergeCell ref="C310:C312"/>
    <mergeCell ref="D2:D4"/>
    <mergeCell ref="D6:D27"/>
    <mergeCell ref="D29:D36"/>
    <mergeCell ref="D37:D52"/>
    <mergeCell ref="D53:D61"/>
    <mergeCell ref="D62:D71"/>
    <mergeCell ref="D72:D73"/>
    <mergeCell ref="D81:D84"/>
    <mergeCell ref="D97:D98"/>
    <mergeCell ref="D99:D100"/>
    <mergeCell ref="D101:D102"/>
    <mergeCell ref="D198:D203"/>
    <mergeCell ref="D209:D210"/>
    <mergeCell ref="D242:D245"/>
    <mergeCell ref="D310:D312"/>
    <mergeCell ref="E2:E4"/>
    <mergeCell ref="E6:E27"/>
    <mergeCell ref="E29:E36"/>
    <mergeCell ref="E37:E52"/>
    <mergeCell ref="E53:E61"/>
    <mergeCell ref="E62:E71"/>
    <mergeCell ref="E72:E73"/>
    <mergeCell ref="E81:E84"/>
    <mergeCell ref="E99:E100"/>
    <mergeCell ref="E101:E102"/>
    <mergeCell ref="E120:E126"/>
    <mergeCell ref="E136:E142"/>
    <mergeCell ref="E143:E147"/>
    <mergeCell ref="E148:E154"/>
    <mergeCell ref="E156:E157"/>
    <mergeCell ref="E198:E203"/>
    <mergeCell ref="E209:E210"/>
    <mergeCell ref="E216:E222"/>
    <mergeCell ref="E224:E229"/>
    <mergeCell ref="E242:E245"/>
    <mergeCell ref="E269:E274"/>
    <mergeCell ref="E279:E282"/>
    <mergeCell ref="E310:E312"/>
    <mergeCell ref="E345:E352"/>
    <mergeCell ref="F2:F4"/>
    <mergeCell ref="F6:F18"/>
    <mergeCell ref="F19:F25"/>
    <mergeCell ref="F29:F30"/>
    <mergeCell ref="F31:F34"/>
    <mergeCell ref="F37:F44"/>
    <mergeCell ref="F45:F48"/>
    <mergeCell ref="F53:F55"/>
    <mergeCell ref="F56:F59"/>
    <mergeCell ref="F62:F65"/>
    <mergeCell ref="F66:F69"/>
    <mergeCell ref="F72:F73"/>
    <mergeCell ref="F81:F84"/>
    <mergeCell ref="F117:F119"/>
    <mergeCell ref="F120:F122"/>
    <mergeCell ref="F123:F134"/>
    <mergeCell ref="F136:F137"/>
    <mergeCell ref="F138:F142"/>
    <mergeCell ref="F144:F147"/>
    <mergeCell ref="F148:F150"/>
    <mergeCell ref="F151:F155"/>
    <mergeCell ref="F157:F160"/>
    <mergeCell ref="F161:F184"/>
    <mergeCell ref="F198:F203"/>
    <mergeCell ref="F209:F210"/>
    <mergeCell ref="F216:F217"/>
    <mergeCell ref="F218:F222"/>
    <mergeCell ref="F224:F229"/>
    <mergeCell ref="F242:F245"/>
    <mergeCell ref="F264:F268"/>
    <mergeCell ref="F269:F274"/>
    <mergeCell ref="F276:F277"/>
    <mergeCell ref="F278:F289"/>
    <mergeCell ref="F294:F297"/>
    <mergeCell ref="F310:F312"/>
    <mergeCell ref="F314:F321"/>
    <mergeCell ref="F333:F344"/>
    <mergeCell ref="G2:G4"/>
    <mergeCell ref="G6:G7"/>
    <mergeCell ref="G8:G10"/>
    <mergeCell ref="G12:G14"/>
    <mergeCell ref="G15:G18"/>
    <mergeCell ref="G20:G22"/>
    <mergeCell ref="G38:G40"/>
    <mergeCell ref="G42:G43"/>
    <mergeCell ref="G46:G47"/>
    <mergeCell ref="G83:G84"/>
    <mergeCell ref="G120:G122"/>
    <mergeCell ref="G123:G124"/>
    <mergeCell ref="G125:G126"/>
    <mergeCell ref="G127:G128"/>
    <mergeCell ref="G149:G150"/>
    <mergeCell ref="G185:G189"/>
    <mergeCell ref="G199:G202"/>
    <mergeCell ref="G310:G312"/>
    <mergeCell ref="H2:H4"/>
    <mergeCell ref="H6:H7"/>
    <mergeCell ref="H8:H10"/>
    <mergeCell ref="H12:H14"/>
    <mergeCell ref="H15:H18"/>
    <mergeCell ref="H20:H22"/>
    <mergeCell ref="H38:H40"/>
    <mergeCell ref="H42:H43"/>
    <mergeCell ref="H46:H47"/>
    <mergeCell ref="H83:H84"/>
    <mergeCell ref="H199:H202"/>
    <mergeCell ref="H310:H312"/>
    <mergeCell ref="I3:I4"/>
    <mergeCell ref="I63:I65"/>
    <mergeCell ref="I311:I312"/>
    <mergeCell ref="J3:J4"/>
    <mergeCell ref="J6:J7"/>
    <mergeCell ref="J8:J10"/>
    <mergeCell ref="J16:J17"/>
    <mergeCell ref="J38:J40"/>
    <mergeCell ref="J63:J65"/>
    <mergeCell ref="J200:J201"/>
    <mergeCell ref="J311:J312"/>
    <mergeCell ref="K3:K4"/>
    <mergeCell ref="K6:K7"/>
    <mergeCell ref="K8:K10"/>
    <mergeCell ref="K12:K14"/>
    <mergeCell ref="K16:K17"/>
    <mergeCell ref="K20:K22"/>
    <mergeCell ref="K38:K40"/>
    <mergeCell ref="K63:K65"/>
    <mergeCell ref="K311:K312"/>
    <mergeCell ref="L3:L4"/>
    <mergeCell ref="L6:L7"/>
    <mergeCell ref="L8:L10"/>
    <mergeCell ref="L12:L14"/>
    <mergeCell ref="L15:L18"/>
    <mergeCell ref="L38:L40"/>
    <mergeCell ref="L42:L43"/>
    <mergeCell ref="L63:L65"/>
    <mergeCell ref="L199:L202"/>
    <mergeCell ref="L311:L312"/>
    <mergeCell ref="M3:M4"/>
    <mergeCell ref="M6:M7"/>
    <mergeCell ref="M8:M10"/>
    <mergeCell ref="M12:M14"/>
    <mergeCell ref="M15:M18"/>
    <mergeCell ref="M38:M40"/>
    <mergeCell ref="M42:M43"/>
    <mergeCell ref="M63:M65"/>
    <mergeCell ref="M199:M202"/>
    <mergeCell ref="M311:M312"/>
    <mergeCell ref="N3:N4"/>
    <mergeCell ref="N6:N7"/>
    <mergeCell ref="N8:N10"/>
    <mergeCell ref="N12:N14"/>
    <mergeCell ref="N15:N18"/>
    <mergeCell ref="N38:N40"/>
    <mergeCell ref="N42:N43"/>
    <mergeCell ref="N63:N65"/>
    <mergeCell ref="N199:N202"/>
    <mergeCell ref="N311:N312"/>
    <mergeCell ref="O6:O7"/>
    <mergeCell ref="O8:O10"/>
    <mergeCell ref="O12:O14"/>
    <mergeCell ref="O15:O18"/>
    <mergeCell ref="O38:O40"/>
    <mergeCell ref="O42:O43"/>
    <mergeCell ref="O63:O65"/>
    <mergeCell ref="O199:O202"/>
    <mergeCell ref="P6:P7"/>
    <mergeCell ref="P8:P10"/>
    <mergeCell ref="P12:P14"/>
    <mergeCell ref="P15:P18"/>
    <mergeCell ref="P38:P40"/>
    <mergeCell ref="P42:P43"/>
    <mergeCell ref="P63:P65"/>
    <mergeCell ref="P199:P202"/>
    <mergeCell ref="Q6:Q7"/>
    <mergeCell ref="Q8:Q10"/>
    <mergeCell ref="Q12:Q14"/>
    <mergeCell ref="Q15:Q18"/>
    <mergeCell ref="Q38:Q40"/>
    <mergeCell ref="Q42:Q43"/>
    <mergeCell ref="Q63:Q65"/>
    <mergeCell ref="Q199:Q202"/>
    <mergeCell ref="R2:R3"/>
    <mergeCell ref="R6:R7"/>
    <mergeCell ref="R8:R10"/>
    <mergeCell ref="R12:R14"/>
    <mergeCell ref="R15:R18"/>
    <mergeCell ref="R38:R40"/>
    <mergeCell ref="R42:R43"/>
    <mergeCell ref="R63:R65"/>
    <mergeCell ref="R199:R202"/>
    <mergeCell ref="R310:R311"/>
    <mergeCell ref="S6:S7"/>
    <mergeCell ref="S8:S10"/>
    <mergeCell ref="S12:S14"/>
    <mergeCell ref="S15:S18"/>
    <mergeCell ref="S38:S40"/>
    <mergeCell ref="S42:S43"/>
    <mergeCell ref="S63:S65"/>
    <mergeCell ref="S97:S98"/>
    <mergeCell ref="S99:S100"/>
    <mergeCell ref="S101:S102"/>
    <mergeCell ref="S199:S202"/>
    <mergeCell ref="T6:T7"/>
    <mergeCell ref="T8:T10"/>
    <mergeCell ref="T12:T14"/>
    <mergeCell ref="T15:T18"/>
    <mergeCell ref="T38:T40"/>
    <mergeCell ref="T42:T43"/>
    <mergeCell ref="T46:T47"/>
    <mergeCell ref="T63:T65"/>
    <mergeCell ref="T97:T98"/>
    <mergeCell ref="T99:T100"/>
    <mergeCell ref="T101:T102"/>
    <mergeCell ref="T199:T202"/>
    <mergeCell ref="U6:U7"/>
    <mergeCell ref="U8:U10"/>
    <mergeCell ref="U12:U14"/>
    <mergeCell ref="U15:U18"/>
    <mergeCell ref="U38:U40"/>
    <mergeCell ref="U42:U43"/>
    <mergeCell ref="U46:U47"/>
    <mergeCell ref="U63:U64"/>
    <mergeCell ref="U97:U98"/>
    <mergeCell ref="U199:U202"/>
    <mergeCell ref="V6:V7"/>
    <mergeCell ref="V8:V10"/>
    <mergeCell ref="V12:V14"/>
    <mergeCell ref="V15:V18"/>
    <mergeCell ref="V38:V40"/>
    <mergeCell ref="V42:V43"/>
    <mergeCell ref="V46:V47"/>
    <mergeCell ref="V63:V65"/>
    <mergeCell ref="V97:V98"/>
    <mergeCell ref="V99:V100"/>
    <mergeCell ref="V101:V102"/>
    <mergeCell ref="V199:V202"/>
    <mergeCell ref="W2:W3"/>
    <mergeCell ref="W6:W7"/>
    <mergeCell ref="W8:W10"/>
    <mergeCell ref="W12:W14"/>
    <mergeCell ref="W15:W18"/>
    <mergeCell ref="W38:W40"/>
    <mergeCell ref="W42:W43"/>
    <mergeCell ref="W46:W47"/>
    <mergeCell ref="W63:W65"/>
    <mergeCell ref="W97:W98"/>
    <mergeCell ref="W199:W202"/>
    <mergeCell ref="W310:W311"/>
    <mergeCell ref="X2:X3"/>
    <mergeCell ref="X6:X7"/>
    <mergeCell ref="X8:X10"/>
    <mergeCell ref="X12:X14"/>
    <mergeCell ref="X15:X18"/>
    <mergeCell ref="X42:X43"/>
    <mergeCell ref="X63:X65"/>
    <mergeCell ref="X97:X98"/>
    <mergeCell ref="X193:X194"/>
    <mergeCell ref="X199:X202"/>
    <mergeCell ref="X231:X232"/>
    <mergeCell ref="X290:X291"/>
    <mergeCell ref="X310:X311"/>
    <mergeCell ref="B279:D282"/>
    <mergeCell ref="B116:D119"/>
    <mergeCell ref="B120:D134"/>
    <mergeCell ref="B136:D142"/>
    <mergeCell ref="B143:D147"/>
    <mergeCell ref="B148:D155"/>
    <mergeCell ref="B156:D160"/>
    <mergeCell ref="B161:D184"/>
    <mergeCell ref="A193:F194"/>
    <mergeCell ref="B216:D222"/>
    <mergeCell ref="B224:D229"/>
    <mergeCell ref="A231:F232"/>
    <mergeCell ref="B263:D268"/>
    <mergeCell ref="B269:D274"/>
    <mergeCell ref="B275:D277"/>
    <mergeCell ref="B283:D289"/>
    <mergeCell ref="A290:F291"/>
    <mergeCell ref="A294:E297"/>
    <mergeCell ref="A314:E321"/>
    <mergeCell ref="A322:E332"/>
    <mergeCell ref="A333:E344"/>
    <mergeCell ref="A345:D353"/>
    <mergeCell ref="A354:E364"/>
  </mergeCells>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A377"/>
  <sheetViews>
    <sheetView zoomScale="70" zoomScaleNormal="70" workbookViewId="0">
      <pane ySplit="4" topLeftCell="A292" activePane="bottomLeft" state="frozen"/>
      <selection/>
      <selection pane="bottomLeft" activeCell="O305" sqref="O305"/>
    </sheetView>
  </sheetViews>
  <sheetFormatPr defaultColWidth="9" defaultRowHeight="13.85"/>
  <cols>
    <col min="1" max="1" width="7.08333333333333" style="24" customWidth="1"/>
    <col min="2" max="2" width="23.75" style="24" customWidth="1"/>
    <col min="3" max="3" width="15.4666666666667" style="24" customWidth="1"/>
    <col min="4" max="4" width="15.7833333333333" style="24" customWidth="1"/>
    <col min="5" max="5" width="12.3416666666667" style="25" customWidth="1"/>
    <col min="6" max="6" width="9.83333333333333" style="26" customWidth="1"/>
    <col min="7" max="7" width="23.5" style="27" customWidth="1"/>
    <col min="8" max="8" width="21.0916666666667" style="28" customWidth="1"/>
    <col min="9" max="9" width="18.75" style="29" customWidth="1"/>
    <col min="10" max="10" width="16.0583333333333" style="29" customWidth="1"/>
    <col min="11" max="11" width="15.35" style="29" customWidth="1"/>
    <col min="12" max="12" width="13.5666666666667" style="30" customWidth="1"/>
    <col min="13" max="13" width="15.8916666666667" style="30" customWidth="1"/>
    <col min="14" max="14" width="11.7833333333333" style="30" customWidth="1"/>
    <col min="15" max="15" width="13.4333333333333" style="30" customWidth="1"/>
    <col min="16" max="16" width="13.75" style="30" customWidth="1"/>
    <col min="17" max="17" width="13.625" style="30" customWidth="1"/>
    <col min="18" max="18" width="15.375" style="30" customWidth="1"/>
    <col min="19" max="19" width="17.125" style="31" customWidth="1"/>
    <col min="20" max="20" width="17.1833333333333" style="31" customWidth="1"/>
    <col min="21" max="21" width="17.125" style="30" customWidth="1"/>
    <col min="22" max="22" width="13.75" style="32" customWidth="1"/>
    <col min="23" max="23" width="20.4166666666667" style="32" customWidth="1"/>
    <col min="24" max="24" width="28.5916666666667" style="33" customWidth="1"/>
    <col min="25" max="25" width="12.625" style="1"/>
    <col min="26" max="16384" width="9" style="1"/>
  </cols>
  <sheetData>
    <row r="1" s="1" customFormat="1" ht="27" customHeight="1" spans="1:24">
      <c r="A1" s="34" t="s">
        <v>325</v>
      </c>
      <c r="B1" s="34"/>
      <c r="C1" s="34"/>
      <c r="D1" s="34"/>
      <c r="E1" s="35"/>
      <c r="F1" s="35"/>
      <c r="G1" s="34"/>
      <c r="H1" s="34"/>
      <c r="I1" s="84"/>
      <c r="J1" s="84"/>
      <c r="K1" s="84"/>
      <c r="L1" s="85"/>
      <c r="M1" s="85"/>
      <c r="N1" s="85"/>
      <c r="O1" s="85"/>
      <c r="P1" s="85"/>
      <c r="Q1" s="85"/>
      <c r="R1" s="85"/>
      <c r="S1" s="121"/>
      <c r="T1" s="121"/>
      <c r="U1" s="85"/>
      <c r="V1" s="85"/>
      <c r="W1" s="85"/>
      <c r="X1" s="34"/>
    </row>
    <row r="2" s="15" customFormat="1" ht="20.25" spans="1:24">
      <c r="A2" s="36" t="s">
        <v>1</v>
      </c>
      <c r="B2" s="36" t="s">
        <v>2</v>
      </c>
      <c r="C2" s="36" t="s">
        <v>3</v>
      </c>
      <c r="D2" s="36" t="s">
        <v>4</v>
      </c>
      <c r="E2" s="37" t="s">
        <v>5</v>
      </c>
      <c r="F2" s="37" t="s">
        <v>6</v>
      </c>
      <c r="G2" s="36" t="s">
        <v>7</v>
      </c>
      <c r="H2" s="36" t="s">
        <v>8</v>
      </c>
      <c r="I2" s="86" t="s">
        <v>285</v>
      </c>
      <c r="J2" s="87"/>
      <c r="K2" s="87"/>
      <c r="L2" s="88" t="s">
        <v>286</v>
      </c>
      <c r="M2" s="89"/>
      <c r="N2" s="89"/>
      <c r="O2" s="89"/>
      <c r="P2" s="89"/>
      <c r="Q2" s="89"/>
      <c r="R2" s="122" t="s">
        <v>11</v>
      </c>
      <c r="S2" s="123" t="s">
        <v>12</v>
      </c>
      <c r="T2" s="124"/>
      <c r="U2" s="123" t="s">
        <v>287</v>
      </c>
      <c r="V2" s="124"/>
      <c r="W2" s="122" t="s">
        <v>14</v>
      </c>
      <c r="X2" s="122" t="s">
        <v>289</v>
      </c>
    </row>
    <row r="3" s="16" customFormat="1" ht="20.25" spans="1:24">
      <c r="A3" s="36"/>
      <c r="B3" s="36"/>
      <c r="C3" s="36"/>
      <c r="D3" s="36"/>
      <c r="E3" s="37"/>
      <c r="F3" s="37"/>
      <c r="G3" s="36"/>
      <c r="H3" s="36"/>
      <c r="I3" s="36" t="s">
        <v>18</v>
      </c>
      <c r="J3" s="36" t="s">
        <v>19</v>
      </c>
      <c r="K3" s="36" t="s">
        <v>20</v>
      </c>
      <c r="L3" s="36" t="s">
        <v>290</v>
      </c>
      <c r="M3" s="36" t="s">
        <v>291</v>
      </c>
      <c r="N3" s="36" t="s">
        <v>23</v>
      </c>
      <c r="O3" s="90" t="s">
        <v>292</v>
      </c>
      <c r="P3" s="91"/>
      <c r="Q3" s="125"/>
      <c r="R3" s="126"/>
      <c r="S3" s="127" t="s">
        <v>26</v>
      </c>
      <c r="T3" s="92" t="s">
        <v>27</v>
      </c>
      <c r="U3" s="127" t="s">
        <v>28</v>
      </c>
      <c r="V3" s="127" t="s">
        <v>27</v>
      </c>
      <c r="W3" s="126"/>
      <c r="X3" s="126"/>
    </row>
    <row r="4" s="16" customFormat="1" ht="44" customHeight="1" spans="1:24">
      <c r="A4" s="36"/>
      <c r="B4" s="36"/>
      <c r="C4" s="36"/>
      <c r="D4" s="36"/>
      <c r="E4" s="37"/>
      <c r="F4" s="37"/>
      <c r="G4" s="36"/>
      <c r="H4" s="36"/>
      <c r="I4" s="36"/>
      <c r="J4" s="36"/>
      <c r="K4" s="36"/>
      <c r="L4" s="36"/>
      <c r="M4" s="36"/>
      <c r="N4" s="36"/>
      <c r="O4" s="92" t="s">
        <v>293</v>
      </c>
      <c r="P4" s="92" t="s">
        <v>294</v>
      </c>
      <c r="Q4" s="92" t="s">
        <v>25</v>
      </c>
      <c r="R4" s="126"/>
      <c r="S4" s="127"/>
      <c r="T4" s="125"/>
      <c r="U4" s="128"/>
      <c r="V4" s="128"/>
      <c r="W4" s="129"/>
      <c r="X4" s="129"/>
    </row>
    <row r="5" s="1" customFormat="1" ht="36" customHeight="1" spans="1:24">
      <c r="A5" s="38" t="s">
        <v>31</v>
      </c>
      <c r="B5" s="39" t="s">
        <v>32</v>
      </c>
      <c r="C5" s="40"/>
      <c r="D5" s="40"/>
      <c r="E5" s="41"/>
      <c r="F5" s="41"/>
      <c r="G5" s="40"/>
      <c r="H5" s="42"/>
      <c r="I5" s="93"/>
      <c r="J5" s="93"/>
      <c r="K5" s="93"/>
      <c r="L5" s="93"/>
      <c r="M5" s="93"/>
      <c r="N5" s="93"/>
      <c r="O5" s="93"/>
      <c r="P5" s="93"/>
      <c r="Q5" s="93"/>
      <c r="R5" s="93"/>
      <c r="S5" s="93"/>
      <c r="T5" s="130"/>
      <c r="U5" s="131"/>
      <c r="V5" s="130"/>
      <c r="W5" s="130"/>
      <c r="X5" s="132"/>
    </row>
    <row r="6" s="1" customFormat="1" ht="25" customHeight="1" spans="1:24">
      <c r="A6" s="43">
        <v>1</v>
      </c>
      <c r="B6" s="43" t="s">
        <v>33</v>
      </c>
      <c r="C6" s="43" t="s">
        <v>34</v>
      </c>
      <c r="D6" s="44" t="s">
        <v>35</v>
      </c>
      <c r="E6" s="45">
        <v>119482663</v>
      </c>
      <c r="F6" s="46" t="s">
        <v>295</v>
      </c>
      <c r="G6" s="47" t="s">
        <v>36</v>
      </c>
      <c r="H6" s="47" t="s">
        <v>37</v>
      </c>
      <c r="I6" s="94">
        <v>764150.94</v>
      </c>
      <c r="J6" s="95">
        <v>2428950.13</v>
      </c>
      <c r="K6" s="95">
        <f>I6+J6+I7</f>
        <v>29672001.99</v>
      </c>
      <c r="L6" s="96">
        <v>865860.06</v>
      </c>
      <c r="M6" s="96"/>
      <c r="N6" s="96"/>
      <c r="O6" s="96"/>
      <c r="P6" s="97"/>
      <c r="Q6" s="97"/>
      <c r="R6" s="97">
        <v>0</v>
      </c>
      <c r="S6" s="96">
        <v>28601141.93</v>
      </c>
      <c r="T6" s="97">
        <v>205000</v>
      </c>
      <c r="U6" s="97">
        <v>28601141.93</v>
      </c>
      <c r="V6" s="97">
        <f>T6</f>
        <v>205000</v>
      </c>
      <c r="W6" s="97">
        <f t="shared" ref="W6:W12" si="0">S6+T6-U6-V6</f>
        <v>0</v>
      </c>
      <c r="X6" s="69"/>
    </row>
    <row r="7" s="1" customFormat="1" spans="1:24">
      <c r="A7" s="48"/>
      <c r="B7" s="48"/>
      <c r="C7" s="48"/>
      <c r="D7" s="48"/>
      <c r="E7" s="49"/>
      <c r="F7" s="46"/>
      <c r="G7" s="47"/>
      <c r="H7" s="47"/>
      <c r="I7" s="94">
        <v>26478900.92</v>
      </c>
      <c r="J7" s="95"/>
      <c r="K7" s="95"/>
      <c r="L7" s="96"/>
      <c r="M7" s="96"/>
      <c r="N7" s="96"/>
      <c r="O7" s="96"/>
      <c r="P7" s="98"/>
      <c r="Q7" s="98"/>
      <c r="R7" s="98"/>
      <c r="S7" s="96"/>
      <c r="T7" s="98"/>
      <c r="U7" s="98"/>
      <c r="V7" s="98"/>
      <c r="W7" s="98"/>
      <c r="X7" s="70"/>
    </row>
    <row r="8" s="1" customFormat="1" spans="1:24">
      <c r="A8" s="48"/>
      <c r="B8" s="48"/>
      <c r="C8" s="48"/>
      <c r="D8" s="48"/>
      <c r="E8" s="49"/>
      <c r="F8" s="46"/>
      <c r="G8" s="47" t="s">
        <v>38</v>
      </c>
      <c r="H8" s="47" t="s">
        <v>39</v>
      </c>
      <c r="I8" s="94">
        <v>9999999</v>
      </c>
      <c r="J8" s="95">
        <v>2431173.92</v>
      </c>
      <c r="K8" s="95">
        <f>I8+J8+I9+I10</f>
        <v>29444217.5</v>
      </c>
      <c r="L8" s="96">
        <v>851826.53</v>
      </c>
      <c r="M8" s="96"/>
      <c r="N8" s="96"/>
      <c r="O8" s="96"/>
      <c r="P8" s="69"/>
      <c r="Q8" s="97">
        <v>3100</v>
      </c>
      <c r="R8" s="97">
        <v>0</v>
      </c>
      <c r="S8" s="96">
        <v>28139290.97</v>
      </c>
      <c r="T8" s="97">
        <v>450000</v>
      </c>
      <c r="U8" s="97">
        <v>28139290.97</v>
      </c>
      <c r="V8" s="97">
        <v>450000</v>
      </c>
      <c r="W8" s="97">
        <f t="shared" si="0"/>
        <v>0</v>
      </c>
      <c r="X8" s="69"/>
    </row>
    <row r="9" s="1" customFormat="1" spans="1:24">
      <c r="A9" s="48"/>
      <c r="B9" s="48"/>
      <c r="C9" s="48"/>
      <c r="D9" s="48"/>
      <c r="E9" s="49"/>
      <c r="F9" s="46"/>
      <c r="G9" s="47"/>
      <c r="H9" s="47"/>
      <c r="I9" s="94">
        <v>7013045.58</v>
      </c>
      <c r="J9" s="95"/>
      <c r="K9" s="95"/>
      <c r="L9" s="96"/>
      <c r="M9" s="96"/>
      <c r="N9" s="96"/>
      <c r="O9" s="96"/>
      <c r="P9" s="70"/>
      <c r="Q9" s="98"/>
      <c r="R9" s="98"/>
      <c r="S9" s="96"/>
      <c r="T9" s="98"/>
      <c r="U9" s="98"/>
      <c r="V9" s="98"/>
      <c r="W9" s="98"/>
      <c r="X9" s="70"/>
    </row>
    <row r="10" s="1" customFormat="1" spans="1:24">
      <c r="A10" s="48"/>
      <c r="B10" s="48"/>
      <c r="C10" s="48"/>
      <c r="D10" s="48"/>
      <c r="E10" s="49"/>
      <c r="F10" s="46"/>
      <c r="G10" s="47"/>
      <c r="H10" s="47"/>
      <c r="I10" s="94">
        <v>9999999</v>
      </c>
      <c r="J10" s="95"/>
      <c r="K10" s="95"/>
      <c r="L10" s="96"/>
      <c r="M10" s="96"/>
      <c r="N10" s="96"/>
      <c r="O10" s="96"/>
      <c r="P10" s="70"/>
      <c r="Q10" s="98"/>
      <c r="R10" s="98"/>
      <c r="S10" s="96"/>
      <c r="T10" s="98"/>
      <c r="U10" s="98"/>
      <c r="V10" s="98"/>
      <c r="W10" s="98"/>
      <c r="X10" s="70"/>
    </row>
    <row r="11" s="1" customFormat="1" ht="38" customHeight="1" spans="1:24">
      <c r="A11" s="48"/>
      <c r="B11" s="48"/>
      <c r="C11" s="48"/>
      <c r="D11" s="48"/>
      <c r="E11" s="49"/>
      <c r="F11" s="46"/>
      <c r="G11" s="50" t="s">
        <v>40</v>
      </c>
      <c r="H11" s="50" t="s">
        <v>41</v>
      </c>
      <c r="I11" s="94">
        <v>11222091.93</v>
      </c>
      <c r="J11" s="94">
        <v>1458871.95</v>
      </c>
      <c r="K11" s="94">
        <f>I11+J11</f>
        <v>12680963.88</v>
      </c>
      <c r="L11" s="94"/>
      <c r="M11" s="94"/>
      <c r="N11" s="94"/>
      <c r="O11" s="94"/>
      <c r="P11" s="94"/>
      <c r="Q11" s="94"/>
      <c r="R11" s="94">
        <v>0</v>
      </c>
      <c r="S11" s="94">
        <f>K11-L11-M11-N11-O11+R11</f>
        <v>12680963.88</v>
      </c>
      <c r="T11" s="133">
        <v>0</v>
      </c>
      <c r="U11" s="134">
        <v>12680963.88</v>
      </c>
      <c r="V11" s="133">
        <v>0</v>
      </c>
      <c r="W11" s="133">
        <f t="shared" si="0"/>
        <v>0</v>
      </c>
      <c r="X11" s="135"/>
    </row>
    <row r="12" s="1" customFormat="1" spans="1:24">
      <c r="A12" s="48"/>
      <c r="B12" s="48"/>
      <c r="C12" s="48"/>
      <c r="D12" s="48"/>
      <c r="E12" s="49"/>
      <c r="F12" s="46"/>
      <c r="G12" s="50" t="s">
        <v>42</v>
      </c>
      <c r="H12" s="47" t="s">
        <v>43</v>
      </c>
      <c r="I12" s="94">
        <v>990566.04</v>
      </c>
      <c r="J12" s="94">
        <v>59433.96</v>
      </c>
      <c r="K12" s="46">
        <f>SUM(I12:J14)</f>
        <v>15693004.3</v>
      </c>
      <c r="L12" s="95">
        <v>135932.38</v>
      </c>
      <c r="M12" s="95">
        <v>0</v>
      </c>
      <c r="N12" s="95">
        <v>0</v>
      </c>
      <c r="O12" s="95">
        <v>0</v>
      </c>
      <c r="P12" s="95"/>
      <c r="Q12" s="95"/>
      <c r="R12" s="95">
        <v>0</v>
      </c>
      <c r="S12" s="95">
        <f>K12-L12-M12-N12-O12+R12+K13+K14-T12</f>
        <v>15157071.92</v>
      </c>
      <c r="T12" s="95">
        <v>400000</v>
      </c>
      <c r="U12" s="95">
        <v>15157071.92</v>
      </c>
      <c r="V12" s="95">
        <v>400000</v>
      </c>
      <c r="W12" s="95">
        <f t="shared" si="0"/>
        <v>0</v>
      </c>
      <c r="X12" s="46"/>
    </row>
    <row r="13" s="1" customFormat="1" spans="1:24">
      <c r="A13" s="48"/>
      <c r="B13" s="48"/>
      <c r="C13" s="48"/>
      <c r="D13" s="48"/>
      <c r="E13" s="49"/>
      <c r="F13" s="46"/>
      <c r="G13" s="51"/>
      <c r="H13" s="47"/>
      <c r="I13" s="94">
        <v>9877809.73</v>
      </c>
      <c r="J13" s="94">
        <v>1284115.27</v>
      </c>
      <c r="K13" s="46"/>
      <c r="L13" s="95"/>
      <c r="M13" s="95"/>
      <c r="N13" s="95"/>
      <c r="O13" s="95"/>
      <c r="P13" s="95"/>
      <c r="Q13" s="95"/>
      <c r="R13" s="95"/>
      <c r="S13" s="95"/>
      <c r="T13" s="95"/>
      <c r="U13" s="95"/>
      <c r="V13" s="95"/>
      <c r="W13" s="95"/>
      <c r="X13" s="46"/>
    </row>
    <row r="14" s="1" customFormat="1" spans="1:24">
      <c r="A14" s="48"/>
      <c r="B14" s="48"/>
      <c r="C14" s="48"/>
      <c r="D14" s="48"/>
      <c r="E14" s="49"/>
      <c r="F14" s="46"/>
      <c r="G14" s="51"/>
      <c r="H14" s="47"/>
      <c r="I14" s="94">
        <v>3193650.73</v>
      </c>
      <c r="J14" s="94">
        <v>287428.57</v>
      </c>
      <c r="K14" s="46"/>
      <c r="L14" s="95"/>
      <c r="M14" s="95"/>
      <c r="N14" s="95"/>
      <c r="O14" s="95"/>
      <c r="P14" s="95"/>
      <c r="Q14" s="95"/>
      <c r="R14" s="95"/>
      <c r="S14" s="95"/>
      <c r="T14" s="95"/>
      <c r="U14" s="95"/>
      <c r="V14" s="95"/>
      <c r="W14" s="95"/>
      <c r="X14" s="46"/>
    </row>
    <row r="15" s="1" customFormat="1" spans="1:24">
      <c r="A15" s="48"/>
      <c r="B15" s="48"/>
      <c r="C15" s="48"/>
      <c r="D15" s="48"/>
      <c r="E15" s="49"/>
      <c r="F15" s="46"/>
      <c r="G15" s="50" t="s">
        <v>44</v>
      </c>
      <c r="H15" s="50" t="s">
        <v>45</v>
      </c>
      <c r="I15" s="94">
        <v>3170698.41</v>
      </c>
      <c r="J15" s="99">
        <v>412190.79</v>
      </c>
      <c r="K15" s="94">
        <f>J15+I15</f>
        <v>3582889.2</v>
      </c>
      <c r="L15" s="100">
        <v>355075.46</v>
      </c>
      <c r="M15" s="100">
        <v>0</v>
      </c>
      <c r="N15" s="100">
        <v>0</v>
      </c>
      <c r="O15" s="100"/>
      <c r="P15" s="100"/>
      <c r="Q15" s="100"/>
      <c r="R15" s="100">
        <v>0</v>
      </c>
      <c r="S15" s="100">
        <f>K15-L15-M15-N15-O15+R15+K16+K18-T15</f>
        <v>15493662.56</v>
      </c>
      <c r="T15" s="100">
        <v>200000</v>
      </c>
      <c r="U15" s="100">
        <v>0</v>
      </c>
      <c r="V15" s="136">
        <v>200000</v>
      </c>
      <c r="W15" s="136">
        <f>T15-V15-U15+S15</f>
        <v>15493662.56</v>
      </c>
      <c r="X15" s="137"/>
    </row>
    <row r="16" s="1" customFormat="1" spans="1:24">
      <c r="A16" s="48"/>
      <c r="B16" s="48"/>
      <c r="C16" s="48"/>
      <c r="D16" s="48"/>
      <c r="E16" s="49"/>
      <c r="F16" s="46"/>
      <c r="G16" s="50"/>
      <c r="H16" s="50"/>
      <c r="I16" s="94">
        <v>1684264.97</v>
      </c>
      <c r="J16" s="95">
        <v>977271.92</v>
      </c>
      <c r="K16" s="95">
        <f>I17+I16+J16</f>
        <v>11835848.82</v>
      </c>
      <c r="L16" s="100"/>
      <c r="M16" s="100"/>
      <c r="N16" s="100"/>
      <c r="O16" s="100"/>
      <c r="P16" s="100"/>
      <c r="Q16" s="100"/>
      <c r="R16" s="100"/>
      <c r="S16" s="100"/>
      <c r="T16" s="100"/>
      <c r="U16" s="100"/>
      <c r="V16" s="136"/>
      <c r="W16" s="136"/>
      <c r="X16" s="137"/>
    </row>
    <row r="17" s="1" customFormat="1" spans="1:24">
      <c r="A17" s="48"/>
      <c r="B17" s="48"/>
      <c r="C17" s="48"/>
      <c r="D17" s="48"/>
      <c r="E17" s="49"/>
      <c r="F17" s="46"/>
      <c r="G17" s="50"/>
      <c r="H17" s="50"/>
      <c r="I17" s="94">
        <v>9174311.93</v>
      </c>
      <c r="J17" s="95"/>
      <c r="K17" s="95"/>
      <c r="L17" s="100"/>
      <c r="M17" s="100"/>
      <c r="N17" s="100"/>
      <c r="O17" s="100"/>
      <c r="P17" s="100"/>
      <c r="Q17" s="100"/>
      <c r="R17" s="100"/>
      <c r="S17" s="100"/>
      <c r="T17" s="100"/>
      <c r="U17" s="100"/>
      <c r="V17" s="136"/>
      <c r="W17" s="136"/>
      <c r="X17" s="137"/>
    </row>
    <row r="18" s="1" customFormat="1" spans="1:24">
      <c r="A18" s="48"/>
      <c r="B18" s="48"/>
      <c r="C18" s="48"/>
      <c r="D18" s="48"/>
      <c r="E18" s="49"/>
      <c r="F18" s="46"/>
      <c r="G18" s="50"/>
      <c r="H18" s="50"/>
      <c r="I18" s="94">
        <v>594339.62</v>
      </c>
      <c r="J18" s="94">
        <v>35660.38</v>
      </c>
      <c r="K18" s="94">
        <f>I18+J18</f>
        <v>630000</v>
      </c>
      <c r="L18" s="100"/>
      <c r="M18" s="100"/>
      <c r="N18" s="100"/>
      <c r="O18" s="100"/>
      <c r="P18" s="100"/>
      <c r="Q18" s="100"/>
      <c r="R18" s="100"/>
      <c r="S18" s="100"/>
      <c r="T18" s="100"/>
      <c r="U18" s="100"/>
      <c r="V18" s="138"/>
      <c r="W18" s="138"/>
      <c r="X18" s="139"/>
    </row>
    <row r="19" s="1" customFormat="1" ht="31" customHeight="1" spans="1:24">
      <c r="A19" s="48"/>
      <c r="B19" s="48"/>
      <c r="C19" s="48"/>
      <c r="D19" s="48"/>
      <c r="E19" s="49"/>
      <c r="F19" s="52" t="s">
        <v>296</v>
      </c>
      <c r="G19" s="53" t="s">
        <v>297</v>
      </c>
      <c r="H19" s="53" t="s">
        <v>298</v>
      </c>
      <c r="I19" s="101">
        <v>0</v>
      </c>
      <c r="J19" s="101">
        <v>0</v>
      </c>
      <c r="K19" s="101">
        <v>0</v>
      </c>
      <c r="L19" s="101">
        <v>0</v>
      </c>
      <c r="M19" s="101">
        <v>0</v>
      </c>
      <c r="N19" s="101">
        <v>0</v>
      </c>
      <c r="O19" s="101">
        <v>0</v>
      </c>
      <c r="P19" s="101">
        <v>0</v>
      </c>
      <c r="Q19" s="101">
        <v>0</v>
      </c>
      <c r="R19" s="101">
        <v>0</v>
      </c>
      <c r="S19" s="101">
        <v>0</v>
      </c>
      <c r="T19" s="104">
        <v>0</v>
      </c>
      <c r="U19" s="104">
        <v>15493662.56</v>
      </c>
      <c r="V19" s="140"/>
      <c r="W19" s="140">
        <f>S19+T19-U19-V19</f>
        <v>-15493662.56</v>
      </c>
      <c r="X19" s="56"/>
    </row>
    <row r="20" s="1" customFormat="1" ht="31" customHeight="1" spans="1:24">
      <c r="A20" s="48"/>
      <c r="B20" s="48"/>
      <c r="C20" s="48"/>
      <c r="D20" s="48"/>
      <c r="E20" s="49"/>
      <c r="F20" s="52"/>
      <c r="G20" s="54" t="s">
        <v>406</v>
      </c>
      <c r="H20" s="54" t="s">
        <v>407</v>
      </c>
      <c r="I20" s="53">
        <v>198113.21</v>
      </c>
      <c r="J20" s="102">
        <v>11886.79</v>
      </c>
      <c r="K20" s="103">
        <f>J20+I20+I21+I22+J21+J22</f>
        <v>6463024.3</v>
      </c>
      <c r="L20" s="104"/>
      <c r="M20" s="104"/>
      <c r="N20" s="104"/>
      <c r="O20" s="104"/>
      <c r="P20" s="104"/>
      <c r="Q20" s="104"/>
      <c r="R20" s="104"/>
      <c r="S20" s="104"/>
      <c r="T20" s="104"/>
      <c r="U20" s="104"/>
      <c r="V20" s="140"/>
      <c r="W20" s="140"/>
      <c r="X20" s="56"/>
    </row>
    <row r="21" s="1" customFormat="1" ht="31" customHeight="1" spans="1:24">
      <c r="A21" s="48"/>
      <c r="B21" s="48"/>
      <c r="C21" s="48"/>
      <c r="D21" s="48"/>
      <c r="E21" s="49"/>
      <c r="F21" s="52"/>
      <c r="G21" s="55"/>
      <c r="H21" s="55"/>
      <c r="I21" s="53">
        <v>2720001.87</v>
      </c>
      <c r="J21" s="102">
        <v>244800.17</v>
      </c>
      <c r="K21" s="105"/>
      <c r="L21" s="104"/>
      <c r="M21" s="104"/>
      <c r="N21" s="104"/>
      <c r="O21" s="104"/>
      <c r="P21" s="104"/>
      <c r="Q21" s="104"/>
      <c r="R21" s="104"/>
      <c r="S21" s="104"/>
      <c r="T21" s="104"/>
      <c r="U21" s="104"/>
      <c r="V21" s="140"/>
      <c r="W21" s="140"/>
      <c r="X21" s="56"/>
    </row>
    <row r="22" s="1" customFormat="1" ht="31" customHeight="1" spans="1:24">
      <c r="A22" s="48"/>
      <c r="B22" s="48"/>
      <c r="C22" s="48"/>
      <c r="D22" s="48"/>
      <c r="E22" s="49"/>
      <c r="F22" s="52"/>
      <c r="G22" s="56"/>
      <c r="H22" s="56"/>
      <c r="I22" s="53">
        <v>2909931.2</v>
      </c>
      <c r="J22" s="102">
        <v>378291.06</v>
      </c>
      <c r="K22" s="106"/>
      <c r="L22" s="104"/>
      <c r="M22" s="104"/>
      <c r="N22" s="104"/>
      <c r="O22" s="104"/>
      <c r="P22" s="104"/>
      <c r="Q22" s="104"/>
      <c r="R22" s="104"/>
      <c r="S22" s="104"/>
      <c r="T22" s="104"/>
      <c r="U22" s="104"/>
      <c r="V22" s="140"/>
      <c r="W22" s="140"/>
      <c r="X22" s="56"/>
    </row>
    <row r="23" s="1" customFormat="1" ht="31" customHeight="1" spans="1:24">
      <c r="A23" s="48"/>
      <c r="B23" s="48"/>
      <c r="C23" s="48"/>
      <c r="D23" s="48"/>
      <c r="E23" s="49"/>
      <c r="F23" s="52"/>
      <c r="G23" s="57" t="s">
        <v>470</v>
      </c>
      <c r="H23" s="57" t="s">
        <v>471</v>
      </c>
      <c r="I23" s="102">
        <v>8623244.66</v>
      </c>
      <c r="J23" s="102"/>
      <c r="K23" s="106">
        <f>J23+I23</f>
        <v>8623244.66</v>
      </c>
      <c r="L23" s="104">
        <v>225405</v>
      </c>
      <c r="M23" s="104"/>
      <c r="N23" s="104"/>
      <c r="O23" s="104"/>
      <c r="P23" s="104"/>
      <c r="Q23" s="104"/>
      <c r="R23" s="104"/>
      <c r="S23" s="104"/>
      <c r="T23" s="104"/>
      <c r="U23" s="104"/>
      <c r="V23" s="140"/>
      <c r="W23" s="140"/>
      <c r="X23" s="56"/>
    </row>
    <row r="24" s="1" customFormat="1" ht="31" customHeight="1" spans="1:24">
      <c r="A24" s="48"/>
      <c r="B24" s="48"/>
      <c r="C24" s="48"/>
      <c r="D24" s="48"/>
      <c r="E24" s="49"/>
      <c r="F24" s="52"/>
      <c r="G24" s="56"/>
      <c r="H24" s="56"/>
      <c r="I24" s="107"/>
      <c r="J24" s="102"/>
      <c r="K24" s="106"/>
      <c r="L24" s="104"/>
      <c r="M24" s="104"/>
      <c r="N24" s="104"/>
      <c r="O24" s="104"/>
      <c r="P24" s="104"/>
      <c r="Q24" s="104"/>
      <c r="R24" s="104"/>
      <c r="S24" s="104"/>
      <c r="T24" s="104"/>
      <c r="U24" s="104"/>
      <c r="V24" s="140"/>
      <c r="W24" s="140"/>
      <c r="X24" s="56"/>
    </row>
    <row r="25" s="1" customFormat="1" ht="40" customHeight="1" spans="1:24">
      <c r="A25" s="48"/>
      <c r="B25" s="48"/>
      <c r="C25" s="48"/>
      <c r="D25" s="48"/>
      <c r="E25" s="49"/>
      <c r="F25" s="52"/>
      <c r="G25" s="53"/>
      <c r="H25" s="53"/>
      <c r="I25" s="53"/>
      <c r="J25" s="101"/>
      <c r="K25" s="101"/>
      <c r="L25" s="104"/>
      <c r="M25" s="104"/>
      <c r="N25" s="104"/>
      <c r="O25" s="104"/>
      <c r="P25" s="104"/>
      <c r="Q25" s="104"/>
      <c r="R25" s="104"/>
      <c r="S25" s="104"/>
      <c r="T25" s="104"/>
      <c r="U25" s="104"/>
      <c r="V25" s="140"/>
      <c r="W25" s="140"/>
      <c r="X25" s="56"/>
    </row>
    <row r="26" s="1" customFormat="1" ht="41" customHeight="1" spans="1:24">
      <c r="A26" s="48"/>
      <c r="B26" s="48"/>
      <c r="C26" s="48"/>
      <c r="D26" s="48"/>
      <c r="E26" s="49"/>
      <c r="F26" s="58" t="s">
        <v>326</v>
      </c>
      <c r="G26" s="59"/>
      <c r="H26" s="60"/>
      <c r="I26" s="108">
        <f t="shared" ref="I26:W26" si="1">SUM(I6:I18)</f>
        <v>94163828.8</v>
      </c>
      <c r="J26" s="108">
        <f t="shared" si="1"/>
        <v>9375096.89</v>
      </c>
      <c r="K26" s="108">
        <f t="shared" si="1"/>
        <v>103538925.69</v>
      </c>
      <c r="L26" s="108">
        <f t="shared" si="1"/>
        <v>2208694.43</v>
      </c>
      <c r="M26" s="108">
        <f t="shared" si="1"/>
        <v>0</v>
      </c>
      <c r="N26" s="108">
        <f t="shared" si="1"/>
        <v>0</v>
      </c>
      <c r="O26" s="108">
        <f t="shared" si="1"/>
        <v>0</v>
      </c>
      <c r="P26" s="108">
        <f t="shared" si="1"/>
        <v>0</v>
      </c>
      <c r="Q26" s="108">
        <f t="shared" si="1"/>
        <v>3100</v>
      </c>
      <c r="R26" s="108">
        <f t="shared" si="1"/>
        <v>0</v>
      </c>
      <c r="S26" s="108">
        <f t="shared" si="1"/>
        <v>100072131.26</v>
      </c>
      <c r="T26" s="108">
        <f t="shared" si="1"/>
        <v>1255000</v>
      </c>
      <c r="U26" s="108">
        <f t="shared" si="1"/>
        <v>84578468.7</v>
      </c>
      <c r="V26" s="108">
        <f t="shared" si="1"/>
        <v>1255000</v>
      </c>
      <c r="W26" s="108">
        <f t="shared" si="1"/>
        <v>15493662.56</v>
      </c>
      <c r="X26" s="108"/>
    </row>
    <row r="27" s="1" customFormat="1" ht="47" customHeight="1" spans="1:24">
      <c r="A27" s="48"/>
      <c r="B27" s="48"/>
      <c r="C27" s="48"/>
      <c r="D27" s="48"/>
      <c r="E27" s="49"/>
      <c r="F27" s="61" t="s">
        <v>327</v>
      </c>
      <c r="G27" s="61"/>
      <c r="H27" s="61"/>
      <c r="I27" s="109">
        <f t="shared" ref="I27:X27" si="2">SUM(I19:I25)</f>
        <v>14451290.94</v>
      </c>
      <c r="J27" s="109">
        <f t="shared" si="2"/>
        <v>634978.02</v>
      </c>
      <c r="K27" s="109">
        <f t="shared" si="2"/>
        <v>15086268.96</v>
      </c>
      <c r="L27" s="109">
        <f t="shared" si="2"/>
        <v>225405</v>
      </c>
      <c r="M27" s="109">
        <f t="shared" si="2"/>
        <v>0</v>
      </c>
      <c r="N27" s="109">
        <f t="shared" si="2"/>
        <v>0</v>
      </c>
      <c r="O27" s="109">
        <f t="shared" si="2"/>
        <v>0</v>
      </c>
      <c r="P27" s="109">
        <f t="shared" si="2"/>
        <v>0</v>
      </c>
      <c r="Q27" s="109">
        <f t="shared" si="2"/>
        <v>0</v>
      </c>
      <c r="R27" s="109">
        <f t="shared" si="2"/>
        <v>0</v>
      </c>
      <c r="S27" s="109">
        <f t="shared" si="2"/>
        <v>0</v>
      </c>
      <c r="T27" s="109">
        <f t="shared" si="2"/>
        <v>0</v>
      </c>
      <c r="U27" s="109">
        <f t="shared" si="2"/>
        <v>15493662.56</v>
      </c>
      <c r="V27" s="109">
        <f t="shared" si="2"/>
        <v>0</v>
      </c>
      <c r="W27" s="109">
        <f t="shared" si="2"/>
        <v>-15493662.56</v>
      </c>
      <c r="X27" s="109">
        <f t="shared" si="2"/>
        <v>0</v>
      </c>
    </row>
    <row r="28" s="1" customFormat="1" ht="41" customHeight="1" spans="1:24">
      <c r="A28" s="43"/>
      <c r="B28" s="43"/>
      <c r="C28" s="43"/>
      <c r="D28" s="43"/>
      <c r="E28" s="45"/>
      <c r="F28" s="62"/>
      <c r="G28" s="63"/>
      <c r="H28" s="64"/>
      <c r="I28" s="110">
        <f t="shared" ref="I28:K28" si="3">I27+I26</f>
        <v>108615119.74</v>
      </c>
      <c r="J28" s="110">
        <f t="shared" si="3"/>
        <v>10010074.91</v>
      </c>
      <c r="K28" s="110">
        <f t="shared" si="3"/>
        <v>118625194.65</v>
      </c>
      <c r="L28" s="111"/>
      <c r="M28" s="111"/>
      <c r="N28" s="111"/>
      <c r="O28" s="111"/>
      <c r="P28" s="111"/>
      <c r="Q28" s="111"/>
      <c r="R28" s="111"/>
      <c r="S28" s="111"/>
      <c r="T28" s="141"/>
      <c r="U28" s="141"/>
      <c r="V28" s="141"/>
      <c r="W28" s="141"/>
      <c r="X28" s="142"/>
    </row>
    <row r="29" s="1" customFormat="1" ht="44" customHeight="1" spans="1:24">
      <c r="A29" s="43">
        <v>2</v>
      </c>
      <c r="B29" s="43" t="s">
        <v>47</v>
      </c>
      <c r="C29" s="43" t="s">
        <v>48</v>
      </c>
      <c r="D29" s="65" t="s">
        <v>49</v>
      </c>
      <c r="E29" s="45">
        <v>1845935</v>
      </c>
      <c r="F29" s="45" t="s">
        <v>295</v>
      </c>
      <c r="G29" s="66" t="s">
        <v>50</v>
      </c>
      <c r="H29" s="66" t="s">
        <v>51</v>
      </c>
      <c r="I29" s="94"/>
      <c r="J29" s="94"/>
      <c r="K29" s="94">
        <f t="shared" ref="K29:K35" si="4">I29+J29</f>
        <v>0</v>
      </c>
      <c r="L29" s="94"/>
      <c r="M29" s="94"/>
      <c r="N29" s="94"/>
      <c r="O29" s="94"/>
      <c r="P29" s="94"/>
      <c r="Q29" s="94"/>
      <c r="R29" s="94">
        <v>184593.5</v>
      </c>
      <c r="S29" s="94">
        <f t="shared" ref="S29:S34" si="5">K29-L29-M29-N29-O29+R29</f>
        <v>184593.5</v>
      </c>
      <c r="T29" s="133"/>
      <c r="U29" s="134">
        <f>R29</f>
        <v>184593.5</v>
      </c>
      <c r="V29" s="133"/>
      <c r="W29" s="133">
        <f t="shared" ref="W29:W34" si="6">S29+T29-U29-V29</f>
        <v>0</v>
      </c>
      <c r="X29" s="135"/>
    </row>
    <row r="30" s="1" customFormat="1" ht="27" spans="1:24">
      <c r="A30" s="48"/>
      <c r="B30" s="48"/>
      <c r="C30" s="48"/>
      <c r="D30" s="67"/>
      <c r="E30" s="49"/>
      <c r="F30" s="49"/>
      <c r="G30" s="66" t="s">
        <v>52</v>
      </c>
      <c r="H30" s="47" t="s">
        <v>53</v>
      </c>
      <c r="I30" s="94">
        <v>320754.72</v>
      </c>
      <c r="J30" s="94">
        <v>19245.28</v>
      </c>
      <c r="K30" s="94">
        <f t="shared" si="4"/>
        <v>340000</v>
      </c>
      <c r="L30" s="94"/>
      <c r="M30" s="94"/>
      <c r="N30" s="94"/>
      <c r="O30" s="94"/>
      <c r="P30" s="94"/>
      <c r="Q30" s="94"/>
      <c r="R30" s="94">
        <v>-68000</v>
      </c>
      <c r="S30" s="94">
        <f t="shared" si="5"/>
        <v>272000</v>
      </c>
      <c r="T30" s="133"/>
      <c r="U30" s="134">
        <v>272000</v>
      </c>
      <c r="V30" s="133"/>
      <c r="W30" s="133">
        <f t="shared" si="6"/>
        <v>0</v>
      </c>
      <c r="X30" s="135"/>
    </row>
    <row r="31" s="1" customFormat="1" ht="35" customHeight="1" spans="1:24">
      <c r="A31" s="48"/>
      <c r="B31" s="48"/>
      <c r="C31" s="48"/>
      <c r="D31" s="67"/>
      <c r="E31" s="49"/>
      <c r="F31" s="52" t="s">
        <v>296</v>
      </c>
      <c r="G31" s="68" t="s">
        <v>352</v>
      </c>
      <c r="H31" s="68" t="s">
        <v>353</v>
      </c>
      <c r="I31" s="101">
        <v>914728.77</v>
      </c>
      <c r="J31" s="101">
        <v>54883.73</v>
      </c>
      <c r="K31" s="101">
        <v>969612.5</v>
      </c>
      <c r="L31" s="101"/>
      <c r="M31" s="101"/>
      <c r="N31" s="101"/>
      <c r="O31" s="101"/>
      <c r="P31" s="101"/>
      <c r="Q31" s="101"/>
      <c r="R31" s="101"/>
      <c r="S31" s="101">
        <f>K31</f>
        <v>969612.5</v>
      </c>
      <c r="T31" s="143"/>
      <c r="U31" s="144">
        <f>S31</f>
        <v>969612.5</v>
      </c>
      <c r="V31" s="143"/>
      <c r="W31" s="143">
        <f t="shared" ref="W31:W33" si="7">S31-U31+T31-V31</f>
        <v>0</v>
      </c>
      <c r="X31" s="135"/>
    </row>
    <row r="32" s="1" customFormat="1" ht="35" customHeight="1" spans="1:24">
      <c r="A32" s="48"/>
      <c r="B32" s="48"/>
      <c r="C32" s="48"/>
      <c r="D32" s="67"/>
      <c r="E32" s="49"/>
      <c r="F32" s="52"/>
      <c r="G32" s="68" t="s">
        <v>371</v>
      </c>
      <c r="H32" s="68" t="s">
        <v>372</v>
      </c>
      <c r="I32" s="101">
        <v>241813.68</v>
      </c>
      <c r="J32" s="101">
        <v>14508.82</v>
      </c>
      <c r="K32" s="101">
        <f>J32+I32</f>
        <v>256322.5</v>
      </c>
      <c r="L32" s="101"/>
      <c r="M32" s="101"/>
      <c r="N32" s="101"/>
      <c r="O32" s="101"/>
      <c r="P32" s="101"/>
      <c r="Q32" s="101"/>
      <c r="R32" s="101"/>
      <c r="S32" s="101">
        <f>K32</f>
        <v>256322.5</v>
      </c>
      <c r="T32" s="143"/>
      <c r="U32" s="144"/>
      <c r="V32" s="143"/>
      <c r="W32" s="143">
        <f t="shared" si="7"/>
        <v>256322.5</v>
      </c>
      <c r="X32" s="135"/>
    </row>
    <row r="33" s="1" customFormat="1" ht="48" customHeight="1" spans="1:24">
      <c r="A33" s="48"/>
      <c r="B33" s="48"/>
      <c r="C33" s="48"/>
      <c r="D33" s="67"/>
      <c r="E33" s="49"/>
      <c r="F33" s="52"/>
      <c r="G33" s="68" t="s">
        <v>373</v>
      </c>
      <c r="H33" s="68" t="s">
        <v>374</v>
      </c>
      <c r="I33" s="101"/>
      <c r="J33" s="101"/>
      <c r="K33" s="101"/>
      <c r="L33" s="101"/>
      <c r="M33" s="101"/>
      <c r="N33" s="101"/>
      <c r="O33" s="101"/>
      <c r="P33" s="101"/>
      <c r="Q33" s="101"/>
      <c r="R33" s="101">
        <v>-116593.5</v>
      </c>
      <c r="S33" s="101"/>
      <c r="T33" s="143"/>
      <c r="U33" s="144"/>
      <c r="V33" s="143"/>
      <c r="W33" s="143">
        <f t="shared" si="7"/>
        <v>0</v>
      </c>
      <c r="X33" s="135"/>
    </row>
    <row r="34" s="1" customFormat="1" ht="21" customHeight="1" spans="1:24">
      <c r="A34" s="48"/>
      <c r="B34" s="48"/>
      <c r="C34" s="48"/>
      <c r="D34" s="67"/>
      <c r="E34" s="49"/>
      <c r="F34" s="52"/>
      <c r="G34" s="52"/>
      <c r="H34" s="52"/>
      <c r="I34" s="101"/>
      <c r="J34" s="101"/>
      <c r="K34" s="101">
        <f t="shared" si="4"/>
        <v>0</v>
      </c>
      <c r="L34" s="101"/>
      <c r="M34" s="101"/>
      <c r="N34" s="101"/>
      <c r="O34" s="101"/>
      <c r="P34" s="101"/>
      <c r="Q34" s="101"/>
      <c r="R34" s="101"/>
      <c r="S34" s="101">
        <f t="shared" si="5"/>
        <v>0</v>
      </c>
      <c r="T34" s="143"/>
      <c r="U34" s="144"/>
      <c r="V34" s="143"/>
      <c r="W34" s="143">
        <f t="shared" si="6"/>
        <v>0</v>
      </c>
      <c r="X34" s="135"/>
    </row>
    <row r="35" s="1" customFormat="1" ht="36" customHeight="1" spans="1:24">
      <c r="A35" s="48"/>
      <c r="B35" s="48"/>
      <c r="C35" s="48"/>
      <c r="D35" s="67"/>
      <c r="E35" s="49"/>
      <c r="F35" s="58" t="s">
        <v>326</v>
      </c>
      <c r="G35" s="59"/>
      <c r="H35" s="60"/>
      <c r="I35" s="108">
        <f t="shared" ref="I35:U35" si="8">SUM(I29:I30)</f>
        <v>320754.72</v>
      </c>
      <c r="J35" s="108">
        <f t="shared" si="8"/>
        <v>19245.28</v>
      </c>
      <c r="K35" s="111">
        <f t="shared" si="4"/>
        <v>340000</v>
      </c>
      <c r="L35" s="111">
        <f t="shared" si="8"/>
        <v>0</v>
      </c>
      <c r="M35" s="111">
        <f t="shared" si="8"/>
        <v>0</v>
      </c>
      <c r="N35" s="111">
        <f t="shared" si="8"/>
        <v>0</v>
      </c>
      <c r="O35" s="111">
        <f t="shared" si="8"/>
        <v>0</v>
      </c>
      <c r="P35" s="111">
        <f t="shared" si="8"/>
        <v>0</v>
      </c>
      <c r="Q35" s="111">
        <f t="shared" si="8"/>
        <v>0</v>
      </c>
      <c r="R35" s="111">
        <f t="shared" si="8"/>
        <v>116593.5</v>
      </c>
      <c r="S35" s="111">
        <f t="shared" si="8"/>
        <v>456593.5</v>
      </c>
      <c r="T35" s="111">
        <f t="shared" si="8"/>
        <v>0</v>
      </c>
      <c r="U35" s="111">
        <f t="shared" si="8"/>
        <v>456593.5</v>
      </c>
      <c r="V35" s="111">
        <f>SUM(V29:V34)</f>
        <v>0</v>
      </c>
      <c r="W35" s="111">
        <f>SUM(W29:W34)-W31-W32</f>
        <v>0</v>
      </c>
      <c r="X35" s="135"/>
    </row>
    <row r="36" s="1" customFormat="1" ht="35" customHeight="1" spans="1:24">
      <c r="A36" s="48"/>
      <c r="B36" s="48"/>
      <c r="C36" s="48"/>
      <c r="D36" s="67"/>
      <c r="E36" s="49"/>
      <c r="F36" s="61" t="s">
        <v>327</v>
      </c>
      <c r="G36" s="61"/>
      <c r="H36" s="61"/>
      <c r="I36" s="109">
        <f t="shared" ref="I36:W36" si="9">SUM(I31:I34)</f>
        <v>1156542.45</v>
      </c>
      <c r="J36" s="109">
        <f t="shared" si="9"/>
        <v>69392.55</v>
      </c>
      <c r="K36" s="109">
        <f t="shared" si="9"/>
        <v>1225935</v>
      </c>
      <c r="L36" s="109">
        <f t="shared" si="9"/>
        <v>0</v>
      </c>
      <c r="M36" s="109">
        <f t="shared" si="9"/>
        <v>0</v>
      </c>
      <c r="N36" s="109">
        <f t="shared" si="9"/>
        <v>0</v>
      </c>
      <c r="O36" s="109">
        <f t="shared" si="9"/>
        <v>0</v>
      </c>
      <c r="P36" s="109">
        <f t="shared" si="9"/>
        <v>0</v>
      </c>
      <c r="Q36" s="109">
        <f t="shared" si="9"/>
        <v>0</v>
      </c>
      <c r="R36" s="109">
        <f t="shared" si="9"/>
        <v>-116593.5</v>
      </c>
      <c r="S36" s="109">
        <f t="shared" si="9"/>
        <v>1225935</v>
      </c>
      <c r="T36" s="109">
        <f t="shared" si="9"/>
        <v>0</v>
      </c>
      <c r="U36" s="109">
        <f t="shared" si="9"/>
        <v>969612.5</v>
      </c>
      <c r="V36" s="109">
        <f t="shared" si="9"/>
        <v>0</v>
      </c>
      <c r="W36" s="109">
        <f t="shared" si="9"/>
        <v>256322.5</v>
      </c>
      <c r="X36" s="135"/>
    </row>
    <row r="37" s="1" customFormat="1" ht="27.4" spans="1:24">
      <c r="A37" s="43">
        <v>3</v>
      </c>
      <c r="B37" s="43" t="s">
        <v>54</v>
      </c>
      <c r="C37" s="43" t="s">
        <v>55</v>
      </c>
      <c r="D37" s="43" t="s">
        <v>56</v>
      </c>
      <c r="E37" s="45">
        <v>68192032</v>
      </c>
      <c r="F37" s="45" t="s">
        <v>295</v>
      </c>
      <c r="G37" s="66" t="s">
        <v>57</v>
      </c>
      <c r="H37" s="50" t="s">
        <v>58</v>
      </c>
      <c r="I37" s="94"/>
      <c r="J37" s="94"/>
      <c r="K37" s="94">
        <f t="shared" ref="K37:K47" si="10">I37+J37</f>
        <v>0</v>
      </c>
      <c r="L37" s="94"/>
      <c r="M37" s="94"/>
      <c r="N37" s="94"/>
      <c r="O37" s="94"/>
      <c r="P37" s="94"/>
      <c r="Q37" s="94"/>
      <c r="R37" s="94">
        <v>3409601.6</v>
      </c>
      <c r="S37" s="94">
        <f t="shared" ref="S37:S41" si="11">K37-L37-M37-N37-O37+R37</f>
        <v>3409601.6</v>
      </c>
      <c r="T37" s="133"/>
      <c r="U37" s="134">
        <v>3409601.6</v>
      </c>
      <c r="V37" s="133"/>
      <c r="W37" s="133">
        <f t="shared" ref="W37:W44" si="12">S37+T37-U37-V37</f>
        <v>0</v>
      </c>
      <c r="X37" s="135"/>
    </row>
    <row r="38" s="1" customFormat="1" ht="25" customHeight="1" spans="1:24">
      <c r="A38" s="48"/>
      <c r="B38" s="48"/>
      <c r="C38" s="48"/>
      <c r="D38" s="48"/>
      <c r="E38" s="49"/>
      <c r="F38" s="49"/>
      <c r="G38" s="69" t="s">
        <v>59</v>
      </c>
      <c r="H38" s="69" t="s">
        <v>60</v>
      </c>
      <c r="I38" s="99">
        <v>636517.45</v>
      </c>
      <c r="J38" s="112">
        <v>621962.02</v>
      </c>
      <c r="K38" s="112">
        <f>I38+I39+I40+J38</f>
        <v>6719203.2</v>
      </c>
      <c r="L38" s="97"/>
      <c r="M38" s="97"/>
      <c r="N38" s="97"/>
      <c r="O38" s="97"/>
      <c r="P38" s="97"/>
      <c r="Q38" s="97"/>
      <c r="R38" s="97">
        <v>-3409601.6</v>
      </c>
      <c r="S38" s="97">
        <f t="shared" si="11"/>
        <v>3309601.6</v>
      </c>
      <c r="T38" s="97"/>
      <c r="U38" s="97">
        <v>3175217.54</v>
      </c>
      <c r="V38" s="97"/>
      <c r="W38" s="97">
        <f t="shared" si="12"/>
        <v>134384.059999999</v>
      </c>
      <c r="X38" s="135"/>
    </row>
    <row r="39" s="1" customFormat="1" spans="1:24">
      <c r="A39" s="48"/>
      <c r="B39" s="48"/>
      <c r="C39" s="48"/>
      <c r="D39" s="48"/>
      <c r="E39" s="49"/>
      <c r="F39" s="49"/>
      <c r="G39" s="70"/>
      <c r="H39" s="70"/>
      <c r="I39" s="99">
        <v>3153077.71</v>
      </c>
      <c r="J39" s="113"/>
      <c r="K39" s="113"/>
      <c r="L39" s="98"/>
      <c r="M39" s="98"/>
      <c r="N39" s="98"/>
      <c r="O39" s="98"/>
      <c r="P39" s="98"/>
      <c r="Q39" s="98"/>
      <c r="R39" s="98"/>
      <c r="S39" s="98"/>
      <c r="T39" s="98"/>
      <c r="U39" s="98"/>
      <c r="V39" s="98"/>
      <c r="W39" s="98">
        <f t="shared" si="12"/>
        <v>0</v>
      </c>
      <c r="X39" s="135"/>
    </row>
    <row r="40" s="1" customFormat="1" spans="1:24">
      <c r="A40" s="48"/>
      <c r="B40" s="48"/>
      <c r="C40" s="48"/>
      <c r="D40" s="48"/>
      <c r="E40" s="49"/>
      <c r="F40" s="49"/>
      <c r="G40" s="71"/>
      <c r="H40" s="71"/>
      <c r="I40" s="99">
        <v>2307646.02</v>
      </c>
      <c r="J40" s="114"/>
      <c r="K40" s="114"/>
      <c r="L40" s="115"/>
      <c r="M40" s="115"/>
      <c r="N40" s="115"/>
      <c r="O40" s="115"/>
      <c r="P40" s="115"/>
      <c r="Q40" s="115"/>
      <c r="R40" s="115"/>
      <c r="S40" s="115"/>
      <c r="T40" s="115"/>
      <c r="U40" s="115"/>
      <c r="V40" s="115"/>
      <c r="W40" s="115">
        <f t="shared" si="12"/>
        <v>0</v>
      </c>
      <c r="X40" s="135"/>
    </row>
    <row r="41" s="1" customFormat="1" ht="58" customHeight="1" spans="1:24">
      <c r="A41" s="48"/>
      <c r="B41" s="48"/>
      <c r="C41" s="48"/>
      <c r="D41" s="48"/>
      <c r="E41" s="49"/>
      <c r="F41" s="49"/>
      <c r="G41" s="72" t="s">
        <v>61</v>
      </c>
      <c r="H41" s="69" t="s">
        <v>62</v>
      </c>
      <c r="I41" s="116">
        <v>12303071.5</v>
      </c>
      <c r="J41" s="117">
        <v>1594936.5</v>
      </c>
      <c r="K41" s="94">
        <f t="shared" si="10"/>
        <v>13898008</v>
      </c>
      <c r="L41" s="94"/>
      <c r="M41" s="94"/>
      <c r="N41" s="94"/>
      <c r="O41" s="94">
        <v>277960.16</v>
      </c>
      <c r="P41" s="94"/>
      <c r="Q41" s="94"/>
      <c r="R41" s="94"/>
      <c r="S41" s="94">
        <f t="shared" si="11"/>
        <v>13620047.84</v>
      </c>
      <c r="T41" s="133"/>
      <c r="U41" s="134">
        <v>13620047.84</v>
      </c>
      <c r="V41" s="133"/>
      <c r="W41" s="133">
        <f t="shared" si="12"/>
        <v>0</v>
      </c>
      <c r="X41" s="135"/>
    </row>
    <row r="42" s="1" customFormat="1" ht="37" customHeight="1" spans="1:24">
      <c r="A42" s="48"/>
      <c r="B42" s="48"/>
      <c r="C42" s="48"/>
      <c r="D42" s="48"/>
      <c r="E42" s="49"/>
      <c r="F42" s="49"/>
      <c r="G42" s="73" t="s">
        <v>63</v>
      </c>
      <c r="H42" s="73" t="s">
        <v>64</v>
      </c>
      <c r="I42" s="99">
        <v>2877914.34</v>
      </c>
      <c r="J42" s="95">
        <v>172674.86</v>
      </c>
      <c r="K42" s="95">
        <f t="shared" si="10"/>
        <v>3050589.2</v>
      </c>
      <c r="L42" s="112"/>
      <c r="M42" s="112"/>
      <c r="N42" s="112"/>
      <c r="O42" s="112">
        <v>335960.16</v>
      </c>
      <c r="P42" s="112"/>
      <c r="Q42" s="112"/>
      <c r="R42" s="112">
        <v>0</v>
      </c>
      <c r="S42" s="112">
        <f>K42-L42-M42-N42-O42+R42+K43-600000</f>
        <v>15862047.84</v>
      </c>
      <c r="T42" s="112">
        <v>600000</v>
      </c>
      <c r="U42" s="112">
        <v>15862047.84</v>
      </c>
      <c r="V42" s="112">
        <v>600000</v>
      </c>
      <c r="W42" s="112">
        <f t="shared" si="12"/>
        <v>0</v>
      </c>
      <c r="X42" s="45"/>
    </row>
    <row r="43" s="1" customFormat="1" ht="37" customHeight="1" spans="1:24">
      <c r="A43" s="48"/>
      <c r="B43" s="48"/>
      <c r="C43" s="48"/>
      <c r="D43" s="48"/>
      <c r="E43" s="49"/>
      <c r="F43" s="49"/>
      <c r="G43" s="73"/>
      <c r="H43" s="73"/>
      <c r="I43" s="99">
        <v>12612310.83</v>
      </c>
      <c r="J43" s="95">
        <v>1135107.97</v>
      </c>
      <c r="K43" s="95">
        <f t="shared" si="10"/>
        <v>13747418.8</v>
      </c>
      <c r="L43" s="113"/>
      <c r="M43" s="113"/>
      <c r="N43" s="113"/>
      <c r="O43" s="113"/>
      <c r="P43" s="113"/>
      <c r="Q43" s="113"/>
      <c r="R43" s="113"/>
      <c r="S43" s="113"/>
      <c r="T43" s="113"/>
      <c r="U43" s="113"/>
      <c r="V43" s="113"/>
      <c r="W43" s="113">
        <f t="shared" si="12"/>
        <v>0</v>
      </c>
      <c r="X43" s="49"/>
    </row>
    <row r="44" s="1" customFormat="1" ht="30" customHeight="1" spans="1:24">
      <c r="A44" s="48"/>
      <c r="B44" s="48"/>
      <c r="C44" s="48"/>
      <c r="D44" s="48"/>
      <c r="E44" s="49"/>
      <c r="F44" s="49"/>
      <c r="G44" s="74" t="s">
        <v>65</v>
      </c>
      <c r="H44" s="74" t="s">
        <v>66</v>
      </c>
      <c r="I44" s="99">
        <v>9272888.15</v>
      </c>
      <c r="J44" s="99"/>
      <c r="K44" s="94">
        <f t="shared" si="10"/>
        <v>9272888.15</v>
      </c>
      <c r="L44" s="94">
        <v>0</v>
      </c>
      <c r="M44" s="94">
        <v>0</v>
      </c>
      <c r="N44" s="94">
        <v>0</v>
      </c>
      <c r="O44" s="94">
        <v>0</v>
      </c>
      <c r="P44" s="94"/>
      <c r="Q44" s="94"/>
      <c r="R44" s="94">
        <v>0</v>
      </c>
      <c r="S44" s="94">
        <f>K44-L44-M44-N44-O44+R44</f>
        <v>9272888.15</v>
      </c>
      <c r="T44" s="94"/>
      <c r="U44" s="94"/>
      <c r="V44" s="94"/>
      <c r="W44" s="94">
        <f t="shared" si="12"/>
        <v>9272888.15</v>
      </c>
      <c r="X44" s="145"/>
    </row>
    <row r="45" s="1" customFormat="1" ht="30" customHeight="1" spans="1:24">
      <c r="A45" s="48"/>
      <c r="B45" s="48"/>
      <c r="C45" s="48"/>
      <c r="D45" s="48"/>
      <c r="E45" s="49"/>
      <c r="F45" s="52" t="s">
        <v>296</v>
      </c>
      <c r="G45" s="53" t="s">
        <v>328</v>
      </c>
      <c r="H45" s="75" t="s">
        <v>329</v>
      </c>
      <c r="I45" s="118">
        <f>-I44</f>
        <v>-9272888.15</v>
      </c>
      <c r="J45" s="101"/>
      <c r="K45" s="101">
        <f t="shared" si="10"/>
        <v>-9272888.15</v>
      </c>
      <c r="L45" s="101"/>
      <c r="M45" s="101"/>
      <c r="N45" s="101"/>
      <c r="O45" s="101"/>
      <c r="P45" s="101"/>
      <c r="Q45" s="101"/>
      <c r="R45" s="101"/>
      <c r="S45" s="101">
        <f t="shared" ref="S45:S48" si="13">K45</f>
        <v>-9272888.15</v>
      </c>
      <c r="T45" s="101"/>
      <c r="U45" s="101"/>
      <c r="V45" s="101"/>
      <c r="W45" s="101">
        <f>S45</f>
        <v>-9272888.15</v>
      </c>
      <c r="X45" s="145"/>
    </row>
    <row r="46" s="1" customFormat="1" ht="46" customHeight="1" spans="1:24">
      <c r="A46" s="48"/>
      <c r="B46" s="48"/>
      <c r="C46" s="48"/>
      <c r="D46" s="48"/>
      <c r="E46" s="49"/>
      <c r="F46" s="52"/>
      <c r="G46" s="76" t="s">
        <v>330</v>
      </c>
      <c r="H46" s="76" t="s">
        <v>331</v>
      </c>
      <c r="I46" s="118">
        <v>8318111.97</v>
      </c>
      <c r="J46" s="118">
        <v>748630.08</v>
      </c>
      <c r="K46" s="101">
        <f t="shared" si="10"/>
        <v>9066742.05</v>
      </c>
      <c r="L46" s="101"/>
      <c r="M46" s="101"/>
      <c r="N46" s="101"/>
      <c r="O46" s="101">
        <v>201576.1</v>
      </c>
      <c r="P46" s="101"/>
      <c r="Q46" s="101"/>
      <c r="R46" s="101"/>
      <c r="S46" s="101">
        <f t="shared" si="13"/>
        <v>9066742.05</v>
      </c>
      <c r="T46" s="103"/>
      <c r="U46" s="103"/>
      <c r="V46" s="103">
        <v>1756800</v>
      </c>
      <c r="W46" s="103">
        <f>S46+S47-O46-V46</f>
        <v>8120428.7</v>
      </c>
      <c r="X46" s="145"/>
    </row>
    <row r="47" s="1" customFormat="1" ht="30" customHeight="1" spans="1:24">
      <c r="A47" s="48"/>
      <c r="B47" s="48"/>
      <c r="C47" s="48"/>
      <c r="D47" s="48"/>
      <c r="E47" s="49"/>
      <c r="F47" s="52"/>
      <c r="G47" s="76"/>
      <c r="H47" s="76"/>
      <c r="I47" s="118">
        <v>954776.18</v>
      </c>
      <c r="J47" s="118">
        <v>57286.57</v>
      </c>
      <c r="K47" s="101">
        <f t="shared" si="10"/>
        <v>1012062.75</v>
      </c>
      <c r="L47" s="101"/>
      <c r="M47" s="101"/>
      <c r="N47" s="101"/>
      <c r="O47" s="101"/>
      <c r="P47" s="101"/>
      <c r="Q47" s="101"/>
      <c r="R47" s="101"/>
      <c r="S47" s="101">
        <f t="shared" si="13"/>
        <v>1012062.75</v>
      </c>
      <c r="T47" s="106"/>
      <c r="U47" s="106"/>
      <c r="V47" s="106"/>
      <c r="W47" s="106"/>
      <c r="X47" s="145"/>
    </row>
    <row r="48" s="1" customFormat="1" ht="58" customHeight="1" spans="1:24">
      <c r="A48" s="48"/>
      <c r="B48" s="48"/>
      <c r="C48" s="48"/>
      <c r="D48" s="48"/>
      <c r="E48" s="49"/>
      <c r="F48" s="52"/>
      <c r="G48" s="76" t="s">
        <v>354</v>
      </c>
      <c r="H48" s="76" t="s">
        <v>355</v>
      </c>
      <c r="I48" s="118"/>
      <c r="J48" s="118"/>
      <c r="K48" s="101"/>
      <c r="L48" s="101"/>
      <c r="M48" s="101"/>
      <c r="N48" s="101"/>
      <c r="O48" s="101"/>
      <c r="P48" s="101"/>
      <c r="Q48" s="101"/>
      <c r="R48" s="101"/>
      <c r="S48" s="101">
        <f t="shared" si="13"/>
        <v>0</v>
      </c>
      <c r="T48" s="101"/>
      <c r="U48" s="101">
        <v>7196228.7</v>
      </c>
      <c r="V48" s="101">
        <v>924200</v>
      </c>
      <c r="W48" s="101">
        <f>-(U48+V48)</f>
        <v>-8120428.7</v>
      </c>
      <c r="X48" s="145"/>
    </row>
    <row r="49" s="1" customFormat="1" ht="58" customHeight="1" spans="1:24">
      <c r="A49" s="48"/>
      <c r="B49" s="48"/>
      <c r="C49" s="48"/>
      <c r="D49" s="48"/>
      <c r="E49" s="49"/>
      <c r="F49" s="52"/>
      <c r="G49" s="77" t="s">
        <v>472</v>
      </c>
      <c r="H49" s="76" t="s">
        <v>473</v>
      </c>
      <c r="I49" s="119">
        <v>2752293.58</v>
      </c>
      <c r="J49" s="118">
        <v>247706.42</v>
      </c>
      <c r="K49" s="101">
        <f>J49+I49</f>
        <v>3000000</v>
      </c>
      <c r="L49" s="101"/>
      <c r="M49" s="101"/>
      <c r="N49" s="101">
        <v>60000</v>
      </c>
      <c r="O49" s="101"/>
      <c r="P49" s="101"/>
      <c r="Q49" s="101"/>
      <c r="R49" s="101"/>
      <c r="S49" s="101"/>
      <c r="T49" s="101"/>
      <c r="U49" s="101"/>
      <c r="V49" s="101"/>
      <c r="W49" s="101"/>
      <c r="X49" s="145"/>
    </row>
    <row r="50" s="1" customFormat="1" ht="58" customHeight="1" spans="1:24">
      <c r="A50" s="48"/>
      <c r="B50" s="48"/>
      <c r="C50" s="48"/>
      <c r="D50" s="48"/>
      <c r="E50" s="49"/>
      <c r="F50" s="52"/>
      <c r="G50" s="77" t="s">
        <v>474</v>
      </c>
      <c r="H50" s="76" t="s">
        <v>475</v>
      </c>
      <c r="I50" s="119">
        <v>16000088.53</v>
      </c>
      <c r="J50" s="118"/>
      <c r="K50" s="101">
        <f>J50+I50</f>
        <v>16000088.53</v>
      </c>
      <c r="L50" s="101"/>
      <c r="M50" s="101"/>
      <c r="N50" s="101"/>
      <c r="O50" s="101"/>
      <c r="P50" s="101"/>
      <c r="Q50" s="101"/>
      <c r="R50" s="101"/>
      <c r="S50" s="101"/>
      <c r="T50" s="101"/>
      <c r="U50" s="101"/>
      <c r="V50" s="101"/>
      <c r="W50" s="101"/>
      <c r="X50" s="145"/>
    </row>
    <row r="51" s="1" customFormat="1" ht="29" customHeight="1" spans="1:24">
      <c r="A51" s="48"/>
      <c r="B51" s="48"/>
      <c r="C51" s="48"/>
      <c r="D51" s="48"/>
      <c r="E51" s="49"/>
      <c r="F51" s="58" t="s">
        <v>326</v>
      </c>
      <c r="G51" s="59"/>
      <c r="H51" s="60"/>
      <c r="I51" s="108">
        <f t="shared" ref="I51:W51" si="14">SUM(I37:I44)</f>
        <v>43163426</v>
      </c>
      <c r="J51" s="108">
        <f t="shared" si="14"/>
        <v>3524681.35</v>
      </c>
      <c r="K51" s="108">
        <f t="shared" si="14"/>
        <v>46688107.35</v>
      </c>
      <c r="L51" s="108">
        <f t="shared" si="14"/>
        <v>0</v>
      </c>
      <c r="M51" s="108">
        <f t="shared" si="14"/>
        <v>0</v>
      </c>
      <c r="N51" s="108">
        <f t="shared" si="14"/>
        <v>0</v>
      </c>
      <c r="O51" s="108">
        <f t="shared" si="14"/>
        <v>613920.32</v>
      </c>
      <c r="P51" s="108">
        <f t="shared" si="14"/>
        <v>0</v>
      </c>
      <c r="Q51" s="108">
        <f t="shared" si="14"/>
        <v>0</v>
      </c>
      <c r="R51" s="108">
        <f t="shared" si="14"/>
        <v>0</v>
      </c>
      <c r="S51" s="108">
        <f t="shared" si="14"/>
        <v>45474187.03</v>
      </c>
      <c r="T51" s="111">
        <f t="shared" si="14"/>
        <v>600000</v>
      </c>
      <c r="U51" s="111">
        <f t="shared" si="14"/>
        <v>36066914.82</v>
      </c>
      <c r="V51" s="111">
        <f t="shared" si="14"/>
        <v>600000</v>
      </c>
      <c r="W51" s="111">
        <f t="shared" si="14"/>
        <v>9407272.21</v>
      </c>
      <c r="X51" s="146"/>
    </row>
    <row r="52" s="1" customFormat="1" ht="29" customHeight="1" spans="1:24">
      <c r="A52" s="48"/>
      <c r="B52" s="48"/>
      <c r="C52" s="48"/>
      <c r="D52" s="48"/>
      <c r="E52" s="49"/>
      <c r="F52" s="61" t="s">
        <v>327</v>
      </c>
      <c r="G52" s="61"/>
      <c r="H52" s="61"/>
      <c r="I52" s="109">
        <f t="shared" ref="I52:K52" si="15">SUM(I45:I50)</f>
        <v>18752382.11</v>
      </c>
      <c r="J52" s="109">
        <f t="shared" si="15"/>
        <v>1053623.07</v>
      </c>
      <c r="K52" s="109">
        <f t="shared" si="15"/>
        <v>19806005.18</v>
      </c>
      <c r="L52" s="109">
        <f t="shared" ref="L52:W52" si="16">SUM(L45:L48)</f>
        <v>0</v>
      </c>
      <c r="M52" s="109">
        <f t="shared" si="16"/>
        <v>0</v>
      </c>
      <c r="N52" s="109">
        <f t="shared" si="16"/>
        <v>0</v>
      </c>
      <c r="O52" s="109">
        <f t="shared" si="16"/>
        <v>201576.1</v>
      </c>
      <c r="P52" s="109">
        <f t="shared" si="16"/>
        <v>0</v>
      </c>
      <c r="Q52" s="109">
        <f t="shared" si="16"/>
        <v>0</v>
      </c>
      <c r="R52" s="109">
        <f t="shared" si="16"/>
        <v>0</v>
      </c>
      <c r="S52" s="109">
        <f t="shared" si="16"/>
        <v>805916.649999999</v>
      </c>
      <c r="T52" s="109">
        <f t="shared" si="16"/>
        <v>0</v>
      </c>
      <c r="U52" s="109">
        <f t="shared" si="16"/>
        <v>7196228.7</v>
      </c>
      <c r="V52" s="109">
        <f t="shared" si="16"/>
        <v>2681000</v>
      </c>
      <c r="W52" s="109">
        <f t="shared" si="16"/>
        <v>-9272888.15</v>
      </c>
      <c r="X52" s="142"/>
    </row>
    <row r="53" s="1" customFormat="1" ht="39" customHeight="1" spans="1:24">
      <c r="A53" s="43">
        <v>4</v>
      </c>
      <c r="B53" s="43" t="s">
        <v>67</v>
      </c>
      <c r="C53" s="43" t="s">
        <v>68</v>
      </c>
      <c r="D53" s="65" t="s">
        <v>69</v>
      </c>
      <c r="E53" s="45">
        <v>31370181</v>
      </c>
      <c r="F53" s="45" t="s">
        <v>295</v>
      </c>
      <c r="G53" s="66" t="s">
        <v>70</v>
      </c>
      <c r="H53" s="66" t="s">
        <v>71</v>
      </c>
      <c r="I53" s="94"/>
      <c r="J53" s="94"/>
      <c r="K53" s="94">
        <f>I53+J53</f>
        <v>0</v>
      </c>
      <c r="L53" s="94"/>
      <c r="M53" s="94"/>
      <c r="N53" s="94"/>
      <c r="O53" s="94"/>
      <c r="P53" s="94"/>
      <c r="Q53" s="94"/>
      <c r="R53" s="94">
        <v>3137018.1</v>
      </c>
      <c r="S53" s="94">
        <f t="shared" ref="S53:S55" si="17">K53-L53-M53-N53-O53+R53</f>
        <v>3137018.1</v>
      </c>
      <c r="T53" s="94"/>
      <c r="U53" s="94">
        <v>3137018.1</v>
      </c>
      <c r="V53" s="94"/>
      <c r="W53" s="133">
        <f t="shared" ref="W53:W55" si="18">S53+T53-U53-V53</f>
        <v>0</v>
      </c>
      <c r="X53" s="135"/>
    </row>
    <row r="54" s="1" customFormat="1" ht="51" customHeight="1" spans="1:24">
      <c r="A54" s="48"/>
      <c r="B54" s="48"/>
      <c r="C54" s="48"/>
      <c r="D54" s="67"/>
      <c r="E54" s="49"/>
      <c r="F54" s="49"/>
      <c r="G54" s="66" t="s">
        <v>72</v>
      </c>
      <c r="H54" s="78" t="s">
        <v>73</v>
      </c>
      <c r="I54" s="95">
        <v>16656733.21</v>
      </c>
      <c r="J54" s="95">
        <v>2165375.39</v>
      </c>
      <c r="K54" s="95">
        <f>I54+J54</f>
        <v>18822108.6</v>
      </c>
      <c r="L54" s="95"/>
      <c r="M54" s="95"/>
      <c r="N54" s="95"/>
      <c r="O54" s="95"/>
      <c r="P54" s="95"/>
      <c r="Q54" s="95"/>
      <c r="R54" s="95">
        <v>-3137018.1</v>
      </c>
      <c r="S54" s="95">
        <f t="shared" si="17"/>
        <v>15685090.5</v>
      </c>
      <c r="T54" s="95"/>
      <c r="U54" s="95">
        <v>15685090.5</v>
      </c>
      <c r="V54" s="94"/>
      <c r="W54" s="133">
        <f t="shared" si="18"/>
        <v>0</v>
      </c>
      <c r="X54" s="135"/>
    </row>
    <row r="55" s="1" customFormat="1" ht="42" customHeight="1" spans="1:24">
      <c r="A55" s="48"/>
      <c r="B55" s="48"/>
      <c r="C55" s="48"/>
      <c r="D55" s="67"/>
      <c r="E55" s="49"/>
      <c r="F55" s="49"/>
      <c r="G55" s="79" t="s">
        <v>74</v>
      </c>
      <c r="H55" s="80" t="s">
        <v>75</v>
      </c>
      <c r="I55" s="120">
        <v>9253740.7</v>
      </c>
      <c r="J55" s="120">
        <f>K55-I55</f>
        <v>1202986.3</v>
      </c>
      <c r="K55" s="120">
        <v>10456727</v>
      </c>
      <c r="L55" s="120">
        <v>0</v>
      </c>
      <c r="M55" s="94">
        <v>0</v>
      </c>
      <c r="N55" s="94">
        <v>0</v>
      </c>
      <c r="O55" s="94">
        <v>0</v>
      </c>
      <c r="P55" s="94"/>
      <c r="Q55" s="94"/>
      <c r="R55" s="94">
        <v>0</v>
      </c>
      <c r="S55" s="94">
        <f t="shared" si="17"/>
        <v>10456727</v>
      </c>
      <c r="T55" s="94">
        <v>0</v>
      </c>
      <c r="U55" s="94">
        <v>6274036.2</v>
      </c>
      <c r="V55" s="94"/>
      <c r="W55" s="133">
        <f t="shared" si="18"/>
        <v>4182690.8</v>
      </c>
      <c r="X55" s="135"/>
    </row>
    <row r="56" s="1" customFormat="1" ht="42" customHeight="1" spans="1:24">
      <c r="A56" s="48"/>
      <c r="B56" s="48"/>
      <c r="C56" s="48"/>
      <c r="D56" s="67"/>
      <c r="E56" s="49"/>
      <c r="F56" s="52" t="s">
        <v>296</v>
      </c>
      <c r="G56" s="53" t="s">
        <v>356</v>
      </c>
      <c r="H56" s="68" t="s">
        <v>357</v>
      </c>
      <c r="I56" s="101"/>
      <c r="J56" s="101"/>
      <c r="K56" s="101"/>
      <c r="L56" s="101"/>
      <c r="M56" s="101"/>
      <c r="N56" s="101"/>
      <c r="O56" s="101"/>
      <c r="P56" s="101"/>
      <c r="Q56" s="101"/>
      <c r="R56" s="101"/>
      <c r="S56" s="101"/>
      <c r="T56" s="101"/>
      <c r="U56" s="101">
        <v>3130000</v>
      </c>
      <c r="V56" s="101"/>
      <c r="W56" s="143">
        <f>-U56</f>
        <v>-3130000</v>
      </c>
      <c r="X56" s="135"/>
    </row>
    <row r="57" s="1" customFormat="1" ht="42" customHeight="1" spans="1:24">
      <c r="A57" s="48"/>
      <c r="B57" s="48"/>
      <c r="C57" s="48"/>
      <c r="D57" s="67"/>
      <c r="E57" s="49"/>
      <c r="F57" s="52"/>
      <c r="G57" s="53" t="s">
        <v>476</v>
      </c>
      <c r="H57" s="68" t="s">
        <v>477</v>
      </c>
      <c r="I57" s="101">
        <v>1850748.14</v>
      </c>
      <c r="J57" s="101">
        <v>240597.26</v>
      </c>
      <c r="K57" s="101">
        <f>J57+I57</f>
        <v>2091345.4</v>
      </c>
      <c r="L57" s="101"/>
      <c r="M57" s="101"/>
      <c r="N57" s="101"/>
      <c r="O57" s="101"/>
      <c r="P57" s="101"/>
      <c r="Q57" s="101"/>
      <c r="R57" s="101"/>
      <c r="S57" s="101"/>
      <c r="T57" s="101"/>
      <c r="U57" s="101"/>
      <c r="V57" s="101"/>
      <c r="W57" s="143"/>
      <c r="X57" s="135"/>
    </row>
    <row r="58" s="1" customFormat="1" ht="42" customHeight="1" spans="1:24">
      <c r="A58" s="48"/>
      <c r="B58" s="48"/>
      <c r="C58" s="48"/>
      <c r="D58" s="67"/>
      <c r="E58" s="49"/>
      <c r="F58" s="52"/>
      <c r="G58" s="53"/>
      <c r="H58" s="68"/>
      <c r="I58" s="101"/>
      <c r="J58" s="101"/>
      <c r="K58" s="101"/>
      <c r="L58" s="101"/>
      <c r="M58" s="101"/>
      <c r="N58" s="101"/>
      <c r="O58" s="101"/>
      <c r="P58" s="101"/>
      <c r="Q58" s="101"/>
      <c r="R58" s="101"/>
      <c r="S58" s="101"/>
      <c r="T58" s="101"/>
      <c r="U58" s="101"/>
      <c r="V58" s="101"/>
      <c r="W58" s="143"/>
      <c r="X58" s="135"/>
    </row>
    <row r="59" s="1" customFormat="1" ht="42" customHeight="1" spans="1:24">
      <c r="A59" s="48"/>
      <c r="B59" s="48"/>
      <c r="C59" s="48"/>
      <c r="D59" s="67"/>
      <c r="E59" s="49"/>
      <c r="F59" s="52"/>
      <c r="G59" s="53"/>
      <c r="H59" s="68"/>
      <c r="I59" s="101"/>
      <c r="J59" s="101"/>
      <c r="K59" s="101"/>
      <c r="L59" s="101"/>
      <c r="M59" s="101"/>
      <c r="N59" s="101"/>
      <c r="O59" s="101"/>
      <c r="P59" s="101"/>
      <c r="Q59" s="101"/>
      <c r="R59" s="101"/>
      <c r="S59" s="101"/>
      <c r="T59" s="101"/>
      <c r="U59" s="101"/>
      <c r="V59" s="101"/>
      <c r="W59" s="143"/>
      <c r="X59" s="135"/>
    </row>
    <row r="60" s="1" customFormat="1" ht="26" customHeight="1" spans="1:24">
      <c r="A60" s="48"/>
      <c r="B60" s="48"/>
      <c r="C60" s="48"/>
      <c r="D60" s="67"/>
      <c r="E60" s="49"/>
      <c r="F60" s="58" t="s">
        <v>326</v>
      </c>
      <c r="G60" s="59"/>
      <c r="H60" s="60"/>
      <c r="I60" s="108">
        <f>SUM(I53:I55)</f>
        <v>25910473.91</v>
      </c>
      <c r="J60" s="108">
        <f>SUM(J53:J55)</f>
        <v>3368361.69</v>
      </c>
      <c r="K60" s="111">
        <f>I60+J60</f>
        <v>29278835.6</v>
      </c>
      <c r="L60" s="111"/>
      <c r="M60" s="111"/>
      <c r="N60" s="111"/>
      <c r="O60" s="111"/>
      <c r="P60" s="111"/>
      <c r="Q60" s="111"/>
      <c r="R60" s="111">
        <f t="shared" ref="R60:W60" si="19">SUM(R53:R55)</f>
        <v>0</v>
      </c>
      <c r="S60" s="147">
        <f t="shared" ref="S60:S63" si="20">K60-L60-M60-N60-O60+R60</f>
        <v>29278835.6</v>
      </c>
      <c r="T60" s="147"/>
      <c r="U60" s="111">
        <f t="shared" si="19"/>
        <v>25096144.8</v>
      </c>
      <c r="V60" s="111">
        <f t="shared" si="19"/>
        <v>0</v>
      </c>
      <c r="W60" s="111">
        <f t="shared" si="19"/>
        <v>4182690.8</v>
      </c>
      <c r="X60" s="146"/>
    </row>
    <row r="61" s="1" customFormat="1" ht="26" customHeight="1" spans="1:24">
      <c r="A61" s="48"/>
      <c r="B61" s="48"/>
      <c r="C61" s="48"/>
      <c r="D61" s="67"/>
      <c r="E61" s="81"/>
      <c r="F61" s="61" t="s">
        <v>327</v>
      </c>
      <c r="G61" s="61"/>
      <c r="H61" s="61"/>
      <c r="I61" s="109">
        <f t="shared" ref="I61:W61" si="21">SUM(I56:I59)</f>
        <v>1850748.14</v>
      </c>
      <c r="J61" s="109">
        <f t="shared" si="21"/>
        <v>240597.26</v>
      </c>
      <c r="K61" s="109">
        <f t="shared" si="21"/>
        <v>2091345.4</v>
      </c>
      <c r="L61" s="109">
        <f t="shared" si="21"/>
        <v>0</v>
      </c>
      <c r="M61" s="109">
        <f t="shared" si="21"/>
        <v>0</v>
      </c>
      <c r="N61" s="109">
        <f t="shared" si="21"/>
        <v>0</v>
      </c>
      <c r="O61" s="109">
        <f t="shared" si="21"/>
        <v>0</v>
      </c>
      <c r="P61" s="109">
        <f t="shared" si="21"/>
        <v>0</v>
      </c>
      <c r="Q61" s="109">
        <f t="shared" si="21"/>
        <v>0</v>
      </c>
      <c r="R61" s="109">
        <f t="shared" si="21"/>
        <v>0</v>
      </c>
      <c r="S61" s="109">
        <f t="shared" si="21"/>
        <v>0</v>
      </c>
      <c r="T61" s="109">
        <f t="shared" si="21"/>
        <v>0</v>
      </c>
      <c r="U61" s="109">
        <f t="shared" si="21"/>
        <v>3130000</v>
      </c>
      <c r="V61" s="109">
        <f t="shared" si="21"/>
        <v>0</v>
      </c>
      <c r="W61" s="109">
        <f t="shared" si="21"/>
        <v>-3130000</v>
      </c>
      <c r="X61" s="146"/>
    </row>
    <row r="62" s="1" customFormat="1" ht="38" customHeight="1" spans="1:24">
      <c r="A62" s="43">
        <v>5</v>
      </c>
      <c r="B62" s="44" t="s">
        <v>76</v>
      </c>
      <c r="C62" s="43" t="s">
        <v>77</v>
      </c>
      <c r="D62" s="44" t="s">
        <v>78</v>
      </c>
      <c r="E62" s="45">
        <v>98880000</v>
      </c>
      <c r="F62" s="45" t="s">
        <v>301</v>
      </c>
      <c r="G62" s="82" t="s">
        <v>79</v>
      </c>
      <c r="H62" s="82" t="s">
        <v>80</v>
      </c>
      <c r="I62" s="94"/>
      <c r="J62" s="94"/>
      <c r="K62" s="94">
        <f>I62+J62</f>
        <v>0</v>
      </c>
      <c r="L62" s="94"/>
      <c r="M62" s="94"/>
      <c r="N62" s="94"/>
      <c r="O62" s="94"/>
      <c r="P62" s="94"/>
      <c r="Q62" s="94"/>
      <c r="R62" s="94">
        <v>9888000</v>
      </c>
      <c r="S62" s="94">
        <f t="shared" si="20"/>
        <v>9888000</v>
      </c>
      <c r="T62" s="94"/>
      <c r="U62" s="94">
        <v>9888000</v>
      </c>
      <c r="V62" s="94"/>
      <c r="W62" s="94">
        <f>S62+T62-U62-V62</f>
        <v>0</v>
      </c>
      <c r="X62" s="145"/>
    </row>
    <row r="63" s="1" customFormat="1" ht="47" customHeight="1" spans="1:24">
      <c r="A63" s="48"/>
      <c r="B63" s="48"/>
      <c r="C63" s="48"/>
      <c r="D63" s="48"/>
      <c r="E63" s="49"/>
      <c r="F63" s="49"/>
      <c r="G63" s="50" t="s">
        <v>81</v>
      </c>
      <c r="H63" s="83" t="s">
        <v>82</v>
      </c>
      <c r="I63" s="112">
        <f>K63-J63</f>
        <v>70003539.82</v>
      </c>
      <c r="J63" s="112">
        <v>9100460.18</v>
      </c>
      <c r="K63" s="112">
        <v>79104000</v>
      </c>
      <c r="L63" s="112"/>
      <c r="M63" s="112"/>
      <c r="N63" s="112"/>
      <c r="O63" s="112"/>
      <c r="P63" s="45"/>
      <c r="Q63" s="112"/>
      <c r="R63" s="112">
        <v>-9888000</v>
      </c>
      <c r="S63" s="112">
        <f t="shared" si="20"/>
        <v>69216000</v>
      </c>
      <c r="T63" s="45"/>
      <c r="U63" s="148">
        <v>29664000</v>
      </c>
      <c r="V63" s="45"/>
      <c r="W63" s="45">
        <f>S63+T63-U63-U65</f>
        <v>0</v>
      </c>
      <c r="X63" s="45"/>
    </row>
    <row r="64" s="1" customFormat="1" ht="47" customHeight="1" spans="1:24">
      <c r="A64" s="48"/>
      <c r="B64" s="48"/>
      <c r="C64" s="48"/>
      <c r="D64" s="48"/>
      <c r="E64" s="49"/>
      <c r="F64" s="49"/>
      <c r="G64" s="50" t="s">
        <v>83</v>
      </c>
      <c r="H64" s="83" t="s">
        <v>84</v>
      </c>
      <c r="I64" s="113"/>
      <c r="J64" s="113"/>
      <c r="K64" s="113"/>
      <c r="L64" s="113"/>
      <c r="M64" s="113"/>
      <c r="N64" s="113"/>
      <c r="O64" s="113"/>
      <c r="P64" s="49"/>
      <c r="Q64" s="113"/>
      <c r="R64" s="113"/>
      <c r="S64" s="113"/>
      <c r="T64" s="49"/>
      <c r="U64" s="149"/>
      <c r="V64" s="49"/>
      <c r="W64" s="49">
        <f>S64+T64-U64-V64</f>
        <v>0</v>
      </c>
      <c r="X64" s="49"/>
    </row>
    <row r="65" s="1" customFormat="1" ht="47" customHeight="1" spans="1:24">
      <c r="A65" s="48"/>
      <c r="B65" s="48"/>
      <c r="C65" s="48"/>
      <c r="D65" s="48"/>
      <c r="E65" s="49"/>
      <c r="F65" s="81"/>
      <c r="G65" s="50" t="s">
        <v>85</v>
      </c>
      <c r="H65" s="83" t="s">
        <v>86</v>
      </c>
      <c r="I65" s="114"/>
      <c r="J65" s="114"/>
      <c r="K65" s="114"/>
      <c r="L65" s="114"/>
      <c r="M65" s="114"/>
      <c r="N65" s="114"/>
      <c r="O65" s="114"/>
      <c r="P65" s="81"/>
      <c r="Q65" s="114"/>
      <c r="R65" s="114"/>
      <c r="S65" s="114"/>
      <c r="T65" s="81"/>
      <c r="U65" s="149">
        <v>39552000</v>
      </c>
      <c r="V65" s="81"/>
      <c r="W65" s="81"/>
      <c r="X65" s="81"/>
    </row>
    <row r="66" s="1" customFormat="1" ht="47" customHeight="1" spans="1:24">
      <c r="A66" s="48"/>
      <c r="B66" s="48"/>
      <c r="C66" s="48"/>
      <c r="D66" s="48"/>
      <c r="E66" s="49"/>
      <c r="F66" s="103" t="s">
        <v>319</v>
      </c>
      <c r="G66" s="53" t="s">
        <v>358</v>
      </c>
      <c r="H66" s="150" t="s">
        <v>359</v>
      </c>
      <c r="I66" s="202">
        <v>17500884.96</v>
      </c>
      <c r="J66" s="202">
        <v>2275115.04</v>
      </c>
      <c r="K66" s="202">
        <f>J66+I66</f>
        <v>19776000</v>
      </c>
      <c r="L66" s="202"/>
      <c r="M66" s="202"/>
      <c r="N66" s="202"/>
      <c r="O66" s="202"/>
      <c r="P66" s="202"/>
      <c r="Q66" s="202"/>
      <c r="R66" s="202"/>
      <c r="S66" s="202">
        <f>K66</f>
        <v>19776000</v>
      </c>
      <c r="T66" s="106"/>
      <c r="U66" s="206">
        <v>2432415.3</v>
      </c>
      <c r="V66" s="106"/>
      <c r="W66" s="106">
        <f>S66-U66</f>
        <v>17343584.7</v>
      </c>
      <c r="X66" s="81"/>
    </row>
    <row r="67" s="1" customFormat="1" ht="47" customHeight="1" spans="1:24">
      <c r="A67" s="48"/>
      <c r="B67" s="48"/>
      <c r="C67" s="48"/>
      <c r="D67" s="48"/>
      <c r="E67" s="49"/>
      <c r="F67" s="105"/>
      <c r="G67" s="53"/>
      <c r="H67" s="151"/>
      <c r="I67" s="202"/>
      <c r="J67" s="202"/>
      <c r="K67" s="202"/>
      <c r="L67" s="202"/>
      <c r="M67" s="202"/>
      <c r="N67" s="202"/>
      <c r="O67" s="202"/>
      <c r="P67" s="202"/>
      <c r="Q67" s="202"/>
      <c r="R67" s="202"/>
      <c r="S67" s="202"/>
      <c r="T67" s="106"/>
      <c r="U67" s="206"/>
      <c r="V67" s="106"/>
      <c r="W67" s="106"/>
      <c r="X67" s="81"/>
    </row>
    <row r="68" s="1" customFormat="1" ht="47" customHeight="1" spans="1:24">
      <c r="A68" s="48"/>
      <c r="B68" s="48"/>
      <c r="C68" s="48"/>
      <c r="D68" s="48"/>
      <c r="E68" s="49"/>
      <c r="F68" s="105"/>
      <c r="G68" s="53"/>
      <c r="H68" s="151"/>
      <c r="I68" s="202"/>
      <c r="J68" s="202"/>
      <c r="K68" s="202"/>
      <c r="L68" s="202"/>
      <c r="M68" s="202"/>
      <c r="N68" s="202"/>
      <c r="O68" s="202"/>
      <c r="P68" s="202"/>
      <c r="Q68" s="202"/>
      <c r="R68" s="202"/>
      <c r="S68" s="202"/>
      <c r="T68" s="106"/>
      <c r="U68" s="206"/>
      <c r="V68" s="106"/>
      <c r="W68" s="106"/>
      <c r="X68" s="81"/>
    </row>
    <row r="69" s="1" customFormat="1" ht="47" customHeight="1" spans="1:24">
      <c r="A69" s="48"/>
      <c r="B69" s="48"/>
      <c r="C69" s="48"/>
      <c r="D69" s="48"/>
      <c r="E69" s="49"/>
      <c r="F69" s="106"/>
      <c r="G69" s="53"/>
      <c r="H69" s="151"/>
      <c r="I69" s="202"/>
      <c r="J69" s="202"/>
      <c r="K69" s="202"/>
      <c r="L69" s="202"/>
      <c r="M69" s="202"/>
      <c r="N69" s="202"/>
      <c r="O69" s="202"/>
      <c r="P69" s="202"/>
      <c r="Q69" s="202"/>
      <c r="R69" s="202"/>
      <c r="S69" s="202"/>
      <c r="T69" s="106"/>
      <c r="U69" s="206"/>
      <c r="V69" s="106"/>
      <c r="W69" s="106"/>
      <c r="X69" s="81"/>
    </row>
    <row r="70" s="1" customFormat="1" ht="39" customHeight="1" spans="1:24">
      <c r="A70" s="48"/>
      <c r="B70" s="48"/>
      <c r="C70" s="48"/>
      <c r="D70" s="48"/>
      <c r="E70" s="49"/>
      <c r="F70" s="58" t="s">
        <v>326</v>
      </c>
      <c r="G70" s="59"/>
      <c r="H70" s="60"/>
      <c r="I70" s="108">
        <f t="shared" ref="I70:O70" si="22">SUM(I62:I65)</f>
        <v>70003539.82</v>
      </c>
      <c r="J70" s="108">
        <f t="shared" si="22"/>
        <v>9100460.18</v>
      </c>
      <c r="K70" s="108">
        <f t="shared" si="22"/>
        <v>79104000</v>
      </c>
      <c r="L70" s="108">
        <f t="shared" si="22"/>
        <v>0</v>
      </c>
      <c r="M70" s="108">
        <f t="shared" si="22"/>
        <v>0</v>
      </c>
      <c r="N70" s="108">
        <f t="shared" si="22"/>
        <v>0</v>
      </c>
      <c r="O70" s="108">
        <f t="shared" si="22"/>
        <v>0</v>
      </c>
      <c r="P70" s="108"/>
      <c r="Q70" s="108">
        <f t="shared" ref="Q70:U70" si="23">SUM(Q62:Q65)</f>
        <v>0</v>
      </c>
      <c r="R70" s="108">
        <f t="shared" si="23"/>
        <v>0</v>
      </c>
      <c r="S70" s="108">
        <f t="shared" si="23"/>
        <v>79104000</v>
      </c>
      <c r="T70" s="108">
        <f t="shared" si="23"/>
        <v>0</v>
      </c>
      <c r="U70" s="108">
        <f t="shared" si="23"/>
        <v>79104000</v>
      </c>
      <c r="V70" s="108"/>
      <c r="W70" s="108">
        <f t="shared" ref="W70:W82" si="24">S70+T70-U70-V70</f>
        <v>0</v>
      </c>
      <c r="X70" s="188"/>
    </row>
    <row r="71" s="1" customFormat="1" ht="39" customHeight="1" spans="1:24">
      <c r="A71" s="48"/>
      <c r="B71" s="48"/>
      <c r="C71" s="48"/>
      <c r="D71" s="48"/>
      <c r="E71" s="49"/>
      <c r="F71" s="61" t="s">
        <v>327</v>
      </c>
      <c r="G71" s="61"/>
      <c r="H71" s="61"/>
      <c r="I71" s="109">
        <f t="shared" ref="I71:W71" si="25">SUM(I66:I69)</f>
        <v>17500884.96</v>
      </c>
      <c r="J71" s="109">
        <f t="shared" si="25"/>
        <v>2275115.04</v>
      </c>
      <c r="K71" s="109">
        <f t="shared" si="25"/>
        <v>19776000</v>
      </c>
      <c r="L71" s="109">
        <f t="shared" si="25"/>
        <v>0</v>
      </c>
      <c r="M71" s="109">
        <f t="shared" si="25"/>
        <v>0</v>
      </c>
      <c r="N71" s="109">
        <f t="shared" si="25"/>
        <v>0</v>
      </c>
      <c r="O71" s="109">
        <f t="shared" si="25"/>
        <v>0</v>
      </c>
      <c r="P71" s="109">
        <f t="shared" si="25"/>
        <v>0</v>
      </c>
      <c r="Q71" s="109">
        <f t="shared" si="25"/>
        <v>0</v>
      </c>
      <c r="R71" s="109">
        <f t="shared" si="25"/>
        <v>0</v>
      </c>
      <c r="S71" s="109">
        <f t="shared" si="25"/>
        <v>19776000</v>
      </c>
      <c r="T71" s="109">
        <f t="shared" si="25"/>
        <v>0</v>
      </c>
      <c r="U71" s="109">
        <f t="shared" si="25"/>
        <v>2432415.3</v>
      </c>
      <c r="V71" s="109">
        <f t="shared" si="25"/>
        <v>0</v>
      </c>
      <c r="W71" s="109">
        <f t="shared" si="25"/>
        <v>17343584.7</v>
      </c>
      <c r="X71" s="188"/>
    </row>
    <row r="72" s="1" customFormat="1" ht="39" customHeight="1" spans="1:24">
      <c r="A72" s="43">
        <v>6</v>
      </c>
      <c r="B72" s="44" t="s">
        <v>87</v>
      </c>
      <c r="C72" s="43" t="s">
        <v>88</v>
      </c>
      <c r="D72" s="44" t="s">
        <v>35</v>
      </c>
      <c r="E72" s="45">
        <v>950000</v>
      </c>
      <c r="F72" s="46">
        <v>285000</v>
      </c>
      <c r="G72" s="152" t="s">
        <v>89</v>
      </c>
      <c r="H72" s="66" t="s">
        <v>90</v>
      </c>
      <c r="I72" s="94">
        <v>627358.49</v>
      </c>
      <c r="J72" s="94">
        <v>37641.51</v>
      </c>
      <c r="K72" s="94">
        <f t="shared" ref="K72:K82" si="26">I72+J72</f>
        <v>665000</v>
      </c>
      <c r="L72" s="94"/>
      <c r="M72" s="94"/>
      <c r="N72" s="94"/>
      <c r="O72" s="94"/>
      <c r="P72" s="94"/>
      <c r="Q72" s="94"/>
      <c r="R72" s="94"/>
      <c r="S72" s="94">
        <f t="shared" ref="S72:S82" si="27">K72-L72-M72-N72-O72+R72</f>
        <v>665000</v>
      </c>
      <c r="T72" s="94"/>
      <c r="U72" s="94">
        <v>665000</v>
      </c>
      <c r="V72" s="94"/>
      <c r="W72" s="94">
        <f t="shared" si="24"/>
        <v>0</v>
      </c>
      <c r="X72" s="145"/>
    </row>
    <row r="73" s="1" customFormat="1" ht="30" customHeight="1" spans="1:24">
      <c r="A73" s="153"/>
      <c r="B73" s="153"/>
      <c r="C73" s="153"/>
      <c r="D73" s="153"/>
      <c r="E73" s="81"/>
      <c r="F73" s="46"/>
      <c r="G73" s="154" t="s">
        <v>46</v>
      </c>
      <c r="H73" s="155"/>
      <c r="I73" s="108">
        <f t="shared" ref="I73:K73" si="28">SUM(I72)</f>
        <v>627358.49</v>
      </c>
      <c r="J73" s="111">
        <f t="shared" si="28"/>
        <v>37641.51</v>
      </c>
      <c r="K73" s="111">
        <f t="shared" si="28"/>
        <v>665000</v>
      </c>
      <c r="L73" s="111"/>
      <c r="M73" s="111"/>
      <c r="N73" s="111"/>
      <c r="O73" s="111"/>
      <c r="P73" s="111"/>
      <c r="Q73" s="111"/>
      <c r="R73" s="111">
        <f t="shared" ref="R73:W73" si="29">SUM(R72)</f>
        <v>0</v>
      </c>
      <c r="S73" s="147">
        <f t="shared" si="27"/>
        <v>665000</v>
      </c>
      <c r="T73" s="147"/>
      <c r="U73" s="111">
        <f t="shared" si="29"/>
        <v>665000</v>
      </c>
      <c r="V73" s="111">
        <f t="shared" si="29"/>
        <v>0</v>
      </c>
      <c r="W73" s="111">
        <f t="shared" si="29"/>
        <v>0</v>
      </c>
      <c r="X73" s="146"/>
    </row>
    <row r="74" s="1" customFormat="1" ht="84" customHeight="1" spans="1:24">
      <c r="A74" s="156">
        <v>7</v>
      </c>
      <c r="B74" s="157" t="s">
        <v>91</v>
      </c>
      <c r="C74" s="158" t="s">
        <v>92</v>
      </c>
      <c r="D74" s="157" t="s">
        <v>93</v>
      </c>
      <c r="E74" s="145">
        <v>299000</v>
      </c>
      <c r="F74" s="145">
        <v>89700</v>
      </c>
      <c r="G74" s="66" t="s">
        <v>94</v>
      </c>
      <c r="H74" s="66" t="s">
        <v>95</v>
      </c>
      <c r="I74" s="94">
        <v>197452.83</v>
      </c>
      <c r="J74" s="94">
        <v>11847.17</v>
      </c>
      <c r="K74" s="94">
        <f t="shared" si="26"/>
        <v>209300</v>
      </c>
      <c r="L74" s="94"/>
      <c r="M74" s="94"/>
      <c r="N74" s="94"/>
      <c r="O74" s="94"/>
      <c r="P74" s="94"/>
      <c r="Q74" s="94"/>
      <c r="R74" s="94"/>
      <c r="S74" s="94">
        <f t="shared" si="27"/>
        <v>209300</v>
      </c>
      <c r="T74" s="94"/>
      <c r="U74" s="94">
        <v>209300</v>
      </c>
      <c r="V74" s="94"/>
      <c r="W74" s="94">
        <f t="shared" si="24"/>
        <v>0</v>
      </c>
      <c r="X74" s="145"/>
    </row>
    <row r="75" s="1" customFormat="1" ht="36" customHeight="1" spans="1:24">
      <c r="A75" s="156">
        <v>8</v>
      </c>
      <c r="B75" s="157" t="s">
        <v>96</v>
      </c>
      <c r="C75" s="158" t="s">
        <v>97</v>
      </c>
      <c r="D75" s="157" t="s">
        <v>98</v>
      </c>
      <c r="E75" s="145">
        <v>75800</v>
      </c>
      <c r="F75" s="145">
        <v>37900</v>
      </c>
      <c r="G75" s="66" t="s">
        <v>99</v>
      </c>
      <c r="H75" s="66" t="s">
        <v>100</v>
      </c>
      <c r="I75" s="94">
        <v>35754.72</v>
      </c>
      <c r="J75" s="94">
        <v>2145.28</v>
      </c>
      <c r="K75" s="94">
        <f t="shared" si="26"/>
        <v>37900</v>
      </c>
      <c r="L75" s="94"/>
      <c r="M75" s="94"/>
      <c r="N75" s="94"/>
      <c r="O75" s="94"/>
      <c r="P75" s="94"/>
      <c r="Q75" s="94"/>
      <c r="R75" s="94"/>
      <c r="S75" s="94">
        <f t="shared" si="27"/>
        <v>37900</v>
      </c>
      <c r="T75" s="94"/>
      <c r="U75" s="94">
        <f t="shared" ref="U75:U81" si="30">K75+R75</f>
        <v>37900</v>
      </c>
      <c r="V75" s="94"/>
      <c r="W75" s="94">
        <f t="shared" si="24"/>
        <v>0</v>
      </c>
      <c r="X75" s="145"/>
    </row>
    <row r="76" s="1" customFormat="1" ht="45" customHeight="1" spans="1:24">
      <c r="A76" s="156">
        <v>9</v>
      </c>
      <c r="B76" s="157" t="s">
        <v>101</v>
      </c>
      <c r="C76" s="158" t="s">
        <v>102</v>
      </c>
      <c r="D76" s="157" t="s">
        <v>103</v>
      </c>
      <c r="E76" s="145">
        <v>139000</v>
      </c>
      <c r="F76" s="145">
        <v>0</v>
      </c>
      <c r="G76" s="66" t="s">
        <v>104</v>
      </c>
      <c r="H76" s="66" t="s">
        <v>105</v>
      </c>
      <c r="I76" s="94">
        <v>131132.08</v>
      </c>
      <c r="J76" s="94">
        <v>7867.92000000001</v>
      </c>
      <c r="K76" s="94">
        <f t="shared" si="26"/>
        <v>139000</v>
      </c>
      <c r="L76" s="94"/>
      <c r="M76" s="94"/>
      <c r="N76" s="94"/>
      <c r="O76" s="94"/>
      <c r="P76" s="94"/>
      <c r="Q76" s="94"/>
      <c r="R76" s="94"/>
      <c r="S76" s="94">
        <f t="shared" si="27"/>
        <v>139000</v>
      </c>
      <c r="T76" s="94"/>
      <c r="U76" s="94">
        <f t="shared" si="30"/>
        <v>139000</v>
      </c>
      <c r="V76" s="94"/>
      <c r="W76" s="94">
        <f t="shared" si="24"/>
        <v>0</v>
      </c>
      <c r="X76" s="145"/>
    </row>
    <row r="77" s="1" customFormat="1" ht="36" customHeight="1" spans="1:24">
      <c r="A77" s="156">
        <v>10</v>
      </c>
      <c r="B77" s="157" t="s">
        <v>106</v>
      </c>
      <c r="C77" s="158" t="s">
        <v>107</v>
      </c>
      <c r="D77" s="157" t="s">
        <v>108</v>
      </c>
      <c r="E77" s="145">
        <v>147000</v>
      </c>
      <c r="F77" s="145">
        <v>58800</v>
      </c>
      <c r="G77" s="66" t="s">
        <v>109</v>
      </c>
      <c r="H77" s="66" t="s">
        <v>110</v>
      </c>
      <c r="I77" s="94">
        <v>83207.55</v>
      </c>
      <c r="J77" s="94">
        <v>4992.45</v>
      </c>
      <c r="K77" s="94">
        <f t="shared" si="26"/>
        <v>88200</v>
      </c>
      <c r="L77" s="94"/>
      <c r="M77" s="94"/>
      <c r="N77" s="94"/>
      <c r="O77" s="94"/>
      <c r="P77" s="94"/>
      <c r="Q77" s="94"/>
      <c r="R77" s="94"/>
      <c r="S77" s="94">
        <f t="shared" si="27"/>
        <v>88200</v>
      </c>
      <c r="T77" s="94"/>
      <c r="U77" s="94">
        <f t="shared" si="30"/>
        <v>88200</v>
      </c>
      <c r="V77" s="94"/>
      <c r="W77" s="94">
        <f t="shared" si="24"/>
        <v>0</v>
      </c>
      <c r="X77" s="145"/>
    </row>
    <row r="78" s="1" customFormat="1" ht="36" customHeight="1" spans="1:24">
      <c r="A78" s="156">
        <v>11</v>
      </c>
      <c r="B78" s="157" t="s">
        <v>111</v>
      </c>
      <c r="C78" s="158" t="s">
        <v>112</v>
      </c>
      <c r="D78" s="157" t="s">
        <v>113</v>
      </c>
      <c r="E78" s="145">
        <v>350000</v>
      </c>
      <c r="F78" s="145">
        <v>175000</v>
      </c>
      <c r="G78" s="66" t="s">
        <v>114</v>
      </c>
      <c r="H78" s="66" t="s">
        <v>115</v>
      </c>
      <c r="I78" s="94">
        <v>165094.34</v>
      </c>
      <c r="J78" s="94">
        <v>9905.66</v>
      </c>
      <c r="K78" s="94">
        <f t="shared" si="26"/>
        <v>175000</v>
      </c>
      <c r="L78" s="94"/>
      <c r="M78" s="94"/>
      <c r="N78" s="94"/>
      <c r="O78" s="94"/>
      <c r="P78" s="94"/>
      <c r="Q78" s="94"/>
      <c r="R78" s="94"/>
      <c r="S78" s="94">
        <f t="shared" si="27"/>
        <v>175000</v>
      </c>
      <c r="T78" s="94"/>
      <c r="U78" s="94">
        <f t="shared" si="30"/>
        <v>175000</v>
      </c>
      <c r="V78" s="94"/>
      <c r="W78" s="94">
        <f t="shared" si="24"/>
        <v>0</v>
      </c>
      <c r="X78" s="145"/>
    </row>
    <row r="79" s="1" customFormat="1" ht="71" customHeight="1" spans="1:24">
      <c r="A79" s="156">
        <v>12</v>
      </c>
      <c r="B79" s="157" t="s">
        <v>116</v>
      </c>
      <c r="C79" s="158" t="s">
        <v>117</v>
      </c>
      <c r="D79" s="157" t="s">
        <v>113</v>
      </c>
      <c r="E79" s="145">
        <v>372000</v>
      </c>
      <c r="F79" s="145"/>
      <c r="G79" s="66" t="s">
        <v>118</v>
      </c>
      <c r="H79" s="66" t="s">
        <v>119</v>
      </c>
      <c r="I79" s="94">
        <v>350943.4</v>
      </c>
      <c r="J79" s="94">
        <v>21056.6</v>
      </c>
      <c r="K79" s="94">
        <f t="shared" si="26"/>
        <v>372000</v>
      </c>
      <c r="L79" s="94"/>
      <c r="M79" s="94"/>
      <c r="N79" s="94"/>
      <c r="O79" s="94"/>
      <c r="P79" s="94"/>
      <c r="Q79" s="94"/>
      <c r="R79" s="94"/>
      <c r="S79" s="94">
        <f t="shared" si="27"/>
        <v>372000</v>
      </c>
      <c r="T79" s="94"/>
      <c r="U79" s="94">
        <f t="shared" si="30"/>
        <v>372000</v>
      </c>
      <c r="V79" s="94"/>
      <c r="W79" s="94">
        <f t="shared" si="24"/>
        <v>0</v>
      </c>
      <c r="X79" s="145"/>
    </row>
    <row r="80" s="1" customFormat="1" ht="59" customHeight="1" spans="1:24">
      <c r="A80" s="156">
        <v>13</v>
      </c>
      <c r="B80" s="157" t="s">
        <v>120</v>
      </c>
      <c r="C80" s="157" t="s">
        <v>121</v>
      </c>
      <c r="D80" s="157" t="s">
        <v>122</v>
      </c>
      <c r="E80" s="145">
        <v>472680</v>
      </c>
      <c r="F80" s="145"/>
      <c r="G80" s="66" t="s">
        <v>123</v>
      </c>
      <c r="H80" s="66" t="s">
        <v>124</v>
      </c>
      <c r="I80" s="94">
        <v>472680</v>
      </c>
      <c r="J80" s="94">
        <v>0</v>
      </c>
      <c r="K80" s="94">
        <f t="shared" si="26"/>
        <v>472680</v>
      </c>
      <c r="L80" s="94"/>
      <c r="M80" s="94"/>
      <c r="N80" s="94"/>
      <c r="O80" s="94"/>
      <c r="P80" s="94"/>
      <c r="Q80" s="94"/>
      <c r="R80" s="94"/>
      <c r="S80" s="94">
        <f t="shared" si="27"/>
        <v>472680</v>
      </c>
      <c r="T80" s="94"/>
      <c r="U80" s="94">
        <f t="shared" si="30"/>
        <v>472680</v>
      </c>
      <c r="V80" s="94"/>
      <c r="W80" s="94">
        <f t="shared" si="24"/>
        <v>0</v>
      </c>
      <c r="X80" s="145"/>
    </row>
    <row r="81" s="1" customFormat="1" ht="46" customHeight="1" spans="1:24">
      <c r="A81" s="43">
        <v>14</v>
      </c>
      <c r="B81" s="43" t="s">
        <v>125</v>
      </c>
      <c r="C81" s="43" t="s">
        <v>126</v>
      </c>
      <c r="D81" s="43" t="s">
        <v>127</v>
      </c>
      <c r="E81" s="43">
        <v>20718782.9686351</v>
      </c>
      <c r="F81" s="43"/>
      <c r="G81" s="159" t="s">
        <v>128</v>
      </c>
      <c r="H81" s="160" t="s">
        <v>129</v>
      </c>
      <c r="I81" s="94">
        <v>10000000</v>
      </c>
      <c r="J81" s="94">
        <v>0</v>
      </c>
      <c r="K81" s="94">
        <f t="shared" si="26"/>
        <v>10000000</v>
      </c>
      <c r="L81" s="94">
        <v>0</v>
      </c>
      <c r="M81" s="94">
        <v>0</v>
      </c>
      <c r="N81" s="94">
        <v>0</v>
      </c>
      <c r="O81" s="94">
        <v>0</v>
      </c>
      <c r="P81" s="94"/>
      <c r="Q81" s="94"/>
      <c r="R81" s="94">
        <v>0</v>
      </c>
      <c r="S81" s="94">
        <f t="shared" si="27"/>
        <v>10000000</v>
      </c>
      <c r="T81" s="94"/>
      <c r="U81" s="94">
        <f t="shared" si="30"/>
        <v>10000000</v>
      </c>
      <c r="V81" s="94"/>
      <c r="W81" s="94">
        <f t="shared" si="24"/>
        <v>0</v>
      </c>
      <c r="X81" s="145"/>
    </row>
    <row r="82" s="17" customFormat="1" ht="59" customHeight="1" spans="1:24">
      <c r="A82" s="48"/>
      <c r="B82" s="48"/>
      <c r="C82" s="48"/>
      <c r="D82" s="48"/>
      <c r="E82" s="48"/>
      <c r="F82" s="48"/>
      <c r="G82" s="159" t="s">
        <v>130</v>
      </c>
      <c r="H82" s="161" t="s">
        <v>131</v>
      </c>
      <c r="I82" s="94">
        <v>8350000</v>
      </c>
      <c r="J82" s="94">
        <v>0</v>
      </c>
      <c r="K82" s="94">
        <f t="shared" si="26"/>
        <v>8350000</v>
      </c>
      <c r="L82" s="94">
        <v>0</v>
      </c>
      <c r="M82" s="94">
        <v>0</v>
      </c>
      <c r="N82" s="94">
        <v>0</v>
      </c>
      <c r="O82" s="94">
        <v>0</v>
      </c>
      <c r="P82" s="94"/>
      <c r="Q82" s="94"/>
      <c r="R82" s="94">
        <v>0</v>
      </c>
      <c r="S82" s="94">
        <f t="shared" si="27"/>
        <v>8350000</v>
      </c>
      <c r="T82" s="94"/>
      <c r="U82" s="94">
        <v>8350000</v>
      </c>
      <c r="V82" s="94"/>
      <c r="W82" s="94">
        <f t="shared" si="24"/>
        <v>0</v>
      </c>
      <c r="X82" s="145"/>
    </row>
    <row r="83" s="18" customFormat="1" ht="24" customHeight="1" spans="1:24">
      <c r="A83" s="48"/>
      <c r="B83" s="48"/>
      <c r="C83" s="48"/>
      <c r="D83" s="48"/>
      <c r="E83" s="48"/>
      <c r="F83" s="48"/>
      <c r="G83" s="162" t="s">
        <v>410</v>
      </c>
      <c r="H83" s="163" t="s">
        <v>411</v>
      </c>
      <c r="I83" s="174">
        <v>1011228</v>
      </c>
      <c r="J83" s="174"/>
      <c r="K83" s="174">
        <f>J83+I83</f>
        <v>1011228</v>
      </c>
      <c r="L83" s="94"/>
      <c r="M83" s="94"/>
      <c r="N83" s="94"/>
      <c r="O83" s="94"/>
      <c r="P83" s="94"/>
      <c r="Q83" s="94"/>
      <c r="R83" s="94"/>
      <c r="S83" s="94"/>
      <c r="T83" s="94"/>
      <c r="U83" s="94"/>
      <c r="V83" s="94"/>
      <c r="W83" s="94"/>
      <c r="X83" s="145"/>
    </row>
    <row r="84" s="18" customFormat="1" ht="24" customHeight="1" spans="1:24">
      <c r="A84" s="153"/>
      <c r="B84" s="153"/>
      <c r="C84" s="153"/>
      <c r="D84" s="153"/>
      <c r="E84" s="153"/>
      <c r="F84" s="153"/>
      <c r="G84" s="162"/>
      <c r="H84" s="164"/>
      <c r="I84" s="174">
        <v>247850</v>
      </c>
      <c r="J84" s="174"/>
      <c r="K84" s="174">
        <f>I84</f>
        <v>247850</v>
      </c>
      <c r="L84" s="94"/>
      <c r="M84" s="94"/>
      <c r="N84" s="94"/>
      <c r="O84" s="94"/>
      <c r="P84" s="94"/>
      <c r="Q84" s="94"/>
      <c r="R84" s="94"/>
      <c r="S84" s="94"/>
      <c r="T84" s="94"/>
      <c r="U84" s="94"/>
      <c r="V84" s="94"/>
      <c r="W84" s="94"/>
      <c r="X84" s="145"/>
    </row>
    <row r="85" s="1" customFormat="1" ht="134" customHeight="1" spans="1:24">
      <c r="A85" s="156">
        <v>15</v>
      </c>
      <c r="B85" s="157" t="s">
        <v>132</v>
      </c>
      <c r="C85" s="157" t="s">
        <v>133</v>
      </c>
      <c r="D85" s="157" t="s">
        <v>134</v>
      </c>
      <c r="E85" s="145">
        <v>125290</v>
      </c>
      <c r="F85" s="145"/>
      <c r="G85" s="66" t="s">
        <v>135</v>
      </c>
      <c r="H85" s="66" t="s">
        <v>136</v>
      </c>
      <c r="I85" s="94">
        <v>125290</v>
      </c>
      <c r="J85" s="94">
        <v>0</v>
      </c>
      <c r="K85" s="94">
        <f t="shared" ref="K85:K92" si="31">I85+J85</f>
        <v>125290</v>
      </c>
      <c r="L85" s="94"/>
      <c r="M85" s="94"/>
      <c r="N85" s="94"/>
      <c r="O85" s="94"/>
      <c r="P85" s="94"/>
      <c r="Q85" s="94"/>
      <c r="R85" s="94"/>
      <c r="S85" s="94">
        <f t="shared" ref="S85:S97" si="32">K85-L85-M85-N85-O85+R85</f>
        <v>125290</v>
      </c>
      <c r="T85" s="94"/>
      <c r="U85" s="94">
        <f t="shared" ref="U85:U94" si="33">K85+R85</f>
        <v>125290</v>
      </c>
      <c r="V85" s="94"/>
      <c r="W85" s="94">
        <f t="shared" ref="W85:W97" si="34">S85+T85-U85-V85</f>
        <v>0</v>
      </c>
      <c r="X85" s="145"/>
    </row>
    <row r="86" s="1" customFormat="1" ht="36" customHeight="1" spans="1:24">
      <c r="A86" s="156">
        <v>16</v>
      </c>
      <c r="B86" s="157" t="s">
        <v>137</v>
      </c>
      <c r="C86" s="158" t="s">
        <v>138</v>
      </c>
      <c r="D86" s="157" t="s">
        <v>139</v>
      </c>
      <c r="E86" s="145">
        <v>750000</v>
      </c>
      <c r="F86" s="145">
        <v>300000</v>
      </c>
      <c r="G86" s="66" t="s">
        <v>140</v>
      </c>
      <c r="H86" s="66" t="s">
        <v>141</v>
      </c>
      <c r="I86" s="94">
        <v>424528.3</v>
      </c>
      <c r="J86" s="94">
        <v>25471.7</v>
      </c>
      <c r="K86" s="94">
        <f t="shared" si="31"/>
        <v>450000</v>
      </c>
      <c r="L86" s="94"/>
      <c r="M86" s="94"/>
      <c r="N86" s="94"/>
      <c r="O86" s="94"/>
      <c r="P86" s="94"/>
      <c r="Q86" s="94"/>
      <c r="R86" s="94"/>
      <c r="S86" s="94">
        <f t="shared" si="32"/>
        <v>450000</v>
      </c>
      <c r="T86" s="94"/>
      <c r="U86" s="94">
        <f t="shared" si="33"/>
        <v>450000</v>
      </c>
      <c r="V86" s="94"/>
      <c r="W86" s="94">
        <f t="shared" si="34"/>
        <v>0</v>
      </c>
      <c r="X86" s="145"/>
    </row>
    <row r="87" s="17" customFormat="1" ht="36" customHeight="1" spans="1:24">
      <c r="A87" s="156">
        <v>17</v>
      </c>
      <c r="B87" s="157" t="s">
        <v>142</v>
      </c>
      <c r="C87" s="158" t="s">
        <v>143</v>
      </c>
      <c r="D87" s="157" t="s">
        <v>144</v>
      </c>
      <c r="E87" s="145">
        <v>95000</v>
      </c>
      <c r="F87" s="145"/>
      <c r="G87" s="74" t="s">
        <v>145</v>
      </c>
      <c r="H87" s="74" t="s">
        <v>146</v>
      </c>
      <c r="I87" s="94">
        <f>K87-J87</f>
        <v>89622.64</v>
      </c>
      <c r="J87" s="94">
        <v>5377.36</v>
      </c>
      <c r="K87" s="94">
        <v>95000</v>
      </c>
      <c r="L87" s="94">
        <v>0</v>
      </c>
      <c r="M87" s="94">
        <v>0</v>
      </c>
      <c r="N87" s="94">
        <v>0</v>
      </c>
      <c r="O87" s="94">
        <v>0</v>
      </c>
      <c r="P87" s="94"/>
      <c r="Q87" s="94"/>
      <c r="R87" s="94">
        <v>0</v>
      </c>
      <c r="S87" s="94">
        <f t="shared" si="32"/>
        <v>95000</v>
      </c>
      <c r="T87" s="94"/>
      <c r="U87" s="94">
        <f t="shared" si="33"/>
        <v>95000</v>
      </c>
      <c r="V87" s="94"/>
      <c r="W87" s="94">
        <f t="shared" si="34"/>
        <v>0</v>
      </c>
      <c r="X87" s="145"/>
    </row>
    <row r="88" s="17" customFormat="1" ht="36" customHeight="1" spans="1:24">
      <c r="A88" s="156">
        <v>18</v>
      </c>
      <c r="B88" s="157" t="s">
        <v>147</v>
      </c>
      <c r="C88" s="157" t="s">
        <v>148</v>
      </c>
      <c r="D88" s="157" t="s">
        <v>149</v>
      </c>
      <c r="E88" s="145">
        <v>680000</v>
      </c>
      <c r="F88" s="145"/>
      <c r="G88" s="50" t="s">
        <v>150</v>
      </c>
      <c r="H88" s="66" t="s">
        <v>151</v>
      </c>
      <c r="I88" s="94">
        <f>K88-J88</f>
        <v>641509.43</v>
      </c>
      <c r="J88" s="94">
        <v>38490.57</v>
      </c>
      <c r="K88" s="94">
        <v>680000</v>
      </c>
      <c r="L88" s="94">
        <v>0</v>
      </c>
      <c r="M88" s="94">
        <v>0</v>
      </c>
      <c r="N88" s="94">
        <v>0</v>
      </c>
      <c r="O88" s="94">
        <v>0</v>
      </c>
      <c r="P88" s="94"/>
      <c r="Q88" s="94"/>
      <c r="R88" s="94">
        <v>0</v>
      </c>
      <c r="S88" s="94">
        <f t="shared" si="32"/>
        <v>680000</v>
      </c>
      <c r="T88" s="94"/>
      <c r="U88" s="94">
        <f t="shared" si="33"/>
        <v>680000</v>
      </c>
      <c r="V88" s="94"/>
      <c r="W88" s="94">
        <f t="shared" si="34"/>
        <v>0</v>
      </c>
      <c r="X88" s="145"/>
    </row>
    <row r="89" s="1" customFormat="1" ht="46" customHeight="1" spans="1:24">
      <c r="A89" s="156">
        <v>19</v>
      </c>
      <c r="B89" s="157" t="s">
        <v>152</v>
      </c>
      <c r="C89" s="158" t="s">
        <v>153</v>
      </c>
      <c r="D89" s="165" t="s">
        <v>154</v>
      </c>
      <c r="E89" s="145">
        <v>150000</v>
      </c>
      <c r="F89" s="145"/>
      <c r="G89" s="66" t="s">
        <v>155</v>
      </c>
      <c r="H89" s="66" t="s">
        <v>156</v>
      </c>
      <c r="I89" s="94">
        <v>141509.43</v>
      </c>
      <c r="J89" s="94">
        <v>8490.57000000001</v>
      </c>
      <c r="K89" s="94">
        <f t="shared" si="31"/>
        <v>150000</v>
      </c>
      <c r="L89" s="94"/>
      <c r="M89" s="94"/>
      <c r="N89" s="94"/>
      <c r="O89" s="94"/>
      <c r="P89" s="94"/>
      <c r="Q89" s="94"/>
      <c r="R89" s="94"/>
      <c r="S89" s="94">
        <f t="shared" si="32"/>
        <v>150000</v>
      </c>
      <c r="T89" s="94"/>
      <c r="U89" s="94">
        <f t="shared" si="33"/>
        <v>150000</v>
      </c>
      <c r="V89" s="94"/>
      <c r="W89" s="94">
        <f t="shared" si="34"/>
        <v>0</v>
      </c>
      <c r="X89" s="145"/>
    </row>
    <row r="90" s="1" customFormat="1" ht="69" customHeight="1" spans="1:24">
      <c r="A90" s="156">
        <v>20</v>
      </c>
      <c r="B90" s="157" t="s">
        <v>157</v>
      </c>
      <c r="C90" s="158" t="s">
        <v>158</v>
      </c>
      <c r="D90" s="157" t="s">
        <v>159</v>
      </c>
      <c r="E90" s="145">
        <v>238000</v>
      </c>
      <c r="F90" s="145"/>
      <c r="G90" s="66" t="s">
        <v>160</v>
      </c>
      <c r="H90" s="66" t="s">
        <v>161</v>
      </c>
      <c r="I90" s="94">
        <v>231067.96</v>
      </c>
      <c r="J90" s="94">
        <v>6932.04000000001</v>
      </c>
      <c r="K90" s="94">
        <f t="shared" si="31"/>
        <v>238000</v>
      </c>
      <c r="L90" s="94"/>
      <c r="M90" s="94"/>
      <c r="N90" s="94"/>
      <c r="O90" s="94"/>
      <c r="P90" s="94"/>
      <c r="Q90" s="94"/>
      <c r="R90" s="94"/>
      <c r="S90" s="94">
        <f t="shared" si="32"/>
        <v>238000</v>
      </c>
      <c r="T90" s="94"/>
      <c r="U90" s="94">
        <f t="shared" si="33"/>
        <v>238000</v>
      </c>
      <c r="V90" s="94"/>
      <c r="W90" s="94">
        <f t="shared" si="34"/>
        <v>0</v>
      </c>
      <c r="X90" s="145"/>
    </row>
    <row r="91" s="1" customFormat="1" ht="60" customHeight="1" spans="1:24">
      <c r="A91" s="156">
        <v>21</v>
      </c>
      <c r="B91" s="157" t="s">
        <v>162</v>
      </c>
      <c r="C91" s="158" t="s">
        <v>163</v>
      </c>
      <c r="D91" s="157" t="s">
        <v>159</v>
      </c>
      <c r="E91" s="145">
        <v>180000</v>
      </c>
      <c r="F91" s="145"/>
      <c r="G91" s="66" t="s">
        <v>164</v>
      </c>
      <c r="H91" s="66" t="s">
        <v>165</v>
      </c>
      <c r="I91" s="94">
        <v>174757.28</v>
      </c>
      <c r="J91" s="94">
        <v>5242.72</v>
      </c>
      <c r="K91" s="94">
        <f t="shared" si="31"/>
        <v>180000</v>
      </c>
      <c r="L91" s="94"/>
      <c r="M91" s="94"/>
      <c r="N91" s="94"/>
      <c r="O91" s="94"/>
      <c r="P91" s="94"/>
      <c r="Q91" s="94"/>
      <c r="R91" s="94"/>
      <c r="S91" s="94">
        <f t="shared" si="32"/>
        <v>180000</v>
      </c>
      <c r="T91" s="94"/>
      <c r="U91" s="94">
        <f t="shared" si="33"/>
        <v>180000</v>
      </c>
      <c r="V91" s="94"/>
      <c r="W91" s="94">
        <f t="shared" si="34"/>
        <v>0</v>
      </c>
      <c r="X91" s="145"/>
    </row>
    <row r="92" s="1" customFormat="1" ht="53" customHeight="1" spans="1:24">
      <c r="A92" s="156">
        <v>22</v>
      </c>
      <c r="B92" s="157" t="s">
        <v>166</v>
      </c>
      <c r="C92" s="496" t="s">
        <v>167</v>
      </c>
      <c r="D92" s="157" t="s">
        <v>168</v>
      </c>
      <c r="E92" s="145">
        <v>168838.18</v>
      </c>
      <c r="F92" s="145"/>
      <c r="G92" s="66" t="s">
        <v>169</v>
      </c>
      <c r="H92" s="66" t="s">
        <v>170</v>
      </c>
      <c r="I92" s="94">
        <v>159281.3</v>
      </c>
      <c r="J92" s="94">
        <v>9556.88</v>
      </c>
      <c r="K92" s="94">
        <f t="shared" si="31"/>
        <v>168838.18</v>
      </c>
      <c r="L92" s="94"/>
      <c r="M92" s="94"/>
      <c r="N92" s="94"/>
      <c r="O92" s="94"/>
      <c r="P92" s="94"/>
      <c r="Q92" s="94"/>
      <c r="R92" s="94"/>
      <c r="S92" s="94">
        <f t="shared" si="32"/>
        <v>168838.18</v>
      </c>
      <c r="T92" s="94"/>
      <c r="U92" s="94">
        <f t="shared" si="33"/>
        <v>168838.18</v>
      </c>
      <c r="V92" s="94"/>
      <c r="W92" s="94">
        <f t="shared" si="34"/>
        <v>0</v>
      </c>
      <c r="X92" s="145"/>
    </row>
    <row r="93" s="17" customFormat="1" ht="47" customHeight="1" spans="1:24">
      <c r="A93" s="156">
        <v>23</v>
      </c>
      <c r="B93" s="157" t="s">
        <v>171</v>
      </c>
      <c r="C93" s="158" t="s">
        <v>172</v>
      </c>
      <c r="D93" s="157" t="s">
        <v>173</v>
      </c>
      <c r="E93" s="145">
        <v>533200</v>
      </c>
      <c r="F93" s="145"/>
      <c r="G93" s="50" t="s">
        <v>174</v>
      </c>
      <c r="H93" s="66" t="s">
        <v>175</v>
      </c>
      <c r="I93" s="94">
        <v>471858.4</v>
      </c>
      <c r="J93" s="94">
        <f>K93-I93</f>
        <v>61341.6</v>
      </c>
      <c r="K93" s="94">
        <v>533200</v>
      </c>
      <c r="L93" s="94">
        <v>0</v>
      </c>
      <c r="M93" s="94">
        <v>0</v>
      </c>
      <c r="N93" s="94">
        <v>0</v>
      </c>
      <c r="O93" s="94">
        <v>0</v>
      </c>
      <c r="P93" s="94"/>
      <c r="Q93" s="94"/>
      <c r="R93" s="94">
        <v>0</v>
      </c>
      <c r="S93" s="94">
        <f t="shared" si="32"/>
        <v>533200</v>
      </c>
      <c r="T93" s="94"/>
      <c r="U93" s="94">
        <f t="shared" si="33"/>
        <v>533200</v>
      </c>
      <c r="V93" s="94"/>
      <c r="W93" s="94">
        <f t="shared" si="34"/>
        <v>0</v>
      </c>
      <c r="X93" s="145"/>
    </row>
    <row r="94" s="1" customFormat="1" ht="59" customHeight="1" spans="1:24">
      <c r="A94" s="156">
        <v>24</v>
      </c>
      <c r="B94" s="166" t="s">
        <v>176</v>
      </c>
      <c r="C94" s="167" t="s">
        <v>177</v>
      </c>
      <c r="D94" s="166" t="s">
        <v>178</v>
      </c>
      <c r="E94" s="145">
        <v>87000</v>
      </c>
      <c r="F94" s="145">
        <v>87000</v>
      </c>
      <c r="G94" s="145"/>
      <c r="H94" s="145"/>
      <c r="I94" s="94"/>
      <c r="J94" s="94"/>
      <c r="K94" s="94"/>
      <c r="L94" s="94"/>
      <c r="M94" s="94"/>
      <c r="N94" s="94"/>
      <c r="O94" s="94"/>
      <c r="P94" s="94"/>
      <c r="Q94" s="94"/>
      <c r="R94" s="94"/>
      <c r="S94" s="94">
        <f t="shared" si="32"/>
        <v>0</v>
      </c>
      <c r="T94" s="94"/>
      <c r="U94" s="94">
        <f t="shared" si="33"/>
        <v>0</v>
      </c>
      <c r="V94" s="94"/>
      <c r="W94" s="94">
        <f t="shared" si="34"/>
        <v>0</v>
      </c>
      <c r="X94" s="145"/>
    </row>
    <row r="95" s="1" customFormat="1" ht="59" customHeight="1" spans="1:24">
      <c r="A95" s="156">
        <v>25</v>
      </c>
      <c r="B95" s="166" t="s">
        <v>179</v>
      </c>
      <c r="C95" s="167"/>
      <c r="D95" s="168" t="s">
        <v>180</v>
      </c>
      <c r="E95" s="145">
        <v>79600</v>
      </c>
      <c r="F95" s="145"/>
      <c r="G95" s="74" t="s">
        <v>181</v>
      </c>
      <c r="H95" s="161" t="s">
        <v>182</v>
      </c>
      <c r="I95" s="94">
        <v>22528.3</v>
      </c>
      <c r="J95" s="94">
        <v>1351.7</v>
      </c>
      <c r="K95" s="94">
        <f>J95+I95</f>
        <v>23880</v>
      </c>
      <c r="L95" s="94">
        <v>0</v>
      </c>
      <c r="M95" s="94">
        <v>0</v>
      </c>
      <c r="N95" s="94">
        <v>0</v>
      </c>
      <c r="O95" s="94">
        <v>0</v>
      </c>
      <c r="P95" s="94"/>
      <c r="Q95" s="94"/>
      <c r="R95" s="94">
        <v>0</v>
      </c>
      <c r="S95" s="94">
        <f t="shared" si="32"/>
        <v>23880</v>
      </c>
      <c r="T95" s="94"/>
      <c r="U95" s="94">
        <f>S95</f>
        <v>23880</v>
      </c>
      <c r="V95" s="94"/>
      <c r="W95" s="94">
        <f t="shared" si="34"/>
        <v>0</v>
      </c>
      <c r="X95" s="145"/>
    </row>
    <row r="96" s="1" customFormat="1" ht="59" customHeight="1" spans="1:24">
      <c r="A96" s="169">
        <v>26</v>
      </c>
      <c r="B96" s="166" t="s">
        <v>183</v>
      </c>
      <c r="C96" s="167"/>
      <c r="D96" s="166" t="s">
        <v>122</v>
      </c>
      <c r="E96" s="145"/>
      <c r="F96" s="145"/>
      <c r="G96" s="47" t="s">
        <v>184</v>
      </c>
      <c r="H96" s="47" t="s">
        <v>185</v>
      </c>
      <c r="I96" s="94">
        <v>48750</v>
      </c>
      <c r="J96" s="94">
        <v>0</v>
      </c>
      <c r="K96" s="94">
        <f>I96+J96</f>
        <v>48750</v>
      </c>
      <c r="L96" s="94">
        <v>0</v>
      </c>
      <c r="M96" s="94">
        <v>0</v>
      </c>
      <c r="N96" s="94">
        <v>0</v>
      </c>
      <c r="O96" s="94">
        <v>0</v>
      </c>
      <c r="P96" s="94"/>
      <c r="Q96" s="94"/>
      <c r="R96" s="94">
        <v>0</v>
      </c>
      <c r="S96" s="94">
        <f t="shared" si="32"/>
        <v>48750</v>
      </c>
      <c r="T96" s="94">
        <v>0</v>
      </c>
      <c r="U96" s="94">
        <v>48750</v>
      </c>
      <c r="V96" s="94">
        <v>0</v>
      </c>
      <c r="W96" s="94">
        <f t="shared" si="34"/>
        <v>0</v>
      </c>
      <c r="X96" s="145"/>
    </row>
    <row r="97" s="1" customFormat="1" ht="59" customHeight="1" spans="1:24">
      <c r="A97" s="170">
        <v>27</v>
      </c>
      <c r="B97" s="44" t="s">
        <v>186</v>
      </c>
      <c r="C97" s="43"/>
      <c r="D97" s="44" t="s">
        <v>187</v>
      </c>
      <c r="E97" s="145"/>
      <c r="F97" s="145"/>
      <c r="G97" s="47" t="s">
        <v>188</v>
      </c>
      <c r="H97" s="47" t="s">
        <v>189</v>
      </c>
      <c r="I97" s="99"/>
      <c r="J97" s="94"/>
      <c r="K97" s="94"/>
      <c r="L97" s="94">
        <v>0</v>
      </c>
      <c r="M97" s="94">
        <v>0</v>
      </c>
      <c r="N97" s="94">
        <v>0</v>
      </c>
      <c r="O97" s="94">
        <v>0</v>
      </c>
      <c r="P97" s="94"/>
      <c r="Q97" s="94"/>
      <c r="R97" s="207">
        <v>755500</v>
      </c>
      <c r="S97" s="112">
        <f t="shared" si="32"/>
        <v>755500</v>
      </c>
      <c r="T97" s="112">
        <v>0</v>
      </c>
      <c r="U97" s="112">
        <f>S97</f>
        <v>755500</v>
      </c>
      <c r="V97" s="112">
        <v>0</v>
      </c>
      <c r="W97" s="45">
        <f t="shared" si="34"/>
        <v>0</v>
      </c>
      <c r="X97" s="45"/>
    </row>
    <row r="98" s="1" customFormat="1" ht="59" customHeight="1" spans="1:24">
      <c r="A98" s="171"/>
      <c r="B98" s="153"/>
      <c r="C98" s="153"/>
      <c r="D98" s="153"/>
      <c r="E98" s="145"/>
      <c r="F98" s="145"/>
      <c r="G98" s="74" t="s">
        <v>190</v>
      </c>
      <c r="H98" s="47" t="s">
        <v>191</v>
      </c>
      <c r="I98" s="99">
        <v>755500</v>
      </c>
      <c r="J98" s="94"/>
      <c r="K98" s="94">
        <f>I98+J98</f>
        <v>755500</v>
      </c>
      <c r="L98" s="94"/>
      <c r="M98" s="94"/>
      <c r="N98" s="94"/>
      <c r="O98" s="94"/>
      <c r="P98" s="94"/>
      <c r="Q98" s="94"/>
      <c r="R98" s="208">
        <f>-R97</f>
        <v>-755500</v>
      </c>
      <c r="S98" s="114"/>
      <c r="T98" s="114"/>
      <c r="U98" s="114"/>
      <c r="V98" s="114"/>
      <c r="W98" s="81"/>
      <c r="X98" s="81"/>
    </row>
    <row r="99" s="1" customFormat="1" ht="59" customHeight="1" spans="1:24">
      <c r="A99" s="48">
        <v>28</v>
      </c>
      <c r="B99" s="172" t="s">
        <v>192</v>
      </c>
      <c r="C99" s="48"/>
      <c r="D99" s="65" t="s">
        <v>193</v>
      </c>
      <c r="E99" s="45">
        <v>488544.07</v>
      </c>
      <c r="F99" s="145"/>
      <c r="G99" s="47" t="s">
        <v>412</v>
      </c>
      <c r="H99" s="47" t="s">
        <v>194</v>
      </c>
      <c r="I99" s="203">
        <v>460890.63</v>
      </c>
      <c r="J99" s="94">
        <v>27653.44</v>
      </c>
      <c r="K99" s="94">
        <f t="shared" ref="K99:K104" si="35">J99+I99</f>
        <v>488544.07</v>
      </c>
      <c r="L99" s="94"/>
      <c r="M99" s="94"/>
      <c r="N99" s="94"/>
      <c r="O99" s="94"/>
      <c r="P99" s="94"/>
      <c r="Q99" s="94"/>
      <c r="R99" s="208"/>
      <c r="S99" s="45">
        <f>K99-L99-M99-N99-O99+R99-Q99</f>
        <v>488544.07</v>
      </c>
      <c r="T99" s="45"/>
      <c r="U99" s="114"/>
      <c r="V99" s="45"/>
      <c r="W99" s="94">
        <f>S99+T99-U99-V99</f>
        <v>488544.07</v>
      </c>
      <c r="X99" s="145"/>
    </row>
    <row r="100" s="1" customFormat="1" ht="59" customHeight="1" spans="1:24">
      <c r="A100" s="153"/>
      <c r="B100" s="153"/>
      <c r="C100" s="153"/>
      <c r="D100" s="173"/>
      <c r="E100" s="81"/>
      <c r="F100" s="174" t="s">
        <v>319</v>
      </c>
      <c r="G100" s="76" t="s">
        <v>332</v>
      </c>
      <c r="H100" s="68" t="s">
        <v>333</v>
      </c>
      <c r="I100" s="118"/>
      <c r="J100" s="101"/>
      <c r="K100" s="101"/>
      <c r="L100" s="101"/>
      <c r="M100" s="101"/>
      <c r="N100" s="101"/>
      <c r="O100" s="101"/>
      <c r="P100" s="101"/>
      <c r="Q100" s="101"/>
      <c r="R100" s="209"/>
      <c r="S100" s="81"/>
      <c r="T100" s="81"/>
      <c r="U100" s="202">
        <v>488544.07</v>
      </c>
      <c r="V100" s="81"/>
      <c r="W100" s="101">
        <f>-U100</f>
        <v>-488544.07</v>
      </c>
      <c r="X100" s="145"/>
    </row>
    <row r="101" s="1" customFormat="1" ht="59" customHeight="1" spans="1:24">
      <c r="A101" s="48">
        <v>29</v>
      </c>
      <c r="B101" s="172" t="s">
        <v>192</v>
      </c>
      <c r="C101" s="48"/>
      <c r="D101" s="65" t="s">
        <v>195</v>
      </c>
      <c r="E101" s="45">
        <v>1990753.91</v>
      </c>
      <c r="F101" s="145"/>
      <c r="G101" s="47" t="s">
        <v>413</v>
      </c>
      <c r="H101" s="47" t="s">
        <v>194</v>
      </c>
      <c r="I101" s="203">
        <v>1878069.73</v>
      </c>
      <c r="J101" s="94">
        <v>112684.18</v>
      </c>
      <c r="K101" s="94">
        <f t="shared" si="35"/>
        <v>1990753.91</v>
      </c>
      <c r="L101" s="94"/>
      <c r="M101" s="94"/>
      <c r="N101" s="94"/>
      <c r="O101" s="94"/>
      <c r="P101" s="94"/>
      <c r="Q101" s="94"/>
      <c r="R101" s="208"/>
      <c r="S101" s="45">
        <f>K101-L101-M101-N101-O101+R101-Q101</f>
        <v>1990753.91</v>
      </c>
      <c r="T101" s="45"/>
      <c r="U101" s="114"/>
      <c r="V101" s="45"/>
      <c r="W101" s="94">
        <f>S101+T101-U101-V101</f>
        <v>1990753.91</v>
      </c>
      <c r="X101" s="145"/>
    </row>
    <row r="102" s="1" customFormat="1" ht="59" customHeight="1" spans="1:24">
      <c r="A102" s="153"/>
      <c r="B102" s="153"/>
      <c r="C102" s="153"/>
      <c r="D102" s="173"/>
      <c r="E102" s="81"/>
      <c r="F102" s="174" t="s">
        <v>319</v>
      </c>
      <c r="G102" s="76" t="s">
        <v>334</v>
      </c>
      <c r="H102" s="68" t="s">
        <v>335</v>
      </c>
      <c r="I102" s="118"/>
      <c r="J102" s="101"/>
      <c r="K102" s="101"/>
      <c r="L102" s="101"/>
      <c r="M102" s="101"/>
      <c r="N102" s="101"/>
      <c r="O102" s="101"/>
      <c r="P102" s="101"/>
      <c r="Q102" s="101"/>
      <c r="R102" s="209"/>
      <c r="S102" s="81"/>
      <c r="T102" s="81"/>
      <c r="U102" s="202">
        <v>1990753.91</v>
      </c>
      <c r="V102" s="81"/>
      <c r="W102" s="101">
        <f>-U102</f>
        <v>-1990753.91</v>
      </c>
      <c r="X102" s="145"/>
    </row>
    <row r="103" s="1" customFormat="1" ht="59" customHeight="1" spans="1:24">
      <c r="A103" s="171">
        <v>30</v>
      </c>
      <c r="B103" s="159" t="s">
        <v>302</v>
      </c>
      <c r="C103" s="175"/>
      <c r="D103" s="159" t="s">
        <v>303</v>
      </c>
      <c r="E103" s="145">
        <v>100000</v>
      </c>
      <c r="F103" s="174" t="s">
        <v>319</v>
      </c>
      <c r="G103" s="76" t="s">
        <v>360</v>
      </c>
      <c r="H103" s="68" t="s">
        <v>361</v>
      </c>
      <c r="I103" s="118">
        <v>94339.62</v>
      </c>
      <c r="J103" s="101">
        <v>5660.38</v>
      </c>
      <c r="K103" s="101">
        <f t="shared" si="35"/>
        <v>100000</v>
      </c>
      <c r="L103" s="101"/>
      <c r="M103" s="101"/>
      <c r="N103" s="101"/>
      <c r="O103" s="101"/>
      <c r="P103" s="101"/>
      <c r="Q103" s="101"/>
      <c r="R103" s="209"/>
      <c r="S103" s="101">
        <f>K103</f>
        <v>100000</v>
      </c>
      <c r="T103" s="202"/>
      <c r="U103" s="202">
        <v>100000</v>
      </c>
      <c r="V103" s="202"/>
      <c r="W103" s="143">
        <f t="shared" ref="W103:W105" si="36">S103-U103+T103-V103</f>
        <v>0</v>
      </c>
      <c r="X103" s="145"/>
    </row>
    <row r="104" s="1" customFormat="1" ht="59" customHeight="1" spans="1:24">
      <c r="A104" s="171">
        <v>31</v>
      </c>
      <c r="B104" s="159" t="s">
        <v>375</v>
      </c>
      <c r="C104" s="175"/>
      <c r="D104" s="159" t="s">
        <v>376</v>
      </c>
      <c r="E104" s="145">
        <v>135000</v>
      </c>
      <c r="F104" s="174" t="s">
        <v>296</v>
      </c>
      <c r="G104" s="76" t="s">
        <v>377</v>
      </c>
      <c r="H104" s="68" t="s">
        <v>378</v>
      </c>
      <c r="I104" s="118">
        <v>127358.49</v>
      </c>
      <c r="J104" s="101">
        <v>7641.51</v>
      </c>
      <c r="K104" s="101">
        <f t="shared" si="35"/>
        <v>135000</v>
      </c>
      <c r="L104" s="101"/>
      <c r="M104" s="101"/>
      <c r="N104" s="101"/>
      <c r="O104" s="101"/>
      <c r="P104" s="101"/>
      <c r="Q104" s="101"/>
      <c r="R104" s="209"/>
      <c r="S104" s="101">
        <v>135000</v>
      </c>
      <c r="T104" s="202"/>
      <c r="U104" s="202"/>
      <c r="V104" s="202"/>
      <c r="W104" s="143">
        <f t="shared" si="36"/>
        <v>135000</v>
      </c>
      <c r="X104" s="145"/>
    </row>
    <row r="105" s="1" customFormat="1" ht="59" customHeight="1" spans="1:24">
      <c r="A105" s="171"/>
      <c r="B105" s="159" t="s">
        <v>379</v>
      </c>
      <c r="C105" s="175"/>
      <c r="D105" s="159" t="s">
        <v>380</v>
      </c>
      <c r="E105" s="145" t="s">
        <v>381</v>
      </c>
      <c r="F105" s="174" t="s">
        <v>296</v>
      </c>
      <c r="G105" s="76" t="s">
        <v>371</v>
      </c>
      <c r="H105" s="68" t="s">
        <v>382</v>
      </c>
      <c r="I105" s="118">
        <v>149900.94</v>
      </c>
      <c r="J105" s="101">
        <v>8994.06</v>
      </c>
      <c r="K105" s="101">
        <v>158895</v>
      </c>
      <c r="L105" s="101"/>
      <c r="M105" s="101"/>
      <c r="N105" s="101"/>
      <c r="O105" s="101"/>
      <c r="P105" s="101"/>
      <c r="Q105" s="101"/>
      <c r="R105" s="209"/>
      <c r="S105" s="101">
        <v>158895</v>
      </c>
      <c r="T105" s="202"/>
      <c r="U105" s="202"/>
      <c r="V105" s="202"/>
      <c r="W105" s="143">
        <f t="shared" si="36"/>
        <v>158895</v>
      </c>
      <c r="X105" s="145"/>
    </row>
    <row r="106" s="1" customFormat="1" ht="59" customHeight="1" spans="1:24">
      <c r="A106" s="171">
        <v>31</v>
      </c>
      <c r="B106" s="159" t="s">
        <v>304</v>
      </c>
      <c r="C106" s="175"/>
      <c r="D106" s="159" t="s">
        <v>305</v>
      </c>
      <c r="E106" s="145">
        <v>232250</v>
      </c>
      <c r="F106" s="174"/>
      <c r="G106" s="76" t="s">
        <v>414</v>
      </c>
      <c r="H106" s="68" t="s">
        <v>415</v>
      </c>
      <c r="I106" s="118">
        <v>229950.5</v>
      </c>
      <c r="J106" s="101">
        <f>K106-I106</f>
        <v>2299.5</v>
      </c>
      <c r="K106" s="101">
        <f>232250</f>
        <v>232250</v>
      </c>
      <c r="L106" s="94"/>
      <c r="M106" s="94"/>
      <c r="N106" s="94"/>
      <c r="O106" s="94"/>
      <c r="P106" s="94"/>
      <c r="Q106" s="94"/>
      <c r="R106" s="208"/>
      <c r="S106" s="94"/>
      <c r="T106" s="114"/>
      <c r="U106" s="114"/>
      <c r="V106" s="114"/>
      <c r="W106" s="94"/>
      <c r="X106" s="145"/>
    </row>
    <row r="107" s="1" customFormat="1" ht="59" customHeight="1" spans="1:24">
      <c r="A107" s="171">
        <v>33</v>
      </c>
      <c r="B107" s="159" t="s">
        <v>416</v>
      </c>
      <c r="C107" s="176"/>
      <c r="D107" s="177"/>
      <c r="E107" s="145"/>
      <c r="F107" s="174"/>
      <c r="G107" s="76" t="s">
        <v>417</v>
      </c>
      <c r="H107" s="68" t="s">
        <v>416</v>
      </c>
      <c r="I107" s="118">
        <v>1538584.07</v>
      </c>
      <c r="J107" s="101">
        <v>0</v>
      </c>
      <c r="K107" s="101">
        <f>I107+J107</f>
        <v>1538584.07</v>
      </c>
      <c r="L107" s="101"/>
      <c r="M107" s="94"/>
      <c r="N107" s="94"/>
      <c r="O107" s="94"/>
      <c r="P107" s="94"/>
      <c r="Q107" s="94"/>
      <c r="R107" s="208"/>
      <c r="S107" s="94"/>
      <c r="T107" s="114"/>
      <c r="U107" s="114"/>
      <c r="V107" s="114"/>
      <c r="W107" s="94"/>
      <c r="X107" s="145"/>
    </row>
    <row r="108" s="1" customFormat="1" ht="59" customHeight="1" spans="1:24">
      <c r="A108" s="178"/>
      <c r="B108" s="159" t="s">
        <v>418</v>
      </c>
      <c r="C108" s="176"/>
      <c r="D108" s="177"/>
      <c r="E108" s="145"/>
      <c r="F108" s="174"/>
      <c r="G108" s="76" t="s">
        <v>419</v>
      </c>
      <c r="H108" s="68" t="s">
        <v>418</v>
      </c>
      <c r="I108" s="118">
        <v>245283.02</v>
      </c>
      <c r="J108" s="101">
        <v>14716.98</v>
      </c>
      <c r="K108" s="101">
        <f t="shared" ref="K108:K112" si="37">J108+I108</f>
        <v>260000</v>
      </c>
      <c r="L108" s="101"/>
      <c r="M108" s="94"/>
      <c r="N108" s="94"/>
      <c r="O108" s="94"/>
      <c r="P108" s="94"/>
      <c r="Q108" s="94"/>
      <c r="R108" s="208"/>
      <c r="S108" s="94"/>
      <c r="T108" s="114"/>
      <c r="U108" s="114"/>
      <c r="V108" s="114"/>
      <c r="W108" s="94"/>
      <c r="X108" s="145"/>
    </row>
    <row r="109" s="1" customFormat="1" ht="59" customHeight="1" spans="1:24">
      <c r="A109" s="178"/>
      <c r="B109" s="159" t="s">
        <v>420</v>
      </c>
      <c r="C109" s="175"/>
      <c r="D109" s="159"/>
      <c r="E109" s="145"/>
      <c r="F109" s="174"/>
      <c r="G109" s="76" t="s">
        <v>421</v>
      </c>
      <c r="H109" s="68" t="s">
        <v>420</v>
      </c>
      <c r="I109" s="68">
        <v>4117077.53</v>
      </c>
      <c r="J109" s="118">
        <v>0</v>
      </c>
      <c r="K109" s="101">
        <f t="shared" si="37"/>
        <v>4117077.53</v>
      </c>
      <c r="L109" s="101"/>
      <c r="M109" s="94"/>
      <c r="N109" s="94"/>
      <c r="O109" s="94"/>
      <c r="P109" s="94"/>
      <c r="Q109" s="94"/>
      <c r="R109" s="208"/>
      <c r="S109" s="94"/>
      <c r="T109" s="114"/>
      <c r="U109" s="114"/>
      <c r="V109" s="114"/>
      <c r="W109" s="94"/>
      <c r="X109" s="145"/>
    </row>
    <row r="110" s="1" customFormat="1" ht="59" customHeight="1" spans="1:24">
      <c r="A110" s="178"/>
      <c r="B110" s="179"/>
      <c r="C110" s="180"/>
      <c r="D110" s="181"/>
      <c r="E110" s="145"/>
      <c r="F110" s="182" t="s">
        <v>478</v>
      </c>
      <c r="G110" s="182" t="s">
        <v>479</v>
      </c>
      <c r="H110" s="183" t="s">
        <v>480</v>
      </c>
      <c r="I110" s="68">
        <v>-4117077.53</v>
      </c>
      <c r="J110" s="118"/>
      <c r="K110" s="101">
        <f t="shared" si="37"/>
        <v>-4117077.53</v>
      </c>
      <c r="L110" s="101"/>
      <c r="M110" s="94"/>
      <c r="N110" s="94"/>
      <c r="O110" s="94"/>
      <c r="P110" s="94"/>
      <c r="Q110" s="94"/>
      <c r="R110" s="208"/>
      <c r="S110" s="94"/>
      <c r="T110" s="114"/>
      <c r="U110" s="114"/>
      <c r="V110" s="114"/>
      <c r="W110" s="94"/>
      <c r="X110" s="145"/>
    </row>
    <row r="111" s="1" customFormat="1" ht="59" customHeight="1" spans="1:24">
      <c r="A111" s="178"/>
      <c r="B111" s="179"/>
      <c r="C111" s="180"/>
      <c r="D111" s="181"/>
      <c r="E111" s="145"/>
      <c r="F111" s="182" t="s">
        <v>478</v>
      </c>
      <c r="G111" s="182" t="s">
        <v>481</v>
      </c>
      <c r="H111" s="183" t="s">
        <v>482</v>
      </c>
      <c r="I111" s="68">
        <v>4294080.42</v>
      </c>
      <c r="J111" s="118">
        <v>257644.82</v>
      </c>
      <c r="K111" s="101">
        <f t="shared" si="37"/>
        <v>4551725.24</v>
      </c>
      <c r="L111" s="101"/>
      <c r="M111" s="94"/>
      <c r="N111" s="94"/>
      <c r="O111" s="94"/>
      <c r="P111" s="94"/>
      <c r="Q111" s="94"/>
      <c r="R111" s="208"/>
      <c r="S111" s="94"/>
      <c r="T111" s="114"/>
      <c r="U111" s="114"/>
      <c r="V111" s="114"/>
      <c r="W111" s="94"/>
      <c r="X111" s="145"/>
    </row>
    <row r="112" s="1" customFormat="1" ht="59" customHeight="1" spans="1:24">
      <c r="A112" s="178"/>
      <c r="B112" s="179"/>
      <c r="C112" s="180"/>
      <c r="D112" s="181"/>
      <c r="E112" s="145"/>
      <c r="F112" s="182" t="s">
        <v>478</v>
      </c>
      <c r="G112" s="183" t="s">
        <v>483</v>
      </c>
      <c r="H112" s="184" t="s">
        <v>484</v>
      </c>
      <c r="I112" s="118">
        <v>18867.92</v>
      </c>
      <c r="J112" s="101">
        <v>1132.08</v>
      </c>
      <c r="K112" s="101">
        <f t="shared" si="37"/>
        <v>20000</v>
      </c>
      <c r="L112" s="101"/>
      <c r="M112" s="94"/>
      <c r="N112" s="94"/>
      <c r="O112" s="94"/>
      <c r="P112" s="94"/>
      <c r="Q112" s="94"/>
      <c r="R112" s="208"/>
      <c r="S112" s="94"/>
      <c r="T112" s="114"/>
      <c r="U112" s="114"/>
      <c r="V112" s="114"/>
      <c r="W112" s="94"/>
      <c r="X112" s="145"/>
    </row>
    <row r="113" s="1" customFormat="1" ht="59" customHeight="1" spans="1:24">
      <c r="A113" s="178"/>
      <c r="B113" s="179"/>
      <c r="C113" s="180"/>
      <c r="D113" s="181"/>
      <c r="E113" s="145"/>
      <c r="F113" s="174"/>
      <c r="G113" s="76"/>
      <c r="H113" s="68"/>
      <c r="I113" s="118"/>
      <c r="J113" s="101"/>
      <c r="K113" s="101"/>
      <c r="L113" s="101"/>
      <c r="M113" s="94"/>
      <c r="N113" s="94"/>
      <c r="O113" s="94"/>
      <c r="P113" s="94"/>
      <c r="Q113" s="94"/>
      <c r="R113" s="208"/>
      <c r="S113" s="94"/>
      <c r="T113" s="114"/>
      <c r="U113" s="114"/>
      <c r="V113" s="114"/>
      <c r="W113" s="94"/>
      <c r="X113" s="145"/>
    </row>
    <row r="114" s="1" customFormat="1" ht="59" customHeight="1" spans="1:24">
      <c r="A114" s="178"/>
      <c r="B114" s="179"/>
      <c r="C114" s="180"/>
      <c r="D114" s="181"/>
      <c r="E114" s="145"/>
      <c r="F114" s="174"/>
      <c r="G114" s="76"/>
      <c r="H114" s="68"/>
      <c r="I114" s="118"/>
      <c r="J114" s="101"/>
      <c r="K114" s="101"/>
      <c r="L114" s="101"/>
      <c r="M114" s="94"/>
      <c r="N114" s="94"/>
      <c r="O114" s="94"/>
      <c r="P114" s="94"/>
      <c r="Q114" s="94"/>
      <c r="R114" s="208"/>
      <c r="S114" s="94"/>
      <c r="T114" s="114"/>
      <c r="U114" s="114"/>
      <c r="V114" s="114"/>
      <c r="W114" s="94"/>
      <c r="X114" s="145"/>
    </row>
    <row r="115" s="1" customFormat="1" ht="59" customHeight="1" spans="1:24">
      <c r="A115" s="178"/>
      <c r="B115" s="179"/>
      <c r="C115" s="180"/>
      <c r="D115" s="181"/>
      <c r="E115" s="145"/>
      <c r="F115" s="174"/>
      <c r="G115" s="76"/>
      <c r="H115" s="68"/>
      <c r="I115" s="118"/>
      <c r="J115" s="101"/>
      <c r="K115" s="101"/>
      <c r="L115" s="101"/>
      <c r="M115" s="94"/>
      <c r="N115" s="94"/>
      <c r="O115" s="94"/>
      <c r="P115" s="94"/>
      <c r="Q115" s="94"/>
      <c r="R115" s="208"/>
      <c r="S115" s="94"/>
      <c r="T115" s="114"/>
      <c r="U115" s="114"/>
      <c r="V115" s="114"/>
      <c r="W115" s="94"/>
      <c r="X115" s="145"/>
    </row>
    <row r="116" s="1" customFormat="1" ht="36" customHeight="1" spans="1:24">
      <c r="A116" s="178">
        <v>34</v>
      </c>
      <c r="B116" s="185" t="s">
        <v>196</v>
      </c>
      <c r="C116" s="186"/>
      <c r="D116" s="187"/>
      <c r="E116" s="188">
        <v>98000</v>
      </c>
      <c r="F116" s="188" t="s">
        <v>309</v>
      </c>
      <c r="G116" s="50" t="s">
        <v>197</v>
      </c>
      <c r="H116" s="51" t="s">
        <v>198</v>
      </c>
      <c r="I116" s="108">
        <v>61468.44</v>
      </c>
      <c r="J116" s="108">
        <v>0</v>
      </c>
      <c r="K116" s="108">
        <f t="shared" ref="K116:K119" si="38">I116+J116</f>
        <v>61468.44</v>
      </c>
      <c r="L116" s="108"/>
      <c r="M116" s="108"/>
      <c r="N116" s="108"/>
      <c r="O116" s="108"/>
      <c r="P116" s="108"/>
      <c r="Q116" s="108">
        <f>M116-O116</f>
        <v>0</v>
      </c>
      <c r="R116" s="108"/>
      <c r="S116" s="94">
        <f>K116-L116-M116-N116-O116+R116-Q116</f>
        <v>61468.44</v>
      </c>
      <c r="T116" s="94">
        <v>0</v>
      </c>
      <c r="U116" s="94">
        <f>S116</f>
        <v>61468.44</v>
      </c>
      <c r="V116" s="94">
        <v>0</v>
      </c>
      <c r="W116" s="94">
        <f>S116+T116-U116-V116</f>
        <v>0</v>
      </c>
      <c r="X116" s="145"/>
    </row>
    <row r="117" s="1" customFormat="1" ht="36" customHeight="1" spans="1:24">
      <c r="A117" s="178"/>
      <c r="B117" s="189"/>
      <c r="C117" s="190"/>
      <c r="D117" s="191"/>
      <c r="E117" s="192"/>
      <c r="F117" s="193" t="s">
        <v>310</v>
      </c>
      <c r="G117" s="53"/>
      <c r="H117" s="194"/>
      <c r="I117" s="109"/>
      <c r="J117" s="109"/>
      <c r="K117" s="109">
        <f t="shared" si="38"/>
        <v>0</v>
      </c>
      <c r="L117" s="109"/>
      <c r="M117" s="109"/>
      <c r="N117" s="109"/>
      <c r="O117" s="109"/>
      <c r="P117" s="109"/>
      <c r="Q117" s="109"/>
      <c r="R117" s="109"/>
      <c r="S117" s="101"/>
      <c r="T117" s="101"/>
      <c r="U117" s="210"/>
      <c r="V117" s="210"/>
      <c r="W117" s="101"/>
      <c r="X117" s="145"/>
    </row>
    <row r="118" s="1" customFormat="1" ht="36" customHeight="1" spans="1:24">
      <c r="A118" s="178"/>
      <c r="B118" s="189"/>
      <c r="C118" s="190"/>
      <c r="D118" s="191"/>
      <c r="E118" s="192"/>
      <c r="F118" s="195"/>
      <c r="G118" s="53"/>
      <c r="H118" s="194"/>
      <c r="I118" s="109"/>
      <c r="J118" s="109"/>
      <c r="K118" s="109">
        <f t="shared" si="38"/>
        <v>0</v>
      </c>
      <c r="L118" s="109"/>
      <c r="M118" s="109"/>
      <c r="N118" s="109"/>
      <c r="O118" s="109"/>
      <c r="P118" s="109"/>
      <c r="Q118" s="109"/>
      <c r="R118" s="109"/>
      <c r="S118" s="101"/>
      <c r="T118" s="101"/>
      <c r="U118" s="210"/>
      <c r="V118" s="210"/>
      <c r="W118" s="101"/>
      <c r="X118" s="145"/>
    </row>
    <row r="119" s="1" customFormat="1" ht="36" customHeight="1" spans="1:24">
      <c r="A119" s="178"/>
      <c r="B119" s="189"/>
      <c r="C119" s="190"/>
      <c r="D119" s="191"/>
      <c r="E119" s="192"/>
      <c r="F119" s="195"/>
      <c r="G119" s="53"/>
      <c r="H119" s="194"/>
      <c r="I119" s="109"/>
      <c r="J119" s="109"/>
      <c r="K119" s="109">
        <f t="shared" si="38"/>
        <v>0</v>
      </c>
      <c r="L119" s="109"/>
      <c r="M119" s="109"/>
      <c r="N119" s="109"/>
      <c r="O119" s="109"/>
      <c r="P119" s="109"/>
      <c r="Q119" s="109"/>
      <c r="R119" s="109"/>
      <c r="S119" s="101"/>
      <c r="T119" s="101"/>
      <c r="U119" s="210"/>
      <c r="V119" s="210"/>
      <c r="W119" s="101"/>
      <c r="X119" s="145"/>
    </row>
    <row r="120" s="1" customFormat="1" ht="36" customHeight="1" spans="1:24">
      <c r="A120" s="43">
        <v>35</v>
      </c>
      <c r="B120" s="185" t="s">
        <v>199</v>
      </c>
      <c r="C120" s="186"/>
      <c r="D120" s="187"/>
      <c r="E120" s="192"/>
      <c r="F120" s="192" t="s">
        <v>309</v>
      </c>
      <c r="G120" s="196" t="s">
        <v>248</v>
      </c>
      <c r="H120" s="197" t="s">
        <v>200</v>
      </c>
      <c r="I120" s="188">
        <f>630506.8-220</f>
        <v>630286.8</v>
      </c>
      <c r="J120" s="108"/>
      <c r="K120" s="108">
        <f t="shared" ref="K120:K124" si="39">J120+I120</f>
        <v>630286.8</v>
      </c>
      <c r="L120" s="108"/>
      <c r="M120" s="108"/>
      <c r="N120" s="108"/>
      <c r="O120" s="108"/>
      <c r="P120" s="108"/>
      <c r="Q120" s="108"/>
      <c r="R120" s="108"/>
      <c r="S120" s="94">
        <v>630286.8</v>
      </c>
      <c r="T120" s="94"/>
      <c r="U120" s="211">
        <f t="shared" ref="U120:U123" si="40">S120</f>
        <v>630286.8</v>
      </c>
      <c r="V120" s="211"/>
      <c r="W120" s="101">
        <f>S120+T120-U120-V120+S121-U121</f>
        <v>0</v>
      </c>
      <c r="X120" s="174"/>
    </row>
    <row r="121" s="1" customFormat="1" ht="36" customHeight="1" spans="1:24">
      <c r="A121" s="48"/>
      <c r="B121" s="189"/>
      <c r="C121" s="190"/>
      <c r="D121" s="191"/>
      <c r="E121" s="198"/>
      <c r="F121" s="198"/>
      <c r="G121" s="196"/>
      <c r="H121" s="197" t="s">
        <v>201</v>
      </c>
      <c r="I121" s="188">
        <v>-6746.65</v>
      </c>
      <c r="J121" s="108"/>
      <c r="K121" s="108">
        <f t="shared" ref="K121:K126" si="41">I121+J121</f>
        <v>-6746.65</v>
      </c>
      <c r="L121" s="108"/>
      <c r="M121" s="108"/>
      <c r="N121" s="108"/>
      <c r="O121" s="108"/>
      <c r="P121" s="108"/>
      <c r="Q121" s="108"/>
      <c r="R121" s="108"/>
      <c r="S121" s="94">
        <v>-6746.65</v>
      </c>
      <c r="T121" s="94"/>
      <c r="U121" s="211">
        <v>-6746.65</v>
      </c>
      <c r="V121" s="211"/>
      <c r="W121" s="94">
        <f t="shared" ref="W121:W126" si="42">S121+T121-U121-V121</f>
        <v>0</v>
      </c>
      <c r="X121" s="145"/>
    </row>
    <row r="122" s="1" customFormat="1" ht="36" customHeight="1" spans="1:24">
      <c r="A122" s="48"/>
      <c r="B122" s="189"/>
      <c r="C122" s="190"/>
      <c r="D122" s="191"/>
      <c r="E122" s="198"/>
      <c r="F122" s="199"/>
      <c r="G122" s="196"/>
      <c r="H122" s="197" t="s">
        <v>202</v>
      </c>
      <c r="I122" s="204">
        <f>1133+220</f>
        <v>1353</v>
      </c>
      <c r="J122" s="108"/>
      <c r="K122" s="108">
        <f t="shared" si="41"/>
        <v>1353</v>
      </c>
      <c r="L122" s="108"/>
      <c r="M122" s="108"/>
      <c r="N122" s="108"/>
      <c r="O122" s="108"/>
      <c r="P122" s="108"/>
      <c r="Q122" s="108"/>
      <c r="R122" s="108"/>
      <c r="S122" s="94">
        <v>1353</v>
      </c>
      <c r="T122" s="94"/>
      <c r="U122" s="211">
        <f t="shared" si="40"/>
        <v>1353</v>
      </c>
      <c r="V122" s="211"/>
      <c r="W122" s="94">
        <f t="shared" si="42"/>
        <v>0</v>
      </c>
      <c r="X122" s="145"/>
    </row>
    <row r="123" s="1" customFormat="1" ht="36" customHeight="1" spans="1:24">
      <c r="A123" s="48"/>
      <c r="B123" s="189"/>
      <c r="C123" s="190"/>
      <c r="D123" s="191"/>
      <c r="E123" s="198"/>
      <c r="F123" s="193" t="s">
        <v>310</v>
      </c>
      <c r="G123" s="193" t="s">
        <v>311</v>
      </c>
      <c r="H123" s="200" t="s">
        <v>200</v>
      </c>
      <c r="I123" s="205">
        <v>476200.01</v>
      </c>
      <c r="J123" s="109"/>
      <c r="K123" s="109">
        <f t="shared" si="39"/>
        <v>476200.01</v>
      </c>
      <c r="L123" s="109"/>
      <c r="M123" s="109"/>
      <c r="N123" s="109"/>
      <c r="O123" s="109"/>
      <c r="P123" s="109"/>
      <c r="Q123" s="109"/>
      <c r="R123" s="109"/>
      <c r="S123" s="101">
        <v>476200.01</v>
      </c>
      <c r="T123" s="101"/>
      <c r="U123" s="102">
        <f t="shared" si="40"/>
        <v>476200.01</v>
      </c>
      <c r="V123" s="102"/>
      <c r="W123" s="101">
        <f t="shared" si="42"/>
        <v>0</v>
      </c>
      <c r="X123" s="174"/>
    </row>
    <row r="124" s="1" customFormat="1" ht="36" customHeight="1" spans="1:24">
      <c r="A124" s="153"/>
      <c r="B124" s="189"/>
      <c r="C124" s="190"/>
      <c r="D124" s="191"/>
      <c r="E124" s="198"/>
      <c r="F124" s="195"/>
      <c r="G124" s="201"/>
      <c r="H124" s="200" t="s">
        <v>202</v>
      </c>
      <c r="I124" s="205">
        <v>832.96</v>
      </c>
      <c r="J124" s="109"/>
      <c r="K124" s="109">
        <f t="shared" si="39"/>
        <v>832.96</v>
      </c>
      <c r="L124" s="109"/>
      <c r="M124" s="109"/>
      <c r="N124" s="109"/>
      <c r="O124" s="109"/>
      <c r="P124" s="109"/>
      <c r="Q124" s="109"/>
      <c r="R124" s="109"/>
      <c r="S124" s="101">
        <v>832.96</v>
      </c>
      <c r="T124" s="101"/>
      <c r="U124" s="102">
        <v>832.96</v>
      </c>
      <c r="V124" s="102"/>
      <c r="W124" s="102">
        <f t="shared" si="42"/>
        <v>0</v>
      </c>
      <c r="X124" s="145"/>
    </row>
    <row r="125" s="1" customFormat="1" ht="36" customHeight="1" spans="1:24">
      <c r="A125" s="153"/>
      <c r="B125" s="189"/>
      <c r="C125" s="190"/>
      <c r="D125" s="191"/>
      <c r="E125" s="198"/>
      <c r="F125" s="195"/>
      <c r="G125" s="193" t="s">
        <v>336</v>
      </c>
      <c r="H125" s="200" t="s">
        <v>200</v>
      </c>
      <c r="I125" s="205">
        <v>446922.22</v>
      </c>
      <c r="J125" s="109"/>
      <c r="K125" s="109">
        <f t="shared" si="41"/>
        <v>446922.22</v>
      </c>
      <c r="L125" s="109"/>
      <c r="M125" s="109"/>
      <c r="N125" s="109"/>
      <c r="O125" s="109"/>
      <c r="P125" s="109"/>
      <c r="Q125" s="109"/>
      <c r="R125" s="109"/>
      <c r="S125" s="101">
        <f t="shared" ref="S125:S129" si="43">K125</f>
        <v>446922.22</v>
      </c>
      <c r="T125" s="101"/>
      <c r="U125" s="102">
        <f>S125</f>
        <v>446922.22</v>
      </c>
      <c r="V125" s="102"/>
      <c r="W125" s="102">
        <f t="shared" si="42"/>
        <v>0</v>
      </c>
      <c r="X125" s="145"/>
    </row>
    <row r="126" s="1" customFormat="1" ht="36" customHeight="1" spans="1:24">
      <c r="A126" s="153"/>
      <c r="B126" s="189"/>
      <c r="C126" s="190"/>
      <c r="D126" s="191"/>
      <c r="E126" s="199"/>
      <c r="F126" s="195"/>
      <c r="G126" s="201"/>
      <c r="H126" s="200" t="s">
        <v>202</v>
      </c>
      <c r="I126" s="205">
        <v>200</v>
      </c>
      <c r="J126" s="109"/>
      <c r="K126" s="109">
        <f t="shared" si="41"/>
        <v>200</v>
      </c>
      <c r="L126" s="109"/>
      <c r="M126" s="109"/>
      <c r="N126" s="109"/>
      <c r="O126" s="109"/>
      <c r="P126" s="109"/>
      <c r="Q126" s="109"/>
      <c r="R126" s="109"/>
      <c r="S126" s="101">
        <f t="shared" si="43"/>
        <v>200</v>
      </c>
      <c r="T126" s="101"/>
      <c r="U126" s="102">
        <v>200</v>
      </c>
      <c r="V126" s="102"/>
      <c r="W126" s="102">
        <f t="shared" si="42"/>
        <v>0</v>
      </c>
      <c r="X126" s="145"/>
    </row>
    <row r="127" s="1" customFormat="1" ht="36" customHeight="1" spans="1:24">
      <c r="A127" s="153"/>
      <c r="B127" s="189"/>
      <c r="C127" s="190"/>
      <c r="D127" s="191"/>
      <c r="E127" s="199"/>
      <c r="F127" s="195"/>
      <c r="G127" s="193" t="s">
        <v>362</v>
      </c>
      <c r="H127" s="200" t="s">
        <v>200</v>
      </c>
      <c r="I127" s="205">
        <v>480822.22</v>
      </c>
      <c r="J127" s="109"/>
      <c r="K127" s="109">
        <f>J127+I127</f>
        <v>480822.22</v>
      </c>
      <c r="L127" s="109"/>
      <c r="M127" s="109"/>
      <c r="N127" s="109"/>
      <c r="O127" s="109"/>
      <c r="P127" s="109"/>
      <c r="Q127" s="109"/>
      <c r="R127" s="109"/>
      <c r="S127" s="101">
        <f t="shared" si="43"/>
        <v>480822.22</v>
      </c>
      <c r="T127" s="101"/>
      <c r="U127" s="102"/>
      <c r="V127" s="102"/>
      <c r="W127" s="102">
        <v>172600</v>
      </c>
      <c r="X127" s="145"/>
    </row>
    <row r="128" s="1" customFormat="1" ht="36" customHeight="1" spans="1:24">
      <c r="A128" s="153"/>
      <c r="B128" s="189"/>
      <c r="C128" s="190"/>
      <c r="D128" s="191"/>
      <c r="E128" s="199"/>
      <c r="F128" s="195"/>
      <c r="G128" s="201"/>
      <c r="H128" s="200" t="s">
        <v>201</v>
      </c>
      <c r="I128" s="205">
        <f>-4185.98</f>
        <v>-4185.98</v>
      </c>
      <c r="J128" s="109"/>
      <c r="K128" s="109">
        <f>I128</f>
        <v>-4185.98</v>
      </c>
      <c r="L128" s="109"/>
      <c r="M128" s="109"/>
      <c r="N128" s="109"/>
      <c r="O128" s="109"/>
      <c r="P128" s="109"/>
      <c r="Q128" s="109"/>
      <c r="R128" s="109"/>
      <c r="S128" s="101">
        <f t="shared" si="43"/>
        <v>-4185.98</v>
      </c>
      <c r="T128" s="101"/>
      <c r="U128" s="102"/>
      <c r="V128" s="102"/>
      <c r="W128" s="102"/>
      <c r="X128" s="145"/>
    </row>
    <row r="129" s="1" customFormat="1" ht="36" customHeight="1" spans="1:24">
      <c r="A129" s="153"/>
      <c r="B129" s="189"/>
      <c r="C129" s="190"/>
      <c r="D129" s="191"/>
      <c r="E129" s="199"/>
      <c r="F129" s="195"/>
      <c r="G129" s="212" t="s">
        <v>383</v>
      </c>
      <c r="H129" s="200" t="s">
        <v>200</v>
      </c>
      <c r="I129" s="205">
        <v>351860.25</v>
      </c>
      <c r="J129" s="109"/>
      <c r="K129" s="109">
        <f>I129</f>
        <v>351860.25</v>
      </c>
      <c r="L129" s="109"/>
      <c r="M129" s="109"/>
      <c r="N129" s="109"/>
      <c r="O129" s="109"/>
      <c r="P129" s="109"/>
      <c r="Q129" s="109"/>
      <c r="R129" s="109"/>
      <c r="S129" s="101">
        <f t="shared" si="43"/>
        <v>351860.25</v>
      </c>
      <c r="T129" s="101"/>
      <c r="U129" s="102"/>
      <c r="V129" s="102"/>
      <c r="W129" s="102">
        <f>S129</f>
        <v>351860.25</v>
      </c>
      <c r="X129" s="145"/>
    </row>
    <row r="130" s="1" customFormat="1" ht="36" customHeight="1" spans="1:24">
      <c r="A130" s="153"/>
      <c r="B130" s="189"/>
      <c r="C130" s="190"/>
      <c r="D130" s="191"/>
      <c r="E130" s="199"/>
      <c r="F130" s="195"/>
      <c r="G130" s="212" t="s">
        <v>422</v>
      </c>
      <c r="H130" s="200" t="s">
        <v>200</v>
      </c>
      <c r="I130" s="205">
        <f>456616.98+27084.45</f>
        <v>483701.43</v>
      </c>
      <c r="J130" s="109"/>
      <c r="K130" s="109">
        <f>I130+J130</f>
        <v>483701.43</v>
      </c>
      <c r="L130" s="109"/>
      <c r="M130" s="109"/>
      <c r="N130" s="109"/>
      <c r="O130" s="109"/>
      <c r="P130" s="109"/>
      <c r="Q130" s="109"/>
      <c r="R130" s="109"/>
      <c r="S130" s="101"/>
      <c r="T130" s="101"/>
      <c r="U130" s="102"/>
      <c r="V130" s="102"/>
      <c r="W130" s="102"/>
      <c r="X130" s="145"/>
    </row>
    <row r="131" s="1" customFormat="1" ht="36" customHeight="1" spans="1:24">
      <c r="A131" s="153"/>
      <c r="B131" s="189"/>
      <c r="C131" s="190"/>
      <c r="D131" s="191"/>
      <c r="E131" s="199"/>
      <c r="F131" s="195"/>
      <c r="G131" s="201" t="s">
        <v>485</v>
      </c>
      <c r="H131" s="200" t="s">
        <v>200</v>
      </c>
      <c r="I131" s="205">
        <f>-928183.61</f>
        <v>-928183.61</v>
      </c>
      <c r="J131" s="109"/>
      <c r="K131" s="109">
        <f>I131+J131</f>
        <v>-928183.61</v>
      </c>
      <c r="L131" s="109"/>
      <c r="M131" s="109"/>
      <c r="N131" s="109"/>
      <c r="O131" s="109"/>
      <c r="P131" s="109"/>
      <c r="Q131" s="109"/>
      <c r="R131" s="109"/>
      <c r="S131" s="101"/>
      <c r="T131" s="101"/>
      <c r="U131" s="102"/>
      <c r="V131" s="102"/>
      <c r="W131" s="102"/>
      <c r="X131" s="145"/>
    </row>
    <row r="132" s="1" customFormat="1" ht="36" customHeight="1" spans="1:24">
      <c r="A132" s="153"/>
      <c r="B132" s="189"/>
      <c r="C132" s="190"/>
      <c r="D132" s="191"/>
      <c r="E132" s="199"/>
      <c r="F132" s="195"/>
      <c r="G132" s="201"/>
      <c r="H132" s="200"/>
      <c r="I132" s="205"/>
      <c r="J132" s="109"/>
      <c r="K132" s="109"/>
      <c r="L132" s="109"/>
      <c r="M132" s="109"/>
      <c r="N132" s="109"/>
      <c r="O132" s="109"/>
      <c r="P132" s="109"/>
      <c r="Q132" s="109"/>
      <c r="R132" s="109"/>
      <c r="S132" s="101"/>
      <c r="T132" s="101"/>
      <c r="U132" s="102"/>
      <c r="V132" s="102"/>
      <c r="W132" s="102"/>
      <c r="X132" s="145"/>
    </row>
    <row r="133" s="1" customFormat="1" ht="36" customHeight="1" spans="1:24">
      <c r="A133" s="153"/>
      <c r="B133" s="189"/>
      <c r="C133" s="190"/>
      <c r="D133" s="191"/>
      <c r="E133" s="199"/>
      <c r="F133" s="195"/>
      <c r="G133" s="201"/>
      <c r="H133" s="200"/>
      <c r="I133" s="200"/>
      <c r="J133" s="200"/>
      <c r="K133" s="109"/>
      <c r="L133" s="109"/>
      <c r="M133" s="109"/>
      <c r="N133" s="109"/>
      <c r="O133" s="109"/>
      <c r="P133" s="109"/>
      <c r="Q133" s="109"/>
      <c r="R133" s="109"/>
      <c r="S133" s="101"/>
      <c r="T133" s="101"/>
      <c r="U133" s="102"/>
      <c r="V133" s="102"/>
      <c r="W133" s="102"/>
      <c r="X133" s="145"/>
    </row>
    <row r="134" s="1" customFormat="1" ht="36" customHeight="1" spans="1:24">
      <c r="A134" s="153"/>
      <c r="B134" s="213"/>
      <c r="C134" s="214"/>
      <c r="D134" s="215"/>
      <c r="E134" s="199"/>
      <c r="F134" s="201"/>
      <c r="G134" s="201"/>
      <c r="H134" s="200"/>
      <c r="I134" s="205"/>
      <c r="J134" s="109"/>
      <c r="K134" s="109"/>
      <c r="L134" s="109"/>
      <c r="M134" s="109"/>
      <c r="N134" s="109"/>
      <c r="O134" s="109"/>
      <c r="P134" s="109"/>
      <c r="Q134" s="109"/>
      <c r="R134" s="109"/>
      <c r="S134" s="101"/>
      <c r="T134" s="101"/>
      <c r="U134" s="102"/>
      <c r="V134" s="102"/>
      <c r="W134" s="102"/>
      <c r="X134" s="145"/>
    </row>
    <row r="135" s="1" customFormat="1" ht="36" customHeight="1" spans="1:24">
      <c r="A135" s="156">
        <v>36</v>
      </c>
      <c r="B135" s="216" t="s">
        <v>312</v>
      </c>
      <c r="C135" s="217"/>
      <c r="D135" s="218"/>
      <c r="E135" s="188"/>
      <c r="F135" s="188"/>
      <c r="G135" s="219"/>
      <c r="H135" s="188"/>
      <c r="I135" s="108">
        <f>SUM(I136:I184)</f>
        <v>2078339.98</v>
      </c>
      <c r="J135" s="108">
        <f>SUM(J136:J192)</f>
        <v>235072.670000001</v>
      </c>
      <c r="K135" s="108">
        <f>SUM(K136:K192)</f>
        <v>2695553.84</v>
      </c>
      <c r="L135" s="108">
        <f t="shared" ref="L135:O135" si="44">L136+L143+L148+L149+L156</f>
        <v>0</v>
      </c>
      <c r="M135" s="108">
        <f t="shared" si="44"/>
        <v>0</v>
      </c>
      <c r="N135" s="108">
        <f t="shared" si="44"/>
        <v>0</v>
      </c>
      <c r="O135" s="108">
        <f t="shared" si="44"/>
        <v>0</v>
      </c>
      <c r="P135" s="108"/>
      <c r="Q135" s="108"/>
      <c r="R135" s="108">
        <f>R136+R143+R148+R149+R156</f>
        <v>0</v>
      </c>
      <c r="S135" s="108">
        <f t="shared" ref="S135:S137" si="45">K135-L135-M135-N135-O135+R135-Q135</f>
        <v>2695553.84</v>
      </c>
      <c r="T135" s="108"/>
      <c r="U135" s="108">
        <f t="shared" ref="U135:U141" si="46">S135</f>
        <v>2695553.84</v>
      </c>
      <c r="V135" s="108"/>
      <c r="W135" s="108">
        <f t="shared" ref="W135:W144" si="47">S135+T135-U135-V135</f>
        <v>0</v>
      </c>
      <c r="X135" s="145"/>
    </row>
    <row r="136" s="19" customFormat="1" ht="36" customHeight="1" spans="1:24">
      <c r="A136" s="175"/>
      <c r="B136" s="220" t="s">
        <v>205</v>
      </c>
      <c r="C136" s="221"/>
      <c r="D136" s="222"/>
      <c r="E136" s="45"/>
      <c r="F136" s="46" t="s">
        <v>295</v>
      </c>
      <c r="G136" s="145" t="s">
        <v>206</v>
      </c>
      <c r="H136" s="94"/>
      <c r="I136" s="94">
        <v>46517</v>
      </c>
      <c r="J136" s="94">
        <v>0</v>
      </c>
      <c r="K136" s="94">
        <f t="shared" ref="K136:K141" si="48">J136+I136</f>
        <v>46517</v>
      </c>
      <c r="L136" s="235"/>
      <c r="M136" s="235"/>
      <c r="N136" s="235"/>
      <c r="O136" s="237"/>
      <c r="P136" s="237"/>
      <c r="Q136" s="237"/>
      <c r="R136" s="94"/>
      <c r="S136" s="94">
        <f t="shared" si="45"/>
        <v>46517</v>
      </c>
      <c r="T136" s="94"/>
      <c r="U136" s="94">
        <f t="shared" si="46"/>
        <v>46517</v>
      </c>
      <c r="V136" s="94"/>
      <c r="W136" s="94">
        <f t="shared" si="47"/>
        <v>0</v>
      </c>
      <c r="X136" s="145"/>
    </row>
    <row r="137" s="19" customFormat="1" ht="36" customHeight="1" spans="1:24">
      <c r="A137" s="175"/>
      <c r="B137" s="223"/>
      <c r="C137" s="224"/>
      <c r="D137" s="225"/>
      <c r="E137" s="49"/>
      <c r="F137" s="46"/>
      <c r="G137" s="145" t="s">
        <v>207</v>
      </c>
      <c r="H137" s="94"/>
      <c r="I137" s="94">
        <v>30516</v>
      </c>
      <c r="J137" s="94">
        <v>0</v>
      </c>
      <c r="K137" s="94">
        <f t="shared" si="48"/>
        <v>30516</v>
      </c>
      <c r="L137" s="235"/>
      <c r="M137" s="235"/>
      <c r="N137" s="235"/>
      <c r="O137" s="237"/>
      <c r="P137" s="237"/>
      <c r="Q137" s="237"/>
      <c r="R137" s="94"/>
      <c r="S137" s="94">
        <f t="shared" si="45"/>
        <v>30516</v>
      </c>
      <c r="T137" s="94"/>
      <c r="U137" s="94">
        <f t="shared" si="46"/>
        <v>30516</v>
      </c>
      <c r="V137" s="94"/>
      <c r="W137" s="94">
        <f t="shared" si="47"/>
        <v>0</v>
      </c>
      <c r="X137" s="145"/>
    </row>
    <row r="138" s="19" customFormat="1" ht="36" customHeight="1" spans="1:24">
      <c r="A138" s="175"/>
      <c r="B138" s="223"/>
      <c r="C138" s="224"/>
      <c r="D138" s="225"/>
      <c r="E138" s="49"/>
      <c r="F138" s="52" t="s">
        <v>296</v>
      </c>
      <c r="G138" s="174" t="s">
        <v>313</v>
      </c>
      <c r="H138" s="101"/>
      <c r="I138" s="101">
        <v>13017</v>
      </c>
      <c r="J138" s="101"/>
      <c r="K138" s="101">
        <f t="shared" si="48"/>
        <v>13017</v>
      </c>
      <c r="L138" s="238"/>
      <c r="M138" s="238"/>
      <c r="N138" s="238"/>
      <c r="O138" s="239"/>
      <c r="P138" s="239"/>
      <c r="Q138" s="239"/>
      <c r="R138" s="101"/>
      <c r="S138" s="101">
        <f t="shared" ref="S138:S141" si="49">K138</f>
        <v>13017</v>
      </c>
      <c r="T138" s="101"/>
      <c r="U138" s="101">
        <f t="shared" si="46"/>
        <v>13017</v>
      </c>
      <c r="V138" s="101"/>
      <c r="W138" s="101">
        <f t="shared" si="47"/>
        <v>0</v>
      </c>
      <c r="X138" s="145"/>
    </row>
    <row r="139" s="19" customFormat="1" ht="36" customHeight="1" spans="1:24">
      <c r="A139" s="175"/>
      <c r="B139" s="223"/>
      <c r="C139" s="224"/>
      <c r="D139" s="225"/>
      <c r="E139" s="49"/>
      <c r="F139" s="52"/>
      <c r="G139" s="174" t="s">
        <v>337</v>
      </c>
      <c r="H139" s="101"/>
      <c r="I139" s="101">
        <v>1700</v>
      </c>
      <c r="J139" s="101"/>
      <c r="K139" s="101">
        <f t="shared" si="48"/>
        <v>1700</v>
      </c>
      <c r="L139" s="238"/>
      <c r="M139" s="238"/>
      <c r="N139" s="238"/>
      <c r="O139" s="239"/>
      <c r="P139" s="239"/>
      <c r="Q139" s="239"/>
      <c r="R139" s="101"/>
      <c r="S139" s="101">
        <f t="shared" si="49"/>
        <v>1700</v>
      </c>
      <c r="T139" s="101"/>
      <c r="U139" s="101">
        <f t="shared" si="46"/>
        <v>1700</v>
      </c>
      <c r="V139" s="101"/>
      <c r="W139" s="101">
        <f t="shared" si="47"/>
        <v>0</v>
      </c>
      <c r="X139" s="145"/>
    </row>
    <row r="140" s="19" customFormat="1" ht="36" customHeight="1" spans="1:24">
      <c r="A140" s="175"/>
      <c r="B140" s="223"/>
      <c r="C140" s="224"/>
      <c r="D140" s="225"/>
      <c r="E140" s="49"/>
      <c r="F140" s="52"/>
      <c r="G140" s="174" t="s">
        <v>363</v>
      </c>
      <c r="H140" s="101"/>
      <c r="I140" s="101">
        <v>10747</v>
      </c>
      <c r="J140" s="101"/>
      <c r="K140" s="101">
        <f t="shared" si="48"/>
        <v>10747</v>
      </c>
      <c r="L140" s="238"/>
      <c r="M140" s="238"/>
      <c r="N140" s="238"/>
      <c r="O140" s="239"/>
      <c r="P140" s="239"/>
      <c r="Q140" s="239"/>
      <c r="R140" s="101"/>
      <c r="S140" s="101">
        <f t="shared" si="49"/>
        <v>10747</v>
      </c>
      <c r="T140" s="101"/>
      <c r="U140" s="101">
        <f t="shared" si="46"/>
        <v>10747</v>
      </c>
      <c r="V140" s="101"/>
      <c r="W140" s="101">
        <f t="shared" si="47"/>
        <v>0</v>
      </c>
      <c r="X140" s="145"/>
    </row>
    <row r="141" s="19" customFormat="1" ht="36" customHeight="1" spans="1:24">
      <c r="A141" s="175"/>
      <c r="B141" s="223"/>
      <c r="C141" s="224"/>
      <c r="D141" s="225"/>
      <c r="E141" s="49"/>
      <c r="F141" s="52"/>
      <c r="G141" s="174" t="s">
        <v>384</v>
      </c>
      <c r="H141" s="101"/>
      <c r="I141" s="101">
        <v>3699</v>
      </c>
      <c r="J141" s="101"/>
      <c r="K141" s="101">
        <f t="shared" si="48"/>
        <v>3699</v>
      </c>
      <c r="L141" s="238"/>
      <c r="M141" s="238"/>
      <c r="N141" s="238"/>
      <c r="O141" s="239"/>
      <c r="P141" s="239"/>
      <c r="Q141" s="239"/>
      <c r="R141" s="101"/>
      <c r="S141" s="101">
        <f t="shared" si="49"/>
        <v>3699</v>
      </c>
      <c r="T141" s="101"/>
      <c r="U141" s="101">
        <f t="shared" si="46"/>
        <v>3699</v>
      </c>
      <c r="V141" s="101"/>
      <c r="W141" s="101">
        <f t="shared" si="47"/>
        <v>0</v>
      </c>
      <c r="X141" s="145"/>
    </row>
    <row r="142" s="19" customFormat="1" ht="36" customHeight="1" spans="1:24">
      <c r="A142" s="175"/>
      <c r="B142" s="223"/>
      <c r="C142" s="224"/>
      <c r="D142" s="225"/>
      <c r="E142" s="49"/>
      <c r="F142" s="52"/>
      <c r="G142" s="174"/>
      <c r="H142" s="101"/>
      <c r="I142" s="101"/>
      <c r="J142" s="101"/>
      <c r="K142" s="101"/>
      <c r="L142" s="238"/>
      <c r="M142" s="238"/>
      <c r="N142" s="238"/>
      <c r="O142" s="239"/>
      <c r="P142" s="239"/>
      <c r="Q142" s="239"/>
      <c r="R142" s="101"/>
      <c r="S142" s="101"/>
      <c r="T142" s="101"/>
      <c r="U142" s="101"/>
      <c r="V142" s="101"/>
      <c r="W142" s="101">
        <f t="shared" si="47"/>
        <v>0</v>
      </c>
      <c r="X142" s="145"/>
    </row>
    <row r="143" s="19" customFormat="1" ht="36" customHeight="1" spans="1:24">
      <c r="A143" s="175"/>
      <c r="B143" s="220" t="s">
        <v>208</v>
      </c>
      <c r="C143" s="221"/>
      <c r="D143" s="222"/>
      <c r="E143" s="45"/>
      <c r="F143" s="46" t="s">
        <v>295</v>
      </c>
      <c r="G143" s="145" t="s">
        <v>206</v>
      </c>
      <c r="H143" s="94"/>
      <c r="I143" s="94">
        <f>287.12</f>
        <v>287.12</v>
      </c>
      <c r="J143" s="94">
        <v>2.88</v>
      </c>
      <c r="K143" s="94">
        <f t="shared" ref="K143:K148" si="50">J143+I143</f>
        <v>290</v>
      </c>
      <c r="L143" s="94"/>
      <c r="M143" s="94"/>
      <c r="N143" s="94"/>
      <c r="O143" s="94"/>
      <c r="P143" s="94"/>
      <c r="Q143" s="94"/>
      <c r="R143" s="94"/>
      <c r="S143" s="94">
        <f>K143-L143-M143-N143-O143+R143-Q143</f>
        <v>290</v>
      </c>
      <c r="T143" s="94"/>
      <c r="U143" s="94">
        <f t="shared" ref="U143:U154" si="51">S143</f>
        <v>290</v>
      </c>
      <c r="V143" s="94"/>
      <c r="W143" s="94">
        <f t="shared" si="47"/>
        <v>0</v>
      </c>
      <c r="X143" s="145"/>
    </row>
    <row r="144" s="19" customFormat="1" ht="36" customHeight="1" spans="1:24">
      <c r="A144" s="175"/>
      <c r="B144" s="223"/>
      <c r="C144" s="224"/>
      <c r="D144" s="225"/>
      <c r="E144" s="49"/>
      <c r="F144" s="52" t="s">
        <v>296</v>
      </c>
      <c r="G144" s="174" t="s">
        <v>337</v>
      </c>
      <c r="H144" s="226"/>
      <c r="I144" s="109"/>
      <c r="J144" s="109"/>
      <c r="K144" s="101">
        <f t="shared" si="50"/>
        <v>0</v>
      </c>
      <c r="L144" s="101"/>
      <c r="M144" s="101"/>
      <c r="N144" s="101"/>
      <c r="O144" s="101"/>
      <c r="P144" s="101"/>
      <c r="Q144" s="101"/>
      <c r="R144" s="101"/>
      <c r="S144" s="101">
        <f>K144</f>
        <v>0</v>
      </c>
      <c r="T144" s="101"/>
      <c r="U144" s="101">
        <f t="shared" si="51"/>
        <v>0</v>
      </c>
      <c r="V144" s="101"/>
      <c r="W144" s="101">
        <f t="shared" si="47"/>
        <v>0</v>
      </c>
      <c r="X144" s="145"/>
    </row>
    <row r="145" s="19" customFormat="1" ht="36" customHeight="1" spans="1:24">
      <c r="A145" s="175"/>
      <c r="B145" s="223"/>
      <c r="C145" s="224"/>
      <c r="D145" s="225"/>
      <c r="E145" s="49"/>
      <c r="F145" s="52"/>
      <c r="G145" s="174"/>
      <c r="H145" s="101"/>
      <c r="I145" s="101"/>
      <c r="J145" s="101"/>
      <c r="K145" s="101"/>
      <c r="L145" s="101"/>
      <c r="M145" s="101"/>
      <c r="N145" s="101"/>
      <c r="O145" s="101"/>
      <c r="P145" s="101"/>
      <c r="Q145" s="101"/>
      <c r="R145" s="101"/>
      <c r="S145" s="101"/>
      <c r="T145" s="101"/>
      <c r="U145" s="101"/>
      <c r="V145" s="101"/>
      <c r="W145" s="101"/>
      <c r="X145" s="145"/>
    </row>
    <row r="146" s="19" customFormat="1" ht="36" customHeight="1" spans="1:24">
      <c r="A146" s="175"/>
      <c r="B146" s="223"/>
      <c r="C146" s="224"/>
      <c r="D146" s="225"/>
      <c r="E146" s="49"/>
      <c r="F146" s="52"/>
      <c r="G146" s="174"/>
      <c r="H146" s="101"/>
      <c r="I146" s="101"/>
      <c r="J146" s="101"/>
      <c r="K146" s="101"/>
      <c r="L146" s="101"/>
      <c r="M146" s="101"/>
      <c r="N146" s="101"/>
      <c r="O146" s="101"/>
      <c r="P146" s="101"/>
      <c r="Q146" s="101"/>
      <c r="R146" s="101"/>
      <c r="S146" s="101"/>
      <c r="T146" s="101"/>
      <c r="U146" s="101"/>
      <c r="V146" s="101"/>
      <c r="W146" s="101"/>
      <c r="X146" s="145"/>
    </row>
    <row r="147" s="19" customFormat="1" ht="36" customHeight="1" spans="1:24">
      <c r="A147" s="175"/>
      <c r="B147" s="223"/>
      <c r="C147" s="224"/>
      <c r="D147" s="225"/>
      <c r="E147" s="49"/>
      <c r="F147" s="52"/>
      <c r="G147" s="174"/>
      <c r="H147" s="101"/>
      <c r="I147" s="101"/>
      <c r="J147" s="101"/>
      <c r="K147" s="101"/>
      <c r="L147" s="101"/>
      <c r="M147" s="101"/>
      <c r="N147" s="101"/>
      <c r="O147" s="101"/>
      <c r="P147" s="101"/>
      <c r="Q147" s="101"/>
      <c r="R147" s="101"/>
      <c r="S147" s="101"/>
      <c r="T147" s="101"/>
      <c r="U147" s="101"/>
      <c r="V147" s="101"/>
      <c r="W147" s="102"/>
      <c r="X147" s="145"/>
    </row>
    <row r="148" s="19" customFormat="1" ht="36" customHeight="1" spans="1:24">
      <c r="A148" s="175"/>
      <c r="B148" s="227" t="s">
        <v>209</v>
      </c>
      <c r="C148" s="228"/>
      <c r="D148" s="229"/>
      <c r="E148" s="45"/>
      <c r="F148" s="45" t="s">
        <v>295</v>
      </c>
      <c r="G148" s="145" t="s">
        <v>206</v>
      </c>
      <c r="H148" s="94"/>
      <c r="I148" s="94">
        <v>116605.74</v>
      </c>
      <c r="J148" s="94">
        <v>3317.86000000048</v>
      </c>
      <c r="K148" s="94">
        <f t="shared" si="50"/>
        <v>119923.6</v>
      </c>
      <c r="L148" s="94"/>
      <c r="M148" s="94"/>
      <c r="N148" s="94"/>
      <c r="O148" s="94"/>
      <c r="P148" s="94"/>
      <c r="Q148" s="94"/>
      <c r="R148" s="94"/>
      <c r="S148" s="94">
        <f t="shared" ref="S148:S150" si="52">K148-L148-M148-N148-O148+R148-Q148</f>
        <v>119923.6</v>
      </c>
      <c r="T148" s="94"/>
      <c r="U148" s="94">
        <f t="shared" si="51"/>
        <v>119923.6</v>
      </c>
      <c r="V148" s="94"/>
      <c r="W148" s="94">
        <f t="shared" ref="W148:W151" si="53">S148+T148-U148-V148</f>
        <v>0</v>
      </c>
      <c r="X148" s="145"/>
    </row>
    <row r="149" s="19" customFormat="1" ht="36" customHeight="1" spans="1:24">
      <c r="A149" s="175"/>
      <c r="B149" s="230"/>
      <c r="C149" s="231"/>
      <c r="D149" s="232"/>
      <c r="E149" s="49"/>
      <c r="F149" s="49"/>
      <c r="G149" s="45" t="s">
        <v>207</v>
      </c>
      <c r="H149" s="94"/>
      <c r="I149" s="108">
        <v>89025.62</v>
      </c>
      <c r="J149" s="108">
        <f>2148.43-100.78-401.06</f>
        <v>1646.59</v>
      </c>
      <c r="K149" s="94">
        <f>I149+J149</f>
        <v>90672.21</v>
      </c>
      <c r="L149" s="94"/>
      <c r="M149" s="94"/>
      <c r="N149" s="94"/>
      <c r="O149" s="94"/>
      <c r="P149" s="94"/>
      <c r="Q149" s="94"/>
      <c r="R149" s="94"/>
      <c r="S149" s="94">
        <f t="shared" si="52"/>
        <v>90672.21</v>
      </c>
      <c r="T149" s="94"/>
      <c r="U149" s="94">
        <f t="shared" si="51"/>
        <v>90672.21</v>
      </c>
      <c r="V149" s="94"/>
      <c r="W149" s="94">
        <f t="shared" si="53"/>
        <v>0</v>
      </c>
      <c r="X149" s="145"/>
    </row>
    <row r="150" s="19" customFormat="1" ht="36" customHeight="1" spans="1:24">
      <c r="A150" s="175"/>
      <c r="B150" s="230"/>
      <c r="C150" s="231"/>
      <c r="D150" s="232"/>
      <c r="E150" s="49"/>
      <c r="F150" s="49"/>
      <c r="G150" s="81"/>
      <c r="H150" s="233" t="s">
        <v>210</v>
      </c>
      <c r="I150" s="108">
        <v>6579.94</v>
      </c>
      <c r="J150" s="108">
        <f>3620-3408.78+3361-3171.16</f>
        <v>401.06</v>
      </c>
      <c r="K150" s="94">
        <f t="shared" ref="K150:K153" si="54">J150+I150</f>
        <v>6981</v>
      </c>
      <c r="L150" s="94"/>
      <c r="M150" s="94"/>
      <c r="N150" s="94"/>
      <c r="O150" s="94"/>
      <c r="P150" s="94"/>
      <c r="Q150" s="94"/>
      <c r="R150" s="94"/>
      <c r="S150" s="94">
        <f t="shared" si="52"/>
        <v>6981</v>
      </c>
      <c r="T150" s="94"/>
      <c r="U150" s="94">
        <f t="shared" si="51"/>
        <v>6981</v>
      </c>
      <c r="V150" s="94"/>
      <c r="W150" s="94">
        <f t="shared" si="53"/>
        <v>0</v>
      </c>
      <c r="X150" s="145"/>
    </row>
    <row r="151" s="19" customFormat="1" ht="36" customHeight="1" spans="1:24">
      <c r="A151" s="175"/>
      <c r="B151" s="230"/>
      <c r="C151" s="231"/>
      <c r="D151" s="232"/>
      <c r="E151" s="49"/>
      <c r="F151" s="103" t="s">
        <v>296</v>
      </c>
      <c r="G151" s="174" t="s">
        <v>313</v>
      </c>
      <c r="H151" s="226"/>
      <c r="I151" s="109">
        <v>65309.79</v>
      </c>
      <c r="J151" s="109">
        <v>909.39</v>
      </c>
      <c r="K151" s="101">
        <f t="shared" si="54"/>
        <v>66219.18</v>
      </c>
      <c r="L151" s="101"/>
      <c r="M151" s="101"/>
      <c r="N151" s="101"/>
      <c r="O151" s="101"/>
      <c r="P151" s="101"/>
      <c r="Q151" s="101"/>
      <c r="R151" s="101"/>
      <c r="S151" s="101">
        <f t="shared" ref="S151:S154" si="55">K151</f>
        <v>66219.18</v>
      </c>
      <c r="T151" s="101"/>
      <c r="U151" s="101">
        <f t="shared" si="51"/>
        <v>66219.18</v>
      </c>
      <c r="V151" s="101"/>
      <c r="W151" s="101">
        <f t="shared" si="53"/>
        <v>0</v>
      </c>
      <c r="X151" s="145"/>
    </row>
    <row r="152" s="19" customFormat="1" ht="36" customHeight="1" spans="1:24">
      <c r="A152" s="175"/>
      <c r="B152" s="230"/>
      <c r="C152" s="231"/>
      <c r="D152" s="232"/>
      <c r="E152" s="49"/>
      <c r="F152" s="105"/>
      <c r="G152" s="174" t="s">
        <v>337</v>
      </c>
      <c r="H152" s="226"/>
      <c r="I152" s="109">
        <v>9521.42</v>
      </c>
      <c r="J152" s="109">
        <f>810.89-771.11+7.68+790-750.83+15.37+30.37+758.4-721.26+2052-2036.63+591.63</f>
        <v>776.51</v>
      </c>
      <c r="K152" s="101">
        <f t="shared" si="54"/>
        <v>10297.93</v>
      </c>
      <c r="L152" s="101"/>
      <c r="M152" s="101"/>
      <c r="N152" s="101"/>
      <c r="O152" s="101"/>
      <c r="P152" s="101"/>
      <c r="Q152" s="101"/>
      <c r="R152" s="101"/>
      <c r="S152" s="101">
        <f t="shared" si="55"/>
        <v>10297.93</v>
      </c>
      <c r="T152" s="101"/>
      <c r="U152" s="101">
        <f t="shared" si="51"/>
        <v>10297.93</v>
      </c>
      <c r="V152" s="101"/>
      <c r="W152" s="101"/>
      <c r="X152" s="145"/>
    </row>
    <row r="153" s="19" customFormat="1" ht="36" customHeight="1" spans="1:24">
      <c r="A153" s="175"/>
      <c r="B153" s="230"/>
      <c r="C153" s="231"/>
      <c r="D153" s="232"/>
      <c r="E153" s="49"/>
      <c r="F153" s="105"/>
      <c r="G153" s="174" t="s">
        <v>338</v>
      </c>
      <c r="H153" s="226"/>
      <c r="I153" s="109">
        <v>26021.1</v>
      </c>
      <c r="J153" s="109">
        <v>430.410000000149</v>
      </c>
      <c r="K153" s="101">
        <f t="shared" si="54"/>
        <v>26451.5100000001</v>
      </c>
      <c r="L153" s="101"/>
      <c r="M153" s="101"/>
      <c r="N153" s="101"/>
      <c r="O153" s="101"/>
      <c r="P153" s="101"/>
      <c r="Q153" s="101"/>
      <c r="R153" s="101"/>
      <c r="S153" s="101">
        <f t="shared" si="55"/>
        <v>26451.5100000001</v>
      </c>
      <c r="T153" s="101"/>
      <c r="U153" s="101">
        <f t="shared" si="51"/>
        <v>26451.5100000001</v>
      </c>
      <c r="V153" s="101"/>
      <c r="W153" s="101"/>
      <c r="X153" s="145"/>
    </row>
    <row r="154" s="19" customFormat="1" ht="36" customHeight="1" spans="1:24">
      <c r="A154" s="175"/>
      <c r="B154" s="230"/>
      <c r="C154" s="231"/>
      <c r="D154" s="232"/>
      <c r="E154" s="49"/>
      <c r="F154" s="105"/>
      <c r="G154" s="174" t="s">
        <v>339</v>
      </c>
      <c r="H154" s="226"/>
      <c r="I154" s="109">
        <v>19271.4</v>
      </c>
      <c r="J154" s="109">
        <f>2132.03-2035.28+3242.03-3044.15+14.97+10623.25-10272.17+11.23</f>
        <v>671.91</v>
      </c>
      <c r="K154" s="101">
        <f t="shared" ref="K154:K157" si="56">I154+J154</f>
        <v>19943.31</v>
      </c>
      <c r="L154" s="101"/>
      <c r="M154" s="101"/>
      <c r="N154" s="101"/>
      <c r="O154" s="101"/>
      <c r="P154" s="101"/>
      <c r="Q154" s="101"/>
      <c r="R154" s="101"/>
      <c r="S154" s="101">
        <f t="shared" si="55"/>
        <v>19943.31</v>
      </c>
      <c r="T154" s="101"/>
      <c r="U154" s="101">
        <f t="shared" si="51"/>
        <v>19943.31</v>
      </c>
      <c r="V154" s="101"/>
      <c r="W154" s="101"/>
      <c r="X154" s="145"/>
    </row>
    <row r="155" s="19" customFormat="1" ht="36" customHeight="1" spans="1:24">
      <c r="A155" s="175"/>
      <c r="B155" s="230"/>
      <c r="C155" s="231"/>
      <c r="D155" s="232"/>
      <c r="E155" s="49"/>
      <c r="F155" s="106"/>
      <c r="G155" s="174" t="s">
        <v>423</v>
      </c>
      <c r="H155" s="226"/>
      <c r="I155" s="109">
        <v>1555.85</v>
      </c>
      <c r="J155" s="109">
        <f>7.49+4.21+5.45</f>
        <v>17.15</v>
      </c>
      <c r="K155" s="101">
        <f t="shared" si="56"/>
        <v>1573</v>
      </c>
      <c r="L155" s="101"/>
      <c r="M155" s="101"/>
      <c r="N155" s="101"/>
      <c r="O155" s="101"/>
      <c r="P155" s="101"/>
      <c r="Q155" s="101"/>
      <c r="R155" s="101"/>
      <c r="S155" s="101"/>
      <c r="T155" s="101"/>
      <c r="U155" s="101"/>
      <c r="V155" s="101"/>
      <c r="W155" s="101"/>
      <c r="X155" s="145"/>
    </row>
    <row r="156" s="19" customFormat="1" ht="36" customHeight="1" spans="1:24">
      <c r="A156" s="175"/>
      <c r="B156" s="220" t="s">
        <v>211</v>
      </c>
      <c r="C156" s="221"/>
      <c r="D156" s="222"/>
      <c r="E156" s="45"/>
      <c r="F156" s="211" t="s">
        <v>295</v>
      </c>
      <c r="G156" s="145" t="s">
        <v>207</v>
      </c>
      <c r="H156" s="94"/>
      <c r="I156" s="108">
        <f>22857.94+11.28</f>
        <v>22869.22</v>
      </c>
      <c r="J156" s="108">
        <f>11.28+29.7+24.26*2</f>
        <v>89.5</v>
      </c>
      <c r="K156" s="94">
        <f t="shared" si="56"/>
        <v>22958.72</v>
      </c>
      <c r="L156" s="94"/>
      <c r="M156" s="94"/>
      <c r="N156" s="94"/>
      <c r="O156" s="94"/>
      <c r="P156" s="94"/>
      <c r="Q156" s="94"/>
      <c r="R156" s="94"/>
      <c r="S156" s="94">
        <f>K156-L156-M156-N156-O156+R156-Q156</f>
        <v>22958.72</v>
      </c>
      <c r="T156" s="108"/>
      <c r="U156" s="94">
        <f>S156</f>
        <v>22958.72</v>
      </c>
      <c r="V156" s="94"/>
      <c r="W156" s="94">
        <f t="shared" ref="W156:W163" si="57">S156+T156-U156-V156</f>
        <v>0</v>
      </c>
      <c r="X156" s="145"/>
    </row>
    <row r="157" s="19" customFormat="1" ht="36" customHeight="1" spans="1:24">
      <c r="A157" s="175"/>
      <c r="B157" s="223"/>
      <c r="C157" s="224"/>
      <c r="D157" s="225"/>
      <c r="E157" s="81"/>
      <c r="F157" s="103" t="s">
        <v>296</v>
      </c>
      <c r="G157" s="174" t="s">
        <v>313</v>
      </c>
      <c r="H157" s="234" t="s">
        <v>314</v>
      </c>
      <c r="I157" s="109">
        <v>11785.05</v>
      </c>
      <c r="J157" s="109">
        <v>38.95</v>
      </c>
      <c r="K157" s="101">
        <f t="shared" si="56"/>
        <v>11824</v>
      </c>
      <c r="L157" s="101"/>
      <c r="M157" s="101"/>
      <c r="N157" s="101"/>
      <c r="O157" s="101"/>
      <c r="P157" s="101"/>
      <c r="Q157" s="101"/>
      <c r="R157" s="101"/>
      <c r="S157" s="101">
        <v>11824</v>
      </c>
      <c r="T157" s="109"/>
      <c r="U157" s="101">
        <v>11824</v>
      </c>
      <c r="V157" s="101"/>
      <c r="W157" s="101">
        <f t="shared" si="57"/>
        <v>0</v>
      </c>
      <c r="X157" s="145"/>
    </row>
    <row r="158" s="19" customFormat="1" ht="36" customHeight="1" spans="1:24">
      <c r="A158" s="175"/>
      <c r="B158" s="223"/>
      <c r="C158" s="224"/>
      <c r="D158" s="225"/>
      <c r="E158" s="81"/>
      <c r="F158" s="105"/>
      <c r="G158" s="174"/>
      <c r="H158" s="234"/>
      <c r="I158" s="109"/>
      <c r="J158" s="109"/>
      <c r="K158" s="101"/>
      <c r="L158" s="101"/>
      <c r="M158" s="101"/>
      <c r="N158" s="101"/>
      <c r="O158" s="101"/>
      <c r="P158" s="101"/>
      <c r="Q158" s="101"/>
      <c r="R158" s="101"/>
      <c r="S158" s="101"/>
      <c r="T158" s="109"/>
      <c r="U158" s="101"/>
      <c r="V158" s="101"/>
      <c r="W158" s="101"/>
      <c r="X158" s="145"/>
    </row>
    <row r="159" s="19" customFormat="1" ht="36" customHeight="1" spans="1:24">
      <c r="A159" s="175"/>
      <c r="B159" s="223"/>
      <c r="C159" s="224"/>
      <c r="D159" s="225"/>
      <c r="E159" s="81"/>
      <c r="F159" s="105"/>
      <c r="G159" s="174"/>
      <c r="H159" s="234"/>
      <c r="I159" s="109"/>
      <c r="J159" s="109"/>
      <c r="K159" s="101"/>
      <c r="L159" s="101"/>
      <c r="M159" s="101"/>
      <c r="N159" s="101"/>
      <c r="O159" s="101"/>
      <c r="P159" s="101"/>
      <c r="Q159" s="101"/>
      <c r="R159" s="101"/>
      <c r="S159" s="101"/>
      <c r="T159" s="109"/>
      <c r="U159" s="101"/>
      <c r="V159" s="101"/>
      <c r="W159" s="101"/>
      <c r="X159" s="145"/>
    </row>
    <row r="160" s="19" customFormat="1" ht="36" customHeight="1" spans="1:24">
      <c r="A160" s="175"/>
      <c r="B160" s="223"/>
      <c r="C160" s="224"/>
      <c r="D160" s="225"/>
      <c r="E160" s="81"/>
      <c r="F160" s="105"/>
      <c r="G160" s="174"/>
      <c r="H160" s="234"/>
      <c r="I160" s="109"/>
      <c r="J160" s="109"/>
      <c r="K160" s="101"/>
      <c r="L160" s="101"/>
      <c r="M160" s="101"/>
      <c r="N160" s="101"/>
      <c r="O160" s="101"/>
      <c r="P160" s="101"/>
      <c r="Q160" s="101"/>
      <c r="R160" s="101"/>
      <c r="S160" s="101"/>
      <c r="T160" s="109"/>
      <c r="U160" s="101"/>
      <c r="V160" s="101"/>
      <c r="W160" s="101"/>
      <c r="X160" s="145"/>
    </row>
    <row r="161" s="19" customFormat="1" ht="36" customHeight="1" spans="1:24">
      <c r="A161" s="175"/>
      <c r="B161" s="185" t="s">
        <v>210</v>
      </c>
      <c r="C161" s="186"/>
      <c r="D161" s="187"/>
      <c r="E161" s="94"/>
      <c r="F161" s="103" t="s">
        <v>296</v>
      </c>
      <c r="G161" s="174" t="s">
        <v>313</v>
      </c>
      <c r="H161" s="234" t="s">
        <v>315</v>
      </c>
      <c r="I161" s="109">
        <v>84328.41</v>
      </c>
      <c r="J161" s="109">
        <v>10962.71</v>
      </c>
      <c r="K161" s="101">
        <f t="shared" ref="K161:K185" si="58">J161+I161</f>
        <v>95291.12</v>
      </c>
      <c r="L161" s="101"/>
      <c r="M161" s="101"/>
      <c r="N161" s="101"/>
      <c r="O161" s="101"/>
      <c r="P161" s="101"/>
      <c r="Q161" s="101"/>
      <c r="R161" s="101"/>
      <c r="S161" s="101">
        <f t="shared" ref="S161:S165" si="59">K161</f>
        <v>95291.12</v>
      </c>
      <c r="T161" s="101"/>
      <c r="U161" s="101">
        <f t="shared" ref="U161:U165" si="60">S161</f>
        <v>95291.12</v>
      </c>
      <c r="V161" s="101"/>
      <c r="W161" s="101">
        <f t="shared" si="57"/>
        <v>0</v>
      </c>
      <c r="X161" s="145"/>
    </row>
    <row r="162" s="19" customFormat="1" ht="36" customHeight="1" spans="1:24">
      <c r="A162" s="175"/>
      <c r="B162" s="189"/>
      <c r="C162" s="190"/>
      <c r="D162" s="191"/>
      <c r="E162" s="94"/>
      <c r="F162" s="105"/>
      <c r="G162" s="174" t="s">
        <v>337</v>
      </c>
      <c r="H162" s="234" t="s">
        <v>340</v>
      </c>
      <c r="I162" s="109">
        <v>31416.34</v>
      </c>
      <c r="J162" s="109">
        <f>1041.5</f>
        <v>1041.5</v>
      </c>
      <c r="K162" s="101">
        <f t="shared" si="58"/>
        <v>32457.84</v>
      </c>
      <c r="L162" s="101"/>
      <c r="M162" s="101"/>
      <c r="N162" s="101"/>
      <c r="O162" s="101"/>
      <c r="P162" s="101"/>
      <c r="Q162" s="101"/>
      <c r="R162" s="101"/>
      <c r="S162" s="101">
        <f t="shared" si="59"/>
        <v>32457.84</v>
      </c>
      <c r="T162" s="101"/>
      <c r="U162" s="101">
        <f t="shared" si="60"/>
        <v>32457.84</v>
      </c>
      <c r="V162" s="101"/>
      <c r="W162" s="101">
        <f t="shared" si="57"/>
        <v>0</v>
      </c>
      <c r="X162" s="145"/>
    </row>
    <row r="163" s="19" customFormat="1" ht="36" customHeight="1" spans="1:24">
      <c r="A163" s="175"/>
      <c r="B163" s="189"/>
      <c r="C163" s="190"/>
      <c r="D163" s="191"/>
      <c r="E163" s="94"/>
      <c r="F163" s="105"/>
      <c r="G163" s="174" t="s">
        <v>337</v>
      </c>
      <c r="H163" s="226"/>
      <c r="I163" s="109">
        <v>3345.19</v>
      </c>
      <c r="J163" s="109">
        <v>434.87</v>
      </c>
      <c r="K163" s="101">
        <f t="shared" si="58"/>
        <v>3780.06</v>
      </c>
      <c r="L163" s="101"/>
      <c r="M163" s="101"/>
      <c r="N163" s="101"/>
      <c r="O163" s="101"/>
      <c r="P163" s="101"/>
      <c r="Q163" s="101"/>
      <c r="R163" s="101"/>
      <c r="S163" s="101">
        <f t="shared" si="59"/>
        <v>3780.06</v>
      </c>
      <c r="T163" s="101"/>
      <c r="U163" s="101">
        <f t="shared" si="60"/>
        <v>3780.06</v>
      </c>
      <c r="V163" s="101"/>
      <c r="W163" s="101">
        <f t="shared" si="57"/>
        <v>0</v>
      </c>
      <c r="X163" s="145"/>
    </row>
    <row r="164" s="19" customFormat="1" ht="36" customHeight="1" spans="1:24">
      <c r="A164" s="175"/>
      <c r="B164" s="189"/>
      <c r="C164" s="190"/>
      <c r="D164" s="191"/>
      <c r="E164" s="94"/>
      <c r="F164" s="105"/>
      <c r="G164" s="174" t="s">
        <v>338</v>
      </c>
      <c r="H164" s="234" t="s">
        <v>364</v>
      </c>
      <c r="I164" s="109">
        <v>273547.38</v>
      </c>
      <c r="J164" s="109">
        <f>28647.01+1189.56+5407.38+317.52</f>
        <v>35561.47</v>
      </c>
      <c r="K164" s="101">
        <f t="shared" si="58"/>
        <v>309108.85</v>
      </c>
      <c r="L164" s="101"/>
      <c r="M164" s="101"/>
      <c r="N164" s="101"/>
      <c r="O164" s="101"/>
      <c r="P164" s="101"/>
      <c r="Q164" s="101"/>
      <c r="R164" s="101"/>
      <c r="S164" s="101">
        <f t="shared" si="59"/>
        <v>309108.85</v>
      </c>
      <c r="T164" s="101"/>
      <c r="U164" s="101">
        <f t="shared" si="60"/>
        <v>309108.85</v>
      </c>
      <c r="V164" s="101"/>
      <c r="W164" s="101">
        <f>S164-U164</f>
        <v>0</v>
      </c>
      <c r="X164" s="145"/>
    </row>
    <row r="165" s="19" customFormat="1" ht="36" customHeight="1" spans="1:24">
      <c r="A165" s="175"/>
      <c r="B165" s="189"/>
      <c r="C165" s="190"/>
      <c r="D165" s="191"/>
      <c r="E165" s="94"/>
      <c r="F165" s="105"/>
      <c r="G165" s="174" t="s">
        <v>339</v>
      </c>
      <c r="H165" s="234" t="s">
        <v>368</v>
      </c>
      <c r="I165" s="109">
        <v>688.77</v>
      </c>
      <c r="J165" s="109">
        <f>727.9-688.77</f>
        <v>39.13</v>
      </c>
      <c r="K165" s="101">
        <f t="shared" si="58"/>
        <v>727.9</v>
      </c>
      <c r="L165" s="101"/>
      <c r="M165" s="101"/>
      <c r="N165" s="101"/>
      <c r="O165" s="101"/>
      <c r="P165" s="101"/>
      <c r="Q165" s="101"/>
      <c r="R165" s="101"/>
      <c r="S165" s="101">
        <f t="shared" si="59"/>
        <v>727.9</v>
      </c>
      <c r="T165" s="101"/>
      <c r="U165" s="101">
        <f t="shared" si="60"/>
        <v>727.9</v>
      </c>
      <c r="V165" s="101"/>
      <c r="W165" s="101"/>
      <c r="X165" s="145"/>
    </row>
    <row r="166" s="19" customFormat="1" ht="36" customHeight="1" spans="1:24">
      <c r="A166" s="175"/>
      <c r="B166" s="189"/>
      <c r="C166" s="190"/>
      <c r="D166" s="191"/>
      <c r="E166" s="94"/>
      <c r="F166" s="105"/>
      <c r="G166" s="174" t="s">
        <v>424</v>
      </c>
      <c r="H166" s="234" t="s">
        <v>425</v>
      </c>
      <c r="I166" s="109">
        <v>13396.23</v>
      </c>
      <c r="J166" s="109">
        <v>803.77</v>
      </c>
      <c r="K166" s="101">
        <f t="shared" si="58"/>
        <v>14200</v>
      </c>
      <c r="L166" s="101"/>
      <c r="M166" s="101"/>
      <c r="N166" s="101"/>
      <c r="O166" s="101"/>
      <c r="P166" s="101"/>
      <c r="Q166" s="101"/>
      <c r="R166" s="101"/>
      <c r="S166" s="101"/>
      <c r="T166" s="101"/>
      <c r="U166" s="101"/>
      <c r="V166" s="101"/>
      <c r="W166" s="101"/>
      <c r="X166" s="145"/>
    </row>
    <row r="167" s="19" customFormat="1" ht="36" customHeight="1" spans="1:24">
      <c r="A167" s="175"/>
      <c r="B167" s="189"/>
      <c r="C167" s="190"/>
      <c r="D167" s="191"/>
      <c r="E167" s="94"/>
      <c r="F167" s="105"/>
      <c r="G167" s="174" t="s">
        <v>426</v>
      </c>
      <c r="H167" s="234" t="s">
        <v>427</v>
      </c>
      <c r="I167" s="109">
        <v>5299.15</v>
      </c>
      <c r="J167" s="109">
        <v>688.89</v>
      </c>
      <c r="K167" s="101">
        <f t="shared" si="58"/>
        <v>5988.04</v>
      </c>
      <c r="L167" s="101"/>
      <c r="M167" s="101"/>
      <c r="N167" s="101"/>
      <c r="O167" s="101"/>
      <c r="P167" s="101"/>
      <c r="Q167" s="101"/>
      <c r="R167" s="101"/>
      <c r="S167" s="101"/>
      <c r="T167" s="101"/>
      <c r="U167" s="101"/>
      <c r="V167" s="101"/>
      <c r="W167" s="101"/>
      <c r="X167" s="145"/>
    </row>
    <row r="168" s="19" customFormat="1" ht="36" customHeight="1" spans="1:24">
      <c r="A168" s="175"/>
      <c r="B168" s="189"/>
      <c r="C168" s="190"/>
      <c r="D168" s="191"/>
      <c r="E168" s="94"/>
      <c r="F168" s="105"/>
      <c r="G168" s="174" t="s">
        <v>428</v>
      </c>
      <c r="H168" s="234" t="s">
        <v>429</v>
      </c>
      <c r="I168" s="109">
        <v>1196.7</v>
      </c>
      <c r="J168" s="109">
        <v>155.57</v>
      </c>
      <c r="K168" s="101">
        <f t="shared" si="58"/>
        <v>1352.27</v>
      </c>
      <c r="L168" s="101"/>
      <c r="M168" s="101"/>
      <c r="N168" s="101"/>
      <c r="O168" s="101"/>
      <c r="P168" s="101"/>
      <c r="Q168" s="101"/>
      <c r="R168" s="101"/>
      <c r="S168" s="101"/>
      <c r="T168" s="101"/>
      <c r="U168" s="101"/>
      <c r="V168" s="101"/>
      <c r="W168" s="101"/>
      <c r="X168" s="145"/>
    </row>
    <row r="169" s="19" customFormat="1" ht="36" customHeight="1" spans="1:24">
      <c r="A169" s="175"/>
      <c r="B169" s="189"/>
      <c r="C169" s="190"/>
      <c r="D169" s="191"/>
      <c r="E169" s="94"/>
      <c r="F169" s="105"/>
      <c r="G169" s="174" t="s">
        <v>430</v>
      </c>
      <c r="H169" s="234" t="s">
        <v>431</v>
      </c>
      <c r="I169" s="109">
        <v>10045.06</v>
      </c>
      <c r="J169" s="109">
        <v>1305.86</v>
      </c>
      <c r="K169" s="101">
        <f t="shared" si="58"/>
        <v>11350.92</v>
      </c>
      <c r="L169" s="101"/>
      <c r="M169" s="101"/>
      <c r="N169" s="101"/>
      <c r="O169" s="101"/>
      <c r="P169" s="101"/>
      <c r="Q169" s="101"/>
      <c r="R169" s="101"/>
      <c r="S169" s="101"/>
      <c r="T169" s="101"/>
      <c r="U169" s="101"/>
      <c r="V169" s="101"/>
      <c r="W169" s="101"/>
      <c r="X169" s="145"/>
    </row>
    <row r="170" s="19" customFormat="1" ht="36" customHeight="1" spans="1:24">
      <c r="A170" s="175"/>
      <c r="B170" s="189"/>
      <c r="C170" s="190"/>
      <c r="D170" s="191"/>
      <c r="E170" s="94"/>
      <c r="F170" s="105"/>
      <c r="G170" s="174" t="s">
        <v>432</v>
      </c>
      <c r="H170" s="234" t="s">
        <v>433</v>
      </c>
      <c r="I170" s="109">
        <v>2654.87</v>
      </c>
      <c r="J170" s="109">
        <v>345.13</v>
      </c>
      <c r="K170" s="101">
        <f t="shared" si="58"/>
        <v>3000</v>
      </c>
      <c r="L170" s="101"/>
      <c r="M170" s="101"/>
      <c r="N170" s="101"/>
      <c r="O170" s="101"/>
      <c r="P170" s="101"/>
      <c r="Q170" s="101"/>
      <c r="R170" s="101"/>
      <c r="S170" s="101"/>
      <c r="T170" s="101"/>
      <c r="U170" s="101"/>
      <c r="V170" s="101"/>
      <c r="W170" s="101"/>
      <c r="X170" s="145"/>
    </row>
    <row r="171" s="19" customFormat="1" ht="36" customHeight="1" spans="1:24">
      <c r="A171" s="175"/>
      <c r="B171" s="189"/>
      <c r="C171" s="190"/>
      <c r="D171" s="191"/>
      <c r="E171" s="94"/>
      <c r="F171" s="105"/>
      <c r="G171" s="174" t="s">
        <v>434</v>
      </c>
      <c r="H171" s="234" t="s">
        <v>435</v>
      </c>
      <c r="I171" s="109">
        <v>9551.14</v>
      </c>
      <c r="J171" s="109">
        <v>1241.65</v>
      </c>
      <c r="K171" s="101">
        <f t="shared" si="58"/>
        <v>10792.79</v>
      </c>
      <c r="L171" s="101"/>
      <c r="M171" s="101"/>
      <c r="N171" s="101"/>
      <c r="O171" s="101"/>
      <c r="P171" s="101"/>
      <c r="Q171" s="101"/>
      <c r="R171" s="101"/>
      <c r="S171" s="101"/>
      <c r="T171" s="101"/>
      <c r="U171" s="101"/>
      <c r="V171" s="101"/>
      <c r="W171" s="101"/>
      <c r="X171" s="145"/>
    </row>
    <row r="172" s="19" customFormat="1" ht="36" customHeight="1" spans="1:24">
      <c r="A172" s="175"/>
      <c r="B172" s="189"/>
      <c r="C172" s="190"/>
      <c r="D172" s="191"/>
      <c r="E172" s="94"/>
      <c r="F172" s="105"/>
      <c r="G172" s="174" t="s">
        <v>436</v>
      </c>
      <c r="H172" s="234" t="s">
        <v>437</v>
      </c>
      <c r="I172" s="109">
        <v>19400.34</v>
      </c>
      <c r="J172" s="109">
        <v>2522.01</v>
      </c>
      <c r="K172" s="101">
        <f t="shared" si="58"/>
        <v>21922.35</v>
      </c>
      <c r="L172" s="101"/>
      <c r="M172" s="101"/>
      <c r="N172" s="101"/>
      <c r="O172" s="101"/>
      <c r="P172" s="101"/>
      <c r="Q172" s="101"/>
      <c r="R172" s="101"/>
      <c r="S172" s="101"/>
      <c r="T172" s="101"/>
      <c r="U172" s="101"/>
      <c r="V172" s="101"/>
      <c r="W172" s="101"/>
      <c r="X172" s="145"/>
    </row>
    <row r="173" s="19" customFormat="1" ht="36" customHeight="1" spans="1:24">
      <c r="A173" s="175"/>
      <c r="B173" s="189"/>
      <c r="C173" s="190"/>
      <c r="D173" s="191"/>
      <c r="E173" s="94"/>
      <c r="F173" s="105"/>
      <c r="G173" s="174" t="s">
        <v>438</v>
      </c>
      <c r="H173" s="234" t="s">
        <v>439</v>
      </c>
      <c r="I173" s="109">
        <v>1078587.67</v>
      </c>
      <c r="J173" s="109">
        <v>140216.33</v>
      </c>
      <c r="K173" s="101">
        <f t="shared" si="58"/>
        <v>1218804</v>
      </c>
      <c r="L173" s="101"/>
      <c r="M173" s="101"/>
      <c r="N173" s="101"/>
      <c r="O173" s="101"/>
      <c r="P173" s="101"/>
      <c r="Q173" s="101"/>
      <c r="R173" s="101"/>
      <c r="S173" s="101"/>
      <c r="T173" s="101"/>
      <c r="U173" s="101"/>
      <c r="V173" s="101"/>
      <c r="W173" s="101"/>
      <c r="X173" s="145"/>
    </row>
    <row r="174" s="19" customFormat="1" ht="36" customHeight="1" spans="1:24">
      <c r="A174" s="175"/>
      <c r="B174" s="189"/>
      <c r="C174" s="190"/>
      <c r="D174" s="191"/>
      <c r="E174" s="94"/>
      <c r="F174" s="105"/>
      <c r="G174" s="174" t="s">
        <v>440</v>
      </c>
      <c r="H174" s="234" t="s">
        <v>429</v>
      </c>
      <c r="I174" s="109">
        <v>756.79</v>
      </c>
      <c r="J174" s="109">
        <v>68.11</v>
      </c>
      <c r="K174" s="101">
        <f t="shared" si="58"/>
        <v>824.9</v>
      </c>
      <c r="L174" s="101"/>
      <c r="M174" s="101"/>
      <c r="N174" s="101"/>
      <c r="O174" s="101"/>
      <c r="P174" s="101"/>
      <c r="Q174" s="101"/>
      <c r="R174" s="101"/>
      <c r="S174" s="101"/>
      <c r="T174" s="101"/>
      <c r="U174" s="101"/>
      <c r="V174" s="101"/>
      <c r="W174" s="101"/>
      <c r="X174" s="145"/>
    </row>
    <row r="175" s="19" customFormat="1" ht="36" customHeight="1" spans="1:24">
      <c r="A175" s="175"/>
      <c r="B175" s="189"/>
      <c r="C175" s="190"/>
      <c r="D175" s="191"/>
      <c r="E175" s="94"/>
      <c r="F175" s="105"/>
      <c r="G175" s="174" t="s">
        <v>440</v>
      </c>
      <c r="H175" s="234" t="s">
        <v>429</v>
      </c>
      <c r="I175" s="109">
        <v>20121.04</v>
      </c>
      <c r="J175" s="109">
        <v>2615.72</v>
      </c>
      <c r="K175" s="101">
        <f t="shared" si="58"/>
        <v>22736.76</v>
      </c>
      <c r="L175" s="101"/>
      <c r="M175" s="101"/>
      <c r="N175" s="101"/>
      <c r="O175" s="101"/>
      <c r="P175" s="101"/>
      <c r="Q175" s="101"/>
      <c r="R175" s="101"/>
      <c r="S175" s="101"/>
      <c r="T175" s="101"/>
      <c r="U175" s="101"/>
      <c r="V175" s="101"/>
      <c r="W175" s="101"/>
      <c r="X175" s="145"/>
    </row>
    <row r="176" s="19" customFormat="1" ht="36" customHeight="1" spans="1:24">
      <c r="A176" s="175"/>
      <c r="B176" s="189"/>
      <c r="C176" s="190"/>
      <c r="D176" s="191"/>
      <c r="E176" s="94"/>
      <c r="F176" s="105"/>
      <c r="G176" s="174" t="s">
        <v>441</v>
      </c>
      <c r="H176" s="234" t="s">
        <v>442</v>
      </c>
      <c r="I176" s="109">
        <v>8264.3</v>
      </c>
      <c r="J176" s="109">
        <v>1074.36</v>
      </c>
      <c r="K176" s="101">
        <f t="shared" si="58"/>
        <v>9338.66</v>
      </c>
      <c r="L176" s="101"/>
      <c r="M176" s="101"/>
      <c r="N176" s="101"/>
      <c r="O176" s="101"/>
      <c r="P176" s="101"/>
      <c r="Q176" s="101"/>
      <c r="R176" s="101"/>
      <c r="S176" s="101"/>
      <c r="T176" s="101"/>
      <c r="U176" s="101"/>
      <c r="V176" s="101"/>
      <c r="W176" s="101"/>
      <c r="X176" s="145"/>
    </row>
    <row r="177" s="19" customFormat="1" ht="36" customHeight="1" spans="1:24">
      <c r="A177" s="175"/>
      <c r="B177" s="189"/>
      <c r="C177" s="190"/>
      <c r="D177" s="191"/>
      <c r="E177" s="94"/>
      <c r="F177" s="105"/>
      <c r="G177" s="174" t="s">
        <v>443</v>
      </c>
      <c r="H177" s="234" t="s">
        <v>444</v>
      </c>
      <c r="I177" s="109">
        <v>9327.44</v>
      </c>
      <c r="J177" s="109">
        <v>1212.56</v>
      </c>
      <c r="K177" s="101">
        <f t="shared" si="58"/>
        <v>10540</v>
      </c>
      <c r="L177" s="101"/>
      <c r="M177" s="101"/>
      <c r="N177" s="101"/>
      <c r="O177" s="101"/>
      <c r="P177" s="101"/>
      <c r="Q177" s="101"/>
      <c r="R177" s="101"/>
      <c r="S177" s="101"/>
      <c r="T177" s="101"/>
      <c r="U177" s="101"/>
      <c r="V177" s="101"/>
      <c r="W177" s="101"/>
      <c r="X177" s="145"/>
    </row>
    <row r="178" s="19" customFormat="1" ht="36" customHeight="1" spans="1:24">
      <c r="A178" s="175"/>
      <c r="B178" s="189"/>
      <c r="C178" s="190"/>
      <c r="D178" s="191"/>
      <c r="E178" s="94"/>
      <c r="F178" s="105"/>
      <c r="G178" s="174" t="s">
        <v>445</v>
      </c>
      <c r="H178" s="234" t="s">
        <v>446</v>
      </c>
      <c r="I178" s="109">
        <v>18304.91</v>
      </c>
      <c r="J178" s="109">
        <v>2379.64</v>
      </c>
      <c r="K178" s="101">
        <f t="shared" si="58"/>
        <v>20684.55</v>
      </c>
      <c r="L178" s="101"/>
      <c r="M178" s="101"/>
      <c r="N178" s="101"/>
      <c r="O178" s="101"/>
      <c r="P178" s="101"/>
      <c r="Q178" s="101"/>
      <c r="R178" s="101"/>
      <c r="S178" s="101"/>
      <c r="T178" s="101"/>
      <c r="U178" s="101"/>
      <c r="V178" s="101"/>
      <c r="W178" s="101"/>
      <c r="X178" s="145"/>
    </row>
    <row r="179" s="19" customFormat="1" ht="36" customHeight="1" spans="1:24">
      <c r="A179" s="175"/>
      <c r="B179" s="189"/>
      <c r="C179" s="190"/>
      <c r="D179" s="191"/>
      <c r="E179" s="94"/>
      <c r="F179" s="105"/>
      <c r="G179" s="174" t="s">
        <v>447</v>
      </c>
      <c r="H179" s="234" t="s">
        <v>448</v>
      </c>
      <c r="I179" s="109">
        <v>546.9</v>
      </c>
      <c r="J179" s="109">
        <v>71.1</v>
      </c>
      <c r="K179" s="101">
        <f t="shared" si="58"/>
        <v>618</v>
      </c>
      <c r="L179" s="101"/>
      <c r="M179" s="101"/>
      <c r="N179" s="101"/>
      <c r="O179" s="101"/>
      <c r="P179" s="101"/>
      <c r="Q179" s="101"/>
      <c r="R179" s="101"/>
      <c r="S179" s="101"/>
      <c r="T179" s="101"/>
      <c r="U179" s="101"/>
      <c r="V179" s="101"/>
      <c r="W179" s="101"/>
      <c r="X179" s="145"/>
    </row>
    <row r="180" s="19" customFormat="1" ht="36" customHeight="1" spans="1:24">
      <c r="A180" s="175"/>
      <c r="B180" s="189"/>
      <c r="C180" s="190"/>
      <c r="D180" s="191"/>
      <c r="E180" s="94"/>
      <c r="F180" s="105"/>
      <c r="G180" s="174" t="s">
        <v>449</v>
      </c>
      <c r="H180" s="234" t="s">
        <v>450</v>
      </c>
      <c r="I180" s="109">
        <v>1191.13</v>
      </c>
      <c r="J180" s="109">
        <v>154.86</v>
      </c>
      <c r="K180" s="101">
        <f t="shared" si="58"/>
        <v>1345.99</v>
      </c>
      <c r="L180" s="101"/>
      <c r="M180" s="101"/>
      <c r="N180" s="101"/>
      <c r="O180" s="101"/>
      <c r="P180" s="101"/>
      <c r="Q180" s="101"/>
      <c r="R180" s="101"/>
      <c r="S180" s="101"/>
      <c r="T180" s="101"/>
      <c r="U180" s="101"/>
      <c r="V180" s="101"/>
      <c r="W180" s="101"/>
      <c r="X180" s="145"/>
    </row>
    <row r="181" s="19" customFormat="1" ht="36" customHeight="1" spans="1:24">
      <c r="A181" s="175"/>
      <c r="B181" s="189"/>
      <c r="C181" s="190"/>
      <c r="D181" s="191"/>
      <c r="E181" s="94"/>
      <c r="F181" s="105"/>
      <c r="G181" s="174" t="s">
        <v>451</v>
      </c>
      <c r="H181" s="234" t="s">
        <v>452</v>
      </c>
      <c r="I181" s="109">
        <v>2079.21</v>
      </c>
      <c r="J181" s="109">
        <v>20.79</v>
      </c>
      <c r="K181" s="101">
        <f t="shared" si="58"/>
        <v>2100</v>
      </c>
      <c r="L181" s="101"/>
      <c r="M181" s="101"/>
      <c r="N181" s="101"/>
      <c r="O181" s="101"/>
      <c r="P181" s="101"/>
      <c r="Q181" s="101"/>
      <c r="R181" s="101"/>
      <c r="S181" s="101"/>
      <c r="T181" s="101"/>
      <c r="U181" s="101"/>
      <c r="V181" s="101"/>
      <c r="W181" s="101"/>
      <c r="X181" s="145"/>
    </row>
    <row r="182" s="19" customFormat="1" ht="36" customHeight="1" spans="1:24">
      <c r="A182" s="175"/>
      <c r="B182" s="189"/>
      <c r="C182" s="190"/>
      <c r="D182" s="191"/>
      <c r="E182" s="94"/>
      <c r="F182" s="105"/>
      <c r="G182" s="174" t="s">
        <v>453</v>
      </c>
      <c r="H182" s="234" t="s">
        <v>454</v>
      </c>
      <c r="I182" s="109">
        <v>154.15</v>
      </c>
      <c r="J182" s="109">
        <v>20.03</v>
      </c>
      <c r="K182" s="101">
        <f t="shared" si="58"/>
        <v>174.18</v>
      </c>
      <c r="L182" s="101"/>
      <c r="M182" s="101"/>
      <c r="N182" s="101"/>
      <c r="O182" s="101"/>
      <c r="P182" s="101"/>
      <c r="Q182" s="101"/>
      <c r="R182" s="101"/>
      <c r="S182" s="101"/>
      <c r="T182" s="101"/>
      <c r="U182" s="101"/>
      <c r="V182" s="101"/>
      <c r="W182" s="101"/>
      <c r="X182" s="145"/>
    </row>
    <row r="183" s="19" customFormat="1" ht="36" customHeight="1" spans="1:24">
      <c r="A183" s="175"/>
      <c r="B183" s="189"/>
      <c r="C183" s="190"/>
      <c r="D183" s="191"/>
      <c r="E183" s="94"/>
      <c r="F183" s="105"/>
      <c r="G183" s="174" t="s">
        <v>455</v>
      </c>
      <c r="H183" s="234" t="s">
        <v>456</v>
      </c>
      <c r="I183" s="109">
        <v>784.07</v>
      </c>
      <c r="J183" s="109">
        <v>101.93</v>
      </c>
      <c r="K183" s="101">
        <f t="shared" si="58"/>
        <v>886</v>
      </c>
      <c r="L183" s="101"/>
      <c r="M183" s="101"/>
      <c r="N183" s="101"/>
      <c r="O183" s="101"/>
      <c r="P183" s="101"/>
      <c r="Q183" s="101"/>
      <c r="R183" s="101"/>
      <c r="S183" s="101"/>
      <c r="T183" s="101"/>
      <c r="U183" s="101"/>
      <c r="V183" s="101"/>
      <c r="W183" s="101"/>
      <c r="X183" s="145"/>
    </row>
    <row r="184" s="19" customFormat="1" ht="36" customHeight="1" spans="1:24">
      <c r="A184" s="175"/>
      <c r="B184" s="213"/>
      <c r="C184" s="214"/>
      <c r="D184" s="215"/>
      <c r="E184" s="94"/>
      <c r="F184" s="106"/>
      <c r="G184" s="174" t="s">
        <v>423</v>
      </c>
      <c r="H184" s="234" t="s">
        <v>457</v>
      </c>
      <c r="I184" s="109">
        <f>690.54+7634</f>
        <v>8324.54</v>
      </c>
      <c r="J184" s="109">
        <f>712.34-690.54+8106.18-7634</f>
        <v>493.98</v>
      </c>
      <c r="K184" s="101">
        <f t="shared" si="58"/>
        <v>8818.52</v>
      </c>
      <c r="L184" s="101"/>
      <c r="M184" s="101"/>
      <c r="N184" s="101"/>
      <c r="O184" s="101"/>
      <c r="P184" s="101"/>
      <c r="Q184" s="101"/>
      <c r="R184" s="101"/>
      <c r="S184" s="101"/>
      <c r="T184" s="101"/>
      <c r="U184" s="101"/>
      <c r="V184" s="101"/>
      <c r="W184" s="101"/>
      <c r="X184" s="145"/>
    </row>
    <row r="185" s="19" customFormat="1" ht="36" customHeight="1" spans="1:24">
      <c r="A185" s="175"/>
      <c r="B185" s="213"/>
      <c r="C185" s="214"/>
      <c r="D185" s="215"/>
      <c r="E185" s="94"/>
      <c r="F185" s="106"/>
      <c r="G185" s="103" t="s">
        <v>478</v>
      </c>
      <c r="H185" s="234" t="s">
        <v>457</v>
      </c>
      <c r="I185" s="109">
        <v>800</v>
      </c>
      <c r="J185" s="109">
        <v>0</v>
      </c>
      <c r="K185" s="101">
        <f t="shared" si="58"/>
        <v>800</v>
      </c>
      <c r="L185" s="101"/>
      <c r="M185" s="101"/>
      <c r="N185" s="101"/>
      <c r="O185" s="101"/>
      <c r="P185" s="101"/>
      <c r="Q185" s="101"/>
      <c r="R185" s="101"/>
      <c r="S185" s="101"/>
      <c r="T185" s="101"/>
      <c r="U185" s="101"/>
      <c r="V185" s="101"/>
      <c r="W185" s="101"/>
      <c r="X185" s="145"/>
    </row>
    <row r="186" s="19" customFormat="1" ht="36" customHeight="1" spans="1:24">
      <c r="A186" s="175"/>
      <c r="B186" s="213"/>
      <c r="C186" s="214"/>
      <c r="D186" s="215"/>
      <c r="E186" s="94"/>
      <c r="F186" s="106"/>
      <c r="G186" s="105"/>
      <c r="H186" s="234" t="s">
        <v>486</v>
      </c>
      <c r="I186" s="109">
        <v>376226.42</v>
      </c>
      <c r="J186" s="109">
        <v>22573.58</v>
      </c>
      <c r="K186" s="101">
        <f t="shared" ref="K186:K189" si="61">I186+J186</f>
        <v>398800</v>
      </c>
      <c r="L186" s="101"/>
      <c r="M186" s="101"/>
      <c r="N186" s="101"/>
      <c r="O186" s="101"/>
      <c r="P186" s="101"/>
      <c r="Q186" s="101"/>
      <c r="R186" s="101"/>
      <c r="S186" s="101"/>
      <c r="T186" s="101"/>
      <c r="U186" s="101"/>
      <c r="V186" s="101"/>
      <c r="W186" s="101"/>
      <c r="X186" s="145"/>
    </row>
    <row r="187" s="19" customFormat="1" ht="36" customHeight="1" spans="1:24">
      <c r="A187" s="175"/>
      <c r="B187" s="213"/>
      <c r="C187" s="214"/>
      <c r="D187" s="215"/>
      <c r="E187" s="94"/>
      <c r="F187" s="106"/>
      <c r="G187" s="105"/>
      <c r="H187" s="234" t="s">
        <v>487</v>
      </c>
      <c r="I187" s="109">
        <v>132.26</v>
      </c>
      <c r="J187" s="109">
        <v>17.19</v>
      </c>
      <c r="K187" s="101">
        <f t="shared" si="61"/>
        <v>149.45</v>
      </c>
      <c r="L187" s="101"/>
      <c r="M187" s="101"/>
      <c r="N187" s="101"/>
      <c r="O187" s="101"/>
      <c r="P187" s="101"/>
      <c r="Q187" s="101"/>
      <c r="R187" s="101"/>
      <c r="S187" s="101"/>
      <c r="T187" s="101"/>
      <c r="U187" s="101"/>
      <c r="V187" s="101"/>
      <c r="W187" s="101"/>
      <c r="X187" s="145"/>
    </row>
    <row r="188" s="19" customFormat="1" ht="36" customHeight="1" spans="1:24">
      <c r="A188" s="175"/>
      <c r="B188" s="213"/>
      <c r="C188" s="214"/>
      <c r="D188" s="215"/>
      <c r="E188" s="94"/>
      <c r="F188" s="106"/>
      <c r="G188" s="105"/>
      <c r="H188" s="234" t="s">
        <v>488</v>
      </c>
      <c r="I188" s="234">
        <v>4614.16</v>
      </c>
      <c r="J188" s="109">
        <f>599.84</f>
        <v>599.84</v>
      </c>
      <c r="K188" s="101">
        <f t="shared" si="61"/>
        <v>5214</v>
      </c>
      <c r="L188" s="101"/>
      <c r="M188" s="101"/>
      <c r="N188" s="101"/>
      <c r="O188" s="101"/>
      <c r="P188" s="101"/>
      <c r="Q188" s="101"/>
      <c r="R188" s="101"/>
      <c r="S188" s="101"/>
      <c r="T188" s="101"/>
      <c r="U188" s="101"/>
      <c r="V188" s="101"/>
      <c r="W188" s="101"/>
      <c r="X188" s="145"/>
    </row>
    <row r="189" s="19" customFormat="1" ht="36" customHeight="1" spans="1:24">
      <c r="A189" s="175"/>
      <c r="B189" s="213"/>
      <c r="C189" s="214"/>
      <c r="D189" s="215"/>
      <c r="E189" s="94"/>
      <c r="F189" s="106"/>
      <c r="G189" s="106"/>
      <c r="H189" s="234" t="s">
        <v>489</v>
      </c>
      <c r="I189" s="234">
        <v>368.35</v>
      </c>
      <c r="J189" s="109">
        <v>47.88</v>
      </c>
      <c r="K189" s="101">
        <f t="shared" si="61"/>
        <v>416.23</v>
      </c>
      <c r="L189" s="101"/>
      <c r="M189" s="101"/>
      <c r="N189" s="101"/>
      <c r="O189" s="101"/>
      <c r="P189" s="101"/>
      <c r="Q189" s="101"/>
      <c r="R189" s="101"/>
      <c r="S189" s="101"/>
      <c r="T189" s="101"/>
      <c r="U189" s="101"/>
      <c r="V189" s="101"/>
      <c r="W189" s="101"/>
      <c r="X189" s="145"/>
    </row>
    <row r="190" s="19" customFormat="1" ht="36" customHeight="1" spans="1:24">
      <c r="A190" s="175"/>
      <c r="B190" s="213"/>
      <c r="C190" s="214"/>
      <c r="D190" s="215"/>
      <c r="E190" s="94"/>
      <c r="F190" s="106"/>
      <c r="G190" s="174"/>
      <c r="H190" s="234"/>
      <c r="I190" s="109"/>
      <c r="J190" s="109"/>
      <c r="K190" s="101"/>
      <c r="L190" s="101"/>
      <c r="M190" s="101"/>
      <c r="N190" s="101"/>
      <c r="O190" s="101"/>
      <c r="P190" s="101"/>
      <c r="Q190" s="101"/>
      <c r="R190" s="101"/>
      <c r="S190" s="101"/>
      <c r="T190" s="101"/>
      <c r="U190" s="101"/>
      <c r="V190" s="101"/>
      <c r="W190" s="101"/>
      <c r="X190" s="145"/>
    </row>
    <row r="191" s="19" customFormat="1" ht="36" customHeight="1" spans="1:24">
      <c r="A191" s="175"/>
      <c r="B191" s="213"/>
      <c r="C191" s="214"/>
      <c r="D191" s="215"/>
      <c r="E191" s="94"/>
      <c r="F191" s="106"/>
      <c r="G191" s="174"/>
      <c r="H191" s="234"/>
      <c r="I191" s="109"/>
      <c r="J191" s="109"/>
      <c r="K191" s="101"/>
      <c r="L191" s="101"/>
      <c r="M191" s="101"/>
      <c r="N191" s="101"/>
      <c r="O191" s="101"/>
      <c r="P191" s="101"/>
      <c r="Q191" s="101"/>
      <c r="R191" s="101"/>
      <c r="S191" s="101"/>
      <c r="T191" s="101"/>
      <c r="U191" s="101"/>
      <c r="V191" s="101"/>
      <c r="W191" s="101"/>
      <c r="X191" s="145"/>
    </row>
    <row r="192" s="19" customFormat="1" ht="36" customHeight="1" spans="1:24">
      <c r="A192" s="175"/>
      <c r="B192" s="235"/>
      <c r="C192" s="235"/>
      <c r="D192" s="235"/>
      <c r="E192" s="94"/>
      <c r="F192" s="94"/>
      <c r="G192" s="145"/>
      <c r="H192" s="236"/>
      <c r="I192" s="108"/>
      <c r="J192" s="108"/>
      <c r="K192" s="108"/>
      <c r="L192" s="94"/>
      <c r="M192" s="94"/>
      <c r="N192" s="94"/>
      <c r="O192" s="94"/>
      <c r="P192" s="94"/>
      <c r="Q192" s="94"/>
      <c r="R192" s="94"/>
      <c r="S192" s="94"/>
      <c r="T192" s="108"/>
      <c r="U192" s="94"/>
      <c r="V192" s="94"/>
      <c r="W192" s="94">
        <f>S192+T192-U192-V192</f>
        <v>0</v>
      </c>
      <c r="X192" s="145"/>
    </row>
    <row r="193" s="20" customFormat="1" ht="36" customHeight="1" spans="1:24">
      <c r="A193" s="240" t="s">
        <v>212</v>
      </c>
      <c r="B193" s="241"/>
      <c r="C193" s="241"/>
      <c r="D193" s="241"/>
      <c r="E193" s="242"/>
      <c r="F193" s="242"/>
      <c r="G193" s="243"/>
      <c r="H193" s="244" t="s">
        <v>316</v>
      </c>
      <c r="I193" s="300">
        <f>I156+I150+I149+I148+I143+I137+I136+I122+I121+I120+I116+I101+I99+I98+I97+I96+I95+I94+I93+I92+I91+I90+I89+I88+I87+I86+I85+I82+I81+I80+I79+I78+I77+I76+I75+I74+I73+I70+I60+I51+I35+I26-I214</f>
        <v>260576325.45</v>
      </c>
      <c r="J193" s="300">
        <f t="shared" ref="J193:W193" si="62">J156+J150+J149+J148+J143+J137+J136+J122+J121+J120+J116+J101+J99+J98+J97+J96+J95+J94+J93+J92+J91+J90+J89+J88+J87+J86+J85+J82+J81+J80+J79+J78+J77+J76+J75+J74+J73+J70+J60+J51+J35+J26</f>
        <v>25791352.63</v>
      </c>
      <c r="K193" s="300">
        <f>K156+K150+K149+K148+K143+K137+K136+K122+K121+K120+K116+K101+K99+K98+K97+K96+K95+K94+K93+K92+K91+K90+K89+K88+K87+K86+K85+K82+K81+K80+K79+K78+K77+K76+K75+K74+K73+K70+K60+K51+K35+K26-K214</f>
        <v>286367678.08</v>
      </c>
      <c r="L193" s="300">
        <f t="shared" si="62"/>
        <v>2208694.43</v>
      </c>
      <c r="M193" s="300">
        <f t="shared" si="62"/>
        <v>0</v>
      </c>
      <c r="N193" s="300">
        <f t="shared" si="62"/>
        <v>0</v>
      </c>
      <c r="O193" s="300">
        <f t="shared" si="62"/>
        <v>613920.32</v>
      </c>
      <c r="P193" s="300">
        <f t="shared" si="62"/>
        <v>0</v>
      </c>
      <c r="Q193" s="300">
        <f t="shared" si="62"/>
        <v>3100</v>
      </c>
      <c r="R193" s="300">
        <f t="shared" si="62"/>
        <v>116593.5</v>
      </c>
      <c r="S193" s="300">
        <f t="shared" si="62"/>
        <v>281826803.67</v>
      </c>
      <c r="T193" s="300">
        <f t="shared" si="62"/>
        <v>1855000</v>
      </c>
      <c r="U193" s="300">
        <f t="shared" si="62"/>
        <v>250263880.12</v>
      </c>
      <c r="V193" s="300">
        <f t="shared" si="62"/>
        <v>1855000</v>
      </c>
      <c r="W193" s="300">
        <f t="shared" si="62"/>
        <v>31562923.55</v>
      </c>
      <c r="X193" s="307"/>
    </row>
    <row r="194" s="21" customFormat="1" ht="36" customHeight="1" spans="1:24">
      <c r="A194" s="245"/>
      <c r="B194" s="246"/>
      <c r="C194" s="246"/>
      <c r="D194" s="246"/>
      <c r="E194" s="247"/>
      <c r="F194" s="247"/>
      <c r="G194" s="212"/>
      <c r="H194" s="205" t="s">
        <v>317</v>
      </c>
      <c r="I194" s="301">
        <f t="shared" ref="I194:K194" si="63">SUM(I157:I191,I151:I155,I144:I147,I138:I142,I123:I134,I107:I115,I117:I119,I103:I106,I102,I100,I83:I84,I71,I61,I52,I36,I27)</f>
        <v>65125541.61</v>
      </c>
      <c r="J194" s="301">
        <f t="shared" si="63"/>
        <v>4801410.05</v>
      </c>
      <c r="K194" s="301">
        <f t="shared" si="63"/>
        <v>69926951.66</v>
      </c>
      <c r="L194" s="301">
        <f t="shared" ref="L194:V194" si="64">L27+L36+L52+L61+L71+L100+L102+L117+L118+L119+L123+L124+L125+L126+L138+L139+L140+L141+L142+L144+L145+L146+L147+L151+L152+L153+L154+L157+L158+L159+L160+L161+L162+L163+L164+L127+L128+L103</f>
        <v>225405</v>
      </c>
      <c r="M194" s="301">
        <f t="shared" si="64"/>
        <v>0</v>
      </c>
      <c r="N194" s="301">
        <f t="shared" si="64"/>
        <v>0</v>
      </c>
      <c r="O194" s="301">
        <f t="shared" si="64"/>
        <v>201576.1</v>
      </c>
      <c r="P194" s="301">
        <f t="shared" si="64"/>
        <v>0</v>
      </c>
      <c r="Q194" s="301">
        <f t="shared" si="64"/>
        <v>0</v>
      </c>
      <c r="R194" s="301">
        <f t="shared" si="64"/>
        <v>-116593.5</v>
      </c>
      <c r="S194" s="301">
        <f t="shared" si="64"/>
        <v>23913179.88</v>
      </c>
      <c r="T194" s="301">
        <f t="shared" si="64"/>
        <v>0</v>
      </c>
      <c r="U194" s="301">
        <f t="shared" si="64"/>
        <v>33329909.03</v>
      </c>
      <c r="V194" s="301">
        <f t="shared" si="64"/>
        <v>2681000</v>
      </c>
      <c r="W194" s="301">
        <f>W27+W36+W52+W61+W71+W100+W102+W117+W118+W119+W123+W124+W125+W126+W138+W139+W140+W141+W142+W144+W145+W146+W147+W151+W152+W153+W154+W157+W158+W159+W160+W161+W162+W163+W164+W127+W128+W104+W105+W103+W129+W165</f>
        <v>-11957586.24</v>
      </c>
      <c r="X194" s="308"/>
    </row>
    <row r="195" s="21" customFormat="1" ht="36" customHeight="1" spans="1:24">
      <c r="A195" s="245"/>
      <c r="B195" s="246"/>
      <c r="C195" s="246"/>
      <c r="D195" s="246"/>
      <c r="E195" s="247"/>
      <c r="F195" s="247"/>
      <c r="G195" s="248">
        <f>I194-'投资支付台账-202405'!I178</f>
        <v>28876203.3</v>
      </c>
      <c r="H195" s="249"/>
      <c r="I195" s="301"/>
      <c r="J195" s="301"/>
      <c r="K195" s="301"/>
      <c r="L195" s="301"/>
      <c r="M195" s="301"/>
      <c r="N195" s="301"/>
      <c r="O195" s="301"/>
      <c r="P195" s="301"/>
      <c r="Q195" s="301"/>
      <c r="R195" s="301"/>
      <c r="S195" s="301"/>
      <c r="T195" s="301"/>
      <c r="U195" s="301"/>
      <c r="V195" s="301"/>
      <c r="W195" s="301"/>
      <c r="X195" s="308"/>
    </row>
    <row r="196" s="21" customFormat="1" ht="36" customHeight="1" spans="1:24">
      <c r="A196" s="245"/>
      <c r="B196" s="246"/>
      <c r="C196" s="246"/>
      <c r="D196" s="246"/>
      <c r="E196" s="247"/>
      <c r="F196" s="247"/>
      <c r="G196" s="248"/>
      <c r="H196" s="249"/>
      <c r="I196" s="301">
        <f t="shared" ref="I196:K196" si="65">I194+I193</f>
        <v>325701867.06</v>
      </c>
      <c r="J196" s="301">
        <f t="shared" si="65"/>
        <v>30592762.68</v>
      </c>
      <c r="K196" s="301">
        <f t="shared" si="65"/>
        <v>356294629.74</v>
      </c>
      <c r="L196" s="301"/>
      <c r="M196" s="301"/>
      <c r="N196" s="301"/>
      <c r="O196" s="301"/>
      <c r="P196" s="301"/>
      <c r="Q196" s="301"/>
      <c r="R196" s="301"/>
      <c r="S196" s="301"/>
      <c r="T196" s="301"/>
      <c r="U196" s="301">
        <f t="shared" ref="U196:W196" si="66">U194+U193</f>
        <v>283593789.15</v>
      </c>
      <c r="V196" s="301">
        <f t="shared" si="66"/>
        <v>4536000</v>
      </c>
      <c r="W196" s="301">
        <f t="shared" si="66"/>
        <v>19605337.31</v>
      </c>
      <c r="X196" s="308"/>
    </row>
    <row r="197" s="1" customFormat="1" ht="36" customHeight="1" spans="1:24">
      <c r="A197" s="250" t="s">
        <v>213</v>
      </c>
      <c r="B197" s="251" t="s">
        <v>214</v>
      </c>
      <c r="C197" s="252"/>
      <c r="D197" s="252"/>
      <c r="E197" s="253"/>
      <c r="F197" s="253"/>
      <c r="G197" s="217"/>
      <c r="H197" s="218"/>
      <c r="I197" s="94"/>
      <c r="J197" s="94"/>
      <c r="K197" s="94"/>
      <c r="L197" s="94"/>
      <c r="M197" s="94"/>
      <c r="N197" s="94"/>
      <c r="O197" s="94"/>
      <c r="P197" s="94"/>
      <c r="Q197" s="94"/>
      <c r="R197" s="94"/>
      <c r="S197" s="94">
        <f>K197-L197-M197-N197-O197+R197</f>
        <v>0</v>
      </c>
      <c r="T197" s="94"/>
      <c r="U197" s="94"/>
      <c r="V197" s="94"/>
      <c r="W197" s="94"/>
      <c r="X197" s="145"/>
    </row>
    <row r="198" s="22" customFormat="1" ht="42" customHeight="1" spans="1:235">
      <c r="A198" s="43">
        <v>22</v>
      </c>
      <c r="B198" s="44" t="s">
        <v>215</v>
      </c>
      <c r="C198" s="43" t="s">
        <v>216</v>
      </c>
      <c r="D198" s="44" t="s">
        <v>217</v>
      </c>
      <c r="E198" s="45">
        <v>9968383.94</v>
      </c>
      <c r="F198" s="45"/>
      <c r="G198" s="66" t="s">
        <v>218</v>
      </c>
      <c r="H198" s="66" t="s">
        <v>219</v>
      </c>
      <c r="I198" s="94"/>
      <c r="J198" s="94"/>
      <c r="K198" s="94">
        <f>I198+J198</f>
        <v>0</v>
      </c>
      <c r="L198" s="94"/>
      <c r="M198" s="94"/>
      <c r="N198" s="94"/>
      <c r="O198" s="94"/>
      <c r="P198" s="94"/>
      <c r="Q198" s="94"/>
      <c r="R198" s="94">
        <v>2990515.18</v>
      </c>
      <c r="S198" s="94">
        <f>K198-L198-M198-N198-O198+R198</f>
        <v>2990515.18</v>
      </c>
      <c r="T198" s="94"/>
      <c r="U198" s="94">
        <v>2990515.18</v>
      </c>
      <c r="V198" s="94"/>
      <c r="W198" s="94">
        <f t="shared" ref="W198:W209" si="67">S198+T198-U198-V198</f>
        <v>0</v>
      </c>
      <c r="X198" s="145"/>
      <c r="Y198" s="311"/>
      <c r="Z198" s="311"/>
      <c r="AA198" s="311"/>
      <c r="AB198" s="311"/>
      <c r="AC198" s="311"/>
      <c r="AD198" s="311"/>
      <c r="AE198" s="311"/>
      <c r="AF198" s="311"/>
      <c r="AG198" s="311"/>
      <c r="AH198" s="311"/>
      <c r="AI198" s="311"/>
      <c r="AJ198" s="311"/>
      <c r="AK198" s="311"/>
      <c r="AL198" s="311"/>
      <c r="AM198" s="311"/>
      <c r="AN198" s="311"/>
      <c r="AO198" s="311"/>
      <c r="AP198" s="311"/>
      <c r="AQ198" s="311"/>
      <c r="AR198" s="311"/>
      <c r="AS198" s="311"/>
      <c r="AT198" s="311"/>
      <c r="AU198" s="311"/>
      <c r="AV198" s="311"/>
      <c r="AW198" s="311"/>
      <c r="AX198" s="311"/>
      <c r="AY198" s="311"/>
      <c r="AZ198" s="311"/>
      <c r="BA198" s="311"/>
      <c r="BB198" s="311"/>
      <c r="BC198" s="311"/>
      <c r="BD198" s="311"/>
      <c r="BE198" s="311"/>
      <c r="BF198" s="311"/>
      <c r="BG198" s="311"/>
      <c r="BH198" s="311"/>
      <c r="BI198" s="311"/>
      <c r="BJ198" s="311"/>
      <c r="BK198" s="311"/>
      <c r="BL198" s="311"/>
      <c r="BM198" s="311"/>
      <c r="BN198" s="311"/>
      <c r="BO198" s="311"/>
      <c r="BP198" s="311"/>
      <c r="BQ198" s="311"/>
      <c r="BR198" s="311"/>
      <c r="BS198" s="311"/>
      <c r="BT198" s="311"/>
      <c r="BU198" s="311"/>
      <c r="BV198" s="311"/>
      <c r="BW198" s="311"/>
      <c r="BX198" s="311"/>
      <c r="BY198" s="311"/>
      <c r="BZ198" s="311"/>
      <c r="CA198" s="311"/>
      <c r="CB198" s="311"/>
      <c r="CC198" s="311"/>
      <c r="CD198" s="311"/>
      <c r="CE198" s="311"/>
      <c r="CF198" s="311"/>
      <c r="CG198" s="311"/>
      <c r="CH198" s="311"/>
      <c r="CI198" s="311"/>
      <c r="CJ198" s="311"/>
      <c r="CK198" s="311"/>
      <c r="CL198" s="311"/>
      <c r="CM198" s="311"/>
      <c r="CN198" s="311"/>
      <c r="CO198" s="311"/>
      <c r="CP198" s="311"/>
      <c r="CQ198" s="311"/>
      <c r="CR198" s="311"/>
      <c r="CS198" s="311"/>
      <c r="CT198" s="311"/>
      <c r="CU198" s="311"/>
      <c r="CV198" s="311"/>
      <c r="CW198" s="311"/>
      <c r="CX198" s="311"/>
      <c r="CY198" s="311"/>
      <c r="CZ198" s="311"/>
      <c r="DA198" s="311"/>
      <c r="DB198" s="311"/>
      <c r="DC198" s="311"/>
      <c r="DD198" s="311"/>
      <c r="DE198" s="311"/>
      <c r="DF198" s="311"/>
      <c r="DG198" s="311"/>
      <c r="DH198" s="311"/>
      <c r="DI198" s="311"/>
      <c r="DJ198" s="311"/>
      <c r="DK198" s="311"/>
      <c r="DL198" s="311"/>
      <c r="DM198" s="311"/>
      <c r="DN198" s="311"/>
      <c r="DO198" s="311"/>
      <c r="DP198" s="311"/>
      <c r="DQ198" s="311"/>
      <c r="DR198" s="311"/>
      <c r="DS198" s="311"/>
      <c r="DT198" s="311"/>
      <c r="DU198" s="311"/>
      <c r="DV198" s="311"/>
      <c r="DW198" s="311"/>
      <c r="DX198" s="311"/>
      <c r="DY198" s="311"/>
      <c r="DZ198" s="311"/>
      <c r="EA198" s="311"/>
      <c r="EB198" s="311"/>
      <c r="EC198" s="311"/>
      <c r="ED198" s="311"/>
      <c r="EE198" s="311"/>
      <c r="EF198" s="311"/>
      <c r="EG198" s="311"/>
      <c r="EH198" s="311"/>
      <c r="EI198" s="311"/>
      <c r="EJ198" s="311"/>
      <c r="EK198" s="311"/>
      <c r="EL198" s="311"/>
      <c r="EM198" s="311"/>
      <c r="EN198" s="311"/>
      <c r="EO198" s="311"/>
      <c r="EP198" s="311"/>
      <c r="EQ198" s="311"/>
      <c r="ER198" s="311"/>
      <c r="ES198" s="311"/>
      <c r="ET198" s="311"/>
      <c r="EU198" s="311"/>
      <c r="EV198" s="311"/>
      <c r="EW198" s="311"/>
      <c r="EX198" s="311"/>
      <c r="EY198" s="311"/>
      <c r="EZ198" s="311"/>
      <c r="FA198" s="311"/>
      <c r="FB198" s="311"/>
      <c r="FC198" s="311"/>
      <c r="FD198" s="311"/>
      <c r="FE198" s="311"/>
      <c r="FF198" s="311"/>
      <c r="FG198" s="311"/>
      <c r="FH198" s="311"/>
      <c r="FI198" s="311"/>
      <c r="FJ198" s="311"/>
      <c r="FK198" s="311"/>
      <c r="FL198" s="311"/>
      <c r="FM198" s="311"/>
      <c r="FN198" s="311"/>
      <c r="FO198" s="311"/>
      <c r="FP198" s="311"/>
      <c r="FQ198" s="311"/>
      <c r="FR198" s="311"/>
      <c r="FS198" s="311"/>
      <c r="FT198" s="311"/>
      <c r="FU198" s="311"/>
      <c r="FV198" s="311"/>
      <c r="FW198" s="311"/>
      <c r="FX198" s="311"/>
      <c r="FY198" s="311"/>
      <c r="FZ198" s="311"/>
      <c r="GA198" s="311"/>
      <c r="GB198" s="311"/>
      <c r="GC198" s="311"/>
      <c r="GD198" s="311"/>
      <c r="GE198" s="311"/>
      <c r="GF198" s="311"/>
      <c r="GG198" s="311"/>
      <c r="GH198" s="311"/>
      <c r="GI198" s="311"/>
      <c r="GJ198" s="311"/>
      <c r="GK198" s="311"/>
      <c r="GL198" s="311"/>
      <c r="GM198" s="311"/>
      <c r="GN198" s="311"/>
      <c r="GO198" s="311"/>
      <c r="GP198" s="311"/>
      <c r="GQ198" s="311"/>
      <c r="GR198" s="311"/>
      <c r="GS198" s="311"/>
      <c r="GT198" s="311"/>
      <c r="GU198" s="311"/>
      <c r="GV198" s="311"/>
      <c r="GW198" s="311"/>
      <c r="GX198" s="311"/>
      <c r="GY198" s="311"/>
      <c r="GZ198" s="311"/>
      <c r="HA198" s="311"/>
      <c r="HB198" s="311"/>
      <c r="HC198" s="311"/>
      <c r="HD198" s="311"/>
      <c r="HE198" s="311"/>
      <c r="HF198" s="311"/>
      <c r="HG198" s="311"/>
      <c r="HH198" s="311"/>
      <c r="HI198" s="311"/>
      <c r="HJ198" s="311"/>
      <c r="HK198" s="311"/>
      <c r="HL198" s="311"/>
      <c r="HM198" s="311"/>
      <c r="HN198" s="311"/>
      <c r="HO198" s="311"/>
      <c r="HP198" s="311"/>
      <c r="HQ198" s="311"/>
      <c r="HR198" s="311"/>
      <c r="HS198" s="311"/>
      <c r="HT198" s="311"/>
      <c r="HU198" s="311"/>
      <c r="HV198" s="311"/>
      <c r="HW198" s="311"/>
      <c r="HX198" s="311"/>
      <c r="HY198" s="311"/>
      <c r="HZ198" s="311"/>
      <c r="IA198" s="311"/>
    </row>
    <row r="199" s="22" customFormat="1" ht="42" customHeight="1" spans="1:235">
      <c r="A199" s="48"/>
      <c r="B199" s="172"/>
      <c r="C199" s="48"/>
      <c r="D199" s="48"/>
      <c r="E199" s="49"/>
      <c r="F199" s="49"/>
      <c r="G199" s="159" t="s">
        <v>220</v>
      </c>
      <c r="H199" s="73" t="s">
        <v>221</v>
      </c>
      <c r="I199" s="99">
        <v>3814289</v>
      </c>
      <c r="J199" s="99">
        <v>495857.57</v>
      </c>
      <c r="K199" s="94">
        <f t="shared" ref="K199:K202" si="68">J199+I199</f>
        <v>4310146.57</v>
      </c>
      <c r="L199" s="112"/>
      <c r="M199" s="112"/>
      <c r="N199" s="112"/>
      <c r="O199" s="112"/>
      <c r="P199" s="45"/>
      <c r="Q199" s="112"/>
      <c r="R199" s="112">
        <v>-2990515.18</v>
      </c>
      <c r="S199" s="112">
        <f>K199-L199-M199-N199-O199+R199+K200+K201+K202</f>
        <v>4984191.97</v>
      </c>
      <c r="T199" s="112">
        <v>0</v>
      </c>
      <c r="U199" s="112">
        <v>4984191.97</v>
      </c>
      <c r="V199" s="112">
        <v>0</v>
      </c>
      <c r="W199" s="112">
        <f t="shared" si="67"/>
        <v>0</v>
      </c>
      <c r="X199" s="45"/>
      <c r="Y199" s="311"/>
      <c r="Z199" s="311"/>
      <c r="AA199" s="311"/>
      <c r="AB199" s="311"/>
      <c r="AC199" s="311"/>
      <c r="AD199" s="311"/>
      <c r="AE199" s="311"/>
      <c r="AF199" s="311"/>
      <c r="AG199" s="311"/>
      <c r="AH199" s="311"/>
      <c r="AI199" s="311"/>
      <c r="AJ199" s="311"/>
      <c r="AK199" s="311"/>
      <c r="AL199" s="311"/>
      <c r="AM199" s="311"/>
      <c r="AN199" s="311"/>
      <c r="AO199" s="311"/>
      <c r="AP199" s="311"/>
      <c r="AQ199" s="311"/>
      <c r="AR199" s="311"/>
      <c r="AS199" s="311"/>
      <c r="AT199" s="311"/>
      <c r="AU199" s="311"/>
      <c r="AV199" s="311"/>
      <c r="AW199" s="311"/>
      <c r="AX199" s="311"/>
      <c r="AY199" s="311"/>
      <c r="AZ199" s="311"/>
      <c r="BA199" s="311"/>
      <c r="BB199" s="311"/>
      <c r="BC199" s="311"/>
      <c r="BD199" s="311"/>
      <c r="BE199" s="311"/>
      <c r="BF199" s="311"/>
      <c r="BG199" s="311"/>
      <c r="BH199" s="311"/>
      <c r="BI199" s="311"/>
      <c r="BJ199" s="311"/>
      <c r="BK199" s="311"/>
      <c r="BL199" s="311"/>
      <c r="BM199" s="311"/>
      <c r="BN199" s="311"/>
      <c r="BO199" s="311"/>
      <c r="BP199" s="311"/>
      <c r="BQ199" s="311"/>
      <c r="BR199" s="311"/>
      <c r="BS199" s="311"/>
      <c r="BT199" s="311"/>
      <c r="BU199" s="311"/>
      <c r="BV199" s="311"/>
      <c r="BW199" s="311"/>
      <c r="BX199" s="311"/>
      <c r="BY199" s="311"/>
      <c r="BZ199" s="311"/>
      <c r="CA199" s="311"/>
      <c r="CB199" s="311"/>
      <c r="CC199" s="311"/>
      <c r="CD199" s="311"/>
      <c r="CE199" s="311"/>
      <c r="CF199" s="311"/>
      <c r="CG199" s="311"/>
      <c r="CH199" s="311"/>
      <c r="CI199" s="311"/>
      <c r="CJ199" s="311"/>
      <c r="CK199" s="311"/>
      <c r="CL199" s="311"/>
      <c r="CM199" s="311"/>
      <c r="CN199" s="311"/>
      <c r="CO199" s="311"/>
      <c r="CP199" s="311"/>
      <c r="CQ199" s="311"/>
      <c r="CR199" s="311"/>
      <c r="CS199" s="311"/>
      <c r="CT199" s="311"/>
      <c r="CU199" s="311"/>
      <c r="CV199" s="311"/>
      <c r="CW199" s="311"/>
      <c r="CX199" s="311"/>
      <c r="CY199" s="311"/>
      <c r="CZ199" s="311"/>
      <c r="DA199" s="311"/>
      <c r="DB199" s="311"/>
      <c r="DC199" s="311"/>
      <c r="DD199" s="311"/>
      <c r="DE199" s="311"/>
      <c r="DF199" s="311"/>
      <c r="DG199" s="311"/>
      <c r="DH199" s="311"/>
      <c r="DI199" s="311"/>
      <c r="DJ199" s="311"/>
      <c r="DK199" s="311"/>
      <c r="DL199" s="311"/>
      <c r="DM199" s="311"/>
      <c r="DN199" s="311"/>
      <c r="DO199" s="311"/>
      <c r="DP199" s="311"/>
      <c r="DQ199" s="311"/>
      <c r="DR199" s="311"/>
      <c r="DS199" s="311"/>
      <c r="DT199" s="311"/>
      <c r="DU199" s="311"/>
      <c r="DV199" s="311"/>
      <c r="DW199" s="311"/>
      <c r="DX199" s="311"/>
      <c r="DY199" s="311"/>
      <c r="DZ199" s="311"/>
      <c r="EA199" s="311"/>
      <c r="EB199" s="311"/>
      <c r="EC199" s="311"/>
      <c r="ED199" s="311"/>
      <c r="EE199" s="311"/>
      <c r="EF199" s="311"/>
      <c r="EG199" s="311"/>
      <c r="EH199" s="311"/>
      <c r="EI199" s="311"/>
      <c r="EJ199" s="311"/>
      <c r="EK199" s="311"/>
      <c r="EL199" s="311"/>
      <c r="EM199" s="311"/>
      <c r="EN199" s="311"/>
      <c r="EO199" s="311"/>
      <c r="EP199" s="311"/>
      <c r="EQ199" s="311"/>
      <c r="ER199" s="311"/>
      <c r="ES199" s="311"/>
      <c r="ET199" s="311"/>
      <c r="EU199" s="311"/>
      <c r="EV199" s="311"/>
      <c r="EW199" s="311"/>
      <c r="EX199" s="311"/>
      <c r="EY199" s="311"/>
      <c r="EZ199" s="311"/>
      <c r="FA199" s="311"/>
      <c r="FB199" s="311"/>
      <c r="FC199" s="311"/>
      <c r="FD199" s="311"/>
      <c r="FE199" s="311"/>
      <c r="FF199" s="311"/>
      <c r="FG199" s="311"/>
      <c r="FH199" s="311"/>
      <c r="FI199" s="311"/>
      <c r="FJ199" s="311"/>
      <c r="FK199" s="311"/>
      <c r="FL199" s="311"/>
      <c r="FM199" s="311"/>
      <c r="FN199" s="311"/>
      <c r="FO199" s="311"/>
      <c r="FP199" s="311"/>
      <c r="FQ199" s="311"/>
      <c r="FR199" s="311"/>
      <c r="FS199" s="311"/>
      <c r="FT199" s="311"/>
      <c r="FU199" s="311"/>
      <c r="FV199" s="311"/>
      <c r="FW199" s="311"/>
      <c r="FX199" s="311"/>
      <c r="FY199" s="311"/>
      <c r="FZ199" s="311"/>
      <c r="GA199" s="311"/>
      <c r="GB199" s="311"/>
      <c r="GC199" s="311"/>
      <c r="GD199" s="311"/>
      <c r="GE199" s="311"/>
      <c r="GF199" s="311"/>
      <c r="GG199" s="311"/>
      <c r="GH199" s="311"/>
      <c r="GI199" s="311"/>
      <c r="GJ199" s="311"/>
      <c r="GK199" s="311"/>
      <c r="GL199" s="311"/>
      <c r="GM199" s="311"/>
      <c r="GN199" s="311"/>
      <c r="GO199" s="311"/>
      <c r="GP199" s="311"/>
      <c r="GQ199" s="311"/>
      <c r="GR199" s="311"/>
      <c r="GS199" s="311"/>
      <c r="GT199" s="311"/>
      <c r="GU199" s="311"/>
      <c r="GV199" s="311"/>
      <c r="GW199" s="311"/>
      <c r="GX199" s="311"/>
      <c r="GY199" s="311"/>
      <c r="GZ199" s="311"/>
      <c r="HA199" s="311"/>
      <c r="HB199" s="311"/>
      <c r="HC199" s="311"/>
      <c r="HD199" s="311"/>
      <c r="HE199" s="311"/>
      <c r="HF199" s="311"/>
      <c r="HG199" s="311"/>
      <c r="HH199" s="311"/>
      <c r="HI199" s="311"/>
      <c r="HJ199" s="311"/>
      <c r="HK199" s="311"/>
      <c r="HL199" s="311"/>
      <c r="HM199" s="311"/>
      <c r="HN199" s="311"/>
      <c r="HO199" s="311"/>
      <c r="HP199" s="311"/>
      <c r="HQ199" s="311"/>
      <c r="HR199" s="311"/>
      <c r="HS199" s="311"/>
      <c r="HT199" s="311"/>
      <c r="HU199" s="311"/>
      <c r="HV199" s="311"/>
      <c r="HW199" s="311"/>
      <c r="HX199" s="311"/>
      <c r="HY199" s="311"/>
      <c r="HZ199" s="311"/>
      <c r="IA199" s="311"/>
    </row>
    <row r="200" s="23" customFormat="1" ht="42" customHeight="1" spans="1:235">
      <c r="A200" s="48"/>
      <c r="B200" s="172"/>
      <c r="C200" s="48"/>
      <c r="D200" s="48"/>
      <c r="E200" s="49"/>
      <c r="F200" s="49"/>
      <c r="G200" s="175"/>
      <c r="H200" s="73"/>
      <c r="I200" s="99">
        <v>2581578.51</v>
      </c>
      <c r="J200" s="203">
        <v>269332.9</v>
      </c>
      <c r="K200" s="94">
        <f t="shared" si="68"/>
        <v>2850911.41</v>
      </c>
      <c r="L200" s="113"/>
      <c r="M200" s="113"/>
      <c r="N200" s="113"/>
      <c r="O200" s="113"/>
      <c r="P200" s="49"/>
      <c r="Q200" s="113"/>
      <c r="R200" s="113"/>
      <c r="S200" s="113"/>
      <c r="T200" s="113"/>
      <c r="U200" s="113"/>
      <c r="V200" s="113"/>
      <c r="W200" s="113"/>
      <c r="X200" s="49"/>
      <c r="Y200" s="312"/>
      <c r="Z200" s="312"/>
      <c r="AA200" s="312"/>
      <c r="AB200" s="312"/>
      <c r="AC200" s="312"/>
      <c r="AD200" s="312"/>
      <c r="AE200" s="312"/>
      <c r="AF200" s="312"/>
      <c r="AG200" s="312"/>
      <c r="AH200" s="312"/>
      <c r="AI200" s="312"/>
      <c r="AJ200" s="312"/>
      <c r="AK200" s="312"/>
      <c r="AL200" s="312"/>
      <c r="AM200" s="312"/>
      <c r="AN200" s="312"/>
      <c r="AO200" s="312"/>
      <c r="AP200" s="312"/>
      <c r="AQ200" s="312"/>
      <c r="AR200" s="312"/>
      <c r="AS200" s="312"/>
      <c r="AT200" s="312"/>
      <c r="AU200" s="312"/>
      <c r="AV200" s="312"/>
      <c r="AW200" s="312"/>
      <c r="AX200" s="312"/>
      <c r="AY200" s="312"/>
      <c r="AZ200" s="312"/>
      <c r="BA200" s="312"/>
      <c r="BB200" s="312"/>
      <c r="BC200" s="312"/>
      <c r="BD200" s="312"/>
      <c r="BE200" s="312"/>
      <c r="BF200" s="312"/>
      <c r="BG200" s="312"/>
      <c r="BH200" s="312"/>
      <c r="BI200" s="312"/>
      <c r="BJ200" s="312"/>
      <c r="BK200" s="312"/>
      <c r="BL200" s="312"/>
      <c r="BM200" s="312"/>
      <c r="BN200" s="312"/>
      <c r="BO200" s="312"/>
      <c r="BP200" s="312"/>
      <c r="BQ200" s="312"/>
      <c r="BR200" s="312"/>
      <c r="BS200" s="312"/>
      <c r="BT200" s="312"/>
      <c r="BU200" s="312"/>
      <c r="BV200" s="312"/>
      <c r="BW200" s="312"/>
      <c r="BX200" s="312"/>
      <c r="BY200" s="312"/>
      <c r="BZ200" s="312"/>
      <c r="CA200" s="312"/>
      <c r="CB200" s="312"/>
      <c r="CC200" s="312"/>
      <c r="CD200" s="312"/>
      <c r="CE200" s="312"/>
      <c r="CF200" s="312"/>
      <c r="CG200" s="312"/>
      <c r="CH200" s="312"/>
      <c r="CI200" s="312"/>
      <c r="CJ200" s="312"/>
      <c r="CK200" s="312"/>
      <c r="CL200" s="312"/>
      <c r="CM200" s="312"/>
      <c r="CN200" s="312"/>
      <c r="CO200" s="312"/>
      <c r="CP200" s="312"/>
      <c r="CQ200" s="312"/>
      <c r="CR200" s="312"/>
      <c r="CS200" s="312"/>
      <c r="CT200" s="312"/>
      <c r="CU200" s="312"/>
      <c r="CV200" s="312"/>
      <c r="CW200" s="312"/>
      <c r="CX200" s="312"/>
      <c r="CY200" s="312"/>
      <c r="CZ200" s="312"/>
      <c r="DA200" s="312"/>
      <c r="DB200" s="312"/>
      <c r="DC200" s="312"/>
      <c r="DD200" s="312"/>
      <c r="DE200" s="312"/>
      <c r="DF200" s="312"/>
      <c r="DG200" s="312"/>
      <c r="DH200" s="312"/>
      <c r="DI200" s="312"/>
      <c r="DJ200" s="312"/>
      <c r="DK200" s="312"/>
      <c r="DL200" s="312"/>
      <c r="DM200" s="312"/>
      <c r="DN200" s="312"/>
      <c r="DO200" s="312"/>
      <c r="DP200" s="312"/>
      <c r="DQ200" s="312"/>
      <c r="DR200" s="312"/>
      <c r="DS200" s="312"/>
      <c r="DT200" s="312"/>
      <c r="DU200" s="312"/>
      <c r="DV200" s="312"/>
      <c r="DW200" s="312"/>
      <c r="DX200" s="312"/>
      <c r="DY200" s="312"/>
      <c r="DZ200" s="312"/>
      <c r="EA200" s="312"/>
      <c r="EB200" s="312"/>
      <c r="EC200" s="312"/>
      <c r="ED200" s="312"/>
      <c r="EE200" s="312"/>
      <c r="EF200" s="312"/>
      <c r="EG200" s="312"/>
      <c r="EH200" s="312"/>
      <c r="EI200" s="312"/>
      <c r="EJ200" s="312"/>
      <c r="EK200" s="312"/>
      <c r="EL200" s="312"/>
      <c r="EM200" s="312"/>
      <c r="EN200" s="312"/>
      <c r="EO200" s="312"/>
      <c r="EP200" s="312"/>
      <c r="EQ200" s="312"/>
      <c r="ER200" s="312"/>
      <c r="ES200" s="312"/>
      <c r="ET200" s="312"/>
      <c r="EU200" s="312"/>
      <c r="EV200" s="312"/>
      <c r="EW200" s="312"/>
      <c r="EX200" s="312"/>
      <c r="EY200" s="312"/>
      <c r="EZ200" s="312"/>
      <c r="FA200" s="312"/>
      <c r="FB200" s="312"/>
      <c r="FC200" s="312"/>
      <c r="FD200" s="312"/>
      <c r="FE200" s="312"/>
      <c r="FF200" s="312"/>
      <c r="FG200" s="312"/>
      <c r="FH200" s="312"/>
      <c r="FI200" s="312"/>
      <c r="FJ200" s="312"/>
      <c r="FK200" s="312"/>
      <c r="FL200" s="312"/>
      <c r="FM200" s="312"/>
      <c r="FN200" s="312"/>
      <c r="FO200" s="312"/>
      <c r="FP200" s="312"/>
      <c r="FQ200" s="312"/>
      <c r="FR200" s="312"/>
      <c r="FS200" s="312"/>
      <c r="FT200" s="312"/>
      <c r="FU200" s="312"/>
      <c r="FV200" s="312"/>
      <c r="FW200" s="312"/>
      <c r="FX200" s="312"/>
      <c r="FY200" s="312"/>
      <c r="FZ200" s="312"/>
      <c r="GA200" s="312"/>
      <c r="GB200" s="312"/>
      <c r="GC200" s="312"/>
      <c r="GD200" s="312"/>
      <c r="GE200" s="312"/>
      <c r="GF200" s="312"/>
      <c r="GG200" s="312"/>
      <c r="GH200" s="312"/>
      <c r="GI200" s="312"/>
      <c r="GJ200" s="312"/>
      <c r="GK200" s="312"/>
      <c r="GL200" s="312"/>
      <c r="GM200" s="312"/>
      <c r="GN200" s="312"/>
      <c r="GO200" s="312"/>
      <c r="GP200" s="312"/>
      <c r="GQ200" s="312"/>
      <c r="GR200" s="312"/>
      <c r="GS200" s="312"/>
      <c r="GT200" s="312"/>
      <c r="GU200" s="312"/>
      <c r="GV200" s="312"/>
      <c r="GW200" s="312"/>
      <c r="GX200" s="312"/>
      <c r="GY200" s="312"/>
      <c r="GZ200" s="312"/>
      <c r="HA200" s="312"/>
      <c r="HB200" s="312"/>
      <c r="HC200" s="312"/>
      <c r="HD200" s="312"/>
      <c r="HE200" s="312"/>
      <c r="HF200" s="312"/>
      <c r="HG200" s="312"/>
      <c r="HH200" s="312"/>
      <c r="HI200" s="312"/>
      <c r="HJ200" s="312"/>
      <c r="HK200" s="312"/>
      <c r="HL200" s="312"/>
      <c r="HM200" s="312"/>
      <c r="HN200" s="312"/>
      <c r="HO200" s="312"/>
      <c r="HP200" s="312"/>
      <c r="HQ200" s="312"/>
      <c r="HR200" s="312"/>
      <c r="HS200" s="312"/>
      <c r="HT200" s="312"/>
      <c r="HU200" s="312"/>
      <c r="HV200" s="312"/>
      <c r="HW200" s="312"/>
      <c r="HX200" s="312"/>
      <c r="HY200" s="312"/>
      <c r="HZ200" s="312"/>
      <c r="IA200" s="312"/>
    </row>
    <row r="201" s="23" customFormat="1" ht="42" customHeight="1" spans="1:235">
      <c r="A201" s="48"/>
      <c r="B201" s="172"/>
      <c r="C201" s="48"/>
      <c r="D201" s="48"/>
      <c r="E201" s="49"/>
      <c r="F201" s="49"/>
      <c r="G201" s="175"/>
      <c r="H201" s="73"/>
      <c r="I201" s="99">
        <v>411009.17</v>
      </c>
      <c r="J201" s="203"/>
      <c r="K201" s="94">
        <f t="shared" si="68"/>
        <v>411009.17</v>
      </c>
      <c r="L201" s="113"/>
      <c r="M201" s="113"/>
      <c r="N201" s="113"/>
      <c r="O201" s="113"/>
      <c r="P201" s="49"/>
      <c r="Q201" s="113"/>
      <c r="R201" s="113"/>
      <c r="S201" s="113"/>
      <c r="T201" s="113"/>
      <c r="U201" s="113"/>
      <c r="V201" s="113"/>
      <c r="W201" s="113"/>
      <c r="X201" s="49"/>
      <c r="Y201" s="312"/>
      <c r="Z201" s="312"/>
      <c r="AA201" s="312"/>
      <c r="AB201" s="312"/>
      <c r="AC201" s="312"/>
      <c r="AD201" s="312"/>
      <c r="AE201" s="312"/>
      <c r="AF201" s="312"/>
      <c r="AG201" s="312"/>
      <c r="AH201" s="312"/>
      <c r="AI201" s="312"/>
      <c r="AJ201" s="312"/>
      <c r="AK201" s="312"/>
      <c r="AL201" s="312"/>
      <c r="AM201" s="312"/>
      <c r="AN201" s="312"/>
      <c r="AO201" s="312"/>
      <c r="AP201" s="312"/>
      <c r="AQ201" s="312"/>
      <c r="AR201" s="312"/>
      <c r="AS201" s="312"/>
      <c r="AT201" s="312"/>
      <c r="AU201" s="312"/>
      <c r="AV201" s="312"/>
      <c r="AW201" s="312"/>
      <c r="AX201" s="312"/>
      <c r="AY201" s="312"/>
      <c r="AZ201" s="312"/>
      <c r="BA201" s="312"/>
      <c r="BB201" s="312"/>
      <c r="BC201" s="312"/>
      <c r="BD201" s="312"/>
      <c r="BE201" s="312"/>
      <c r="BF201" s="312"/>
      <c r="BG201" s="312"/>
      <c r="BH201" s="312"/>
      <c r="BI201" s="312"/>
      <c r="BJ201" s="312"/>
      <c r="BK201" s="312"/>
      <c r="BL201" s="312"/>
      <c r="BM201" s="312"/>
      <c r="BN201" s="312"/>
      <c r="BO201" s="312"/>
      <c r="BP201" s="312"/>
      <c r="BQ201" s="312"/>
      <c r="BR201" s="312"/>
      <c r="BS201" s="312"/>
      <c r="BT201" s="312"/>
      <c r="BU201" s="312"/>
      <c r="BV201" s="312"/>
      <c r="BW201" s="312"/>
      <c r="BX201" s="312"/>
      <c r="BY201" s="312"/>
      <c r="BZ201" s="312"/>
      <c r="CA201" s="312"/>
      <c r="CB201" s="312"/>
      <c r="CC201" s="312"/>
      <c r="CD201" s="312"/>
      <c r="CE201" s="312"/>
      <c r="CF201" s="312"/>
      <c r="CG201" s="312"/>
      <c r="CH201" s="312"/>
      <c r="CI201" s="312"/>
      <c r="CJ201" s="312"/>
      <c r="CK201" s="312"/>
      <c r="CL201" s="312"/>
      <c r="CM201" s="312"/>
      <c r="CN201" s="312"/>
      <c r="CO201" s="312"/>
      <c r="CP201" s="312"/>
      <c r="CQ201" s="312"/>
      <c r="CR201" s="312"/>
      <c r="CS201" s="312"/>
      <c r="CT201" s="312"/>
      <c r="CU201" s="312"/>
      <c r="CV201" s="312"/>
      <c r="CW201" s="312"/>
      <c r="CX201" s="312"/>
      <c r="CY201" s="312"/>
      <c r="CZ201" s="312"/>
      <c r="DA201" s="312"/>
      <c r="DB201" s="312"/>
      <c r="DC201" s="312"/>
      <c r="DD201" s="312"/>
      <c r="DE201" s="312"/>
      <c r="DF201" s="312"/>
      <c r="DG201" s="312"/>
      <c r="DH201" s="312"/>
      <c r="DI201" s="312"/>
      <c r="DJ201" s="312"/>
      <c r="DK201" s="312"/>
      <c r="DL201" s="312"/>
      <c r="DM201" s="312"/>
      <c r="DN201" s="312"/>
      <c r="DO201" s="312"/>
      <c r="DP201" s="312"/>
      <c r="DQ201" s="312"/>
      <c r="DR201" s="312"/>
      <c r="DS201" s="312"/>
      <c r="DT201" s="312"/>
      <c r="DU201" s="312"/>
      <c r="DV201" s="312"/>
      <c r="DW201" s="312"/>
      <c r="DX201" s="312"/>
      <c r="DY201" s="312"/>
      <c r="DZ201" s="312"/>
      <c r="EA201" s="312"/>
      <c r="EB201" s="312"/>
      <c r="EC201" s="312"/>
      <c r="ED201" s="312"/>
      <c r="EE201" s="312"/>
      <c r="EF201" s="312"/>
      <c r="EG201" s="312"/>
      <c r="EH201" s="312"/>
      <c r="EI201" s="312"/>
      <c r="EJ201" s="312"/>
      <c r="EK201" s="312"/>
      <c r="EL201" s="312"/>
      <c r="EM201" s="312"/>
      <c r="EN201" s="312"/>
      <c r="EO201" s="312"/>
      <c r="EP201" s="312"/>
      <c r="EQ201" s="312"/>
      <c r="ER201" s="312"/>
      <c r="ES201" s="312"/>
      <c r="ET201" s="312"/>
      <c r="EU201" s="312"/>
      <c r="EV201" s="312"/>
      <c r="EW201" s="312"/>
      <c r="EX201" s="312"/>
      <c r="EY201" s="312"/>
      <c r="EZ201" s="312"/>
      <c r="FA201" s="312"/>
      <c r="FB201" s="312"/>
      <c r="FC201" s="312"/>
      <c r="FD201" s="312"/>
      <c r="FE201" s="312"/>
      <c r="FF201" s="312"/>
      <c r="FG201" s="312"/>
      <c r="FH201" s="312"/>
      <c r="FI201" s="312"/>
      <c r="FJ201" s="312"/>
      <c r="FK201" s="312"/>
      <c r="FL201" s="312"/>
      <c r="FM201" s="312"/>
      <c r="FN201" s="312"/>
      <c r="FO201" s="312"/>
      <c r="FP201" s="312"/>
      <c r="FQ201" s="312"/>
      <c r="FR201" s="312"/>
      <c r="FS201" s="312"/>
      <c r="FT201" s="312"/>
      <c r="FU201" s="312"/>
      <c r="FV201" s="312"/>
      <c r="FW201" s="312"/>
      <c r="FX201" s="312"/>
      <c r="FY201" s="312"/>
      <c r="FZ201" s="312"/>
      <c r="GA201" s="312"/>
      <c r="GB201" s="312"/>
      <c r="GC201" s="312"/>
      <c r="GD201" s="312"/>
      <c r="GE201" s="312"/>
      <c r="GF201" s="312"/>
      <c r="GG201" s="312"/>
      <c r="GH201" s="312"/>
      <c r="GI201" s="312"/>
      <c r="GJ201" s="312"/>
      <c r="GK201" s="312"/>
      <c r="GL201" s="312"/>
      <c r="GM201" s="312"/>
      <c r="GN201" s="312"/>
      <c r="GO201" s="312"/>
      <c r="GP201" s="312"/>
      <c r="GQ201" s="312"/>
      <c r="GR201" s="312"/>
      <c r="GS201" s="312"/>
      <c r="GT201" s="312"/>
      <c r="GU201" s="312"/>
      <c r="GV201" s="312"/>
      <c r="GW201" s="312"/>
      <c r="GX201" s="312"/>
      <c r="GY201" s="312"/>
      <c r="GZ201" s="312"/>
      <c r="HA201" s="312"/>
      <c r="HB201" s="312"/>
      <c r="HC201" s="312"/>
      <c r="HD201" s="312"/>
      <c r="HE201" s="312"/>
      <c r="HF201" s="312"/>
      <c r="HG201" s="312"/>
      <c r="HH201" s="312"/>
      <c r="HI201" s="312"/>
      <c r="HJ201" s="312"/>
      <c r="HK201" s="312"/>
      <c r="HL201" s="312"/>
      <c r="HM201" s="312"/>
      <c r="HN201" s="312"/>
      <c r="HO201" s="312"/>
      <c r="HP201" s="312"/>
      <c r="HQ201" s="312"/>
      <c r="HR201" s="312"/>
      <c r="HS201" s="312"/>
      <c r="HT201" s="312"/>
      <c r="HU201" s="312"/>
      <c r="HV201" s="312"/>
      <c r="HW201" s="312"/>
      <c r="HX201" s="312"/>
      <c r="HY201" s="312"/>
      <c r="HZ201" s="312"/>
      <c r="IA201" s="312"/>
    </row>
    <row r="202" s="23" customFormat="1" ht="42" customHeight="1" spans="1:235">
      <c r="A202" s="48"/>
      <c r="B202" s="172"/>
      <c r="C202" s="48"/>
      <c r="D202" s="48"/>
      <c r="E202" s="49"/>
      <c r="F202" s="49"/>
      <c r="G202" s="175"/>
      <c r="H202" s="73"/>
      <c r="I202" s="99">
        <v>379849.06</v>
      </c>
      <c r="J202" s="99">
        <v>22790.94</v>
      </c>
      <c r="K202" s="94">
        <f t="shared" si="68"/>
        <v>402640</v>
      </c>
      <c r="L202" s="114"/>
      <c r="M202" s="114"/>
      <c r="N202" s="114"/>
      <c r="O202" s="114"/>
      <c r="P202" s="81"/>
      <c r="Q202" s="114"/>
      <c r="R202" s="114"/>
      <c r="S202" s="114"/>
      <c r="T202" s="114"/>
      <c r="U202" s="114"/>
      <c r="V202" s="114"/>
      <c r="W202" s="114"/>
      <c r="X202" s="81"/>
      <c r="Y202" s="312"/>
      <c r="Z202" s="312"/>
      <c r="AA202" s="312"/>
      <c r="AB202" s="312"/>
      <c r="AC202" s="312"/>
      <c r="AD202" s="312"/>
      <c r="AE202" s="312"/>
      <c r="AF202" s="312"/>
      <c r="AG202" s="312"/>
      <c r="AH202" s="312"/>
      <c r="AI202" s="312"/>
      <c r="AJ202" s="312"/>
      <c r="AK202" s="312"/>
      <c r="AL202" s="312"/>
      <c r="AM202" s="312"/>
      <c r="AN202" s="312"/>
      <c r="AO202" s="312"/>
      <c r="AP202" s="312"/>
      <c r="AQ202" s="312"/>
      <c r="AR202" s="312"/>
      <c r="AS202" s="312"/>
      <c r="AT202" s="312"/>
      <c r="AU202" s="312"/>
      <c r="AV202" s="312"/>
      <c r="AW202" s="312"/>
      <c r="AX202" s="312"/>
      <c r="AY202" s="312"/>
      <c r="AZ202" s="312"/>
      <c r="BA202" s="312"/>
      <c r="BB202" s="312"/>
      <c r="BC202" s="312"/>
      <c r="BD202" s="312"/>
      <c r="BE202" s="312"/>
      <c r="BF202" s="312"/>
      <c r="BG202" s="312"/>
      <c r="BH202" s="312"/>
      <c r="BI202" s="312"/>
      <c r="BJ202" s="312"/>
      <c r="BK202" s="312"/>
      <c r="BL202" s="312"/>
      <c r="BM202" s="312"/>
      <c r="BN202" s="312"/>
      <c r="BO202" s="312"/>
      <c r="BP202" s="312"/>
      <c r="BQ202" s="312"/>
      <c r="BR202" s="312"/>
      <c r="BS202" s="312"/>
      <c r="BT202" s="312"/>
      <c r="BU202" s="312"/>
      <c r="BV202" s="312"/>
      <c r="BW202" s="312"/>
      <c r="BX202" s="312"/>
      <c r="BY202" s="312"/>
      <c r="BZ202" s="312"/>
      <c r="CA202" s="312"/>
      <c r="CB202" s="312"/>
      <c r="CC202" s="312"/>
      <c r="CD202" s="312"/>
      <c r="CE202" s="312"/>
      <c r="CF202" s="312"/>
      <c r="CG202" s="312"/>
      <c r="CH202" s="312"/>
      <c r="CI202" s="312"/>
      <c r="CJ202" s="312"/>
      <c r="CK202" s="312"/>
      <c r="CL202" s="312"/>
      <c r="CM202" s="312"/>
      <c r="CN202" s="312"/>
      <c r="CO202" s="312"/>
      <c r="CP202" s="312"/>
      <c r="CQ202" s="312"/>
      <c r="CR202" s="312"/>
      <c r="CS202" s="312"/>
      <c r="CT202" s="312"/>
      <c r="CU202" s="312"/>
      <c r="CV202" s="312"/>
      <c r="CW202" s="312"/>
      <c r="CX202" s="312"/>
      <c r="CY202" s="312"/>
      <c r="CZ202" s="312"/>
      <c r="DA202" s="312"/>
      <c r="DB202" s="312"/>
      <c r="DC202" s="312"/>
      <c r="DD202" s="312"/>
      <c r="DE202" s="312"/>
      <c r="DF202" s="312"/>
      <c r="DG202" s="312"/>
      <c r="DH202" s="312"/>
      <c r="DI202" s="312"/>
      <c r="DJ202" s="312"/>
      <c r="DK202" s="312"/>
      <c r="DL202" s="312"/>
      <c r="DM202" s="312"/>
      <c r="DN202" s="312"/>
      <c r="DO202" s="312"/>
      <c r="DP202" s="312"/>
      <c r="DQ202" s="312"/>
      <c r="DR202" s="312"/>
      <c r="DS202" s="312"/>
      <c r="DT202" s="312"/>
      <c r="DU202" s="312"/>
      <c r="DV202" s="312"/>
      <c r="DW202" s="312"/>
      <c r="DX202" s="312"/>
      <c r="DY202" s="312"/>
      <c r="DZ202" s="312"/>
      <c r="EA202" s="312"/>
      <c r="EB202" s="312"/>
      <c r="EC202" s="312"/>
      <c r="ED202" s="312"/>
      <c r="EE202" s="312"/>
      <c r="EF202" s="312"/>
      <c r="EG202" s="312"/>
      <c r="EH202" s="312"/>
      <c r="EI202" s="312"/>
      <c r="EJ202" s="312"/>
      <c r="EK202" s="312"/>
      <c r="EL202" s="312"/>
      <c r="EM202" s="312"/>
      <c r="EN202" s="312"/>
      <c r="EO202" s="312"/>
      <c r="EP202" s="312"/>
      <c r="EQ202" s="312"/>
      <c r="ER202" s="312"/>
      <c r="ES202" s="312"/>
      <c r="ET202" s="312"/>
      <c r="EU202" s="312"/>
      <c r="EV202" s="312"/>
      <c r="EW202" s="312"/>
      <c r="EX202" s="312"/>
      <c r="EY202" s="312"/>
      <c r="EZ202" s="312"/>
      <c r="FA202" s="312"/>
      <c r="FB202" s="312"/>
      <c r="FC202" s="312"/>
      <c r="FD202" s="312"/>
      <c r="FE202" s="312"/>
      <c r="FF202" s="312"/>
      <c r="FG202" s="312"/>
      <c r="FH202" s="312"/>
      <c r="FI202" s="312"/>
      <c r="FJ202" s="312"/>
      <c r="FK202" s="312"/>
      <c r="FL202" s="312"/>
      <c r="FM202" s="312"/>
      <c r="FN202" s="312"/>
      <c r="FO202" s="312"/>
      <c r="FP202" s="312"/>
      <c r="FQ202" s="312"/>
      <c r="FR202" s="312"/>
      <c r="FS202" s="312"/>
      <c r="FT202" s="312"/>
      <c r="FU202" s="312"/>
      <c r="FV202" s="312"/>
      <c r="FW202" s="312"/>
      <c r="FX202" s="312"/>
      <c r="FY202" s="312"/>
      <c r="FZ202" s="312"/>
      <c r="GA202" s="312"/>
      <c r="GB202" s="312"/>
      <c r="GC202" s="312"/>
      <c r="GD202" s="312"/>
      <c r="GE202" s="312"/>
      <c r="GF202" s="312"/>
      <c r="GG202" s="312"/>
      <c r="GH202" s="312"/>
      <c r="GI202" s="312"/>
      <c r="GJ202" s="312"/>
      <c r="GK202" s="312"/>
      <c r="GL202" s="312"/>
      <c r="GM202" s="312"/>
      <c r="GN202" s="312"/>
      <c r="GO202" s="312"/>
      <c r="GP202" s="312"/>
      <c r="GQ202" s="312"/>
      <c r="GR202" s="312"/>
      <c r="GS202" s="312"/>
      <c r="GT202" s="312"/>
      <c r="GU202" s="312"/>
      <c r="GV202" s="312"/>
      <c r="GW202" s="312"/>
      <c r="GX202" s="312"/>
      <c r="GY202" s="312"/>
      <c r="GZ202" s="312"/>
      <c r="HA202" s="312"/>
      <c r="HB202" s="312"/>
      <c r="HC202" s="312"/>
      <c r="HD202" s="312"/>
      <c r="HE202" s="312"/>
      <c r="HF202" s="312"/>
      <c r="HG202" s="312"/>
      <c r="HH202" s="312"/>
      <c r="HI202" s="312"/>
      <c r="HJ202" s="312"/>
      <c r="HK202" s="312"/>
      <c r="HL202" s="312"/>
      <c r="HM202" s="312"/>
      <c r="HN202" s="312"/>
      <c r="HO202" s="312"/>
      <c r="HP202" s="312"/>
      <c r="HQ202" s="312"/>
      <c r="HR202" s="312"/>
      <c r="HS202" s="312"/>
      <c r="HT202" s="312"/>
      <c r="HU202" s="312"/>
      <c r="HV202" s="312"/>
      <c r="HW202" s="312"/>
      <c r="HX202" s="312"/>
      <c r="HY202" s="312"/>
      <c r="HZ202" s="312"/>
      <c r="IA202" s="312"/>
    </row>
    <row r="203" s="23" customFormat="1" ht="42" customHeight="1" spans="1:235">
      <c r="A203" s="153"/>
      <c r="B203" s="254"/>
      <c r="C203" s="153"/>
      <c r="D203" s="153"/>
      <c r="E203" s="81"/>
      <c r="F203" s="81"/>
      <c r="G203" s="255" t="s">
        <v>385</v>
      </c>
      <c r="H203" s="76" t="s">
        <v>386</v>
      </c>
      <c r="I203" s="118">
        <v>2255101.87</v>
      </c>
      <c r="J203" s="118">
        <v>0</v>
      </c>
      <c r="K203" s="101">
        <v>2255101.87</v>
      </c>
      <c r="L203" s="202"/>
      <c r="M203" s="202"/>
      <c r="N203" s="202"/>
      <c r="O203" s="202"/>
      <c r="P203" s="106"/>
      <c r="Q203" s="114"/>
      <c r="R203" s="114"/>
      <c r="S203" s="114">
        <f>K203</f>
        <v>2255101.87</v>
      </c>
      <c r="T203" s="114"/>
      <c r="U203" s="114">
        <f>0</f>
        <v>0</v>
      </c>
      <c r="V203" s="114"/>
      <c r="W203" s="114">
        <f t="shared" si="67"/>
        <v>2255101.87</v>
      </c>
      <c r="X203" s="81"/>
      <c r="Y203" s="312"/>
      <c r="Z203" s="312"/>
      <c r="AA203" s="312"/>
      <c r="AB203" s="312"/>
      <c r="AC203" s="312"/>
      <c r="AD203" s="312"/>
      <c r="AE203" s="312"/>
      <c r="AF203" s="312"/>
      <c r="AG203" s="312"/>
      <c r="AH203" s="312"/>
      <c r="AI203" s="312"/>
      <c r="AJ203" s="312"/>
      <c r="AK203" s="312"/>
      <c r="AL203" s="312"/>
      <c r="AM203" s="312"/>
      <c r="AN203" s="312"/>
      <c r="AO203" s="312"/>
      <c r="AP203" s="312"/>
      <c r="AQ203" s="312"/>
      <c r="AR203" s="312"/>
      <c r="AS203" s="312"/>
      <c r="AT203" s="312"/>
      <c r="AU203" s="312"/>
      <c r="AV203" s="312"/>
      <c r="AW203" s="312"/>
      <c r="AX203" s="312"/>
      <c r="AY203" s="312"/>
      <c r="AZ203" s="312"/>
      <c r="BA203" s="312"/>
      <c r="BB203" s="312"/>
      <c r="BC203" s="312"/>
      <c r="BD203" s="312"/>
      <c r="BE203" s="312"/>
      <c r="BF203" s="312"/>
      <c r="BG203" s="312"/>
      <c r="BH203" s="312"/>
      <c r="BI203" s="312"/>
      <c r="BJ203" s="312"/>
      <c r="BK203" s="312"/>
      <c r="BL203" s="312"/>
      <c r="BM203" s="312"/>
      <c r="BN203" s="312"/>
      <c r="BO203" s="312"/>
      <c r="BP203" s="312"/>
      <c r="BQ203" s="312"/>
      <c r="BR203" s="312"/>
      <c r="BS203" s="312"/>
      <c r="BT203" s="312"/>
      <c r="BU203" s="312"/>
      <c r="BV203" s="312"/>
      <c r="BW203" s="312"/>
      <c r="BX203" s="312"/>
      <c r="BY203" s="312"/>
      <c r="BZ203" s="312"/>
      <c r="CA203" s="312"/>
      <c r="CB203" s="312"/>
      <c r="CC203" s="312"/>
      <c r="CD203" s="312"/>
      <c r="CE203" s="312"/>
      <c r="CF203" s="312"/>
      <c r="CG203" s="312"/>
      <c r="CH203" s="312"/>
      <c r="CI203" s="312"/>
      <c r="CJ203" s="312"/>
      <c r="CK203" s="312"/>
      <c r="CL203" s="312"/>
      <c r="CM203" s="312"/>
      <c r="CN203" s="312"/>
      <c r="CO203" s="312"/>
      <c r="CP203" s="312"/>
      <c r="CQ203" s="312"/>
      <c r="CR203" s="312"/>
      <c r="CS203" s="312"/>
      <c r="CT203" s="312"/>
      <c r="CU203" s="312"/>
      <c r="CV203" s="312"/>
      <c r="CW203" s="312"/>
      <c r="CX203" s="312"/>
      <c r="CY203" s="312"/>
      <c r="CZ203" s="312"/>
      <c r="DA203" s="312"/>
      <c r="DB203" s="312"/>
      <c r="DC203" s="312"/>
      <c r="DD203" s="312"/>
      <c r="DE203" s="312"/>
      <c r="DF203" s="312"/>
      <c r="DG203" s="312"/>
      <c r="DH203" s="312"/>
      <c r="DI203" s="312"/>
      <c r="DJ203" s="312"/>
      <c r="DK203" s="312"/>
      <c r="DL203" s="312"/>
      <c r="DM203" s="312"/>
      <c r="DN203" s="312"/>
      <c r="DO203" s="312"/>
      <c r="DP203" s="312"/>
      <c r="DQ203" s="312"/>
      <c r="DR203" s="312"/>
      <c r="DS203" s="312"/>
      <c r="DT203" s="312"/>
      <c r="DU203" s="312"/>
      <c r="DV203" s="312"/>
      <c r="DW203" s="312"/>
      <c r="DX203" s="312"/>
      <c r="DY203" s="312"/>
      <c r="DZ203" s="312"/>
      <c r="EA203" s="312"/>
      <c r="EB203" s="312"/>
      <c r="EC203" s="312"/>
      <c r="ED203" s="312"/>
      <c r="EE203" s="312"/>
      <c r="EF203" s="312"/>
      <c r="EG203" s="312"/>
      <c r="EH203" s="312"/>
      <c r="EI203" s="312"/>
      <c r="EJ203" s="312"/>
      <c r="EK203" s="312"/>
      <c r="EL203" s="312"/>
      <c r="EM203" s="312"/>
      <c r="EN203" s="312"/>
      <c r="EO203" s="312"/>
      <c r="EP203" s="312"/>
      <c r="EQ203" s="312"/>
      <c r="ER203" s="312"/>
      <c r="ES203" s="312"/>
      <c r="ET203" s="312"/>
      <c r="EU203" s="312"/>
      <c r="EV203" s="312"/>
      <c r="EW203" s="312"/>
      <c r="EX203" s="312"/>
      <c r="EY203" s="312"/>
      <c r="EZ203" s="312"/>
      <c r="FA203" s="312"/>
      <c r="FB203" s="312"/>
      <c r="FC203" s="312"/>
      <c r="FD203" s="312"/>
      <c r="FE203" s="312"/>
      <c r="FF203" s="312"/>
      <c r="FG203" s="312"/>
      <c r="FH203" s="312"/>
      <c r="FI203" s="312"/>
      <c r="FJ203" s="312"/>
      <c r="FK203" s="312"/>
      <c r="FL203" s="312"/>
      <c r="FM203" s="312"/>
      <c r="FN203" s="312"/>
      <c r="FO203" s="312"/>
      <c r="FP203" s="312"/>
      <c r="FQ203" s="312"/>
      <c r="FR203" s="312"/>
      <c r="FS203" s="312"/>
      <c r="FT203" s="312"/>
      <c r="FU203" s="312"/>
      <c r="FV203" s="312"/>
      <c r="FW203" s="312"/>
      <c r="FX203" s="312"/>
      <c r="FY203" s="312"/>
      <c r="FZ203" s="312"/>
      <c r="GA203" s="312"/>
      <c r="GB203" s="312"/>
      <c r="GC203" s="312"/>
      <c r="GD203" s="312"/>
      <c r="GE203" s="312"/>
      <c r="GF203" s="312"/>
      <c r="GG203" s="312"/>
      <c r="GH203" s="312"/>
      <c r="GI203" s="312"/>
      <c r="GJ203" s="312"/>
      <c r="GK203" s="312"/>
      <c r="GL203" s="312"/>
      <c r="GM203" s="312"/>
      <c r="GN203" s="312"/>
      <c r="GO203" s="312"/>
      <c r="GP203" s="312"/>
      <c r="GQ203" s="312"/>
      <c r="GR203" s="312"/>
      <c r="GS203" s="312"/>
      <c r="GT203" s="312"/>
      <c r="GU203" s="312"/>
      <c r="GV203" s="312"/>
      <c r="GW203" s="312"/>
      <c r="GX203" s="312"/>
      <c r="GY203" s="312"/>
      <c r="GZ203" s="312"/>
      <c r="HA203" s="312"/>
      <c r="HB203" s="312"/>
      <c r="HC203" s="312"/>
      <c r="HD203" s="312"/>
      <c r="HE203" s="312"/>
      <c r="HF203" s="312"/>
      <c r="HG203" s="312"/>
      <c r="HH203" s="312"/>
      <c r="HI203" s="312"/>
      <c r="HJ203" s="312"/>
      <c r="HK203" s="312"/>
      <c r="HL203" s="312"/>
      <c r="HM203" s="312"/>
      <c r="HN203" s="312"/>
      <c r="HO203" s="312"/>
      <c r="HP203" s="312"/>
      <c r="HQ203" s="312"/>
      <c r="HR203" s="312"/>
      <c r="HS203" s="312"/>
      <c r="HT203" s="312"/>
      <c r="HU203" s="312"/>
      <c r="HV203" s="312"/>
      <c r="HW203" s="312"/>
      <c r="HX203" s="312"/>
      <c r="HY203" s="312"/>
      <c r="HZ203" s="312"/>
      <c r="IA203" s="312"/>
    </row>
    <row r="204" s="23" customFormat="1" ht="45" customHeight="1" spans="1:24">
      <c r="A204" s="156">
        <v>26</v>
      </c>
      <c r="B204" s="157" t="s">
        <v>222</v>
      </c>
      <c r="C204" s="158"/>
      <c r="D204" s="157" t="s">
        <v>223</v>
      </c>
      <c r="E204" s="145">
        <v>104523.9</v>
      </c>
      <c r="F204" s="145"/>
      <c r="G204" s="66" t="s">
        <v>224</v>
      </c>
      <c r="H204" s="66" t="s">
        <v>225</v>
      </c>
      <c r="I204" s="94">
        <v>104523.9</v>
      </c>
      <c r="J204" s="94">
        <v>0</v>
      </c>
      <c r="K204" s="94">
        <f t="shared" ref="K204:K208" si="69">I204+J204</f>
        <v>104523.9</v>
      </c>
      <c r="L204" s="94"/>
      <c r="M204" s="94"/>
      <c r="N204" s="94"/>
      <c r="O204" s="94"/>
      <c r="P204" s="94"/>
      <c r="Q204" s="94"/>
      <c r="R204" s="94"/>
      <c r="S204" s="94">
        <f t="shared" ref="S204:S209" si="70">K204-L204-M204-N204-O204+R204</f>
        <v>104523.9</v>
      </c>
      <c r="T204" s="108">
        <v>0</v>
      </c>
      <c r="U204" s="94">
        <f>K204</f>
        <v>104523.9</v>
      </c>
      <c r="V204" s="94"/>
      <c r="W204" s="94">
        <f t="shared" si="67"/>
        <v>0</v>
      </c>
      <c r="X204" s="145"/>
    </row>
    <row r="205" s="22" customFormat="1" ht="40.9" spans="1:235">
      <c r="A205" s="156">
        <v>23</v>
      </c>
      <c r="B205" s="157" t="s">
        <v>226</v>
      </c>
      <c r="C205" s="158" t="s">
        <v>227</v>
      </c>
      <c r="D205" s="157" t="s">
        <v>228</v>
      </c>
      <c r="E205" s="256">
        <v>7588343.88</v>
      </c>
      <c r="F205" s="256"/>
      <c r="G205" s="74" t="s">
        <v>229</v>
      </c>
      <c r="H205" s="74" t="s">
        <v>230</v>
      </c>
      <c r="I205" s="99">
        <v>6715348.57</v>
      </c>
      <c r="J205" s="99">
        <v>872995.31</v>
      </c>
      <c r="K205" s="94">
        <f>J205+I205</f>
        <v>7588343.88</v>
      </c>
      <c r="L205" s="94"/>
      <c r="M205" s="94">
        <v>379417.19</v>
      </c>
      <c r="N205" s="94"/>
      <c r="O205" s="94"/>
      <c r="P205" s="94"/>
      <c r="Q205" s="94"/>
      <c r="R205" s="94"/>
      <c r="S205" s="94">
        <f t="shared" si="70"/>
        <v>7208926.69</v>
      </c>
      <c r="T205" s="108">
        <v>0</v>
      </c>
      <c r="U205" s="302">
        <v>7208926.69</v>
      </c>
      <c r="V205" s="302"/>
      <c r="W205" s="94">
        <f t="shared" si="67"/>
        <v>0</v>
      </c>
      <c r="X205" s="145"/>
      <c r="Y205" s="313"/>
      <c r="Z205" s="313"/>
      <c r="AA205" s="313"/>
      <c r="AB205" s="313"/>
      <c r="AC205" s="313"/>
      <c r="AD205" s="313"/>
      <c r="AE205" s="313"/>
      <c r="AF205" s="313"/>
      <c r="AG205" s="313"/>
      <c r="AH205" s="313"/>
      <c r="AI205" s="313"/>
      <c r="AJ205" s="313"/>
      <c r="AK205" s="313"/>
      <c r="AL205" s="313"/>
      <c r="AM205" s="313"/>
      <c r="AN205" s="313"/>
      <c r="AO205" s="313"/>
      <c r="AP205" s="313"/>
      <c r="AQ205" s="313"/>
      <c r="AR205" s="313"/>
      <c r="AS205" s="313"/>
      <c r="AT205" s="313"/>
      <c r="AU205" s="313"/>
      <c r="AV205" s="313"/>
      <c r="AW205" s="313"/>
      <c r="AX205" s="313"/>
      <c r="AY205" s="313"/>
      <c r="AZ205" s="313"/>
      <c r="BA205" s="313"/>
      <c r="BB205" s="313"/>
      <c r="BC205" s="313"/>
      <c r="BD205" s="313"/>
      <c r="BE205" s="313"/>
      <c r="BF205" s="313"/>
      <c r="BG205" s="313"/>
      <c r="BH205" s="313"/>
      <c r="BI205" s="313"/>
      <c r="BJ205" s="313"/>
      <c r="BK205" s="313"/>
      <c r="BL205" s="313"/>
      <c r="BM205" s="313"/>
      <c r="BN205" s="313"/>
      <c r="BO205" s="313"/>
      <c r="BP205" s="313"/>
      <c r="BQ205" s="313"/>
      <c r="BR205" s="313"/>
      <c r="BS205" s="313"/>
      <c r="BT205" s="313"/>
      <c r="BU205" s="313"/>
      <c r="BV205" s="313"/>
      <c r="BW205" s="313"/>
      <c r="BX205" s="313"/>
      <c r="BY205" s="313"/>
      <c r="BZ205" s="313"/>
      <c r="CA205" s="313"/>
      <c r="CB205" s="313"/>
      <c r="CC205" s="313"/>
      <c r="CD205" s="313"/>
      <c r="CE205" s="313"/>
      <c r="CF205" s="313"/>
      <c r="CG205" s="313"/>
      <c r="CH205" s="313"/>
      <c r="CI205" s="313"/>
      <c r="CJ205" s="313"/>
      <c r="CK205" s="313"/>
      <c r="CL205" s="313"/>
      <c r="CM205" s="313"/>
      <c r="CN205" s="313"/>
      <c r="CO205" s="313"/>
      <c r="CP205" s="313"/>
      <c r="CQ205" s="313"/>
      <c r="CR205" s="313"/>
      <c r="CS205" s="313"/>
      <c r="CT205" s="313"/>
      <c r="CU205" s="313"/>
      <c r="CV205" s="313"/>
      <c r="CW205" s="313"/>
      <c r="CX205" s="313"/>
      <c r="CY205" s="313"/>
      <c r="CZ205" s="313"/>
      <c r="DA205" s="313"/>
      <c r="DB205" s="313"/>
      <c r="DC205" s="313"/>
      <c r="DD205" s="313"/>
      <c r="DE205" s="313"/>
      <c r="DF205" s="313"/>
      <c r="DG205" s="313"/>
      <c r="DH205" s="313"/>
      <c r="DI205" s="313"/>
      <c r="DJ205" s="313"/>
      <c r="DK205" s="313"/>
      <c r="DL205" s="313"/>
      <c r="DM205" s="313"/>
      <c r="DN205" s="313"/>
      <c r="DO205" s="313"/>
      <c r="DP205" s="313"/>
      <c r="DQ205" s="313"/>
      <c r="DR205" s="313"/>
      <c r="DS205" s="313"/>
      <c r="DT205" s="313"/>
      <c r="DU205" s="313"/>
      <c r="DV205" s="313"/>
      <c r="DW205" s="313"/>
      <c r="DX205" s="313"/>
      <c r="DY205" s="313"/>
      <c r="DZ205" s="313"/>
      <c r="EA205" s="313"/>
      <c r="EB205" s="313"/>
      <c r="EC205" s="313"/>
      <c r="ED205" s="313"/>
      <c r="EE205" s="313"/>
      <c r="EF205" s="313"/>
      <c r="EG205" s="313"/>
      <c r="EH205" s="313"/>
      <c r="EI205" s="313"/>
      <c r="EJ205" s="313"/>
      <c r="EK205" s="313"/>
      <c r="EL205" s="313"/>
      <c r="EM205" s="313"/>
      <c r="EN205" s="313"/>
      <c r="EO205" s="313"/>
      <c r="EP205" s="313"/>
      <c r="EQ205" s="313"/>
      <c r="ER205" s="313"/>
      <c r="ES205" s="313"/>
      <c r="ET205" s="313"/>
      <c r="EU205" s="313"/>
      <c r="EV205" s="313"/>
      <c r="EW205" s="313"/>
      <c r="EX205" s="313"/>
      <c r="EY205" s="313"/>
      <c r="EZ205" s="313"/>
      <c r="FA205" s="313"/>
      <c r="FB205" s="313"/>
      <c r="FC205" s="313"/>
      <c r="FD205" s="313"/>
      <c r="FE205" s="313"/>
      <c r="FF205" s="313"/>
      <c r="FG205" s="313"/>
      <c r="FH205" s="313"/>
      <c r="FI205" s="313"/>
      <c r="FJ205" s="313"/>
      <c r="FK205" s="313"/>
      <c r="FL205" s="313"/>
      <c r="FM205" s="313"/>
      <c r="FN205" s="313"/>
      <c r="FO205" s="313"/>
      <c r="FP205" s="313"/>
      <c r="FQ205" s="313"/>
      <c r="FR205" s="313"/>
      <c r="FS205" s="313"/>
      <c r="FT205" s="313"/>
      <c r="FU205" s="313"/>
      <c r="FV205" s="313"/>
      <c r="FW205" s="313"/>
      <c r="FX205" s="313"/>
      <c r="FY205" s="313"/>
      <c r="FZ205" s="313"/>
      <c r="GA205" s="313"/>
      <c r="GB205" s="313"/>
      <c r="GC205" s="313"/>
      <c r="GD205" s="313"/>
      <c r="GE205" s="313"/>
      <c r="GF205" s="313"/>
      <c r="GG205" s="313"/>
      <c r="GH205" s="313"/>
      <c r="GI205" s="313"/>
      <c r="GJ205" s="313"/>
      <c r="GK205" s="313"/>
      <c r="GL205" s="313"/>
      <c r="GM205" s="313"/>
      <c r="GN205" s="313"/>
      <c r="GO205" s="313"/>
      <c r="GP205" s="313"/>
      <c r="GQ205" s="313"/>
      <c r="GR205" s="313"/>
      <c r="GS205" s="313"/>
      <c r="GT205" s="313"/>
      <c r="GU205" s="313"/>
      <c r="GV205" s="313"/>
      <c r="GW205" s="313"/>
      <c r="GX205" s="313"/>
      <c r="GY205" s="313"/>
      <c r="GZ205" s="313"/>
      <c r="HA205" s="313"/>
      <c r="HB205" s="313"/>
      <c r="HC205" s="313"/>
      <c r="HD205" s="313"/>
      <c r="HE205" s="313"/>
      <c r="HF205" s="313"/>
      <c r="HG205" s="313"/>
      <c r="HH205" s="313"/>
      <c r="HI205" s="313"/>
      <c r="HJ205" s="313"/>
      <c r="HK205" s="313"/>
      <c r="HL205" s="313"/>
      <c r="HM205" s="313"/>
      <c r="HN205" s="313"/>
      <c r="HO205" s="313"/>
      <c r="HP205" s="313"/>
      <c r="HQ205" s="313"/>
      <c r="HR205" s="313"/>
      <c r="HS205" s="313"/>
      <c r="HT205" s="313"/>
      <c r="HU205" s="313"/>
      <c r="HV205" s="313"/>
      <c r="HW205" s="313"/>
      <c r="HX205" s="313"/>
      <c r="HY205" s="313"/>
      <c r="HZ205" s="313"/>
      <c r="IA205" s="313"/>
    </row>
    <row r="206" s="22" customFormat="1" ht="40.5" spans="1:24">
      <c r="A206" s="156">
        <v>24</v>
      </c>
      <c r="B206" s="157" t="s">
        <v>231</v>
      </c>
      <c r="C206" s="158" t="s">
        <v>232</v>
      </c>
      <c r="D206" s="157" t="s">
        <v>233</v>
      </c>
      <c r="E206" s="145">
        <v>371000</v>
      </c>
      <c r="F206" s="145"/>
      <c r="G206" s="72" t="s">
        <v>234</v>
      </c>
      <c r="H206" s="66" t="s">
        <v>235</v>
      </c>
      <c r="I206" s="94">
        <f>K206-J206</f>
        <v>349999.99</v>
      </c>
      <c r="J206" s="94">
        <v>21000.01</v>
      </c>
      <c r="K206" s="94">
        <v>371000</v>
      </c>
      <c r="L206" s="94">
        <v>0</v>
      </c>
      <c r="M206" s="94">
        <v>0</v>
      </c>
      <c r="N206" s="94">
        <v>0</v>
      </c>
      <c r="O206" s="94">
        <v>0</v>
      </c>
      <c r="P206" s="94"/>
      <c r="Q206" s="94"/>
      <c r="R206" s="94">
        <v>0</v>
      </c>
      <c r="S206" s="94">
        <f t="shared" si="70"/>
        <v>371000</v>
      </c>
      <c r="T206" s="108">
        <v>0</v>
      </c>
      <c r="U206" s="94">
        <v>371000</v>
      </c>
      <c r="V206" s="94"/>
      <c r="W206" s="94">
        <f t="shared" si="67"/>
        <v>0</v>
      </c>
      <c r="X206" s="145"/>
    </row>
    <row r="207" s="22" customFormat="1" ht="61" customHeight="1" spans="1:24">
      <c r="A207" s="156">
        <v>25</v>
      </c>
      <c r="B207" s="157" t="s">
        <v>236</v>
      </c>
      <c r="C207" s="158" t="s">
        <v>237</v>
      </c>
      <c r="D207" s="165" t="s">
        <v>154</v>
      </c>
      <c r="E207" s="145">
        <v>98000</v>
      </c>
      <c r="F207" s="145"/>
      <c r="G207" s="72" t="s">
        <v>238</v>
      </c>
      <c r="H207" s="66" t="s">
        <v>239</v>
      </c>
      <c r="I207" s="94">
        <f>98000-J207</f>
        <v>92452.83</v>
      </c>
      <c r="J207" s="94">
        <v>5547.17</v>
      </c>
      <c r="K207" s="94">
        <f t="shared" si="69"/>
        <v>98000</v>
      </c>
      <c r="L207" s="94"/>
      <c r="M207" s="94"/>
      <c r="N207" s="94"/>
      <c r="O207" s="94"/>
      <c r="P207" s="94"/>
      <c r="Q207" s="94"/>
      <c r="R207" s="94"/>
      <c r="S207" s="94">
        <f t="shared" si="70"/>
        <v>98000</v>
      </c>
      <c r="T207" s="108">
        <v>0</v>
      </c>
      <c r="U207" s="94">
        <f>K207+R207</f>
        <v>98000</v>
      </c>
      <c r="V207" s="94"/>
      <c r="W207" s="94">
        <f t="shared" si="67"/>
        <v>0</v>
      </c>
      <c r="X207" s="145"/>
    </row>
    <row r="208" s="23" customFormat="1" ht="45" customHeight="1" spans="1:24">
      <c r="A208" s="156">
        <v>26</v>
      </c>
      <c r="B208" s="157" t="s">
        <v>166</v>
      </c>
      <c r="C208" s="257" t="s">
        <v>240</v>
      </c>
      <c r="D208" s="157" t="s">
        <v>168</v>
      </c>
      <c r="E208" s="258">
        <v>9654.85</v>
      </c>
      <c r="F208" s="258"/>
      <c r="G208" s="50" t="s">
        <v>241</v>
      </c>
      <c r="H208" s="50" t="s">
        <v>242</v>
      </c>
      <c r="I208" s="108">
        <v>9108.34905660377</v>
      </c>
      <c r="J208" s="108">
        <v>546.5</v>
      </c>
      <c r="K208" s="94">
        <f t="shared" si="69"/>
        <v>9654.84905660377</v>
      </c>
      <c r="L208" s="94">
        <v>0</v>
      </c>
      <c r="M208" s="94">
        <v>0</v>
      </c>
      <c r="N208" s="94">
        <v>0</v>
      </c>
      <c r="O208" s="94">
        <v>0</v>
      </c>
      <c r="P208" s="94"/>
      <c r="Q208" s="94"/>
      <c r="R208" s="94">
        <v>0</v>
      </c>
      <c r="S208" s="94">
        <f t="shared" si="70"/>
        <v>9654.84905660377</v>
      </c>
      <c r="T208" s="108">
        <v>0</v>
      </c>
      <c r="U208" s="108">
        <v>9654.85</v>
      </c>
      <c r="V208" s="108"/>
      <c r="W208" s="94">
        <f t="shared" si="67"/>
        <v>-0.000943396225920878</v>
      </c>
      <c r="X208" s="145"/>
    </row>
    <row r="209" s="23" customFormat="1" ht="45" customHeight="1" spans="1:24">
      <c r="A209" s="43">
        <v>27</v>
      </c>
      <c r="B209" s="259" t="s">
        <v>318</v>
      </c>
      <c r="C209" s="259"/>
      <c r="D209" s="259" t="s">
        <v>244</v>
      </c>
      <c r="E209" s="69">
        <v>722880</v>
      </c>
      <c r="F209" s="69"/>
      <c r="G209" s="74" t="s">
        <v>245</v>
      </c>
      <c r="H209" s="74" t="s">
        <v>246</v>
      </c>
      <c r="I209" s="94">
        <v>575745.13</v>
      </c>
      <c r="J209" s="94">
        <f>K209-I209</f>
        <v>74846.87</v>
      </c>
      <c r="K209" s="94">
        <v>650592</v>
      </c>
      <c r="L209" s="94">
        <v>0</v>
      </c>
      <c r="M209" s="94">
        <v>0</v>
      </c>
      <c r="N209" s="94">
        <v>0</v>
      </c>
      <c r="O209" s="94">
        <v>72288</v>
      </c>
      <c r="P209" s="94"/>
      <c r="Q209" s="94"/>
      <c r="R209" s="108">
        <v>0</v>
      </c>
      <c r="S209" s="94">
        <f t="shared" si="70"/>
        <v>578304</v>
      </c>
      <c r="T209" s="108">
        <v>0</v>
      </c>
      <c r="U209" s="108">
        <v>379417.19</v>
      </c>
      <c r="V209" s="108"/>
      <c r="W209" s="94">
        <f t="shared" si="67"/>
        <v>198886.81</v>
      </c>
      <c r="X209" s="145"/>
    </row>
    <row r="210" s="23" customFormat="1" ht="45" customHeight="1" spans="1:24">
      <c r="A210" s="153"/>
      <c r="B210" s="260"/>
      <c r="C210" s="261"/>
      <c r="D210" s="261"/>
      <c r="E210" s="71"/>
      <c r="F210" s="71"/>
      <c r="G210" s="76" t="s">
        <v>387</v>
      </c>
      <c r="H210" s="76" t="s">
        <v>388</v>
      </c>
      <c r="I210" s="101">
        <v>63971.68</v>
      </c>
      <c r="J210" s="101"/>
      <c r="K210" s="101">
        <f>I210</f>
        <v>63971.68</v>
      </c>
      <c r="L210" s="101"/>
      <c r="M210" s="101"/>
      <c r="N210" s="101"/>
      <c r="O210" s="101"/>
      <c r="P210" s="101"/>
      <c r="Q210" s="94"/>
      <c r="R210" s="108"/>
      <c r="S210" s="101">
        <v>63971.68</v>
      </c>
      <c r="T210" s="108"/>
      <c r="U210" s="108"/>
      <c r="V210" s="108"/>
      <c r="W210" s="309">
        <f t="shared" ref="W210:W212" si="71">S210</f>
        <v>63971.68</v>
      </c>
      <c r="X210" s="145"/>
    </row>
    <row r="211" s="23" customFormat="1" ht="45" customHeight="1" spans="1:24">
      <c r="A211" s="156"/>
      <c r="B211" s="262" t="s">
        <v>389</v>
      </c>
      <c r="C211" s="166"/>
      <c r="D211" s="166" t="s">
        <v>49</v>
      </c>
      <c r="E211" s="47"/>
      <c r="F211" s="47"/>
      <c r="G211" s="76" t="s">
        <v>385</v>
      </c>
      <c r="H211" s="76" t="s">
        <v>390</v>
      </c>
      <c r="I211" s="101">
        <v>225148.11</v>
      </c>
      <c r="J211" s="101"/>
      <c r="K211" s="101">
        <f>I211</f>
        <v>225148.11</v>
      </c>
      <c r="L211" s="101"/>
      <c r="M211" s="101"/>
      <c r="N211" s="101"/>
      <c r="O211" s="101"/>
      <c r="P211" s="101"/>
      <c r="Q211" s="94"/>
      <c r="R211" s="108"/>
      <c r="S211" s="101">
        <f>K211</f>
        <v>225148.11</v>
      </c>
      <c r="T211" s="108"/>
      <c r="U211" s="108"/>
      <c r="V211" s="108"/>
      <c r="W211" s="309">
        <f t="shared" si="71"/>
        <v>225148.11</v>
      </c>
      <c r="X211" s="145"/>
    </row>
    <row r="212" s="23" customFormat="1" ht="45" customHeight="1" spans="1:24">
      <c r="A212" s="156"/>
      <c r="B212" s="262" t="s">
        <v>391</v>
      </c>
      <c r="C212" s="166"/>
      <c r="D212" s="166" t="s">
        <v>103</v>
      </c>
      <c r="E212" s="47"/>
      <c r="F212" s="47"/>
      <c r="G212" s="76" t="s">
        <v>392</v>
      </c>
      <c r="H212" s="76" t="s">
        <v>393</v>
      </c>
      <c r="I212" s="101">
        <v>61320.75</v>
      </c>
      <c r="J212" s="101"/>
      <c r="K212" s="101">
        <f t="shared" ref="K212:K230" si="72">I212+J212</f>
        <v>61320.75</v>
      </c>
      <c r="L212" s="101"/>
      <c r="M212" s="101"/>
      <c r="N212" s="101"/>
      <c r="O212" s="101"/>
      <c r="P212" s="101"/>
      <c r="Q212" s="94"/>
      <c r="R212" s="108"/>
      <c r="S212" s="101">
        <f>K212</f>
        <v>61320.75</v>
      </c>
      <c r="T212" s="108"/>
      <c r="U212" s="108"/>
      <c r="V212" s="108"/>
      <c r="W212" s="309">
        <f t="shared" si="71"/>
        <v>61320.75</v>
      </c>
      <c r="X212" s="145"/>
    </row>
    <row r="213" s="23" customFormat="1" ht="45" customHeight="1" spans="1:24">
      <c r="A213" s="156">
        <v>28</v>
      </c>
      <c r="B213" s="216" t="s">
        <v>196</v>
      </c>
      <c r="C213" s="217"/>
      <c r="D213" s="218"/>
      <c r="E213" s="258">
        <v>10000</v>
      </c>
      <c r="F213" s="258"/>
      <c r="G213" s="50" t="s">
        <v>197</v>
      </c>
      <c r="H213" s="51" t="s">
        <v>198</v>
      </c>
      <c r="I213" s="108">
        <v>3952.44</v>
      </c>
      <c r="J213" s="108"/>
      <c r="K213" s="94">
        <f t="shared" si="72"/>
        <v>3952.44</v>
      </c>
      <c r="L213" s="94">
        <v>0</v>
      </c>
      <c r="M213" s="94">
        <v>0</v>
      </c>
      <c r="N213" s="94">
        <v>0</v>
      </c>
      <c r="O213" s="94">
        <v>0</v>
      </c>
      <c r="P213" s="94"/>
      <c r="Q213" s="94"/>
      <c r="R213" s="94">
        <v>0</v>
      </c>
      <c r="S213" s="94">
        <f t="shared" ref="S213:S216" si="73">K213-L213-M213-N213-O213+R213</f>
        <v>3952.44</v>
      </c>
      <c r="T213" s="108">
        <v>0</v>
      </c>
      <c r="U213" s="108">
        <v>3952.44</v>
      </c>
      <c r="V213" s="108"/>
      <c r="W213" s="94">
        <f t="shared" ref="W213:W230" si="74">S213+T213-U213-V213</f>
        <v>0</v>
      </c>
      <c r="X213" s="145"/>
    </row>
    <row r="214" s="23" customFormat="1" ht="45" customHeight="1" spans="1:24">
      <c r="A214" s="156"/>
      <c r="B214" s="216"/>
      <c r="C214" s="217"/>
      <c r="D214" s="218"/>
      <c r="E214" s="258"/>
      <c r="F214" s="258"/>
      <c r="G214" s="212" t="s">
        <v>458</v>
      </c>
      <c r="H214" s="200" t="s">
        <v>200</v>
      </c>
      <c r="I214" s="109">
        <v>23246.84</v>
      </c>
      <c r="J214" s="109"/>
      <c r="K214" s="101">
        <f t="shared" si="72"/>
        <v>23246.84</v>
      </c>
      <c r="L214" s="94"/>
      <c r="M214" s="94"/>
      <c r="N214" s="94"/>
      <c r="O214" s="94"/>
      <c r="P214" s="94"/>
      <c r="Q214" s="94"/>
      <c r="R214" s="94"/>
      <c r="S214" s="94"/>
      <c r="T214" s="108"/>
      <c r="U214" s="108"/>
      <c r="V214" s="108"/>
      <c r="W214" s="94"/>
      <c r="X214" s="145"/>
    </row>
    <row r="215" s="23" customFormat="1" ht="45" customHeight="1" spans="1:24">
      <c r="A215" s="156">
        <v>29</v>
      </c>
      <c r="B215" s="216" t="s">
        <v>312</v>
      </c>
      <c r="C215" s="217"/>
      <c r="D215" s="218"/>
      <c r="E215" s="258"/>
      <c r="F215" s="258"/>
      <c r="G215" s="188" t="s">
        <v>248</v>
      </c>
      <c r="H215" s="258"/>
      <c r="I215" s="108">
        <f>SUM(I216:I230)</f>
        <v>60083.7</v>
      </c>
      <c r="J215" s="108">
        <f>J216+J223+J224</f>
        <v>0</v>
      </c>
      <c r="K215" s="108">
        <f t="shared" si="72"/>
        <v>60083.7</v>
      </c>
      <c r="L215" s="94"/>
      <c r="M215" s="94"/>
      <c r="N215" s="94"/>
      <c r="O215" s="94"/>
      <c r="P215" s="94"/>
      <c r="Q215" s="94"/>
      <c r="R215" s="108"/>
      <c r="S215" s="108">
        <f t="shared" si="73"/>
        <v>60083.7</v>
      </c>
      <c r="T215" s="108">
        <v>0</v>
      </c>
      <c r="U215" s="108">
        <f>K215+R215</f>
        <v>60083.7</v>
      </c>
      <c r="V215" s="94"/>
      <c r="W215" s="94">
        <f t="shared" si="74"/>
        <v>0</v>
      </c>
      <c r="X215" s="145"/>
    </row>
    <row r="216" s="23" customFormat="1" ht="45" customHeight="1" spans="1:24">
      <c r="A216" s="175"/>
      <c r="B216" s="263" t="s">
        <v>249</v>
      </c>
      <c r="C216" s="264"/>
      <c r="D216" s="265"/>
      <c r="E216" s="192"/>
      <c r="F216" s="192">
        <v>2023</v>
      </c>
      <c r="G216" s="188" t="s">
        <v>250</v>
      </c>
      <c r="H216" s="258"/>
      <c r="I216" s="108">
        <v>3770</v>
      </c>
      <c r="J216" s="108"/>
      <c r="K216" s="94">
        <f t="shared" si="72"/>
        <v>3770</v>
      </c>
      <c r="L216" s="94"/>
      <c r="M216" s="94"/>
      <c r="N216" s="94"/>
      <c r="O216" s="94"/>
      <c r="P216" s="94"/>
      <c r="Q216" s="94"/>
      <c r="R216" s="108"/>
      <c r="S216" s="94">
        <f t="shared" si="73"/>
        <v>3770</v>
      </c>
      <c r="T216" s="108">
        <v>0</v>
      </c>
      <c r="U216" s="94">
        <f>K216+R216</f>
        <v>3770</v>
      </c>
      <c r="V216" s="94"/>
      <c r="W216" s="94">
        <f t="shared" si="74"/>
        <v>0</v>
      </c>
      <c r="X216" s="145"/>
    </row>
    <row r="217" s="23" customFormat="1" ht="45" customHeight="1" spans="1:24">
      <c r="A217" s="175"/>
      <c r="B217" s="266"/>
      <c r="C217" s="267"/>
      <c r="D217" s="268"/>
      <c r="E217" s="198"/>
      <c r="F217" s="198"/>
      <c r="G217" s="188" t="s">
        <v>251</v>
      </c>
      <c r="H217" s="258"/>
      <c r="I217" s="108">
        <v>8043</v>
      </c>
      <c r="J217" s="108"/>
      <c r="K217" s="94">
        <f t="shared" si="72"/>
        <v>8043</v>
      </c>
      <c r="L217" s="94"/>
      <c r="M217" s="94"/>
      <c r="N217" s="94"/>
      <c r="O217" s="94"/>
      <c r="P217" s="94"/>
      <c r="Q217" s="94"/>
      <c r="R217" s="108"/>
      <c r="S217" s="94">
        <v>8043</v>
      </c>
      <c r="T217" s="108"/>
      <c r="U217" s="94">
        <v>8043</v>
      </c>
      <c r="V217" s="94"/>
      <c r="W217" s="94">
        <f t="shared" si="74"/>
        <v>0</v>
      </c>
      <c r="X217" s="145"/>
    </row>
    <row r="218" s="23" customFormat="1" ht="45" customHeight="1" spans="1:24">
      <c r="A218" s="175"/>
      <c r="B218" s="266"/>
      <c r="C218" s="267"/>
      <c r="D218" s="268"/>
      <c r="E218" s="198"/>
      <c r="F218" s="198">
        <v>2024</v>
      </c>
      <c r="G218" s="188" t="s">
        <v>320</v>
      </c>
      <c r="H218" s="258"/>
      <c r="I218" s="108">
        <v>9579</v>
      </c>
      <c r="J218" s="108">
        <v>0</v>
      </c>
      <c r="K218" s="94">
        <f t="shared" si="72"/>
        <v>9579</v>
      </c>
      <c r="L218" s="94"/>
      <c r="M218" s="94"/>
      <c r="N218" s="94"/>
      <c r="O218" s="94"/>
      <c r="P218" s="94"/>
      <c r="Q218" s="94"/>
      <c r="R218" s="108"/>
      <c r="S218" s="94">
        <f t="shared" ref="S218:S220" si="75">K218</f>
        <v>9579</v>
      </c>
      <c r="T218" s="108"/>
      <c r="U218" s="94">
        <f t="shared" ref="U218:U223" si="76">S218</f>
        <v>9579</v>
      </c>
      <c r="V218" s="94"/>
      <c r="W218" s="94">
        <f t="shared" si="74"/>
        <v>0</v>
      </c>
      <c r="X218" s="145"/>
    </row>
    <row r="219" s="23" customFormat="1" ht="45" customHeight="1" spans="1:24">
      <c r="A219" s="175"/>
      <c r="B219" s="266"/>
      <c r="C219" s="267"/>
      <c r="D219" s="268"/>
      <c r="E219" s="198"/>
      <c r="F219" s="198"/>
      <c r="G219" s="188" t="s">
        <v>341</v>
      </c>
      <c r="H219" s="258"/>
      <c r="I219" s="108">
        <v>7041</v>
      </c>
      <c r="J219" s="108"/>
      <c r="K219" s="94">
        <f t="shared" si="72"/>
        <v>7041</v>
      </c>
      <c r="L219" s="94"/>
      <c r="M219" s="94"/>
      <c r="N219" s="94"/>
      <c r="O219" s="94"/>
      <c r="P219" s="94"/>
      <c r="Q219" s="94"/>
      <c r="R219" s="108"/>
      <c r="S219" s="94">
        <f t="shared" si="75"/>
        <v>7041</v>
      </c>
      <c r="T219" s="108"/>
      <c r="U219" s="94">
        <f t="shared" si="76"/>
        <v>7041</v>
      </c>
      <c r="V219" s="94"/>
      <c r="W219" s="94">
        <f t="shared" si="74"/>
        <v>0</v>
      </c>
      <c r="X219" s="145"/>
    </row>
    <row r="220" s="23" customFormat="1" ht="45" customHeight="1" spans="1:24">
      <c r="A220" s="175"/>
      <c r="B220" s="266"/>
      <c r="C220" s="267"/>
      <c r="D220" s="268"/>
      <c r="E220" s="198"/>
      <c r="F220" s="198"/>
      <c r="G220" s="269" t="s">
        <v>342</v>
      </c>
      <c r="H220" s="270"/>
      <c r="I220" s="109">
        <v>8282</v>
      </c>
      <c r="J220" s="109"/>
      <c r="K220" s="101">
        <f t="shared" si="72"/>
        <v>8282</v>
      </c>
      <c r="L220" s="101"/>
      <c r="M220" s="101"/>
      <c r="N220" s="101"/>
      <c r="O220" s="101"/>
      <c r="P220" s="101"/>
      <c r="Q220" s="101"/>
      <c r="R220" s="109"/>
      <c r="S220" s="94">
        <f t="shared" si="75"/>
        <v>8282</v>
      </c>
      <c r="T220" s="108"/>
      <c r="U220" s="94">
        <f t="shared" si="76"/>
        <v>8282</v>
      </c>
      <c r="V220" s="94"/>
      <c r="W220" s="94">
        <f t="shared" si="74"/>
        <v>0</v>
      </c>
      <c r="X220" s="145"/>
    </row>
    <row r="221" s="23" customFormat="1" ht="45" customHeight="1" spans="1:24">
      <c r="A221" s="175"/>
      <c r="B221" s="266"/>
      <c r="C221" s="267"/>
      <c r="D221" s="268"/>
      <c r="E221" s="198"/>
      <c r="F221" s="198"/>
      <c r="G221" s="269" t="s">
        <v>343</v>
      </c>
      <c r="H221" s="270"/>
      <c r="I221" s="109">
        <v>1800</v>
      </c>
      <c r="J221" s="109"/>
      <c r="K221" s="101">
        <f t="shared" si="72"/>
        <v>1800</v>
      </c>
      <c r="L221" s="101"/>
      <c r="M221" s="101"/>
      <c r="N221" s="101"/>
      <c r="O221" s="101"/>
      <c r="P221" s="101"/>
      <c r="Q221" s="101"/>
      <c r="R221" s="109"/>
      <c r="S221" s="94">
        <v>1800</v>
      </c>
      <c r="T221" s="108"/>
      <c r="U221" s="94">
        <f t="shared" si="76"/>
        <v>1800</v>
      </c>
      <c r="V221" s="94"/>
      <c r="W221" s="94">
        <f t="shared" si="74"/>
        <v>0</v>
      </c>
      <c r="X221" s="145"/>
    </row>
    <row r="222" s="23" customFormat="1" ht="45" customHeight="1" spans="1:24">
      <c r="A222" s="175"/>
      <c r="B222" s="271"/>
      <c r="C222" s="272"/>
      <c r="D222" s="273"/>
      <c r="E222" s="199"/>
      <c r="F222" s="199"/>
      <c r="G222" s="188" t="s">
        <v>344</v>
      </c>
      <c r="H222" s="258"/>
      <c r="I222" s="108"/>
      <c r="J222" s="108"/>
      <c r="K222" s="94">
        <f t="shared" si="72"/>
        <v>0</v>
      </c>
      <c r="L222" s="94"/>
      <c r="M222" s="94"/>
      <c r="N222" s="94"/>
      <c r="O222" s="94"/>
      <c r="P222" s="94"/>
      <c r="Q222" s="94"/>
      <c r="R222" s="108"/>
      <c r="S222" s="94"/>
      <c r="T222" s="108"/>
      <c r="U222" s="94">
        <f t="shared" si="76"/>
        <v>0</v>
      </c>
      <c r="V222" s="94"/>
      <c r="W222" s="94">
        <f t="shared" si="74"/>
        <v>0</v>
      </c>
      <c r="X222" s="145"/>
    </row>
    <row r="223" s="23" customFormat="1" ht="45" customHeight="1" spans="1:24">
      <c r="A223" s="175"/>
      <c r="B223" s="274" t="s">
        <v>252</v>
      </c>
      <c r="C223" s="275"/>
      <c r="D223" s="276"/>
      <c r="E223" s="258"/>
      <c r="F223" s="258"/>
      <c r="G223" s="188" t="s">
        <v>250</v>
      </c>
      <c r="H223" s="258"/>
      <c r="I223" s="108"/>
      <c r="J223" s="108"/>
      <c r="K223" s="94">
        <f t="shared" si="72"/>
        <v>0</v>
      </c>
      <c r="L223" s="94"/>
      <c r="M223" s="94"/>
      <c r="N223" s="94"/>
      <c r="O223" s="94"/>
      <c r="P223" s="94"/>
      <c r="Q223" s="94"/>
      <c r="R223" s="108"/>
      <c r="S223" s="94">
        <f t="shared" ref="S223:S227" si="77">K223</f>
        <v>0</v>
      </c>
      <c r="T223" s="94"/>
      <c r="U223" s="94">
        <f t="shared" si="76"/>
        <v>0</v>
      </c>
      <c r="V223" s="94"/>
      <c r="W223" s="94">
        <f t="shared" si="74"/>
        <v>0</v>
      </c>
      <c r="X223" s="145"/>
    </row>
    <row r="224" s="23" customFormat="1" ht="45" customHeight="1" spans="1:24">
      <c r="A224" s="175"/>
      <c r="B224" s="263" t="s">
        <v>253</v>
      </c>
      <c r="C224" s="264"/>
      <c r="D224" s="265"/>
      <c r="E224" s="192"/>
      <c r="F224" s="192"/>
      <c r="G224" s="188" t="s">
        <v>251</v>
      </c>
      <c r="H224" s="258"/>
      <c r="I224" s="108">
        <v>200</v>
      </c>
      <c r="J224" s="108">
        <v>0</v>
      </c>
      <c r="K224" s="94">
        <f t="shared" si="72"/>
        <v>200</v>
      </c>
      <c r="L224" s="94"/>
      <c r="M224" s="94"/>
      <c r="N224" s="94"/>
      <c r="O224" s="94"/>
      <c r="P224" s="94"/>
      <c r="Q224" s="94"/>
      <c r="R224" s="108"/>
      <c r="S224" s="94">
        <f t="shared" si="77"/>
        <v>200</v>
      </c>
      <c r="T224" s="94"/>
      <c r="U224" s="94">
        <f>K224+R224</f>
        <v>200</v>
      </c>
      <c r="V224" s="94"/>
      <c r="W224" s="94">
        <f t="shared" si="74"/>
        <v>0</v>
      </c>
      <c r="X224" s="145"/>
    </row>
    <row r="225" s="23" customFormat="1" ht="45" customHeight="1" spans="1:24">
      <c r="A225" s="175"/>
      <c r="B225" s="266"/>
      <c r="C225" s="267"/>
      <c r="D225" s="268"/>
      <c r="E225" s="198"/>
      <c r="F225" s="198"/>
      <c r="G225" s="188" t="s">
        <v>320</v>
      </c>
      <c r="H225" s="258"/>
      <c r="I225" s="108">
        <v>800</v>
      </c>
      <c r="J225" s="108">
        <v>0</v>
      </c>
      <c r="K225" s="94">
        <f t="shared" si="72"/>
        <v>800</v>
      </c>
      <c r="L225" s="94"/>
      <c r="M225" s="94"/>
      <c r="N225" s="94"/>
      <c r="O225" s="94"/>
      <c r="P225" s="94"/>
      <c r="Q225" s="94"/>
      <c r="R225" s="108"/>
      <c r="S225" s="94">
        <f t="shared" si="77"/>
        <v>800</v>
      </c>
      <c r="T225" s="94"/>
      <c r="U225" s="94">
        <f t="shared" ref="U225:U227" si="78">S225</f>
        <v>800</v>
      </c>
      <c r="V225" s="94"/>
      <c r="W225" s="94">
        <f t="shared" si="74"/>
        <v>0</v>
      </c>
      <c r="X225" s="145"/>
    </row>
    <row r="226" s="23" customFormat="1" ht="45" customHeight="1" spans="1:24">
      <c r="A226" s="175"/>
      <c r="B226" s="266"/>
      <c r="C226" s="267"/>
      <c r="D226" s="268"/>
      <c r="E226" s="198"/>
      <c r="F226" s="198"/>
      <c r="G226" s="188" t="s">
        <v>341</v>
      </c>
      <c r="H226" s="258"/>
      <c r="I226" s="108">
        <v>8961.68</v>
      </c>
      <c r="J226" s="108">
        <f>3.66+17.77+5.45+3126-2948.99+4653-4369.57</f>
        <v>487.320000000001</v>
      </c>
      <c r="K226" s="94">
        <f t="shared" si="72"/>
        <v>9449</v>
      </c>
      <c r="L226" s="94"/>
      <c r="M226" s="94"/>
      <c r="N226" s="94"/>
      <c r="O226" s="94"/>
      <c r="P226" s="94"/>
      <c r="Q226" s="94"/>
      <c r="R226" s="108"/>
      <c r="S226" s="94">
        <f t="shared" si="77"/>
        <v>9449</v>
      </c>
      <c r="T226" s="94"/>
      <c r="U226" s="94">
        <f t="shared" si="78"/>
        <v>9449</v>
      </c>
      <c r="V226" s="94"/>
      <c r="W226" s="94">
        <f t="shared" si="74"/>
        <v>0</v>
      </c>
      <c r="X226" s="145"/>
    </row>
    <row r="227" s="23" customFormat="1" ht="45" customHeight="1" spans="1:24">
      <c r="A227" s="175"/>
      <c r="B227" s="266"/>
      <c r="C227" s="267"/>
      <c r="D227" s="268"/>
      <c r="E227" s="198"/>
      <c r="F227" s="198"/>
      <c r="G227" s="269" t="s">
        <v>362</v>
      </c>
      <c r="H227" s="270"/>
      <c r="I227" s="109">
        <v>11607.02</v>
      </c>
      <c r="J227" s="109">
        <f>9.17+9.17+20.83+1609.02-1537.11+803.76-768.46+3.81+3.64+3.81+3.64+43.7+3570.6-3331.23</f>
        <v>444.35</v>
      </c>
      <c r="K227" s="101">
        <f t="shared" si="72"/>
        <v>12051.37</v>
      </c>
      <c r="L227" s="101"/>
      <c r="M227" s="101"/>
      <c r="N227" s="101"/>
      <c r="O227" s="101"/>
      <c r="P227" s="101"/>
      <c r="Q227" s="101"/>
      <c r="R227" s="109"/>
      <c r="S227" s="94">
        <f t="shared" si="77"/>
        <v>12051.37</v>
      </c>
      <c r="T227" s="94"/>
      <c r="U227" s="94">
        <f t="shared" si="78"/>
        <v>12051.37</v>
      </c>
      <c r="V227" s="94"/>
      <c r="W227" s="94">
        <f t="shared" si="74"/>
        <v>0</v>
      </c>
      <c r="X227" s="145"/>
    </row>
    <row r="228" s="23" customFormat="1" ht="45" customHeight="1" spans="1:24">
      <c r="A228" s="175"/>
      <c r="B228" s="266"/>
      <c r="C228" s="267"/>
      <c r="D228" s="268"/>
      <c r="E228" s="198"/>
      <c r="F228" s="198"/>
      <c r="G228" s="188"/>
      <c r="H228" s="258"/>
      <c r="I228" s="108"/>
      <c r="J228" s="109"/>
      <c r="K228" s="94">
        <f t="shared" si="72"/>
        <v>0</v>
      </c>
      <c r="L228" s="94"/>
      <c r="M228" s="94"/>
      <c r="N228" s="94"/>
      <c r="O228" s="94"/>
      <c r="P228" s="94"/>
      <c r="Q228" s="94"/>
      <c r="R228" s="108"/>
      <c r="S228" s="94"/>
      <c r="T228" s="94"/>
      <c r="U228" s="94"/>
      <c r="V228" s="94"/>
      <c r="W228" s="94">
        <f t="shared" si="74"/>
        <v>0</v>
      </c>
      <c r="X228" s="145"/>
    </row>
    <row r="229" s="23" customFormat="1" ht="45" customHeight="1" spans="1:24">
      <c r="A229" s="175"/>
      <c r="B229" s="271"/>
      <c r="C229" s="272"/>
      <c r="D229" s="273"/>
      <c r="E229" s="199"/>
      <c r="F229" s="199"/>
      <c r="G229" s="188"/>
      <c r="H229" s="258"/>
      <c r="I229" s="108"/>
      <c r="J229" s="108"/>
      <c r="K229" s="94">
        <f t="shared" si="72"/>
        <v>0</v>
      </c>
      <c r="L229" s="94"/>
      <c r="M229" s="94"/>
      <c r="N229" s="94"/>
      <c r="O229" s="94"/>
      <c r="P229" s="94"/>
      <c r="Q229" s="94"/>
      <c r="R229" s="108"/>
      <c r="S229" s="94"/>
      <c r="T229" s="94"/>
      <c r="U229" s="94"/>
      <c r="V229" s="94"/>
      <c r="W229" s="94">
        <f t="shared" si="74"/>
        <v>0</v>
      </c>
      <c r="X229" s="145"/>
    </row>
    <row r="230" s="23" customFormat="1" ht="45" customHeight="1" spans="1:24">
      <c r="A230" s="175"/>
      <c r="B230" s="274" t="s">
        <v>254</v>
      </c>
      <c r="C230" s="275"/>
      <c r="D230" s="276"/>
      <c r="E230" s="258"/>
      <c r="F230" s="258"/>
      <c r="G230" s="188" t="s">
        <v>250</v>
      </c>
      <c r="H230" s="258"/>
      <c r="I230" s="108"/>
      <c r="J230" s="108"/>
      <c r="K230" s="94">
        <f t="shared" si="72"/>
        <v>0</v>
      </c>
      <c r="L230" s="94"/>
      <c r="M230" s="94"/>
      <c r="N230" s="94"/>
      <c r="O230" s="94"/>
      <c r="P230" s="94"/>
      <c r="Q230" s="94"/>
      <c r="R230" s="108"/>
      <c r="S230" s="94">
        <f>K230</f>
        <v>0</v>
      </c>
      <c r="T230" s="94"/>
      <c r="U230" s="94">
        <f>S230</f>
        <v>0</v>
      </c>
      <c r="V230" s="94"/>
      <c r="W230" s="94">
        <f t="shared" si="74"/>
        <v>0</v>
      </c>
      <c r="X230" s="145"/>
    </row>
    <row r="231" s="20" customFormat="1" ht="36" customHeight="1" spans="1:24">
      <c r="A231" s="277" t="s">
        <v>255</v>
      </c>
      <c r="B231" s="277"/>
      <c r="C231" s="277"/>
      <c r="D231" s="277"/>
      <c r="E231" s="278">
        <f>SUM(E198:E215)</f>
        <v>18872786.57</v>
      </c>
      <c r="F231" s="278">
        <f>SUM(F198:F215)</f>
        <v>0</v>
      </c>
      <c r="G231" s="243"/>
      <c r="H231" s="243" t="s">
        <v>316</v>
      </c>
      <c r="I231" s="300">
        <f t="shared" ref="I231:K231" si="79">SUM(I198:I202,I204:I217,I223:I224,I230)-I215-I212-I211-I210</f>
        <v>15073116.7890566</v>
      </c>
      <c r="J231" s="300">
        <f t="shared" si="79"/>
        <v>1762917.27</v>
      </c>
      <c r="K231" s="300">
        <f t="shared" si="79"/>
        <v>16836034.0590566</v>
      </c>
      <c r="L231" s="300">
        <f t="shared" ref="L231:O231" si="80">SUM(L198:L202,L204:L217,L223:L224,L230)-L215</f>
        <v>0</v>
      </c>
      <c r="M231" s="300">
        <f t="shared" si="80"/>
        <v>379417.19</v>
      </c>
      <c r="N231" s="300">
        <f t="shared" si="80"/>
        <v>0</v>
      </c>
      <c r="O231" s="300">
        <f t="shared" si="80"/>
        <v>72288</v>
      </c>
      <c r="P231" s="300"/>
      <c r="Q231" s="300">
        <f t="shared" ref="Q231:V231" si="81">SUM(Q198:Q202,Q204:Q217,Q223:Q224,Q230)-Q215</f>
        <v>0</v>
      </c>
      <c r="R231" s="300">
        <f t="shared" si="81"/>
        <v>0</v>
      </c>
      <c r="S231" s="300">
        <f t="shared" si="81"/>
        <v>16711522.5690566</v>
      </c>
      <c r="T231" s="300">
        <f t="shared" si="81"/>
        <v>0</v>
      </c>
      <c r="U231" s="300">
        <f t="shared" si="81"/>
        <v>16162195.22</v>
      </c>
      <c r="V231" s="300">
        <f t="shared" si="81"/>
        <v>0</v>
      </c>
      <c r="W231" s="300">
        <f>SUM(W198:W202,W204:W217,W223:W224,W230)-W215-W212-W211-W210</f>
        <v>198886.809056604</v>
      </c>
      <c r="X231" s="307"/>
    </row>
    <row r="232" s="21" customFormat="1" ht="36" customHeight="1" spans="1:25">
      <c r="A232" s="277"/>
      <c r="B232" s="277"/>
      <c r="C232" s="277"/>
      <c r="D232" s="277"/>
      <c r="E232" s="278"/>
      <c r="F232" s="278"/>
      <c r="G232" s="212"/>
      <c r="H232" s="212" t="s">
        <v>317</v>
      </c>
      <c r="I232" s="301">
        <f t="shared" ref="I232:K232" si="82">I225+I218+I219+I226+I227+I220+I221+I212+I211+I210+I203</f>
        <v>2653613.11</v>
      </c>
      <c r="J232" s="301">
        <f t="shared" si="82"/>
        <v>931.670000000001</v>
      </c>
      <c r="K232" s="301">
        <f t="shared" si="82"/>
        <v>2654544.78</v>
      </c>
      <c r="L232" s="301">
        <f t="shared" ref="L232:V232" si="83">L225+L218+L219+L226+L227+L220</f>
        <v>0</v>
      </c>
      <c r="M232" s="301">
        <f t="shared" si="83"/>
        <v>0</v>
      </c>
      <c r="N232" s="301">
        <f t="shared" si="83"/>
        <v>0</v>
      </c>
      <c r="O232" s="301">
        <f t="shared" si="83"/>
        <v>0</v>
      </c>
      <c r="P232" s="301">
        <f t="shared" si="83"/>
        <v>0</v>
      </c>
      <c r="Q232" s="301">
        <f t="shared" si="83"/>
        <v>0</v>
      </c>
      <c r="R232" s="301">
        <f t="shared" si="83"/>
        <v>0</v>
      </c>
      <c r="S232" s="301">
        <f t="shared" si="83"/>
        <v>47202.37</v>
      </c>
      <c r="T232" s="301">
        <f t="shared" si="83"/>
        <v>0</v>
      </c>
      <c r="U232" s="301">
        <f t="shared" si="83"/>
        <v>47202.37</v>
      </c>
      <c r="V232" s="301">
        <f t="shared" si="83"/>
        <v>0</v>
      </c>
      <c r="W232" s="301">
        <f>W203+W210+W211+W212</f>
        <v>2605542.41</v>
      </c>
      <c r="X232" s="308"/>
      <c r="Y232" s="21">
        <f>W232+W231</f>
        <v>2804429.2190566</v>
      </c>
    </row>
    <row r="233" s="21" customFormat="1" ht="36" customHeight="1" spans="1:24">
      <c r="A233" s="277"/>
      <c r="B233" s="279"/>
      <c r="C233" s="280"/>
      <c r="D233" s="280"/>
      <c r="E233" s="281"/>
      <c r="F233" s="281"/>
      <c r="G233" s="248"/>
      <c r="H233" s="282"/>
      <c r="I233" s="301"/>
      <c r="J233" s="301"/>
      <c r="K233" s="301"/>
      <c r="L233" s="301">
        <f>SUM(L231:Q231)</f>
        <v>451705.19</v>
      </c>
      <c r="M233" s="301"/>
      <c r="N233" s="301"/>
      <c r="O233" s="301"/>
      <c r="P233" s="301"/>
      <c r="Q233" s="301"/>
      <c r="R233" s="301"/>
      <c r="S233" s="301"/>
      <c r="T233" s="301"/>
      <c r="U233" s="301"/>
      <c r="V233" s="301"/>
      <c r="W233" s="301"/>
      <c r="X233" s="308"/>
    </row>
    <row r="234" s="21" customFormat="1" ht="36" customHeight="1" spans="1:24">
      <c r="A234" s="277"/>
      <c r="B234" s="279"/>
      <c r="C234" s="280"/>
      <c r="D234" s="280"/>
      <c r="E234" s="281"/>
      <c r="F234" s="281"/>
      <c r="G234" s="248"/>
      <c r="H234" s="282"/>
      <c r="I234" s="301">
        <f t="shared" ref="I234:K234" si="84">I232+I231</f>
        <v>17726729.8990566</v>
      </c>
      <c r="J234" s="301">
        <f t="shared" si="84"/>
        <v>1763848.94</v>
      </c>
      <c r="K234" s="301">
        <f t="shared" si="84"/>
        <v>19490578.8390566</v>
      </c>
      <c r="L234" s="301"/>
      <c r="M234" s="301"/>
      <c r="N234" s="301"/>
      <c r="O234" s="301"/>
      <c r="P234" s="301"/>
      <c r="Q234" s="301"/>
      <c r="R234" s="301"/>
      <c r="S234" s="301">
        <f t="shared" ref="S234:W234" si="85">S232+S231</f>
        <v>16758724.9390566</v>
      </c>
      <c r="T234" s="301"/>
      <c r="U234" s="301">
        <f t="shared" si="85"/>
        <v>16209397.59</v>
      </c>
      <c r="V234" s="301">
        <f t="shared" si="85"/>
        <v>0</v>
      </c>
      <c r="W234" s="301">
        <f t="shared" si="85"/>
        <v>2804429.2190566</v>
      </c>
      <c r="X234" s="308"/>
    </row>
    <row r="235" s="1" customFormat="1" ht="36" customHeight="1" spans="1:24">
      <c r="A235" s="283"/>
      <c r="B235" s="216" t="s">
        <v>256</v>
      </c>
      <c r="C235" s="217"/>
      <c r="D235" s="217"/>
      <c r="E235" s="253"/>
      <c r="F235" s="253"/>
      <c r="G235" s="217"/>
      <c r="H235" s="218"/>
      <c r="I235" s="94"/>
      <c r="J235" s="94"/>
      <c r="K235" s="94"/>
      <c r="L235" s="94"/>
      <c r="M235" s="94"/>
      <c r="N235" s="94"/>
      <c r="O235" s="94"/>
      <c r="P235" s="94"/>
      <c r="Q235" s="94"/>
      <c r="R235" s="94"/>
      <c r="S235" s="94">
        <f t="shared" ref="S235:S241" si="86">K235-L235-M235-N235-O235+R235</f>
        <v>0</v>
      </c>
      <c r="T235" s="94"/>
      <c r="U235" s="94"/>
      <c r="V235" s="94"/>
      <c r="W235" s="94"/>
      <c r="X235" s="145"/>
    </row>
    <row r="236" s="22" customFormat="1" ht="42" customHeight="1" spans="1:235">
      <c r="A236" s="156">
        <v>29</v>
      </c>
      <c r="B236" s="157" t="s">
        <v>257</v>
      </c>
      <c r="C236" s="158"/>
      <c r="D236" s="157" t="s">
        <v>98</v>
      </c>
      <c r="E236" s="145">
        <v>58000</v>
      </c>
      <c r="F236" s="145"/>
      <c r="G236" s="157" t="s">
        <v>258</v>
      </c>
      <c r="H236" s="157" t="s">
        <v>259</v>
      </c>
      <c r="I236" s="94">
        <v>54716.98</v>
      </c>
      <c r="J236" s="94">
        <v>3283.02</v>
      </c>
      <c r="K236" s="94">
        <f t="shared" ref="K236:K239" si="87">J236+I236</f>
        <v>58000</v>
      </c>
      <c r="L236" s="237"/>
      <c r="M236" s="237"/>
      <c r="N236" s="237"/>
      <c r="O236" s="237"/>
      <c r="P236" s="237"/>
      <c r="Q236" s="237"/>
      <c r="R236" s="237"/>
      <c r="S236" s="94">
        <f t="shared" si="86"/>
        <v>58000</v>
      </c>
      <c r="T236" s="94"/>
      <c r="U236" s="237">
        <v>58000</v>
      </c>
      <c r="V236" s="237"/>
      <c r="W236" s="237">
        <f t="shared" ref="W236:W242" si="88">S236+T236-U236-V236</f>
        <v>0</v>
      </c>
      <c r="X236" s="158"/>
      <c r="Y236" s="311"/>
      <c r="Z236" s="311"/>
      <c r="AA236" s="311"/>
      <c r="AB236" s="311"/>
      <c r="AC236" s="311"/>
      <c r="AD236" s="311"/>
      <c r="AE236" s="311"/>
      <c r="AF236" s="311"/>
      <c r="AG236" s="311"/>
      <c r="AH236" s="311"/>
      <c r="AI236" s="311"/>
      <c r="AJ236" s="311"/>
      <c r="AK236" s="311"/>
      <c r="AL236" s="311"/>
      <c r="AM236" s="311"/>
      <c r="AN236" s="311"/>
      <c r="AO236" s="311"/>
      <c r="AP236" s="311"/>
      <c r="AQ236" s="311"/>
      <c r="AR236" s="311"/>
      <c r="AS236" s="311"/>
      <c r="AT236" s="311"/>
      <c r="AU236" s="311"/>
      <c r="AV236" s="311"/>
      <c r="AW236" s="311"/>
      <c r="AX236" s="311"/>
      <c r="AY236" s="311"/>
      <c r="AZ236" s="311"/>
      <c r="BA236" s="311"/>
      <c r="BB236" s="311"/>
      <c r="BC236" s="311"/>
      <c r="BD236" s="311"/>
      <c r="BE236" s="311"/>
      <c r="BF236" s="311"/>
      <c r="BG236" s="311"/>
      <c r="BH236" s="311"/>
      <c r="BI236" s="311"/>
      <c r="BJ236" s="311"/>
      <c r="BK236" s="311"/>
      <c r="BL236" s="311"/>
      <c r="BM236" s="311"/>
      <c r="BN236" s="311"/>
      <c r="BO236" s="311"/>
      <c r="BP236" s="311"/>
      <c r="BQ236" s="311"/>
      <c r="BR236" s="311"/>
      <c r="BS236" s="311"/>
      <c r="BT236" s="311"/>
      <c r="BU236" s="311"/>
      <c r="BV236" s="311"/>
      <c r="BW236" s="311"/>
      <c r="BX236" s="311"/>
      <c r="BY236" s="311"/>
      <c r="BZ236" s="311"/>
      <c r="CA236" s="311"/>
      <c r="CB236" s="311"/>
      <c r="CC236" s="311"/>
      <c r="CD236" s="311"/>
      <c r="CE236" s="311"/>
      <c r="CF236" s="311"/>
      <c r="CG236" s="311"/>
      <c r="CH236" s="311"/>
      <c r="CI236" s="311"/>
      <c r="CJ236" s="311"/>
      <c r="CK236" s="311"/>
      <c r="CL236" s="311"/>
      <c r="CM236" s="311"/>
      <c r="CN236" s="311"/>
      <c r="CO236" s="311"/>
      <c r="CP236" s="311"/>
      <c r="CQ236" s="311"/>
      <c r="CR236" s="311"/>
      <c r="CS236" s="311"/>
      <c r="CT236" s="311"/>
      <c r="CU236" s="311"/>
      <c r="CV236" s="311"/>
      <c r="CW236" s="311"/>
      <c r="CX236" s="311"/>
      <c r="CY236" s="311"/>
      <c r="CZ236" s="311"/>
      <c r="DA236" s="311"/>
      <c r="DB236" s="311"/>
      <c r="DC236" s="311"/>
      <c r="DD236" s="311"/>
      <c r="DE236" s="311"/>
      <c r="DF236" s="311"/>
      <c r="DG236" s="311"/>
      <c r="DH236" s="311"/>
      <c r="DI236" s="311"/>
      <c r="DJ236" s="311"/>
      <c r="DK236" s="311"/>
      <c r="DL236" s="311"/>
      <c r="DM236" s="311"/>
      <c r="DN236" s="311"/>
      <c r="DO236" s="311"/>
      <c r="DP236" s="311"/>
      <c r="DQ236" s="311"/>
      <c r="DR236" s="311"/>
      <c r="DS236" s="311"/>
      <c r="DT236" s="311"/>
      <c r="DU236" s="311"/>
      <c r="DV236" s="311"/>
      <c r="DW236" s="311"/>
      <c r="DX236" s="311"/>
      <c r="DY236" s="311"/>
      <c r="DZ236" s="311"/>
      <c r="EA236" s="311"/>
      <c r="EB236" s="311"/>
      <c r="EC236" s="311"/>
      <c r="ED236" s="311"/>
      <c r="EE236" s="311"/>
      <c r="EF236" s="311"/>
      <c r="EG236" s="311"/>
      <c r="EH236" s="311"/>
      <c r="EI236" s="311"/>
      <c r="EJ236" s="311"/>
      <c r="EK236" s="311"/>
      <c r="EL236" s="311"/>
      <c r="EM236" s="311"/>
      <c r="EN236" s="311"/>
      <c r="EO236" s="311"/>
      <c r="EP236" s="311"/>
      <c r="EQ236" s="311"/>
      <c r="ER236" s="311"/>
      <c r="ES236" s="311"/>
      <c r="ET236" s="311"/>
      <c r="EU236" s="311"/>
      <c r="EV236" s="311"/>
      <c r="EW236" s="311"/>
      <c r="EX236" s="311"/>
      <c r="EY236" s="311"/>
      <c r="EZ236" s="311"/>
      <c r="FA236" s="311"/>
      <c r="FB236" s="311"/>
      <c r="FC236" s="311"/>
      <c r="FD236" s="311"/>
      <c r="FE236" s="311"/>
      <c r="FF236" s="311"/>
      <c r="FG236" s="311"/>
      <c r="FH236" s="311"/>
      <c r="FI236" s="311"/>
      <c r="FJ236" s="311"/>
      <c r="FK236" s="311"/>
      <c r="FL236" s="311"/>
      <c r="FM236" s="311"/>
      <c r="FN236" s="311"/>
      <c r="FO236" s="311"/>
      <c r="FP236" s="311"/>
      <c r="FQ236" s="311"/>
      <c r="FR236" s="311"/>
      <c r="FS236" s="311"/>
      <c r="FT236" s="311"/>
      <c r="FU236" s="311"/>
      <c r="FV236" s="311"/>
      <c r="FW236" s="311"/>
      <c r="FX236" s="311"/>
      <c r="FY236" s="311"/>
      <c r="FZ236" s="311"/>
      <c r="GA236" s="311"/>
      <c r="GB236" s="311"/>
      <c r="GC236" s="311"/>
      <c r="GD236" s="311"/>
      <c r="GE236" s="311"/>
      <c r="GF236" s="311"/>
      <c r="GG236" s="311"/>
      <c r="GH236" s="311"/>
      <c r="GI236" s="311"/>
      <c r="GJ236" s="311"/>
      <c r="GK236" s="311"/>
      <c r="GL236" s="311"/>
      <c r="GM236" s="311"/>
      <c r="GN236" s="311"/>
      <c r="GO236" s="311"/>
      <c r="GP236" s="311"/>
      <c r="GQ236" s="311"/>
      <c r="GR236" s="311"/>
      <c r="GS236" s="311"/>
      <c r="GT236" s="311"/>
      <c r="GU236" s="311"/>
      <c r="GV236" s="311"/>
      <c r="GW236" s="311"/>
      <c r="GX236" s="311"/>
      <c r="GY236" s="311"/>
      <c r="GZ236" s="311"/>
      <c r="HA236" s="311"/>
      <c r="HB236" s="311"/>
      <c r="HC236" s="311"/>
      <c r="HD236" s="311"/>
      <c r="HE236" s="311"/>
      <c r="HF236" s="311"/>
      <c r="HG236" s="311"/>
      <c r="HH236" s="311"/>
      <c r="HI236" s="311"/>
      <c r="HJ236" s="311"/>
      <c r="HK236" s="311"/>
      <c r="HL236" s="311"/>
      <c r="HM236" s="311"/>
      <c r="HN236" s="311"/>
      <c r="HO236" s="311"/>
      <c r="HP236" s="311"/>
      <c r="HQ236" s="311"/>
      <c r="HR236" s="311"/>
      <c r="HS236" s="311"/>
      <c r="HT236" s="311"/>
      <c r="HU236" s="311"/>
      <c r="HV236" s="311"/>
      <c r="HW236" s="311"/>
      <c r="HX236" s="311"/>
      <c r="HY236" s="311"/>
      <c r="HZ236" s="311"/>
      <c r="IA236" s="311"/>
    </row>
    <row r="237" s="22" customFormat="1" ht="38" customHeight="1" spans="1:235">
      <c r="A237" s="156">
        <v>30</v>
      </c>
      <c r="B237" s="157" t="s">
        <v>260</v>
      </c>
      <c r="C237" s="158"/>
      <c r="D237" s="157" t="s">
        <v>261</v>
      </c>
      <c r="E237" s="256">
        <v>300000</v>
      </c>
      <c r="F237" s="256"/>
      <c r="G237" s="284" t="s">
        <v>262</v>
      </c>
      <c r="H237" s="284" t="s">
        <v>263</v>
      </c>
      <c r="I237" s="302">
        <v>283018.87</v>
      </c>
      <c r="J237" s="302">
        <v>16981.13</v>
      </c>
      <c r="K237" s="94">
        <f t="shared" si="87"/>
        <v>300000</v>
      </c>
      <c r="L237" s="237"/>
      <c r="M237" s="237"/>
      <c r="N237" s="237"/>
      <c r="O237" s="237"/>
      <c r="P237" s="237"/>
      <c r="Q237" s="237"/>
      <c r="R237" s="310"/>
      <c r="S237" s="94">
        <f t="shared" si="86"/>
        <v>300000</v>
      </c>
      <c r="T237" s="94"/>
      <c r="U237" s="310">
        <v>300000</v>
      </c>
      <c r="V237" s="310"/>
      <c r="W237" s="237">
        <f t="shared" si="88"/>
        <v>0</v>
      </c>
      <c r="X237" s="158"/>
      <c r="Y237" s="313"/>
      <c r="Z237" s="313"/>
      <c r="AA237" s="313"/>
      <c r="AB237" s="313"/>
      <c r="AC237" s="313"/>
      <c r="AD237" s="313"/>
      <c r="AE237" s="313"/>
      <c r="AF237" s="313"/>
      <c r="AG237" s="313"/>
      <c r="AH237" s="313"/>
      <c r="AI237" s="313"/>
      <c r="AJ237" s="313"/>
      <c r="AK237" s="313"/>
      <c r="AL237" s="313"/>
      <c r="AM237" s="313"/>
      <c r="AN237" s="313"/>
      <c r="AO237" s="313"/>
      <c r="AP237" s="313"/>
      <c r="AQ237" s="313"/>
      <c r="AR237" s="313"/>
      <c r="AS237" s="313"/>
      <c r="AT237" s="313"/>
      <c r="AU237" s="313"/>
      <c r="AV237" s="313"/>
      <c r="AW237" s="313"/>
      <c r="AX237" s="313"/>
      <c r="AY237" s="313"/>
      <c r="AZ237" s="313"/>
      <c r="BA237" s="313"/>
      <c r="BB237" s="313"/>
      <c r="BC237" s="313"/>
      <c r="BD237" s="313"/>
      <c r="BE237" s="313"/>
      <c r="BF237" s="313"/>
      <c r="BG237" s="313"/>
      <c r="BH237" s="313"/>
      <c r="BI237" s="313"/>
      <c r="BJ237" s="313"/>
      <c r="BK237" s="313"/>
      <c r="BL237" s="313"/>
      <c r="BM237" s="313"/>
      <c r="BN237" s="313"/>
      <c r="BO237" s="313"/>
      <c r="BP237" s="313"/>
      <c r="BQ237" s="313"/>
      <c r="BR237" s="313"/>
      <c r="BS237" s="313"/>
      <c r="BT237" s="313"/>
      <c r="BU237" s="313"/>
      <c r="BV237" s="313"/>
      <c r="BW237" s="313"/>
      <c r="BX237" s="313"/>
      <c r="BY237" s="313"/>
      <c r="BZ237" s="313"/>
      <c r="CA237" s="313"/>
      <c r="CB237" s="313"/>
      <c r="CC237" s="313"/>
      <c r="CD237" s="313"/>
      <c r="CE237" s="313"/>
      <c r="CF237" s="313"/>
      <c r="CG237" s="313"/>
      <c r="CH237" s="313"/>
      <c r="CI237" s="313"/>
      <c r="CJ237" s="313"/>
      <c r="CK237" s="313"/>
      <c r="CL237" s="313"/>
      <c r="CM237" s="313"/>
      <c r="CN237" s="313"/>
      <c r="CO237" s="313"/>
      <c r="CP237" s="313"/>
      <c r="CQ237" s="313"/>
      <c r="CR237" s="313"/>
      <c r="CS237" s="313"/>
      <c r="CT237" s="313"/>
      <c r="CU237" s="313"/>
      <c r="CV237" s="313"/>
      <c r="CW237" s="313"/>
      <c r="CX237" s="313"/>
      <c r="CY237" s="313"/>
      <c r="CZ237" s="313"/>
      <c r="DA237" s="313"/>
      <c r="DB237" s="313"/>
      <c r="DC237" s="313"/>
      <c r="DD237" s="313"/>
      <c r="DE237" s="313"/>
      <c r="DF237" s="313"/>
      <c r="DG237" s="313"/>
      <c r="DH237" s="313"/>
      <c r="DI237" s="313"/>
      <c r="DJ237" s="313"/>
      <c r="DK237" s="313"/>
      <c r="DL237" s="313"/>
      <c r="DM237" s="313"/>
      <c r="DN237" s="313"/>
      <c r="DO237" s="313"/>
      <c r="DP237" s="313"/>
      <c r="DQ237" s="313"/>
      <c r="DR237" s="313"/>
      <c r="DS237" s="313"/>
      <c r="DT237" s="313"/>
      <c r="DU237" s="313"/>
      <c r="DV237" s="313"/>
      <c r="DW237" s="313"/>
      <c r="DX237" s="313"/>
      <c r="DY237" s="313"/>
      <c r="DZ237" s="313"/>
      <c r="EA237" s="313"/>
      <c r="EB237" s="313"/>
      <c r="EC237" s="313"/>
      <c r="ED237" s="313"/>
      <c r="EE237" s="313"/>
      <c r="EF237" s="313"/>
      <c r="EG237" s="313"/>
      <c r="EH237" s="313"/>
      <c r="EI237" s="313"/>
      <c r="EJ237" s="313"/>
      <c r="EK237" s="313"/>
      <c r="EL237" s="313"/>
      <c r="EM237" s="313"/>
      <c r="EN237" s="313"/>
      <c r="EO237" s="313"/>
      <c r="EP237" s="313"/>
      <c r="EQ237" s="313"/>
      <c r="ER237" s="313"/>
      <c r="ES237" s="313"/>
      <c r="ET237" s="313"/>
      <c r="EU237" s="313"/>
      <c r="EV237" s="313"/>
      <c r="EW237" s="313"/>
      <c r="EX237" s="313"/>
      <c r="EY237" s="313"/>
      <c r="EZ237" s="313"/>
      <c r="FA237" s="313"/>
      <c r="FB237" s="313"/>
      <c r="FC237" s="313"/>
      <c r="FD237" s="313"/>
      <c r="FE237" s="313"/>
      <c r="FF237" s="313"/>
      <c r="FG237" s="313"/>
      <c r="FH237" s="313"/>
      <c r="FI237" s="313"/>
      <c r="FJ237" s="313"/>
      <c r="FK237" s="313"/>
      <c r="FL237" s="313"/>
      <c r="FM237" s="313"/>
      <c r="FN237" s="313"/>
      <c r="FO237" s="313"/>
      <c r="FP237" s="313"/>
      <c r="FQ237" s="313"/>
      <c r="FR237" s="313"/>
      <c r="FS237" s="313"/>
      <c r="FT237" s="313"/>
      <c r="FU237" s="313"/>
      <c r="FV237" s="313"/>
      <c r="FW237" s="313"/>
      <c r="FX237" s="313"/>
      <c r="FY237" s="313"/>
      <c r="FZ237" s="313"/>
      <c r="GA237" s="313"/>
      <c r="GB237" s="313"/>
      <c r="GC237" s="313"/>
      <c r="GD237" s="313"/>
      <c r="GE237" s="313"/>
      <c r="GF237" s="313"/>
      <c r="GG237" s="313"/>
      <c r="GH237" s="313"/>
      <c r="GI237" s="313"/>
      <c r="GJ237" s="313"/>
      <c r="GK237" s="313"/>
      <c r="GL237" s="313"/>
      <c r="GM237" s="313"/>
      <c r="GN237" s="313"/>
      <c r="GO237" s="313"/>
      <c r="GP237" s="313"/>
      <c r="GQ237" s="313"/>
      <c r="GR237" s="313"/>
      <c r="GS237" s="313"/>
      <c r="GT237" s="313"/>
      <c r="GU237" s="313"/>
      <c r="GV237" s="313"/>
      <c r="GW237" s="313"/>
      <c r="GX237" s="313"/>
      <c r="GY237" s="313"/>
      <c r="GZ237" s="313"/>
      <c r="HA237" s="313"/>
      <c r="HB237" s="313"/>
      <c r="HC237" s="313"/>
      <c r="HD237" s="313"/>
      <c r="HE237" s="313"/>
      <c r="HF237" s="313"/>
      <c r="HG237" s="313"/>
      <c r="HH237" s="313"/>
      <c r="HI237" s="313"/>
      <c r="HJ237" s="313"/>
      <c r="HK237" s="313"/>
      <c r="HL237" s="313"/>
      <c r="HM237" s="313"/>
      <c r="HN237" s="313"/>
      <c r="HO237" s="313"/>
      <c r="HP237" s="313"/>
      <c r="HQ237" s="313"/>
      <c r="HR237" s="313"/>
      <c r="HS237" s="313"/>
      <c r="HT237" s="313"/>
      <c r="HU237" s="313"/>
      <c r="HV237" s="313"/>
      <c r="HW237" s="313"/>
      <c r="HX237" s="313"/>
      <c r="HY237" s="313"/>
      <c r="HZ237" s="313"/>
      <c r="IA237" s="313"/>
    </row>
    <row r="238" s="22" customFormat="1" ht="53" customHeight="1" spans="1:24">
      <c r="A238" s="156">
        <v>31</v>
      </c>
      <c r="B238" s="157" t="s">
        <v>264</v>
      </c>
      <c r="C238" s="158"/>
      <c r="D238" s="157" t="s">
        <v>265</v>
      </c>
      <c r="E238" s="145">
        <v>140000</v>
      </c>
      <c r="F238" s="145"/>
      <c r="G238" s="157" t="s">
        <v>266</v>
      </c>
      <c r="H238" s="157" t="s">
        <v>267</v>
      </c>
      <c r="I238" s="94">
        <v>132075.47</v>
      </c>
      <c r="J238" s="94">
        <v>7924.53</v>
      </c>
      <c r="K238" s="94">
        <f t="shared" si="87"/>
        <v>140000</v>
      </c>
      <c r="L238" s="237"/>
      <c r="M238" s="237"/>
      <c r="N238" s="237"/>
      <c r="O238" s="237"/>
      <c r="P238" s="237"/>
      <c r="Q238" s="237"/>
      <c r="R238" s="237"/>
      <c r="S238" s="94">
        <f t="shared" si="86"/>
        <v>140000</v>
      </c>
      <c r="T238" s="94"/>
      <c r="U238" s="237">
        <v>140000</v>
      </c>
      <c r="V238" s="237"/>
      <c r="W238" s="237">
        <f t="shared" si="88"/>
        <v>0</v>
      </c>
      <c r="X238" s="158"/>
    </row>
    <row r="239" s="22" customFormat="1" ht="45" customHeight="1" spans="1:24">
      <c r="A239" s="156">
        <v>32</v>
      </c>
      <c r="B239" s="157" t="s">
        <v>268</v>
      </c>
      <c r="C239" s="158"/>
      <c r="D239" s="157" t="s">
        <v>178</v>
      </c>
      <c r="E239" s="145">
        <v>48000</v>
      </c>
      <c r="F239" s="145"/>
      <c r="G239" s="157" t="s">
        <v>269</v>
      </c>
      <c r="H239" s="157" t="s">
        <v>270</v>
      </c>
      <c r="I239" s="94">
        <v>45283.02</v>
      </c>
      <c r="J239" s="94">
        <v>2716.98</v>
      </c>
      <c r="K239" s="94">
        <f t="shared" si="87"/>
        <v>48000</v>
      </c>
      <c r="L239" s="237"/>
      <c r="M239" s="237"/>
      <c r="N239" s="237"/>
      <c r="O239" s="237"/>
      <c r="P239" s="237"/>
      <c r="Q239" s="237"/>
      <c r="R239" s="237"/>
      <c r="S239" s="94">
        <f t="shared" si="86"/>
        <v>48000</v>
      </c>
      <c r="T239" s="94"/>
      <c r="U239" s="237">
        <v>48000</v>
      </c>
      <c r="V239" s="237"/>
      <c r="W239" s="237">
        <f t="shared" si="88"/>
        <v>0</v>
      </c>
      <c r="X239" s="158"/>
    </row>
    <row r="240" s="22" customFormat="1" ht="45" customHeight="1" spans="1:24">
      <c r="A240" s="156">
        <v>33</v>
      </c>
      <c r="B240" s="157" t="s">
        <v>271</v>
      </c>
      <c r="C240" s="158"/>
      <c r="D240" s="157" t="s">
        <v>272</v>
      </c>
      <c r="E240" s="145">
        <v>23800</v>
      </c>
      <c r="F240" s="145"/>
      <c r="G240" s="285" t="s">
        <v>365</v>
      </c>
      <c r="H240" s="285" t="s">
        <v>366</v>
      </c>
      <c r="I240" s="101">
        <v>22452.83</v>
      </c>
      <c r="J240" s="101">
        <v>1347.17</v>
      </c>
      <c r="K240" s="101">
        <f>I240+J240</f>
        <v>23800</v>
      </c>
      <c r="L240" s="101"/>
      <c r="M240" s="101"/>
      <c r="N240" s="101"/>
      <c r="O240" s="101"/>
      <c r="P240" s="101"/>
      <c r="Q240" s="101"/>
      <c r="R240" s="101"/>
      <c r="S240" s="101">
        <f t="shared" si="86"/>
        <v>23800</v>
      </c>
      <c r="T240" s="101"/>
      <c r="U240" s="101">
        <f>S240</f>
        <v>23800</v>
      </c>
      <c r="V240" s="94"/>
      <c r="W240" s="237">
        <f t="shared" si="88"/>
        <v>0</v>
      </c>
      <c r="X240" s="158"/>
    </row>
    <row r="241" s="22" customFormat="1" ht="45" customHeight="1" spans="1:24">
      <c r="A241" s="156">
        <v>34</v>
      </c>
      <c r="B241" s="157" t="s">
        <v>273</v>
      </c>
      <c r="C241" s="158" t="s">
        <v>274</v>
      </c>
      <c r="D241" s="157" t="s">
        <v>275</v>
      </c>
      <c r="E241" s="145">
        <v>29800</v>
      </c>
      <c r="F241" s="145"/>
      <c r="G241" s="66" t="s">
        <v>276</v>
      </c>
      <c r="H241" s="66" t="s">
        <v>277</v>
      </c>
      <c r="I241" s="94">
        <v>28113.21</v>
      </c>
      <c r="J241" s="94">
        <v>1686.79</v>
      </c>
      <c r="K241" s="94">
        <v>29800</v>
      </c>
      <c r="L241" s="94">
        <v>0</v>
      </c>
      <c r="M241" s="94">
        <v>0</v>
      </c>
      <c r="N241" s="94">
        <v>0</v>
      </c>
      <c r="O241" s="94">
        <v>0</v>
      </c>
      <c r="P241" s="94"/>
      <c r="Q241" s="94"/>
      <c r="R241" s="94">
        <v>0</v>
      </c>
      <c r="S241" s="94">
        <f t="shared" si="86"/>
        <v>29800</v>
      </c>
      <c r="T241" s="94"/>
      <c r="U241" s="94">
        <v>29800</v>
      </c>
      <c r="V241" s="94"/>
      <c r="W241" s="237">
        <f t="shared" si="88"/>
        <v>0</v>
      </c>
      <c r="X241" s="158"/>
    </row>
    <row r="242" s="23" customFormat="1" ht="47" customHeight="1" spans="1:24">
      <c r="A242" s="286"/>
      <c r="B242" s="286" t="s">
        <v>394</v>
      </c>
      <c r="C242" s="286"/>
      <c r="D242" s="286" t="s">
        <v>56</v>
      </c>
      <c r="E242" s="286"/>
      <c r="F242" s="103"/>
      <c r="G242" s="285" t="s">
        <v>459</v>
      </c>
      <c r="H242" s="285" t="s">
        <v>396</v>
      </c>
      <c r="I242" s="101">
        <v>235849.06</v>
      </c>
      <c r="J242" s="101">
        <f>250000-I242</f>
        <v>14150.94</v>
      </c>
      <c r="K242" s="101">
        <f>I242+J242</f>
        <v>250000</v>
      </c>
      <c r="L242" s="101"/>
      <c r="M242" s="101"/>
      <c r="N242" s="101"/>
      <c r="O242" s="101"/>
      <c r="P242" s="101"/>
      <c r="Q242" s="101"/>
      <c r="R242" s="101"/>
      <c r="S242" s="101">
        <f>K242</f>
        <v>250000</v>
      </c>
      <c r="T242" s="101"/>
      <c r="U242" s="94"/>
      <c r="V242" s="94"/>
      <c r="W242" s="94">
        <f t="shared" si="88"/>
        <v>250000</v>
      </c>
      <c r="X242" s="158"/>
    </row>
    <row r="243" s="23" customFormat="1" ht="47" customHeight="1" spans="1:24">
      <c r="A243" s="287"/>
      <c r="B243" s="287"/>
      <c r="C243" s="287"/>
      <c r="D243" s="287"/>
      <c r="E243" s="287"/>
      <c r="F243" s="105"/>
      <c r="G243" s="288" t="s">
        <v>490</v>
      </c>
      <c r="H243" s="288" t="s">
        <v>491</v>
      </c>
      <c r="I243" s="288">
        <v>6893119.39</v>
      </c>
      <c r="J243" s="101">
        <f>620380.75</f>
        <v>620380.75</v>
      </c>
      <c r="K243" s="101">
        <f t="shared" ref="K243:K249" si="89">J243+I243</f>
        <v>7513500.14</v>
      </c>
      <c r="L243" s="303"/>
      <c r="M243" s="101"/>
      <c r="N243" s="101"/>
      <c r="O243" s="101"/>
      <c r="P243" s="101"/>
      <c r="Q243" s="101"/>
      <c r="R243" s="101"/>
      <c r="S243" s="101"/>
      <c r="T243" s="101"/>
      <c r="U243" s="94"/>
      <c r="V243" s="94"/>
      <c r="W243" s="94"/>
      <c r="X243" s="158"/>
    </row>
    <row r="244" s="23" customFormat="1" ht="47" customHeight="1" spans="1:24">
      <c r="A244" s="287"/>
      <c r="B244" s="287"/>
      <c r="C244" s="287"/>
      <c r="D244" s="287"/>
      <c r="E244" s="287"/>
      <c r="F244" s="105"/>
      <c r="G244" s="68"/>
      <c r="H244" s="285"/>
      <c r="I244" s="210"/>
      <c r="J244" s="101"/>
      <c r="K244" s="101"/>
      <c r="L244" s="303"/>
      <c r="M244" s="101"/>
      <c r="N244" s="101"/>
      <c r="O244" s="101"/>
      <c r="P244" s="101"/>
      <c r="Q244" s="101"/>
      <c r="R244" s="101"/>
      <c r="S244" s="101"/>
      <c r="T244" s="101"/>
      <c r="U244" s="94"/>
      <c r="V244" s="94"/>
      <c r="W244" s="94"/>
      <c r="X244" s="158"/>
    </row>
    <row r="245" s="23" customFormat="1" ht="47" customHeight="1" spans="1:24">
      <c r="A245" s="287"/>
      <c r="B245" s="287"/>
      <c r="C245" s="287"/>
      <c r="D245" s="287"/>
      <c r="E245" s="287"/>
      <c r="F245" s="105"/>
      <c r="G245" s="68"/>
      <c r="H245" s="285"/>
      <c r="I245" s="210"/>
      <c r="J245" s="101"/>
      <c r="K245" s="101"/>
      <c r="L245" s="303"/>
      <c r="M245" s="101"/>
      <c r="N245" s="101"/>
      <c r="O245" s="101"/>
      <c r="P245" s="101"/>
      <c r="Q245" s="101"/>
      <c r="R245" s="101"/>
      <c r="S245" s="101"/>
      <c r="T245" s="101"/>
      <c r="U245" s="94"/>
      <c r="V245" s="94"/>
      <c r="W245" s="94"/>
      <c r="X245" s="158"/>
    </row>
    <row r="246" s="23" customFormat="1" ht="47" customHeight="1" spans="1:24">
      <c r="A246" s="289"/>
      <c r="B246" s="290" t="s">
        <v>166</v>
      </c>
      <c r="C246" s="291" t="s">
        <v>240</v>
      </c>
      <c r="D246" s="292" t="s">
        <v>168</v>
      </c>
      <c r="E246" s="293"/>
      <c r="F246" s="293"/>
      <c r="G246" s="294" t="s">
        <v>460</v>
      </c>
      <c r="H246" s="285" t="s">
        <v>461</v>
      </c>
      <c r="I246" s="304">
        <v>134916.31</v>
      </c>
      <c r="J246" s="101">
        <v>8094.98</v>
      </c>
      <c r="K246" s="101">
        <f t="shared" si="89"/>
        <v>143011.29</v>
      </c>
      <c r="L246" s="305"/>
      <c r="M246" s="101"/>
      <c r="N246" s="101"/>
      <c r="O246" s="101"/>
      <c r="P246" s="101"/>
      <c r="Q246" s="101"/>
      <c r="R246" s="101"/>
      <c r="S246" s="101"/>
      <c r="T246" s="101"/>
      <c r="U246" s="94"/>
      <c r="V246" s="94"/>
      <c r="W246" s="94"/>
      <c r="X246" s="158"/>
    </row>
    <row r="247" s="23" customFormat="1" ht="47" customHeight="1" spans="1:24">
      <c r="A247" s="289"/>
      <c r="B247" s="290"/>
      <c r="C247" s="291"/>
      <c r="D247" s="292"/>
      <c r="E247" s="293"/>
      <c r="F247" s="293"/>
      <c r="G247" s="294" t="s">
        <v>462</v>
      </c>
      <c r="H247" s="285" t="s">
        <v>463</v>
      </c>
      <c r="I247" s="304">
        <v>476989.43</v>
      </c>
      <c r="J247" s="101">
        <v>28619.37</v>
      </c>
      <c r="K247" s="101">
        <f t="shared" si="89"/>
        <v>505608.8</v>
      </c>
      <c r="L247" s="305"/>
      <c r="M247" s="101"/>
      <c r="N247" s="101"/>
      <c r="O247" s="101"/>
      <c r="P247" s="101"/>
      <c r="Q247" s="101"/>
      <c r="R247" s="101"/>
      <c r="S247" s="101"/>
      <c r="T247" s="101"/>
      <c r="U247" s="94"/>
      <c r="V247" s="94"/>
      <c r="W247" s="94"/>
      <c r="X247" s="158"/>
    </row>
    <row r="248" s="23" customFormat="1" ht="47" customHeight="1" spans="1:24">
      <c r="A248" s="289"/>
      <c r="B248" s="290"/>
      <c r="C248" s="291"/>
      <c r="D248" s="292"/>
      <c r="E248" s="293"/>
      <c r="F248" s="293"/>
      <c r="G248" s="294" t="s">
        <v>464</v>
      </c>
      <c r="H248" s="285" t="s">
        <v>465</v>
      </c>
      <c r="I248" s="304">
        <v>9900000</v>
      </c>
      <c r="J248" s="101">
        <v>0</v>
      </c>
      <c r="K248" s="101">
        <f t="shared" si="89"/>
        <v>9900000</v>
      </c>
      <c r="L248" s="305"/>
      <c r="M248" s="101"/>
      <c r="N248" s="101"/>
      <c r="O248" s="101"/>
      <c r="P248" s="101"/>
      <c r="Q248" s="101"/>
      <c r="R248" s="101"/>
      <c r="S248" s="101"/>
      <c r="T248" s="101"/>
      <c r="U248" s="94"/>
      <c r="V248" s="94"/>
      <c r="W248" s="94"/>
      <c r="X248" s="158"/>
    </row>
    <row r="249" s="23" customFormat="1" ht="47" customHeight="1" spans="1:24">
      <c r="A249" s="289"/>
      <c r="B249" s="290"/>
      <c r="C249" s="291"/>
      <c r="D249" s="292"/>
      <c r="E249" s="293"/>
      <c r="F249" s="293"/>
      <c r="G249" s="294" t="s">
        <v>464</v>
      </c>
      <c r="H249" s="285" t="s">
        <v>465</v>
      </c>
      <c r="I249" s="304">
        <v>100000</v>
      </c>
      <c r="J249" s="101">
        <v>0</v>
      </c>
      <c r="K249" s="101">
        <f t="shared" si="89"/>
        <v>100000</v>
      </c>
      <c r="L249" s="305"/>
      <c r="M249" s="101"/>
      <c r="N249" s="101"/>
      <c r="O249" s="101"/>
      <c r="P249" s="101"/>
      <c r="Q249" s="101"/>
      <c r="R249" s="101"/>
      <c r="S249" s="101"/>
      <c r="T249" s="101"/>
      <c r="U249" s="94"/>
      <c r="V249" s="94"/>
      <c r="W249" s="94"/>
      <c r="X249" s="158"/>
    </row>
    <row r="250" s="23" customFormat="1" ht="47" customHeight="1" spans="1:24">
      <c r="A250" s="289"/>
      <c r="B250" s="295" t="s">
        <v>492</v>
      </c>
      <c r="C250" s="296"/>
      <c r="D250" s="292"/>
      <c r="E250" s="297"/>
      <c r="F250" s="297"/>
      <c r="G250" s="298" t="s">
        <v>493</v>
      </c>
      <c r="H250" s="298" t="s">
        <v>494</v>
      </c>
      <c r="I250" s="298">
        <v>29203539.84</v>
      </c>
      <c r="J250" s="101">
        <f>K250-I250</f>
        <v>3796460.16</v>
      </c>
      <c r="K250" s="101">
        <f>33000000</f>
        <v>33000000</v>
      </c>
      <c r="L250" s="303"/>
      <c r="M250" s="101"/>
      <c r="N250" s="101"/>
      <c r="O250" s="101"/>
      <c r="P250" s="101"/>
      <c r="Q250" s="101"/>
      <c r="R250" s="101"/>
      <c r="S250" s="101"/>
      <c r="T250" s="101"/>
      <c r="U250" s="94"/>
      <c r="V250" s="94"/>
      <c r="W250" s="94"/>
      <c r="X250" s="158"/>
    </row>
    <row r="251" s="23" customFormat="1" ht="47" customHeight="1" spans="1:24">
      <c r="A251" s="289"/>
      <c r="B251" s="295"/>
      <c r="C251" s="299"/>
      <c r="D251" s="292"/>
      <c r="E251" s="297"/>
      <c r="F251" s="297"/>
      <c r="G251" s="162"/>
      <c r="H251" s="285"/>
      <c r="I251" s="306"/>
      <c r="J251" s="101"/>
      <c r="K251" s="101"/>
      <c r="L251" s="303"/>
      <c r="M251" s="101"/>
      <c r="N251" s="101"/>
      <c r="O251" s="101"/>
      <c r="P251" s="101"/>
      <c r="Q251" s="101"/>
      <c r="R251" s="101"/>
      <c r="S251" s="101"/>
      <c r="T251" s="101"/>
      <c r="U251" s="94"/>
      <c r="V251" s="94"/>
      <c r="W251" s="94"/>
      <c r="X251" s="158"/>
    </row>
    <row r="252" s="23" customFormat="1" ht="47" customHeight="1" spans="1:24">
      <c r="A252" s="289"/>
      <c r="B252" s="295"/>
      <c r="C252" s="299"/>
      <c r="D252" s="292"/>
      <c r="E252" s="297"/>
      <c r="F252" s="297"/>
      <c r="G252" s="162"/>
      <c r="H252" s="285"/>
      <c r="I252" s="306"/>
      <c r="J252" s="101"/>
      <c r="K252" s="101"/>
      <c r="L252" s="303"/>
      <c r="M252" s="101"/>
      <c r="N252" s="101"/>
      <c r="O252" s="101"/>
      <c r="P252" s="101"/>
      <c r="Q252" s="101"/>
      <c r="R252" s="101"/>
      <c r="S252" s="101"/>
      <c r="T252" s="101"/>
      <c r="U252" s="94"/>
      <c r="V252" s="94"/>
      <c r="W252" s="94"/>
      <c r="X252" s="158"/>
    </row>
    <row r="253" s="23" customFormat="1" ht="47" customHeight="1" spans="1:24">
      <c r="A253" s="289"/>
      <c r="B253" s="295"/>
      <c r="C253" s="299"/>
      <c r="D253" s="292"/>
      <c r="E253" s="297"/>
      <c r="F253" s="297"/>
      <c r="G253" s="162"/>
      <c r="H253" s="285"/>
      <c r="I253" s="306"/>
      <c r="J253" s="101"/>
      <c r="K253" s="101"/>
      <c r="L253" s="303"/>
      <c r="M253" s="101"/>
      <c r="N253" s="101"/>
      <c r="O253" s="101"/>
      <c r="P253" s="101"/>
      <c r="Q253" s="101"/>
      <c r="R253" s="101"/>
      <c r="S253" s="101"/>
      <c r="T253" s="101"/>
      <c r="U253" s="94"/>
      <c r="V253" s="94"/>
      <c r="W253" s="94"/>
      <c r="X253" s="158"/>
    </row>
    <row r="254" s="23" customFormat="1" ht="47" customHeight="1" spans="1:24">
      <c r="A254" s="289"/>
      <c r="B254" s="295"/>
      <c r="C254" s="299"/>
      <c r="D254" s="292"/>
      <c r="E254" s="297"/>
      <c r="F254" s="297"/>
      <c r="G254" s="162"/>
      <c r="H254" s="285"/>
      <c r="I254" s="306"/>
      <c r="J254" s="101"/>
      <c r="K254" s="101"/>
      <c r="L254" s="303"/>
      <c r="M254" s="101"/>
      <c r="N254" s="101"/>
      <c r="O254" s="101"/>
      <c r="P254" s="101"/>
      <c r="Q254" s="101"/>
      <c r="R254" s="101"/>
      <c r="S254" s="101"/>
      <c r="T254" s="101"/>
      <c r="U254" s="94"/>
      <c r="V254" s="94"/>
      <c r="W254" s="94"/>
      <c r="X254" s="158"/>
    </row>
    <row r="255" s="23" customFormat="1" ht="47" customHeight="1" spans="1:24">
      <c r="A255" s="289"/>
      <c r="B255" s="295"/>
      <c r="C255" s="299"/>
      <c r="D255" s="292"/>
      <c r="E255" s="297"/>
      <c r="F255" s="297"/>
      <c r="G255" s="162"/>
      <c r="H255" s="285"/>
      <c r="I255" s="306"/>
      <c r="J255" s="101"/>
      <c r="K255" s="101"/>
      <c r="L255" s="303"/>
      <c r="M255" s="101"/>
      <c r="N255" s="101"/>
      <c r="O255" s="101"/>
      <c r="P255" s="101"/>
      <c r="Q255" s="101"/>
      <c r="R255" s="101"/>
      <c r="S255" s="101"/>
      <c r="T255" s="101"/>
      <c r="U255" s="94"/>
      <c r="V255" s="94"/>
      <c r="W255" s="94"/>
      <c r="X255" s="158"/>
    </row>
    <row r="256" s="23" customFormat="1" ht="47" customHeight="1" spans="1:24">
      <c r="A256" s="289"/>
      <c r="B256" s="295"/>
      <c r="C256" s="299"/>
      <c r="D256" s="292"/>
      <c r="E256" s="297"/>
      <c r="F256" s="297"/>
      <c r="G256" s="162"/>
      <c r="H256" s="285"/>
      <c r="I256" s="306"/>
      <c r="J256" s="101"/>
      <c r="K256" s="101"/>
      <c r="L256" s="303"/>
      <c r="M256" s="101"/>
      <c r="N256" s="101"/>
      <c r="O256" s="101"/>
      <c r="P256" s="101"/>
      <c r="Q256" s="101"/>
      <c r="R256" s="101"/>
      <c r="S256" s="101"/>
      <c r="T256" s="101"/>
      <c r="U256" s="94"/>
      <c r="V256" s="94"/>
      <c r="W256" s="94"/>
      <c r="X256" s="158"/>
    </row>
    <row r="257" s="23" customFormat="1" ht="47" customHeight="1" spans="1:24">
      <c r="A257" s="289"/>
      <c r="B257" s="295"/>
      <c r="C257" s="299"/>
      <c r="D257" s="292"/>
      <c r="E257" s="297"/>
      <c r="F257" s="297"/>
      <c r="G257" s="162"/>
      <c r="H257" s="285"/>
      <c r="I257" s="306"/>
      <c r="J257" s="101"/>
      <c r="K257" s="101"/>
      <c r="L257" s="303"/>
      <c r="M257" s="101"/>
      <c r="N257" s="101"/>
      <c r="O257" s="101"/>
      <c r="P257" s="101"/>
      <c r="Q257" s="101"/>
      <c r="R257" s="101"/>
      <c r="S257" s="101"/>
      <c r="T257" s="101"/>
      <c r="U257" s="94"/>
      <c r="V257" s="94"/>
      <c r="W257" s="94"/>
      <c r="X257" s="158"/>
    </row>
    <row r="258" s="23" customFormat="1" ht="47" customHeight="1" spans="1:24">
      <c r="A258" s="289"/>
      <c r="B258" s="295"/>
      <c r="C258" s="299"/>
      <c r="D258" s="292"/>
      <c r="E258" s="297"/>
      <c r="F258" s="297"/>
      <c r="G258" s="162"/>
      <c r="H258" s="285"/>
      <c r="I258" s="306"/>
      <c r="J258" s="101"/>
      <c r="K258" s="101"/>
      <c r="L258" s="303"/>
      <c r="M258" s="101"/>
      <c r="N258" s="101"/>
      <c r="O258" s="101"/>
      <c r="P258" s="101"/>
      <c r="Q258" s="101"/>
      <c r="R258" s="101"/>
      <c r="S258" s="101"/>
      <c r="T258" s="101"/>
      <c r="U258" s="94"/>
      <c r="V258" s="94"/>
      <c r="W258" s="94"/>
      <c r="X258" s="158"/>
    </row>
    <row r="259" s="23" customFormat="1" ht="47" customHeight="1" spans="1:24">
      <c r="A259" s="289"/>
      <c r="B259" s="295"/>
      <c r="C259" s="299"/>
      <c r="D259" s="292"/>
      <c r="E259" s="297"/>
      <c r="F259" s="297"/>
      <c r="G259" s="162"/>
      <c r="H259" s="285"/>
      <c r="I259" s="306"/>
      <c r="J259" s="101"/>
      <c r="K259" s="101"/>
      <c r="L259" s="303"/>
      <c r="M259" s="101"/>
      <c r="N259" s="101"/>
      <c r="O259" s="101"/>
      <c r="P259" s="101"/>
      <c r="Q259" s="101"/>
      <c r="R259" s="101"/>
      <c r="S259" s="101"/>
      <c r="T259" s="101"/>
      <c r="U259" s="94"/>
      <c r="V259" s="94"/>
      <c r="W259" s="94"/>
      <c r="X259" s="158"/>
    </row>
    <row r="260" s="23" customFormat="1" ht="47" customHeight="1" spans="1:24">
      <c r="A260" s="289"/>
      <c r="B260" s="295"/>
      <c r="C260" s="299"/>
      <c r="D260" s="292"/>
      <c r="E260" s="297"/>
      <c r="F260" s="297"/>
      <c r="G260" s="162"/>
      <c r="H260" s="285"/>
      <c r="I260" s="306"/>
      <c r="J260" s="101"/>
      <c r="K260" s="101"/>
      <c r="L260" s="303"/>
      <c r="M260" s="101"/>
      <c r="N260" s="101"/>
      <c r="O260" s="101"/>
      <c r="P260" s="101"/>
      <c r="Q260" s="101"/>
      <c r="R260" s="101"/>
      <c r="S260" s="101"/>
      <c r="T260" s="101"/>
      <c r="U260" s="94"/>
      <c r="V260" s="94"/>
      <c r="W260" s="94"/>
      <c r="X260" s="158"/>
    </row>
    <row r="261" s="23" customFormat="1" ht="47" customHeight="1" spans="1:24">
      <c r="A261" s="289"/>
      <c r="B261" s="295"/>
      <c r="C261" s="299"/>
      <c r="D261" s="292"/>
      <c r="E261" s="297"/>
      <c r="F261" s="297"/>
      <c r="G261" s="162"/>
      <c r="H261" s="285"/>
      <c r="I261" s="306"/>
      <c r="J261" s="101"/>
      <c r="K261" s="101"/>
      <c r="L261" s="303"/>
      <c r="M261" s="101"/>
      <c r="N261" s="101"/>
      <c r="O261" s="101"/>
      <c r="P261" s="101"/>
      <c r="Q261" s="101"/>
      <c r="R261" s="101"/>
      <c r="S261" s="101"/>
      <c r="T261" s="101"/>
      <c r="U261" s="94"/>
      <c r="V261" s="94"/>
      <c r="W261" s="94"/>
      <c r="X261" s="158"/>
    </row>
    <row r="262" s="23" customFormat="1" ht="47" customHeight="1" spans="1:24">
      <c r="A262" s="289"/>
      <c r="B262" s="295"/>
      <c r="C262" s="299"/>
      <c r="D262" s="292"/>
      <c r="E262" s="297"/>
      <c r="F262" s="297"/>
      <c r="G262" s="162"/>
      <c r="H262" s="285"/>
      <c r="I262" s="306"/>
      <c r="J262" s="101"/>
      <c r="K262" s="101"/>
      <c r="L262" s="303"/>
      <c r="M262" s="101"/>
      <c r="N262" s="101"/>
      <c r="O262" s="101"/>
      <c r="P262" s="101"/>
      <c r="Q262" s="101"/>
      <c r="R262" s="101"/>
      <c r="S262" s="101"/>
      <c r="T262" s="101"/>
      <c r="U262" s="94"/>
      <c r="V262" s="94"/>
      <c r="W262" s="94"/>
      <c r="X262" s="158"/>
    </row>
    <row r="263" s="23" customFormat="1" ht="45" customHeight="1" spans="1:24">
      <c r="A263" s="289">
        <v>35</v>
      </c>
      <c r="B263" s="263" t="s">
        <v>249</v>
      </c>
      <c r="C263" s="264"/>
      <c r="D263" s="265"/>
      <c r="E263" s="314"/>
      <c r="F263" s="145" t="s">
        <v>295</v>
      </c>
      <c r="G263" s="145" t="s">
        <v>207</v>
      </c>
      <c r="H263" s="66"/>
      <c r="I263" s="94">
        <v>5480</v>
      </c>
      <c r="J263" s="94">
        <v>0</v>
      </c>
      <c r="K263" s="94">
        <f>J263+I263</f>
        <v>5480</v>
      </c>
      <c r="L263" s="94"/>
      <c r="M263" s="94"/>
      <c r="N263" s="94"/>
      <c r="O263" s="94"/>
      <c r="P263" s="94"/>
      <c r="Q263" s="94"/>
      <c r="R263" s="94"/>
      <c r="S263" s="94">
        <f>K263-L263-M263-N263-O263+R263</f>
        <v>5480</v>
      </c>
      <c r="T263" s="94"/>
      <c r="U263" s="94">
        <v>5480</v>
      </c>
      <c r="V263" s="94"/>
      <c r="W263" s="237">
        <f t="shared" ref="W263:W278" si="90">S263+T263-U263-V263</f>
        <v>0</v>
      </c>
      <c r="X263" s="158"/>
    </row>
    <row r="264" s="23" customFormat="1" ht="45" customHeight="1" spans="1:24">
      <c r="A264" s="315"/>
      <c r="B264" s="266"/>
      <c r="C264" s="267"/>
      <c r="D264" s="268"/>
      <c r="E264" s="314"/>
      <c r="F264" s="103" t="s">
        <v>296</v>
      </c>
      <c r="G264" s="174" t="s">
        <v>321</v>
      </c>
      <c r="H264" s="285" t="s">
        <v>322</v>
      </c>
      <c r="I264" s="101">
        <v>980</v>
      </c>
      <c r="J264" s="101"/>
      <c r="K264" s="101">
        <f t="shared" ref="K264:K274" si="91">I264+J264</f>
        <v>980</v>
      </c>
      <c r="L264" s="101"/>
      <c r="M264" s="101"/>
      <c r="N264" s="101"/>
      <c r="O264" s="101"/>
      <c r="P264" s="101"/>
      <c r="Q264" s="101"/>
      <c r="R264" s="101"/>
      <c r="S264" s="101">
        <v>980</v>
      </c>
      <c r="T264" s="101"/>
      <c r="U264" s="101">
        <v>980</v>
      </c>
      <c r="V264" s="94"/>
      <c r="W264" s="237">
        <f t="shared" si="90"/>
        <v>0</v>
      </c>
      <c r="X264" s="158"/>
    </row>
    <row r="265" s="23" customFormat="1" ht="45" customHeight="1" spans="1:24">
      <c r="A265" s="315"/>
      <c r="B265" s="266"/>
      <c r="C265" s="267"/>
      <c r="D265" s="268"/>
      <c r="E265" s="314"/>
      <c r="F265" s="105"/>
      <c r="G265" s="174" t="s">
        <v>337</v>
      </c>
      <c r="H265" s="285"/>
      <c r="I265" s="101">
        <v>879</v>
      </c>
      <c r="J265" s="101"/>
      <c r="K265" s="101">
        <f t="shared" si="91"/>
        <v>879</v>
      </c>
      <c r="L265" s="101"/>
      <c r="M265" s="101"/>
      <c r="N265" s="101"/>
      <c r="O265" s="101"/>
      <c r="P265" s="101"/>
      <c r="Q265" s="101"/>
      <c r="R265" s="101"/>
      <c r="S265" s="101">
        <f t="shared" ref="S265:S272" si="92">K265</f>
        <v>879</v>
      </c>
      <c r="T265" s="101"/>
      <c r="U265" s="101">
        <f t="shared" ref="U265:U268" si="93">S265</f>
        <v>879</v>
      </c>
      <c r="V265" s="94"/>
      <c r="W265" s="237">
        <f t="shared" si="90"/>
        <v>0</v>
      </c>
      <c r="X265" s="158"/>
    </row>
    <row r="266" s="23" customFormat="1" ht="45" customHeight="1" spans="1:24">
      <c r="A266" s="315"/>
      <c r="B266" s="266"/>
      <c r="C266" s="267"/>
      <c r="D266" s="268"/>
      <c r="E266" s="314"/>
      <c r="F266" s="105"/>
      <c r="G266" s="174" t="s">
        <v>338</v>
      </c>
      <c r="H266" s="285"/>
      <c r="I266" s="101">
        <v>4442</v>
      </c>
      <c r="J266" s="101"/>
      <c r="K266" s="101">
        <f t="shared" si="91"/>
        <v>4442</v>
      </c>
      <c r="L266" s="101"/>
      <c r="M266" s="101"/>
      <c r="N266" s="101"/>
      <c r="O266" s="101"/>
      <c r="P266" s="101"/>
      <c r="Q266" s="101"/>
      <c r="R266" s="101"/>
      <c r="S266" s="101">
        <f t="shared" si="92"/>
        <v>4442</v>
      </c>
      <c r="T266" s="101"/>
      <c r="U266" s="101">
        <f t="shared" si="93"/>
        <v>4442</v>
      </c>
      <c r="V266" s="94"/>
      <c r="W266" s="237">
        <f t="shared" si="90"/>
        <v>0</v>
      </c>
      <c r="X266" s="158"/>
    </row>
    <row r="267" s="23" customFormat="1" ht="45" customHeight="1" spans="1:24">
      <c r="A267" s="315"/>
      <c r="B267" s="266"/>
      <c r="C267" s="267"/>
      <c r="D267" s="268"/>
      <c r="E267" s="314"/>
      <c r="F267" s="105"/>
      <c r="G267" s="174" t="s">
        <v>339</v>
      </c>
      <c r="H267" s="285"/>
      <c r="I267" s="101">
        <v>1330</v>
      </c>
      <c r="J267" s="101"/>
      <c r="K267" s="101">
        <f t="shared" si="91"/>
        <v>1330</v>
      </c>
      <c r="L267" s="101"/>
      <c r="M267" s="101"/>
      <c r="N267" s="101"/>
      <c r="O267" s="101"/>
      <c r="P267" s="101"/>
      <c r="Q267" s="101"/>
      <c r="R267" s="101"/>
      <c r="S267" s="101">
        <f t="shared" si="92"/>
        <v>1330</v>
      </c>
      <c r="T267" s="101"/>
      <c r="U267" s="101">
        <f t="shared" si="93"/>
        <v>1330</v>
      </c>
      <c r="V267" s="94"/>
      <c r="W267" s="237">
        <f t="shared" si="90"/>
        <v>0</v>
      </c>
      <c r="X267" s="158"/>
    </row>
    <row r="268" s="23" customFormat="1" ht="45" customHeight="1" spans="1:24">
      <c r="A268" s="315"/>
      <c r="B268" s="271"/>
      <c r="C268" s="272"/>
      <c r="D268" s="273"/>
      <c r="E268" s="314"/>
      <c r="F268" s="106"/>
      <c r="G268" s="269" t="s">
        <v>422</v>
      </c>
      <c r="H268" s="285"/>
      <c r="I268" s="101">
        <v>8883</v>
      </c>
      <c r="J268" s="101"/>
      <c r="K268" s="101">
        <f t="shared" si="91"/>
        <v>8883</v>
      </c>
      <c r="L268" s="101"/>
      <c r="M268" s="101"/>
      <c r="N268" s="101"/>
      <c r="O268" s="101"/>
      <c r="P268" s="101"/>
      <c r="Q268" s="101"/>
      <c r="R268" s="101"/>
      <c r="S268" s="101">
        <f t="shared" si="92"/>
        <v>8883</v>
      </c>
      <c r="T268" s="101"/>
      <c r="U268" s="101">
        <f t="shared" si="93"/>
        <v>8883</v>
      </c>
      <c r="V268" s="94"/>
      <c r="W268" s="237">
        <f t="shared" si="90"/>
        <v>0</v>
      </c>
      <c r="X268" s="158"/>
    </row>
    <row r="269" s="23" customFormat="1" ht="45" customHeight="1" spans="1:24">
      <c r="A269" s="175"/>
      <c r="B269" s="263" t="s">
        <v>466</v>
      </c>
      <c r="C269" s="264"/>
      <c r="D269" s="265"/>
      <c r="E269" s="192"/>
      <c r="F269" s="193" t="s">
        <v>310</v>
      </c>
      <c r="G269" s="269" t="s">
        <v>422</v>
      </c>
      <c r="H269" s="316" t="s">
        <v>467</v>
      </c>
      <c r="I269" s="101">
        <v>11037.72</v>
      </c>
      <c r="J269" s="101">
        <v>662.28</v>
      </c>
      <c r="K269" s="101">
        <f t="shared" si="91"/>
        <v>11700</v>
      </c>
      <c r="L269" s="101"/>
      <c r="M269" s="101"/>
      <c r="N269" s="101"/>
      <c r="O269" s="101"/>
      <c r="P269" s="101"/>
      <c r="Q269" s="101"/>
      <c r="R269" s="109"/>
      <c r="S269" s="101">
        <f t="shared" si="92"/>
        <v>11700</v>
      </c>
      <c r="T269" s="94"/>
      <c r="U269" s="94">
        <f>K269+R269</f>
        <v>11700</v>
      </c>
      <c r="V269" s="94"/>
      <c r="W269" s="94">
        <f t="shared" si="90"/>
        <v>0</v>
      </c>
      <c r="X269" s="145"/>
    </row>
    <row r="270" s="23" customFormat="1" ht="45" customHeight="1" spans="1:24">
      <c r="A270" s="175"/>
      <c r="B270" s="266"/>
      <c r="C270" s="267"/>
      <c r="D270" s="268"/>
      <c r="E270" s="198"/>
      <c r="F270" s="195"/>
      <c r="G270" s="269" t="s">
        <v>485</v>
      </c>
      <c r="H270" s="270"/>
      <c r="I270" s="109">
        <v>12835</v>
      </c>
      <c r="J270" s="109">
        <v>0</v>
      </c>
      <c r="K270" s="101">
        <f t="shared" si="91"/>
        <v>12835</v>
      </c>
      <c r="L270" s="101"/>
      <c r="M270" s="101"/>
      <c r="N270" s="101"/>
      <c r="O270" s="101"/>
      <c r="P270" s="101"/>
      <c r="Q270" s="101"/>
      <c r="R270" s="109"/>
      <c r="S270" s="101">
        <f t="shared" si="92"/>
        <v>12835</v>
      </c>
      <c r="T270" s="94"/>
      <c r="U270" s="94">
        <f t="shared" ref="U270:U272" si="94">S270</f>
        <v>12835</v>
      </c>
      <c r="V270" s="94"/>
      <c r="W270" s="94">
        <f t="shared" si="90"/>
        <v>0</v>
      </c>
      <c r="X270" s="145"/>
    </row>
    <row r="271" s="23" customFormat="1" ht="45" customHeight="1" spans="1:24">
      <c r="A271" s="175"/>
      <c r="B271" s="266"/>
      <c r="C271" s="267"/>
      <c r="D271" s="268"/>
      <c r="E271" s="198"/>
      <c r="F271" s="195"/>
      <c r="G271" s="269"/>
      <c r="H271" s="270"/>
      <c r="I271" s="109"/>
      <c r="J271" s="109"/>
      <c r="K271" s="101">
        <f t="shared" si="91"/>
        <v>0</v>
      </c>
      <c r="L271" s="101"/>
      <c r="M271" s="101"/>
      <c r="N271" s="101"/>
      <c r="O271" s="101"/>
      <c r="P271" s="101"/>
      <c r="Q271" s="101"/>
      <c r="R271" s="109"/>
      <c r="S271" s="101">
        <f t="shared" si="92"/>
        <v>0</v>
      </c>
      <c r="T271" s="94"/>
      <c r="U271" s="94">
        <f t="shared" si="94"/>
        <v>0</v>
      </c>
      <c r="V271" s="94"/>
      <c r="W271" s="94">
        <f t="shared" si="90"/>
        <v>0</v>
      </c>
      <c r="X271" s="145"/>
    </row>
    <row r="272" s="23" customFormat="1" ht="45" customHeight="1" spans="1:24">
      <c r="A272" s="175"/>
      <c r="B272" s="266"/>
      <c r="C272" s="267"/>
      <c r="D272" s="268"/>
      <c r="E272" s="198"/>
      <c r="F272" s="195"/>
      <c r="G272" s="269"/>
      <c r="H272" s="270"/>
      <c r="I272" s="109"/>
      <c r="J272" s="109"/>
      <c r="K272" s="101">
        <f t="shared" si="91"/>
        <v>0</v>
      </c>
      <c r="L272" s="101"/>
      <c r="M272" s="101"/>
      <c r="N272" s="101"/>
      <c r="O272" s="101"/>
      <c r="P272" s="101"/>
      <c r="Q272" s="101"/>
      <c r="R272" s="109"/>
      <c r="S272" s="101">
        <f t="shared" si="92"/>
        <v>0</v>
      </c>
      <c r="T272" s="94"/>
      <c r="U272" s="94">
        <f t="shared" si="94"/>
        <v>0</v>
      </c>
      <c r="V272" s="94"/>
      <c r="W272" s="94">
        <f t="shared" si="90"/>
        <v>0</v>
      </c>
      <c r="X272" s="145"/>
    </row>
    <row r="273" s="23" customFormat="1" ht="45" customHeight="1" spans="1:24">
      <c r="A273" s="175"/>
      <c r="B273" s="266"/>
      <c r="C273" s="267"/>
      <c r="D273" s="268"/>
      <c r="E273" s="198"/>
      <c r="F273" s="195"/>
      <c r="G273" s="269"/>
      <c r="H273" s="270"/>
      <c r="I273" s="109"/>
      <c r="J273" s="109"/>
      <c r="K273" s="101">
        <f t="shared" si="91"/>
        <v>0</v>
      </c>
      <c r="L273" s="101"/>
      <c r="M273" s="101"/>
      <c r="N273" s="101"/>
      <c r="O273" s="101"/>
      <c r="P273" s="101"/>
      <c r="Q273" s="101"/>
      <c r="R273" s="109"/>
      <c r="S273" s="101"/>
      <c r="T273" s="94"/>
      <c r="U273" s="94"/>
      <c r="V273" s="94"/>
      <c r="W273" s="94">
        <f t="shared" si="90"/>
        <v>0</v>
      </c>
      <c r="X273" s="145"/>
    </row>
    <row r="274" s="23" customFormat="1" ht="45" customHeight="1" spans="1:24">
      <c r="A274" s="175"/>
      <c r="B274" s="271"/>
      <c r="C274" s="272"/>
      <c r="D274" s="273"/>
      <c r="E274" s="199"/>
      <c r="F274" s="201"/>
      <c r="G274" s="269"/>
      <c r="H274" s="270"/>
      <c r="I274" s="109"/>
      <c r="J274" s="109"/>
      <c r="K274" s="101">
        <f t="shared" si="91"/>
        <v>0</v>
      </c>
      <c r="L274" s="101"/>
      <c r="M274" s="101"/>
      <c r="N274" s="101"/>
      <c r="O274" s="101"/>
      <c r="P274" s="101"/>
      <c r="Q274" s="101"/>
      <c r="R274" s="109"/>
      <c r="S274" s="101"/>
      <c r="T274" s="94"/>
      <c r="U274" s="94"/>
      <c r="V274" s="94"/>
      <c r="W274" s="94">
        <f t="shared" si="90"/>
        <v>0</v>
      </c>
      <c r="X274" s="145"/>
    </row>
    <row r="275" s="23" customFormat="1" ht="45" customHeight="1" spans="1:24">
      <c r="A275" s="317"/>
      <c r="B275" s="263" t="s">
        <v>254</v>
      </c>
      <c r="C275" s="264"/>
      <c r="D275" s="265"/>
      <c r="E275" s="145"/>
      <c r="F275" s="145" t="s">
        <v>295</v>
      </c>
      <c r="G275" s="66" t="s">
        <v>278</v>
      </c>
      <c r="H275" s="145"/>
      <c r="I275" s="94">
        <v>13509.5</v>
      </c>
      <c r="J275" s="94">
        <f>55.45+15.05</f>
        <v>70.5</v>
      </c>
      <c r="K275" s="94">
        <f t="shared" ref="K275:K280" si="95">J275+I275</f>
        <v>13580</v>
      </c>
      <c r="L275" s="94"/>
      <c r="M275" s="94"/>
      <c r="N275" s="94"/>
      <c r="O275" s="94"/>
      <c r="P275" s="94"/>
      <c r="Q275" s="94"/>
      <c r="R275" s="94"/>
      <c r="S275" s="94">
        <f>K275-L275-M275-N275-O275+R275</f>
        <v>13580</v>
      </c>
      <c r="T275" s="94"/>
      <c r="U275" s="94">
        <v>13580</v>
      </c>
      <c r="V275" s="94"/>
      <c r="W275" s="237">
        <f t="shared" si="90"/>
        <v>0</v>
      </c>
      <c r="X275" s="158"/>
    </row>
    <row r="276" s="23" customFormat="1" ht="45" customHeight="1" spans="1:24">
      <c r="A276" s="317"/>
      <c r="B276" s="266"/>
      <c r="C276" s="267"/>
      <c r="D276" s="268"/>
      <c r="E276" s="145"/>
      <c r="F276" s="103" t="s">
        <v>296</v>
      </c>
      <c r="G276" s="285" t="s">
        <v>468</v>
      </c>
      <c r="H276" s="174"/>
      <c r="I276" s="101">
        <v>15673</v>
      </c>
      <c r="J276" s="101">
        <v>0</v>
      </c>
      <c r="K276" s="101">
        <f>I276+J276</f>
        <v>15673</v>
      </c>
      <c r="L276" s="101"/>
      <c r="M276" s="101"/>
      <c r="N276" s="101"/>
      <c r="O276" s="101"/>
      <c r="P276" s="101"/>
      <c r="Q276" s="101"/>
      <c r="R276" s="101"/>
      <c r="S276" s="101">
        <f t="shared" ref="S276:S278" si="96">K276</f>
        <v>15673</v>
      </c>
      <c r="T276" s="101"/>
      <c r="U276" s="101">
        <f t="shared" ref="U276:U278" si="97">S276</f>
        <v>15673</v>
      </c>
      <c r="V276" s="94"/>
      <c r="W276" s="237">
        <f t="shared" si="90"/>
        <v>0</v>
      </c>
      <c r="X276" s="158"/>
    </row>
    <row r="277" s="23" customFormat="1" ht="45" customHeight="1" spans="1:24">
      <c r="A277" s="317"/>
      <c r="B277" s="271"/>
      <c r="C277" s="272"/>
      <c r="D277" s="273"/>
      <c r="E277" s="145"/>
      <c r="F277" s="105"/>
      <c r="G277" s="285"/>
      <c r="H277" s="174"/>
      <c r="I277" s="101"/>
      <c r="J277" s="101"/>
      <c r="K277" s="101"/>
      <c r="L277" s="101"/>
      <c r="M277" s="101"/>
      <c r="N277" s="101"/>
      <c r="O277" s="101"/>
      <c r="P277" s="101"/>
      <c r="Q277" s="101"/>
      <c r="R277" s="101"/>
      <c r="S277" s="101">
        <f t="shared" si="96"/>
        <v>0</v>
      </c>
      <c r="T277" s="101"/>
      <c r="U277" s="101">
        <f t="shared" si="97"/>
        <v>0</v>
      </c>
      <c r="V277" s="94"/>
      <c r="W277" s="237">
        <f t="shared" si="90"/>
        <v>0</v>
      </c>
      <c r="X277" s="158"/>
    </row>
    <row r="278" s="23" customFormat="1" ht="45" customHeight="1" spans="1:24">
      <c r="A278" s="317"/>
      <c r="B278" s="318" t="s">
        <v>345</v>
      </c>
      <c r="C278" s="275"/>
      <c r="D278" s="276"/>
      <c r="E278" s="145"/>
      <c r="F278" s="103" t="s">
        <v>296</v>
      </c>
      <c r="G278" s="174" t="s">
        <v>337</v>
      </c>
      <c r="H278" s="285" t="s">
        <v>367</v>
      </c>
      <c r="I278" s="101">
        <v>48316.83</v>
      </c>
      <c r="J278" s="101">
        <v>483.17</v>
      </c>
      <c r="K278" s="101">
        <f t="shared" si="95"/>
        <v>48800</v>
      </c>
      <c r="L278" s="101"/>
      <c r="M278" s="101"/>
      <c r="N278" s="101"/>
      <c r="O278" s="101"/>
      <c r="P278" s="101"/>
      <c r="Q278" s="101"/>
      <c r="R278" s="101"/>
      <c r="S278" s="101">
        <f t="shared" si="96"/>
        <v>48800</v>
      </c>
      <c r="T278" s="101"/>
      <c r="U278" s="101">
        <f t="shared" si="97"/>
        <v>48800</v>
      </c>
      <c r="V278" s="94"/>
      <c r="W278" s="237">
        <f t="shared" si="90"/>
        <v>0</v>
      </c>
      <c r="X278" s="158"/>
    </row>
    <row r="279" s="23" customFormat="1" ht="45" customHeight="1" spans="1:24">
      <c r="A279" s="317"/>
      <c r="B279" s="319" t="s">
        <v>495</v>
      </c>
      <c r="C279" s="320"/>
      <c r="D279" s="321"/>
      <c r="E279" s="45"/>
      <c r="F279" s="105"/>
      <c r="G279" s="174" t="s">
        <v>478</v>
      </c>
      <c r="H279" s="322" t="s">
        <v>496</v>
      </c>
      <c r="I279" s="101">
        <v>7722.78</v>
      </c>
      <c r="J279" s="101">
        <v>77.22</v>
      </c>
      <c r="K279" s="101">
        <f t="shared" si="95"/>
        <v>7800</v>
      </c>
      <c r="L279" s="101"/>
      <c r="M279" s="101"/>
      <c r="N279" s="101"/>
      <c r="O279" s="101"/>
      <c r="P279" s="101"/>
      <c r="Q279" s="101"/>
      <c r="R279" s="101"/>
      <c r="S279" s="101"/>
      <c r="T279" s="101"/>
      <c r="U279" s="101"/>
      <c r="V279" s="94"/>
      <c r="W279" s="237"/>
      <c r="X279" s="158"/>
    </row>
    <row r="280" s="23" customFormat="1" ht="45" customHeight="1" spans="1:24">
      <c r="A280" s="317"/>
      <c r="B280" s="323"/>
      <c r="C280" s="324"/>
      <c r="D280" s="325"/>
      <c r="E280" s="49"/>
      <c r="F280" s="105"/>
      <c r="G280" s="326" t="s">
        <v>497</v>
      </c>
      <c r="H280" s="327"/>
      <c r="I280" s="343">
        <v>28015.38</v>
      </c>
      <c r="J280" s="101"/>
      <c r="K280" s="101">
        <f t="shared" si="95"/>
        <v>28015.38</v>
      </c>
      <c r="L280" s="101"/>
      <c r="M280" s="101"/>
      <c r="N280" s="101"/>
      <c r="O280" s="101"/>
      <c r="P280" s="101"/>
      <c r="Q280" s="101"/>
      <c r="R280" s="101"/>
      <c r="S280" s="101"/>
      <c r="T280" s="101"/>
      <c r="U280" s="101"/>
      <c r="V280" s="94"/>
      <c r="W280" s="237"/>
      <c r="X280" s="158"/>
    </row>
    <row r="281" s="23" customFormat="1" ht="45" customHeight="1" spans="1:24">
      <c r="A281" s="317"/>
      <c r="B281" s="323"/>
      <c r="C281" s="324"/>
      <c r="D281" s="325"/>
      <c r="E281" s="49"/>
      <c r="F281" s="105"/>
      <c r="G281" s="174"/>
      <c r="H281" s="285"/>
      <c r="I281" s="101"/>
      <c r="J281" s="101"/>
      <c r="K281" s="101"/>
      <c r="L281" s="101"/>
      <c r="M281" s="101"/>
      <c r="N281" s="101"/>
      <c r="O281" s="101"/>
      <c r="P281" s="101"/>
      <c r="Q281" s="101"/>
      <c r="R281" s="101"/>
      <c r="S281" s="101"/>
      <c r="T281" s="101"/>
      <c r="U281" s="101"/>
      <c r="V281" s="94"/>
      <c r="W281" s="237"/>
      <c r="X281" s="158"/>
    </row>
    <row r="282" s="23" customFormat="1" ht="45" customHeight="1" spans="1:24">
      <c r="A282" s="317"/>
      <c r="B282" s="323"/>
      <c r="C282" s="324"/>
      <c r="D282" s="325"/>
      <c r="E282" s="81"/>
      <c r="F282" s="105"/>
      <c r="G282" s="174"/>
      <c r="H282" s="285"/>
      <c r="I282" s="101"/>
      <c r="J282" s="101"/>
      <c r="K282" s="101"/>
      <c r="L282" s="101"/>
      <c r="M282" s="101"/>
      <c r="N282" s="101"/>
      <c r="O282" s="101"/>
      <c r="P282" s="101"/>
      <c r="Q282" s="101"/>
      <c r="R282" s="101"/>
      <c r="S282" s="101"/>
      <c r="T282" s="101"/>
      <c r="U282" s="101"/>
      <c r="V282" s="94"/>
      <c r="W282" s="237"/>
      <c r="X282" s="158"/>
    </row>
    <row r="283" s="23" customFormat="1" ht="45" customHeight="1" spans="1:24">
      <c r="A283" s="317"/>
      <c r="B283" s="263" t="s">
        <v>253</v>
      </c>
      <c r="C283" s="264"/>
      <c r="D283" s="265"/>
      <c r="E283" s="145"/>
      <c r="F283" s="105"/>
      <c r="G283" s="174" t="s">
        <v>338</v>
      </c>
      <c r="H283" s="285" t="s">
        <v>368</v>
      </c>
      <c r="I283" s="101">
        <v>1166.15</v>
      </c>
      <c r="J283" s="101">
        <f>7.13+3.72</f>
        <v>10.85</v>
      </c>
      <c r="K283" s="101">
        <f t="shared" ref="K283:K286" si="98">J283+I283</f>
        <v>1177</v>
      </c>
      <c r="L283" s="101"/>
      <c r="M283" s="101"/>
      <c r="N283" s="101"/>
      <c r="O283" s="101"/>
      <c r="P283" s="101"/>
      <c r="Q283" s="101"/>
      <c r="R283" s="101"/>
      <c r="S283" s="101">
        <f t="shared" ref="S283:S285" si="99">K283</f>
        <v>1177</v>
      </c>
      <c r="T283" s="101"/>
      <c r="U283" s="101">
        <f t="shared" ref="U283:U285" si="100">S283</f>
        <v>1177</v>
      </c>
      <c r="V283" s="94"/>
      <c r="W283" s="237">
        <f t="shared" ref="W283:W285" si="101">S283+T283-U283-V283</f>
        <v>0</v>
      </c>
      <c r="X283" s="158"/>
    </row>
    <row r="284" s="23" customFormat="1" ht="45" customHeight="1" spans="1:24">
      <c r="A284" s="317"/>
      <c r="B284" s="266"/>
      <c r="C284" s="267"/>
      <c r="D284" s="268"/>
      <c r="E284" s="145"/>
      <c r="F284" s="105"/>
      <c r="G284" s="174" t="s">
        <v>339</v>
      </c>
      <c r="H284" s="285" t="s">
        <v>368</v>
      </c>
      <c r="I284" s="101">
        <v>1523.66</v>
      </c>
      <c r="J284" s="101">
        <f>1453.13-1423.66</f>
        <v>29.47</v>
      </c>
      <c r="K284" s="101">
        <f>I284+J284</f>
        <v>1553.13</v>
      </c>
      <c r="L284" s="101"/>
      <c r="M284" s="101"/>
      <c r="N284" s="101"/>
      <c r="O284" s="101"/>
      <c r="P284" s="101"/>
      <c r="Q284" s="101"/>
      <c r="R284" s="101"/>
      <c r="S284" s="101">
        <f t="shared" si="99"/>
        <v>1553.13</v>
      </c>
      <c r="T284" s="101"/>
      <c r="U284" s="101">
        <f t="shared" si="100"/>
        <v>1553.13</v>
      </c>
      <c r="V284" s="94"/>
      <c r="W284" s="237">
        <f t="shared" si="101"/>
        <v>0</v>
      </c>
      <c r="X284" s="158"/>
    </row>
    <row r="285" s="23" customFormat="1" ht="45" customHeight="1" spans="1:24">
      <c r="A285" s="317"/>
      <c r="B285" s="266"/>
      <c r="C285" s="267"/>
      <c r="D285" s="268"/>
      <c r="E285" s="145"/>
      <c r="F285" s="105"/>
      <c r="G285" s="269" t="s">
        <v>422</v>
      </c>
      <c r="H285" s="285" t="s">
        <v>368</v>
      </c>
      <c r="I285" s="109">
        <v>18807.16</v>
      </c>
      <c r="J285" s="109">
        <f>816.26-775.99+799.49-761.14+3135.89-3002.08+846.74</f>
        <v>1059.17</v>
      </c>
      <c r="K285" s="101">
        <f t="shared" si="98"/>
        <v>19866.33</v>
      </c>
      <c r="L285" s="101"/>
      <c r="M285" s="101"/>
      <c r="N285" s="101"/>
      <c r="O285" s="101"/>
      <c r="P285" s="101"/>
      <c r="Q285" s="101"/>
      <c r="R285" s="101"/>
      <c r="S285" s="101">
        <f t="shared" si="99"/>
        <v>19866.33</v>
      </c>
      <c r="T285" s="101"/>
      <c r="U285" s="101">
        <f t="shared" si="100"/>
        <v>19866.33</v>
      </c>
      <c r="V285" s="94"/>
      <c r="W285" s="237">
        <f t="shared" si="101"/>
        <v>0</v>
      </c>
      <c r="X285" s="158"/>
    </row>
    <row r="286" s="23" customFormat="1" ht="45" customHeight="1" spans="1:24">
      <c r="A286" s="317"/>
      <c r="B286" s="266"/>
      <c r="C286" s="267"/>
      <c r="D286" s="268"/>
      <c r="E286" s="145"/>
      <c r="F286" s="105"/>
      <c r="G286" s="174" t="s">
        <v>478</v>
      </c>
      <c r="H286" s="285" t="s">
        <v>368</v>
      </c>
      <c r="I286" s="101">
        <v>3212.85</v>
      </c>
      <c r="J286" s="109">
        <f>818.67-780.75+945.25-903.82+389-370.66+1220-1157.62</f>
        <v>160.07</v>
      </c>
      <c r="K286" s="101">
        <f t="shared" si="98"/>
        <v>3372.92</v>
      </c>
      <c r="L286" s="101"/>
      <c r="M286" s="101"/>
      <c r="N286" s="101"/>
      <c r="O286" s="101"/>
      <c r="P286" s="101"/>
      <c r="Q286" s="101"/>
      <c r="R286" s="101"/>
      <c r="S286" s="101"/>
      <c r="T286" s="101"/>
      <c r="U286" s="101"/>
      <c r="V286" s="94"/>
      <c r="W286" s="237"/>
      <c r="X286" s="158"/>
    </row>
    <row r="287" s="23" customFormat="1" ht="45" customHeight="1" spans="1:24">
      <c r="A287" s="317"/>
      <c r="B287" s="266"/>
      <c r="C287" s="267"/>
      <c r="D287" s="268"/>
      <c r="E287" s="145"/>
      <c r="F287" s="105"/>
      <c r="G287" s="269"/>
      <c r="H287" s="285"/>
      <c r="I287" s="109"/>
      <c r="J287" s="109"/>
      <c r="K287" s="101"/>
      <c r="L287" s="101"/>
      <c r="M287" s="101"/>
      <c r="N287" s="101"/>
      <c r="O287" s="101"/>
      <c r="P287" s="101"/>
      <c r="Q287" s="101"/>
      <c r="R287" s="101"/>
      <c r="S287" s="101"/>
      <c r="T287" s="101"/>
      <c r="U287" s="101"/>
      <c r="V287" s="94"/>
      <c r="W287" s="237"/>
      <c r="X287" s="158"/>
    </row>
    <row r="288" s="23" customFormat="1" ht="45" customHeight="1" spans="1:24">
      <c r="A288" s="317"/>
      <c r="B288" s="266"/>
      <c r="C288" s="267"/>
      <c r="D288" s="268"/>
      <c r="E288" s="145"/>
      <c r="F288" s="105"/>
      <c r="G288" s="269"/>
      <c r="H288" s="285"/>
      <c r="I288" s="109"/>
      <c r="J288" s="109"/>
      <c r="K288" s="101"/>
      <c r="L288" s="101"/>
      <c r="M288" s="101"/>
      <c r="N288" s="101"/>
      <c r="O288" s="101"/>
      <c r="P288" s="101"/>
      <c r="Q288" s="101"/>
      <c r="R288" s="101"/>
      <c r="S288" s="101"/>
      <c r="T288" s="101"/>
      <c r="U288" s="101"/>
      <c r="V288" s="94"/>
      <c r="W288" s="237"/>
      <c r="X288" s="158"/>
    </row>
    <row r="289" s="23" customFormat="1" ht="45" customHeight="1" spans="1:24">
      <c r="A289" s="317"/>
      <c r="B289" s="271"/>
      <c r="C289" s="272"/>
      <c r="D289" s="273"/>
      <c r="E289" s="145"/>
      <c r="F289" s="106"/>
      <c r="G289" s="174"/>
      <c r="H289" s="285"/>
      <c r="I289" s="101"/>
      <c r="J289" s="101"/>
      <c r="K289" s="101"/>
      <c r="L289" s="101"/>
      <c r="M289" s="101"/>
      <c r="N289" s="101"/>
      <c r="O289" s="101"/>
      <c r="P289" s="101"/>
      <c r="Q289" s="101"/>
      <c r="R289" s="101"/>
      <c r="S289" s="101">
        <f>K289</f>
        <v>0</v>
      </c>
      <c r="T289" s="101"/>
      <c r="U289" s="101">
        <f>S289</f>
        <v>0</v>
      </c>
      <c r="V289" s="94"/>
      <c r="W289" s="237">
        <f>S289+T289-U289-V289</f>
        <v>0</v>
      </c>
      <c r="X289" s="158"/>
    </row>
    <row r="290" s="20" customFormat="1" ht="36" customHeight="1" spans="1:24">
      <c r="A290" s="277" t="s">
        <v>323</v>
      </c>
      <c r="B290" s="277"/>
      <c r="C290" s="277"/>
      <c r="D290" s="277"/>
      <c r="E290" s="278"/>
      <c r="F290" s="278"/>
      <c r="G290" s="243"/>
      <c r="H290" s="243" t="s">
        <v>316</v>
      </c>
      <c r="I290" s="300">
        <f t="shared" ref="I290:K290" si="102">I275+I263+I236+I237+I238+I239+I241</f>
        <v>562197.05</v>
      </c>
      <c r="J290" s="300">
        <f t="shared" si="102"/>
        <v>32662.95</v>
      </c>
      <c r="K290" s="300">
        <f t="shared" si="102"/>
        <v>594860</v>
      </c>
      <c r="L290" s="300">
        <f t="shared" ref="L290:R290" si="103">SUM(L236:L263,L275)-L240</f>
        <v>0</v>
      </c>
      <c r="M290" s="300">
        <f t="shared" si="103"/>
        <v>0</v>
      </c>
      <c r="N290" s="300">
        <f t="shared" si="103"/>
        <v>0</v>
      </c>
      <c r="O290" s="300">
        <f t="shared" si="103"/>
        <v>0</v>
      </c>
      <c r="P290" s="300">
        <f t="shared" si="103"/>
        <v>0</v>
      </c>
      <c r="Q290" s="300">
        <f t="shared" si="103"/>
        <v>0</v>
      </c>
      <c r="R290" s="300">
        <f t="shared" si="103"/>
        <v>0</v>
      </c>
      <c r="S290" s="300">
        <f>SUM(S236:S263,S275)-S240-S242</f>
        <v>594860</v>
      </c>
      <c r="T290" s="300">
        <f t="shared" ref="T290:V290" si="104">SUM(T236:T263,T275)</f>
        <v>0</v>
      </c>
      <c r="U290" s="300">
        <f t="shared" si="104"/>
        <v>618660</v>
      </c>
      <c r="V290" s="300">
        <f t="shared" si="104"/>
        <v>0</v>
      </c>
      <c r="W290" s="300">
        <f>SUM(W236:W263,W275)-W242</f>
        <v>0</v>
      </c>
      <c r="X290" s="307"/>
    </row>
    <row r="291" s="20" customFormat="1" ht="36" customHeight="1" spans="1:24">
      <c r="A291" s="277"/>
      <c r="B291" s="277"/>
      <c r="C291" s="277"/>
      <c r="D291" s="277"/>
      <c r="E291" s="278"/>
      <c r="F291" s="278"/>
      <c r="G291" s="212"/>
      <c r="H291" s="212" t="s">
        <v>317</v>
      </c>
      <c r="I291" s="301">
        <f t="shared" ref="I291:K291" si="105">SUM(I276:I289,I264:I274,I242:I262,I240)</f>
        <v>47131691.39</v>
      </c>
      <c r="J291" s="301">
        <f t="shared" si="105"/>
        <v>4471535.6</v>
      </c>
      <c r="K291" s="301">
        <f t="shared" si="105"/>
        <v>51603226.99</v>
      </c>
      <c r="L291" s="301">
        <f t="shared" ref="L291:U291" si="106">L264+L265+L278+L266+L283+L240</f>
        <v>0</v>
      </c>
      <c r="M291" s="301">
        <f t="shared" si="106"/>
        <v>0</v>
      </c>
      <c r="N291" s="301">
        <f t="shared" si="106"/>
        <v>0</v>
      </c>
      <c r="O291" s="301">
        <f t="shared" si="106"/>
        <v>0</v>
      </c>
      <c r="P291" s="301">
        <f t="shared" si="106"/>
        <v>0</v>
      </c>
      <c r="Q291" s="301">
        <f t="shared" si="106"/>
        <v>0</v>
      </c>
      <c r="R291" s="301">
        <f t="shared" si="106"/>
        <v>0</v>
      </c>
      <c r="S291" s="301">
        <f t="shared" si="106"/>
        <v>80078</v>
      </c>
      <c r="T291" s="301">
        <f t="shared" si="106"/>
        <v>0</v>
      </c>
      <c r="U291" s="301">
        <f t="shared" si="106"/>
        <v>80078</v>
      </c>
      <c r="V291" s="301">
        <f>V264</f>
        <v>0</v>
      </c>
      <c r="W291" s="301">
        <f>W242</f>
        <v>250000</v>
      </c>
      <c r="X291" s="308"/>
    </row>
    <row r="292" s="20" customFormat="1" ht="36" customHeight="1" spans="1:24">
      <c r="A292" s="277"/>
      <c r="B292" s="277"/>
      <c r="C292" s="277"/>
      <c r="D292" s="277"/>
      <c r="E292" s="278"/>
      <c r="F292" s="328"/>
      <c r="G292" s="282"/>
      <c r="H292" s="282"/>
      <c r="I292" s="344">
        <v>36148445.24</v>
      </c>
      <c r="J292" s="344">
        <f>3796460.16+620380.75+77.22</f>
        <v>4416918.13</v>
      </c>
      <c r="K292" s="344">
        <f>J292+I292</f>
        <v>40565363.37</v>
      </c>
      <c r="L292" s="344"/>
      <c r="M292" s="344"/>
      <c r="N292" s="344"/>
      <c r="O292" s="345"/>
      <c r="P292" s="345"/>
      <c r="Q292" s="344"/>
      <c r="R292" s="344"/>
      <c r="S292" s="344"/>
      <c r="T292" s="344"/>
      <c r="U292" s="344"/>
      <c r="V292" s="344"/>
      <c r="W292" s="344"/>
      <c r="X292" s="358"/>
    </row>
    <row r="293" s="20" customFormat="1" ht="36" customHeight="1" spans="1:24">
      <c r="A293" s="277"/>
      <c r="B293" s="277"/>
      <c r="C293" s="277"/>
      <c r="D293" s="277"/>
      <c r="E293" s="278"/>
      <c r="F293" s="328"/>
      <c r="G293" s="282"/>
      <c r="H293" s="282"/>
      <c r="I293" s="344">
        <f t="shared" ref="I293:K293" si="107">I291+I290+I292</f>
        <v>83842333.68</v>
      </c>
      <c r="J293" s="344">
        <f t="shared" si="107"/>
        <v>8921116.68</v>
      </c>
      <c r="K293" s="344">
        <f t="shared" si="107"/>
        <v>92763450.36</v>
      </c>
      <c r="L293" s="344">
        <f>L291+L290</f>
        <v>0</v>
      </c>
      <c r="M293" s="344"/>
      <c r="N293" s="344"/>
      <c r="O293" s="345"/>
      <c r="P293" s="345"/>
      <c r="Q293" s="344"/>
      <c r="R293" s="344"/>
      <c r="S293" s="344"/>
      <c r="T293" s="344"/>
      <c r="U293" s="344"/>
      <c r="V293" s="344"/>
      <c r="W293" s="344">
        <f>W291+W290</f>
        <v>250000</v>
      </c>
      <c r="X293" s="358"/>
    </row>
    <row r="294" s="20" customFormat="1" ht="36" customHeight="1" spans="1:24">
      <c r="A294" s="277" t="s">
        <v>280</v>
      </c>
      <c r="B294" s="277"/>
      <c r="C294" s="277"/>
      <c r="D294" s="277"/>
      <c r="E294" s="278"/>
      <c r="F294" s="328"/>
      <c r="G294" s="329">
        <f>287000000+17000000+599600</f>
        <v>304599600</v>
      </c>
      <c r="H294" s="329" t="s">
        <v>316</v>
      </c>
      <c r="I294" s="346">
        <f t="shared" ref="I294:N294" si="108">I290+I231+I193</f>
        <v>276211639.289057</v>
      </c>
      <c r="J294" s="346">
        <f t="shared" si="108"/>
        <v>27586932.85</v>
      </c>
      <c r="K294" s="346">
        <f t="shared" si="108"/>
        <v>303798572.139057</v>
      </c>
      <c r="L294" s="346">
        <f t="shared" si="108"/>
        <v>2208694.43</v>
      </c>
      <c r="M294" s="346">
        <f t="shared" si="108"/>
        <v>379417.19</v>
      </c>
      <c r="N294" s="346">
        <f t="shared" si="108"/>
        <v>0</v>
      </c>
      <c r="O294" s="347">
        <f>O290+O231+O193+P290+Q290+P231+Q231+P193+Q193</f>
        <v>689308.32</v>
      </c>
      <c r="P294" s="347"/>
      <c r="Q294" s="329"/>
      <c r="R294" s="346">
        <f t="shared" ref="R294:W294" si="109">R290+R231+R193</f>
        <v>116593.5</v>
      </c>
      <c r="S294" s="346">
        <f t="shared" si="109"/>
        <v>299133186.239057</v>
      </c>
      <c r="T294" s="346">
        <f t="shared" si="109"/>
        <v>1855000</v>
      </c>
      <c r="U294" s="346">
        <f t="shared" si="109"/>
        <v>267044735.34</v>
      </c>
      <c r="V294" s="346">
        <f t="shared" si="109"/>
        <v>1855000</v>
      </c>
      <c r="W294" s="346">
        <f t="shared" si="109"/>
        <v>31761810.3590566</v>
      </c>
      <c r="X294" s="329"/>
    </row>
    <row r="295" ht="26" customHeight="1" spans="1:24">
      <c r="A295" s="277"/>
      <c r="B295" s="277"/>
      <c r="C295" s="277"/>
      <c r="D295" s="277"/>
      <c r="E295" s="278"/>
      <c r="F295" s="330"/>
      <c r="G295" s="212"/>
      <c r="H295" s="212" t="s">
        <v>317</v>
      </c>
      <c r="I295" s="301">
        <f t="shared" ref="I295:O295" si="110">I291+I232+I194</f>
        <v>114910846.11</v>
      </c>
      <c r="J295" s="301">
        <f t="shared" si="110"/>
        <v>9273877.32</v>
      </c>
      <c r="K295" s="301">
        <f t="shared" si="110"/>
        <v>124184723.43</v>
      </c>
      <c r="L295" s="301">
        <f t="shared" si="110"/>
        <v>225405</v>
      </c>
      <c r="M295" s="301">
        <f t="shared" si="110"/>
        <v>0</v>
      </c>
      <c r="N295" s="301">
        <f t="shared" si="110"/>
        <v>0</v>
      </c>
      <c r="O295" s="301">
        <f t="shared" si="110"/>
        <v>201576.1</v>
      </c>
      <c r="P295" s="301"/>
      <c r="Q295" s="301"/>
      <c r="R295" s="301">
        <f t="shared" ref="R295:W295" si="111">R291+R232+R194</f>
        <v>-116593.5</v>
      </c>
      <c r="S295" s="301">
        <f t="shared" si="111"/>
        <v>24040460.25</v>
      </c>
      <c r="T295" s="301">
        <f t="shared" si="111"/>
        <v>0</v>
      </c>
      <c r="U295" s="301">
        <f t="shared" si="111"/>
        <v>33457189.4</v>
      </c>
      <c r="V295" s="301">
        <f t="shared" si="111"/>
        <v>2681000</v>
      </c>
      <c r="W295" s="301">
        <f t="shared" si="111"/>
        <v>-9102043.83</v>
      </c>
      <c r="X295" s="359"/>
    </row>
    <row r="296" ht="26" customHeight="1" spans="1:24">
      <c r="A296" s="277"/>
      <c r="B296" s="277"/>
      <c r="C296" s="277"/>
      <c r="D296" s="277"/>
      <c r="E296" s="278"/>
      <c r="F296" s="330"/>
      <c r="G296" s="212"/>
      <c r="H296" s="212" t="s">
        <v>469</v>
      </c>
      <c r="I296" s="301"/>
      <c r="J296" s="301"/>
      <c r="K296" s="301"/>
      <c r="L296" s="301"/>
      <c r="M296" s="301"/>
      <c r="N296" s="301"/>
      <c r="O296" s="348"/>
      <c r="P296" s="345"/>
      <c r="Q296" s="344"/>
      <c r="R296" s="301"/>
      <c r="S296" s="301"/>
      <c r="T296" s="301"/>
      <c r="U296" s="301"/>
      <c r="V296" s="360"/>
      <c r="W296" s="360"/>
      <c r="X296" s="361"/>
    </row>
    <row r="297" ht="38" customHeight="1" spans="1:24">
      <c r="A297" s="277"/>
      <c r="B297" s="277"/>
      <c r="C297" s="277"/>
      <c r="D297" s="277"/>
      <c r="E297" s="278"/>
      <c r="F297" s="331"/>
      <c r="G297" s="196"/>
      <c r="H297" s="37" t="s">
        <v>346</v>
      </c>
      <c r="I297" s="349">
        <f>I295+I294-I296</f>
        <v>391122485.399057</v>
      </c>
      <c r="J297" s="349">
        <f t="shared" ref="J297:O297" si="112">J295+J294</f>
        <v>36860810.17</v>
      </c>
      <c r="K297" s="349">
        <f t="shared" si="112"/>
        <v>427983295.569057</v>
      </c>
      <c r="L297" s="350">
        <f t="shared" si="112"/>
        <v>2434099.43</v>
      </c>
      <c r="M297" s="350">
        <f t="shared" si="112"/>
        <v>379417.19</v>
      </c>
      <c r="N297" s="350">
        <f t="shared" si="112"/>
        <v>0</v>
      </c>
      <c r="O297" s="351">
        <f t="shared" si="112"/>
        <v>890884.42</v>
      </c>
      <c r="P297" s="352"/>
      <c r="Q297" s="362"/>
      <c r="R297" s="349">
        <f t="shared" ref="R297:W297" si="113">R295+R294</f>
        <v>0</v>
      </c>
      <c r="S297" s="349">
        <f t="shared" si="113"/>
        <v>323173646.489057</v>
      </c>
      <c r="T297" s="349">
        <f t="shared" si="113"/>
        <v>1855000</v>
      </c>
      <c r="U297" s="349">
        <f t="shared" si="113"/>
        <v>300501924.74</v>
      </c>
      <c r="V297" s="363">
        <f t="shared" si="113"/>
        <v>4536000</v>
      </c>
      <c r="W297" s="364">
        <f t="shared" si="113"/>
        <v>22659766.5290566</v>
      </c>
      <c r="X297" s="365"/>
    </row>
    <row r="298" ht="42" customHeight="1" spans="9:24">
      <c r="I298" s="29">
        <v>282809197.78</v>
      </c>
      <c r="L298" s="353">
        <f>L297+M297+N297+O297</f>
        <v>3704401.04</v>
      </c>
      <c r="M298" s="353"/>
      <c r="N298" s="353"/>
      <c r="O298" s="353"/>
      <c r="P298" s="353"/>
      <c r="Q298" s="353"/>
      <c r="R298" s="29"/>
      <c r="S298" s="366"/>
      <c r="T298" s="367"/>
      <c r="U298" s="29"/>
      <c r="V298" s="368"/>
      <c r="W298" s="368">
        <f>W129+W127</f>
        <v>524460.25</v>
      </c>
      <c r="X298" s="369"/>
    </row>
    <row r="299" ht="40" customHeight="1" spans="8:24">
      <c r="H299" s="332" t="s">
        <v>369</v>
      </c>
      <c r="I299" s="354">
        <v>276211639.289057</v>
      </c>
      <c r="J299" s="354">
        <v>27586932.8509434</v>
      </c>
      <c r="K299" s="354">
        <v>303798572.14</v>
      </c>
      <c r="L299" s="29"/>
      <c r="M299" s="29"/>
      <c r="N299" s="29"/>
      <c r="O299" s="29"/>
      <c r="P299" s="29"/>
      <c r="Q299" s="29"/>
      <c r="R299" s="29"/>
      <c r="S299" s="367"/>
      <c r="T299" s="367"/>
      <c r="U299" s="29"/>
      <c r="V299" s="368"/>
      <c r="W299" s="370">
        <f>W297-W298</f>
        <v>22135306.2790566</v>
      </c>
      <c r="X299" s="369"/>
    </row>
    <row r="300" spans="9:24">
      <c r="I300" s="29">
        <f t="shared" ref="I300:K300" si="114">I294-I299</f>
        <v>0</v>
      </c>
      <c r="J300" s="29">
        <f t="shared" si="114"/>
        <v>-0.000943399965763092</v>
      </c>
      <c r="K300" s="29">
        <f t="shared" si="114"/>
        <v>-0.000943481922149658</v>
      </c>
      <c r="W300" s="368"/>
      <c r="X300" s="371"/>
    </row>
    <row r="301" spans="23:24">
      <c r="W301" s="368"/>
      <c r="X301" s="371"/>
    </row>
    <row r="302" ht="44" customHeight="1" spans="7:23">
      <c r="G302" s="333"/>
      <c r="H302" s="332" t="s">
        <v>370</v>
      </c>
      <c r="I302" s="354">
        <f>25279064.57+25579568.94+23276.43+65046236.89</f>
        <v>115928146.83</v>
      </c>
      <c r="J302" s="354">
        <f>4101010.42-14256.7+5187533.92</f>
        <v>9274287.64</v>
      </c>
      <c r="K302" s="354">
        <f>J302+I302</f>
        <v>125202434.47</v>
      </c>
      <c r="M302" s="355"/>
      <c r="N302" s="355"/>
      <c r="Q302" s="29"/>
      <c r="R302" s="29"/>
      <c r="S302" s="367"/>
      <c r="U302" s="355"/>
      <c r="W302" s="368">
        <v>22135306.28</v>
      </c>
    </row>
    <row r="303" ht="35" customHeight="1" spans="7:23">
      <c r="G303" s="333"/>
      <c r="Q303" s="29"/>
      <c r="R303" s="29"/>
      <c r="S303" s="367"/>
      <c r="W303" s="368">
        <v>2605542.41</v>
      </c>
    </row>
    <row r="304" spans="7:23">
      <c r="G304" s="333"/>
      <c r="Q304" s="29"/>
      <c r="R304" s="29"/>
      <c r="S304" s="367"/>
      <c r="W304" s="368"/>
    </row>
    <row r="305" ht="27" customHeight="1" spans="9:23">
      <c r="I305" s="356">
        <f>I302-I295-954776.19-I367</f>
        <v>1.3766111806035e-8</v>
      </c>
      <c r="J305" s="29">
        <f>J302-J295-J367</f>
        <v>2.97973201668356e-10</v>
      </c>
      <c r="K305" s="356">
        <f>K302-K295-954776.19-K367</f>
        <v>6.61384547129273e-9</v>
      </c>
      <c r="L305" s="355"/>
      <c r="M305" s="355"/>
      <c r="Q305" s="29"/>
      <c r="R305" s="29"/>
      <c r="S305" s="367"/>
      <c r="W305" s="368"/>
    </row>
    <row r="306" spans="15:23">
      <c r="O306" s="355"/>
      <c r="W306" s="368">
        <f>W299-W302</f>
        <v>-0.00094340369105339</v>
      </c>
    </row>
    <row r="307" spans="13:23">
      <c r="M307" s="355"/>
      <c r="N307" s="355"/>
      <c r="W307" s="368"/>
    </row>
    <row r="308" spans="23:23">
      <c r="W308" s="368"/>
    </row>
    <row r="309" spans="23:23">
      <c r="W309" s="368"/>
    </row>
    <row r="310" s="15" customFormat="1" ht="34" customHeight="1" spans="1:24">
      <c r="A310" s="36" t="s">
        <v>1</v>
      </c>
      <c r="B310" s="36" t="s">
        <v>2</v>
      </c>
      <c r="C310" s="36" t="s">
        <v>3</v>
      </c>
      <c r="D310" s="36" t="s">
        <v>4</v>
      </c>
      <c r="E310" s="37" t="s">
        <v>5</v>
      </c>
      <c r="F310" s="37" t="s">
        <v>6</v>
      </c>
      <c r="G310" s="36" t="s">
        <v>7</v>
      </c>
      <c r="H310" s="36" t="s">
        <v>8</v>
      </c>
      <c r="I310" s="86" t="s">
        <v>285</v>
      </c>
      <c r="J310" s="87"/>
      <c r="K310" s="87"/>
      <c r="L310" s="88" t="s">
        <v>286</v>
      </c>
      <c r="M310" s="89"/>
      <c r="N310" s="89"/>
      <c r="O310" s="89"/>
      <c r="P310" s="89"/>
      <c r="Q310" s="89"/>
      <c r="R310" s="122" t="s">
        <v>11</v>
      </c>
      <c r="S310" s="123" t="s">
        <v>12</v>
      </c>
      <c r="T310" s="124"/>
      <c r="U310" s="123" t="s">
        <v>287</v>
      </c>
      <c r="V310" s="124"/>
      <c r="W310" s="122" t="s">
        <v>14</v>
      </c>
      <c r="X310" s="122" t="s">
        <v>289</v>
      </c>
    </row>
    <row r="311" s="16" customFormat="1" ht="32" customHeight="1" spans="1:24">
      <c r="A311" s="36"/>
      <c r="B311" s="36"/>
      <c r="C311" s="36"/>
      <c r="D311" s="36"/>
      <c r="E311" s="37"/>
      <c r="F311" s="37"/>
      <c r="G311" s="36"/>
      <c r="H311" s="36"/>
      <c r="I311" s="36" t="s">
        <v>18</v>
      </c>
      <c r="J311" s="36" t="s">
        <v>19</v>
      </c>
      <c r="K311" s="36" t="s">
        <v>20</v>
      </c>
      <c r="L311" s="36" t="s">
        <v>290</v>
      </c>
      <c r="M311" s="36" t="s">
        <v>291</v>
      </c>
      <c r="N311" s="36" t="s">
        <v>23</v>
      </c>
      <c r="O311" s="90" t="s">
        <v>292</v>
      </c>
      <c r="P311" s="91"/>
      <c r="Q311" s="125"/>
      <c r="R311" s="126"/>
      <c r="S311" s="127" t="s">
        <v>26</v>
      </c>
      <c r="T311" s="92" t="s">
        <v>27</v>
      </c>
      <c r="U311" s="127" t="s">
        <v>28</v>
      </c>
      <c r="V311" s="127" t="s">
        <v>27</v>
      </c>
      <c r="W311" s="126"/>
      <c r="X311" s="126"/>
    </row>
    <row r="312" s="16" customFormat="1" ht="44" customHeight="1" spans="1:24">
      <c r="A312" s="36"/>
      <c r="B312" s="36"/>
      <c r="C312" s="36"/>
      <c r="D312" s="36"/>
      <c r="E312" s="37"/>
      <c r="F312" s="37"/>
      <c r="G312" s="36"/>
      <c r="H312" s="36"/>
      <c r="I312" s="36"/>
      <c r="J312" s="36"/>
      <c r="K312" s="36"/>
      <c r="L312" s="36"/>
      <c r="M312" s="36"/>
      <c r="N312" s="36"/>
      <c r="O312" s="92" t="s">
        <v>293</v>
      </c>
      <c r="P312" s="92" t="s">
        <v>294</v>
      </c>
      <c r="Q312" s="92" t="s">
        <v>25</v>
      </c>
      <c r="R312" s="126"/>
      <c r="S312" s="127"/>
      <c r="T312" s="125"/>
      <c r="U312" s="128"/>
      <c r="V312" s="128"/>
      <c r="W312" s="129"/>
      <c r="X312" s="129"/>
    </row>
    <row r="313" s="1" customFormat="1" ht="36" customHeight="1" spans="1:24">
      <c r="A313" s="216" t="s">
        <v>397</v>
      </c>
      <c r="B313" s="334"/>
      <c r="C313" s="334"/>
      <c r="D313" s="334"/>
      <c r="E313" s="335"/>
      <c r="F313" s="335"/>
      <c r="G313" s="334"/>
      <c r="H313" s="336"/>
      <c r="I313" s="94"/>
      <c r="J313" s="94"/>
      <c r="K313" s="94"/>
      <c r="L313" s="94"/>
      <c r="M313" s="94"/>
      <c r="N313" s="94"/>
      <c r="O313" s="94"/>
      <c r="P313" s="94"/>
      <c r="Q313" s="94"/>
      <c r="R313" s="94"/>
      <c r="S313" s="94">
        <f>K313-L313-M313-N313-O313+R313</f>
        <v>0</v>
      </c>
      <c r="T313" s="94"/>
      <c r="U313" s="94"/>
      <c r="V313" s="94"/>
      <c r="W313" s="94"/>
      <c r="X313" s="145"/>
    </row>
    <row r="314" s="22" customFormat="1" ht="13.9" spans="1:235">
      <c r="A314" s="337" t="s">
        <v>398</v>
      </c>
      <c r="B314" s="338"/>
      <c r="C314" s="338"/>
      <c r="D314" s="338"/>
      <c r="E314" s="339"/>
      <c r="F314" s="103" t="s">
        <v>296</v>
      </c>
      <c r="G314" s="174" t="s">
        <v>339</v>
      </c>
      <c r="H314" s="285" t="s">
        <v>399</v>
      </c>
      <c r="I314" s="94">
        <v>1180</v>
      </c>
      <c r="J314" s="94"/>
      <c r="K314" s="94">
        <f>J314+I314</f>
        <v>1180</v>
      </c>
      <c r="L314" s="237"/>
      <c r="M314" s="237"/>
      <c r="N314" s="237"/>
      <c r="O314" s="237"/>
      <c r="P314" s="237"/>
      <c r="Q314" s="237"/>
      <c r="R314" s="237"/>
      <c r="S314" s="94">
        <f>K314</f>
        <v>1180</v>
      </c>
      <c r="T314" s="94"/>
      <c r="U314" s="237">
        <f>S314</f>
        <v>1180</v>
      </c>
      <c r="V314" s="237"/>
      <c r="W314" s="237">
        <f>S314+T314-U314-V314</f>
        <v>0</v>
      </c>
      <c r="X314" s="158"/>
      <c r="Y314" s="311"/>
      <c r="Z314" s="311"/>
      <c r="AA314" s="311"/>
      <c r="AB314" s="311"/>
      <c r="AC314" s="311"/>
      <c r="AD314" s="311"/>
      <c r="AE314" s="311"/>
      <c r="AF314" s="311"/>
      <c r="AG314" s="311"/>
      <c r="AH314" s="311"/>
      <c r="AI314" s="311"/>
      <c r="AJ314" s="311"/>
      <c r="AK314" s="311"/>
      <c r="AL314" s="311"/>
      <c r="AM314" s="311"/>
      <c r="AN314" s="311"/>
      <c r="AO314" s="311"/>
      <c r="AP314" s="311"/>
      <c r="AQ314" s="311"/>
      <c r="AR314" s="311"/>
      <c r="AS314" s="311"/>
      <c r="AT314" s="311"/>
      <c r="AU314" s="311"/>
      <c r="AV314" s="311"/>
      <c r="AW314" s="311"/>
      <c r="AX314" s="311"/>
      <c r="AY314" s="311"/>
      <c r="AZ314" s="311"/>
      <c r="BA314" s="311"/>
      <c r="BB314" s="311"/>
      <c r="BC314" s="311"/>
      <c r="BD314" s="311"/>
      <c r="BE314" s="311"/>
      <c r="BF314" s="311"/>
      <c r="BG314" s="311"/>
      <c r="BH314" s="311"/>
      <c r="BI314" s="311"/>
      <c r="BJ314" s="311"/>
      <c r="BK314" s="311"/>
      <c r="BL314" s="311"/>
      <c r="BM314" s="311"/>
      <c r="BN314" s="311"/>
      <c r="BO314" s="311"/>
      <c r="BP314" s="311"/>
      <c r="BQ314" s="311"/>
      <c r="BR314" s="311"/>
      <c r="BS314" s="311"/>
      <c r="BT314" s="311"/>
      <c r="BU314" s="311"/>
      <c r="BV314" s="311"/>
      <c r="BW314" s="311"/>
      <c r="BX314" s="311"/>
      <c r="BY314" s="311"/>
      <c r="BZ314" s="311"/>
      <c r="CA314" s="311"/>
      <c r="CB314" s="311"/>
      <c r="CC314" s="311"/>
      <c r="CD314" s="311"/>
      <c r="CE314" s="311"/>
      <c r="CF314" s="311"/>
      <c r="CG314" s="311"/>
      <c r="CH314" s="311"/>
      <c r="CI314" s="311"/>
      <c r="CJ314" s="311"/>
      <c r="CK314" s="311"/>
      <c r="CL314" s="311"/>
      <c r="CM314" s="311"/>
      <c r="CN314" s="311"/>
      <c r="CO314" s="311"/>
      <c r="CP314" s="311"/>
      <c r="CQ314" s="311"/>
      <c r="CR314" s="311"/>
      <c r="CS314" s="311"/>
      <c r="CT314" s="311"/>
      <c r="CU314" s="311"/>
      <c r="CV314" s="311"/>
      <c r="CW314" s="311"/>
      <c r="CX314" s="311"/>
      <c r="CY314" s="311"/>
      <c r="CZ314" s="311"/>
      <c r="DA314" s="311"/>
      <c r="DB314" s="311"/>
      <c r="DC314" s="311"/>
      <c r="DD314" s="311"/>
      <c r="DE314" s="311"/>
      <c r="DF314" s="311"/>
      <c r="DG314" s="311"/>
      <c r="DH314" s="311"/>
      <c r="DI314" s="311"/>
      <c r="DJ314" s="311"/>
      <c r="DK314" s="311"/>
      <c r="DL314" s="311"/>
      <c r="DM314" s="311"/>
      <c r="DN314" s="311"/>
      <c r="DO314" s="311"/>
      <c r="DP314" s="311"/>
      <c r="DQ314" s="311"/>
      <c r="DR314" s="311"/>
      <c r="DS314" s="311"/>
      <c r="DT314" s="311"/>
      <c r="DU314" s="311"/>
      <c r="DV314" s="311"/>
      <c r="DW314" s="311"/>
      <c r="DX314" s="311"/>
      <c r="DY314" s="311"/>
      <c r="DZ314" s="311"/>
      <c r="EA314" s="311"/>
      <c r="EB314" s="311"/>
      <c r="EC314" s="311"/>
      <c r="ED314" s="311"/>
      <c r="EE314" s="311"/>
      <c r="EF314" s="311"/>
      <c r="EG314" s="311"/>
      <c r="EH314" s="311"/>
      <c r="EI314" s="311"/>
      <c r="EJ314" s="311"/>
      <c r="EK314" s="311"/>
      <c r="EL314" s="311"/>
      <c r="EM314" s="311"/>
      <c r="EN314" s="311"/>
      <c r="EO314" s="311"/>
      <c r="EP314" s="311"/>
      <c r="EQ314" s="311"/>
      <c r="ER314" s="311"/>
      <c r="ES314" s="311"/>
      <c r="ET314" s="311"/>
      <c r="EU314" s="311"/>
      <c r="EV314" s="311"/>
      <c r="EW314" s="311"/>
      <c r="EX314" s="311"/>
      <c r="EY314" s="311"/>
      <c r="EZ314" s="311"/>
      <c r="FA314" s="311"/>
      <c r="FB314" s="311"/>
      <c r="FC314" s="311"/>
      <c r="FD314" s="311"/>
      <c r="FE314" s="311"/>
      <c r="FF314" s="311"/>
      <c r="FG314" s="311"/>
      <c r="FH314" s="311"/>
      <c r="FI314" s="311"/>
      <c r="FJ314" s="311"/>
      <c r="FK314" s="311"/>
      <c r="FL314" s="311"/>
      <c r="FM314" s="311"/>
      <c r="FN314" s="311"/>
      <c r="FO314" s="311"/>
      <c r="FP314" s="311"/>
      <c r="FQ314" s="311"/>
      <c r="FR314" s="311"/>
      <c r="FS314" s="311"/>
      <c r="FT314" s="311"/>
      <c r="FU314" s="311"/>
      <c r="FV314" s="311"/>
      <c r="FW314" s="311"/>
      <c r="FX314" s="311"/>
      <c r="FY314" s="311"/>
      <c r="FZ314" s="311"/>
      <c r="GA314" s="311"/>
      <c r="GB314" s="311"/>
      <c r="GC314" s="311"/>
      <c r="GD314" s="311"/>
      <c r="GE314" s="311"/>
      <c r="GF314" s="311"/>
      <c r="GG314" s="311"/>
      <c r="GH314" s="311"/>
      <c r="GI314" s="311"/>
      <c r="GJ314" s="311"/>
      <c r="GK314" s="311"/>
      <c r="GL314" s="311"/>
      <c r="GM314" s="311"/>
      <c r="GN314" s="311"/>
      <c r="GO314" s="311"/>
      <c r="GP314" s="311"/>
      <c r="GQ314" s="311"/>
      <c r="GR314" s="311"/>
      <c r="GS314" s="311"/>
      <c r="GT314" s="311"/>
      <c r="GU314" s="311"/>
      <c r="GV314" s="311"/>
      <c r="GW314" s="311"/>
      <c r="GX314" s="311"/>
      <c r="GY314" s="311"/>
      <c r="GZ314" s="311"/>
      <c r="HA314" s="311"/>
      <c r="HB314" s="311"/>
      <c r="HC314" s="311"/>
      <c r="HD314" s="311"/>
      <c r="HE314" s="311"/>
      <c r="HF314" s="311"/>
      <c r="HG314" s="311"/>
      <c r="HH314" s="311"/>
      <c r="HI314" s="311"/>
      <c r="HJ314" s="311"/>
      <c r="HK314" s="311"/>
      <c r="HL314" s="311"/>
      <c r="HM314" s="311"/>
      <c r="HN314" s="311"/>
      <c r="HO314" s="311"/>
      <c r="HP314" s="311"/>
      <c r="HQ314" s="311"/>
      <c r="HR314" s="311"/>
      <c r="HS314" s="311"/>
      <c r="HT314" s="311"/>
      <c r="HU314" s="311"/>
      <c r="HV314" s="311"/>
      <c r="HW314" s="311"/>
      <c r="HX314" s="311"/>
      <c r="HY314" s="311"/>
      <c r="HZ314" s="311"/>
      <c r="IA314" s="311"/>
    </row>
    <row r="315" s="22" customFormat="1" ht="13.9" spans="1:235">
      <c r="A315" s="340"/>
      <c r="B315" s="341"/>
      <c r="C315" s="341"/>
      <c r="D315" s="341"/>
      <c r="E315" s="342"/>
      <c r="F315" s="105"/>
      <c r="G315" s="174" t="s">
        <v>339</v>
      </c>
      <c r="H315" s="285" t="s">
        <v>368</v>
      </c>
      <c r="I315" s="302">
        <v>3519.8</v>
      </c>
      <c r="J315" s="302">
        <f>7.49+18.71</f>
        <v>26.2</v>
      </c>
      <c r="K315" s="94">
        <f>J315+I315</f>
        <v>3546</v>
      </c>
      <c r="L315" s="237"/>
      <c r="M315" s="237"/>
      <c r="N315" s="237"/>
      <c r="O315" s="237"/>
      <c r="P315" s="237"/>
      <c r="Q315" s="237"/>
      <c r="R315" s="310"/>
      <c r="S315" s="94">
        <f>K315</f>
        <v>3546</v>
      </c>
      <c r="T315" s="94"/>
      <c r="U315" s="237">
        <f>S315</f>
        <v>3546</v>
      </c>
      <c r="V315" s="310"/>
      <c r="W315" s="237">
        <f>S315+T315-U315-V315</f>
        <v>0</v>
      </c>
      <c r="X315" s="158"/>
      <c r="Y315" s="313"/>
      <c r="Z315" s="313"/>
      <c r="AA315" s="313"/>
      <c r="AB315" s="313"/>
      <c r="AC315" s="313"/>
      <c r="AD315" s="313"/>
      <c r="AE315" s="313"/>
      <c r="AF315" s="313"/>
      <c r="AG315" s="313"/>
      <c r="AH315" s="313"/>
      <c r="AI315" s="313"/>
      <c r="AJ315" s="313"/>
      <c r="AK315" s="313"/>
      <c r="AL315" s="313"/>
      <c r="AM315" s="313"/>
      <c r="AN315" s="313"/>
      <c r="AO315" s="313"/>
      <c r="AP315" s="313"/>
      <c r="AQ315" s="313"/>
      <c r="AR315" s="313"/>
      <c r="AS315" s="313"/>
      <c r="AT315" s="313"/>
      <c r="AU315" s="313"/>
      <c r="AV315" s="313"/>
      <c r="AW315" s="313"/>
      <c r="AX315" s="313"/>
      <c r="AY315" s="313"/>
      <c r="AZ315" s="313"/>
      <c r="BA315" s="313"/>
      <c r="BB315" s="313"/>
      <c r="BC315" s="313"/>
      <c r="BD315" s="313"/>
      <c r="BE315" s="313"/>
      <c r="BF315" s="313"/>
      <c r="BG315" s="313"/>
      <c r="BH315" s="313"/>
      <c r="BI315" s="313"/>
      <c r="BJ315" s="313"/>
      <c r="BK315" s="313"/>
      <c r="BL315" s="313"/>
      <c r="BM315" s="313"/>
      <c r="BN315" s="313"/>
      <c r="BO315" s="313"/>
      <c r="BP315" s="313"/>
      <c r="BQ315" s="313"/>
      <c r="BR315" s="313"/>
      <c r="BS315" s="313"/>
      <c r="BT315" s="313"/>
      <c r="BU315" s="313"/>
      <c r="BV315" s="313"/>
      <c r="BW315" s="313"/>
      <c r="BX315" s="313"/>
      <c r="BY315" s="313"/>
      <c r="BZ315" s="313"/>
      <c r="CA315" s="313"/>
      <c r="CB315" s="313"/>
      <c r="CC315" s="313"/>
      <c r="CD315" s="313"/>
      <c r="CE315" s="313"/>
      <c r="CF315" s="313"/>
      <c r="CG315" s="313"/>
      <c r="CH315" s="313"/>
      <c r="CI315" s="313"/>
      <c r="CJ315" s="313"/>
      <c r="CK315" s="313"/>
      <c r="CL315" s="313"/>
      <c r="CM315" s="313"/>
      <c r="CN315" s="313"/>
      <c r="CO315" s="313"/>
      <c r="CP315" s="313"/>
      <c r="CQ315" s="313"/>
      <c r="CR315" s="313"/>
      <c r="CS315" s="313"/>
      <c r="CT315" s="313"/>
      <c r="CU315" s="313"/>
      <c r="CV315" s="313"/>
      <c r="CW315" s="313"/>
      <c r="CX315" s="313"/>
      <c r="CY315" s="313"/>
      <c r="CZ315" s="313"/>
      <c r="DA315" s="313"/>
      <c r="DB315" s="313"/>
      <c r="DC315" s="313"/>
      <c r="DD315" s="313"/>
      <c r="DE315" s="313"/>
      <c r="DF315" s="313"/>
      <c r="DG315" s="313"/>
      <c r="DH315" s="313"/>
      <c r="DI315" s="313"/>
      <c r="DJ315" s="313"/>
      <c r="DK315" s="313"/>
      <c r="DL315" s="313"/>
      <c r="DM315" s="313"/>
      <c r="DN315" s="313"/>
      <c r="DO315" s="313"/>
      <c r="DP315" s="313"/>
      <c r="DQ315" s="313"/>
      <c r="DR315" s="313"/>
      <c r="DS315" s="313"/>
      <c r="DT315" s="313"/>
      <c r="DU315" s="313"/>
      <c r="DV315" s="313"/>
      <c r="DW315" s="313"/>
      <c r="DX315" s="313"/>
      <c r="DY315" s="313"/>
      <c r="DZ315" s="313"/>
      <c r="EA315" s="313"/>
      <c r="EB315" s="313"/>
      <c r="EC315" s="313"/>
      <c r="ED315" s="313"/>
      <c r="EE315" s="313"/>
      <c r="EF315" s="313"/>
      <c r="EG315" s="313"/>
      <c r="EH315" s="313"/>
      <c r="EI315" s="313"/>
      <c r="EJ315" s="313"/>
      <c r="EK315" s="313"/>
      <c r="EL315" s="313"/>
      <c r="EM315" s="313"/>
      <c r="EN315" s="313"/>
      <c r="EO315" s="313"/>
      <c r="EP315" s="313"/>
      <c r="EQ315" s="313"/>
      <c r="ER315" s="313"/>
      <c r="ES315" s="313"/>
      <c r="ET315" s="313"/>
      <c r="EU315" s="313"/>
      <c r="EV315" s="313"/>
      <c r="EW315" s="313"/>
      <c r="EX315" s="313"/>
      <c r="EY315" s="313"/>
      <c r="EZ315" s="313"/>
      <c r="FA315" s="313"/>
      <c r="FB315" s="313"/>
      <c r="FC315" s="313"/>
      <c r="FD315" s="313"/>
      <c r="FE315" s="313"/>
      <c r="FF315" s="313"/>
      <c r="FG315" s="313"/>
      <c r="FH315" s="313"/>
      <c r="FI315" s="313"/>
      <c r="FJ315" s="313"/>
      <c r="FK315" s="313"/>
      <c r="FL315" s="313"/>
      <c r="FM315" s="313"/>
      <c r="FN315" s="313"/>
      <c r="FO315" s="313"/>
      <c r="FP315" s="313"/>
      <c r="FQ315" s="313"/>
      <c r="FR315" s="313"/>
      <c r="FS315" s="313"/>
      <c r="FT315" s="313"/>
      <c r="FU315" s="313"/>
      <c r="FV315" s="313"/>
      <c r="FW315" s="313"/>
      <c r="FX315" s="313"/>
      <c r="FY315" s="313"/>
      <c r="FZ315" s="313"/>
      <c r="GA315" s="313"/>
      <c r="GB315" s="313"/>
      <c r="GC315" s="313"/>
      <c r="GD315" s="313"/>
      <c r="GE315" s="313"/>
      <c r="GF315" s="313"/>
      <c r="GG315" s="313"/>
      <c r="GH315" s="313"/>
      <c r="GI315" s="313"/>
      <c r="GJ315" s="313"/>
      <c r="GK315" s="313"/>
      <c r="GL315" s="313"/>
      <c r="GM315" s="313"/>
      <c r="GN315" s="313"/>
      <c r="GO315" s="313"/>
      <c r="GP315" s="313"/>
      <c r="GQ315" s="313"/>
      <c r="GR315" s="313"/>
      <c r="GS315" s="313"/>
      <c r="GT315" s="313"/>
      <c r="GU315" s="313"/>
      <c r="GV315" s="313"/>
      <c r="GW315" s="313"/>
      <c r="GX315" s="313"/>
      <c r="GY315" s="313"/>
      <c r="GZ315" s="313"/>
      <c r="HA315" s="313"/>
      <c r="HB315" s="313"/>
      <c r="HC315" s="313"/>
      <c r="HD315" s="313"/>
      <c r="HE315" s="313"/>
      <c r="HF315" s="313"/>
      <c r="HG315" s="313"/>
      <c r="HH315" s="313"/>
      <c r="HI315" s="313"/>
      <c r="HJ315" s="313"/>
      <c r="HK315" s="313"/>
      <c r="HL315" s="313"/>
      <c r="HM315" s="313"/>
      <c r="HN315" s="313"/>
      <c r="HO315" s="313"/>
      <c r="HP315" s="313"/>
      <c r="HQ315" s="313"/>
      <c r="HR315" s="313"/>
      <c r="HS315" s="313"/>
      <c r="HT315" s="313"/>
      <c r="HU315" s="313"/>
      <c r="HV315" s="313"/>
      <c r="HW315" s="313"/>
      <c r="HX315" s="313"/>
      <c r="HY315" s="313"/>
      <c r="HZ315" s="313"/>
      <c r="IA315" s="313"/>
    </row>
    <row r="316" s="22" customFormat="1" ht="13.9" spans="1:235">
      <c r="A316" s="340"/>
      <c r="B316" s="341"/>
      <c r="C316" s="341"/>
      <c r="D316" s="341"/>
      <c r="E316" s="342"/>
      <c r="F316" s="105"/>
      <c r="G316" s="174" t="s">
        <v>423</v>
      </c>
      <c r="H316" s="285" t="s">
        <v>399</v>
      </c>
      <c r="I316" s="302">
        <v>7420</v>
      </c>
      <c r="J316" s="302"/>
      <c r="K316" s="94">
        <f t="shared" ref="K316:K318" si="115">I316+J316</f>
        <v>7420</v>
      </c>
      <c r="L316" s="237"/>
      <c r="M316" s="237"/>
      <c r="N316" s="237"/>
      <c r="O316" s="237"/>
      <c r="P316" s="237"/>
      <c r="Q316" s="237"/>
      <c r="R316" s="310"/>
      <c r="S316" s="94"/>
      <c r="T316" s="94"/>
      <c r="U316" s="237"/>
      <c r="V316" s="310"/>
      <c r="W316" s="237"/>
      <c r="X316" s="158"/>
      <c r="Y316" s="313"/>
      <c r="Z316" s="313"/>
      <c r="AA316" s="313"/>
      <c r="AB316" s="313"/>
      <c r="AC316" s="313"/>
      <c r="AD316" s="313"/>
      <c r="AE316" s="313"/>
      <c r="AF316" s="313"/>
      <c r="AG316" s="313"/>
      <c r="AH316" s="313"/>
      <c r="AI316" s="313"/>
      <c r="AJ316" s="313"/>
      <c r="AK316" s="313"/>
      <c r="AL316" s="313"/>
      <c r="AM316" s="313"/>
      <c r="AN316" s="313"/>
      <c r="AO316" s="313"/>
      <c r="AP316" s="313"/>
      <c r="AQ316" s="313"/>
      <c r="AR316" s="313"/>
      <c r="AS316" s="313"/>
      <c r="AT316" s="313"/>
      <c r="AU316" s="313"/>
      <c r="AV316" s="313"/>
      <c r="AW316" s="313"/>
      <c r="AX316" s="313"/>
      <c r="AY316" s="313"/>
      <c r="AZ316" s="313"/>
      <c r="BA316" s="313"/>
      <c r="BB316" s="313"/>
      <c r="BC316" s="313"/>
      <c r="BD316" s="313"/>
      <c r="BE316" s="313"/>
      <c r="BF316" s="313"/>
      <c r="BG316" s="313"/>
      <c r="BH316" s="313"/>
      <c r="BI316" s="313"/>
      <c r="BJ316" s="313"/>
      <c r="BK316" s="313"/>
      <c r="BL316" s="313"/>
      <c r="BM316" s="313"/>
      <c r="BN316" s="313"/>
      <c r="BO316" s="313"/>
      <c r="BP316" s="313"/>
      <c r="BQ316" s="313"/>
      <c r="BR316" s="313"/>
      <c r="BS316" s="313"/>
      <c r="BT316" s="313"/>
      <c r="BU316" s="313"/>
      <c r="BV316" s="313"/>
      <c r="BW316" s="313"/>
      <c r="BX316" s="313"/>
      <c r="BY316" s="313"/>
      <c r="BZ316" s="313"/>
      <c r="CA316" s="313"/>
      <c r="CB316" s="313"/>
      <c r="CC316" s="313"/>
      <c r="CD316" s="313"/>
      <c r="CE316" s="313"/>
      <c r="CF316" s="313"/>
      <c r="CG316" s="313"/>
      <c r="CH316" s="313"/>
      <c r="CI316" s="313"/>
      <c r="CJ316" s="313"/>
      <c r="CK316" s="313"/>
      <c r="CL316" s="313"/>
      <c r="CM316" s="313"/>
      <c r="CN316" s="313"/>
      <c r="CO316" s="313"/>
      <c r="CP316" s="313"/>
      <c r="CQ316" s="313"/>
      <c r="CR316" s="313"/>
      <c r="CS316" s="313"/>
      <c r="CT316" s="313"/>
      <c r="CU316" s="313"/>
      <c r="CV316" s="313"/>
      <c r="CW316" s="313"/>
      <c r="CX316" s="313"/>
      <c r="CY316" s="313"/>
      <c r="CZ316" s="313"/>
      <c r="DA316" s="313"/>
      <c r="DB316" s="313"/>
      <c r="DC316" s="313"/>
      <c r="DD316" s="313"/>
      <c r="DE316" s="313"/>
      <c r="DF316" s="313"/>
      <c r="DG316" s="313"/>
      <c r="DH316" s="313"/>
      <c r="DI316" s="313"/>
      <c r="DJ316" s="313"/>
      <c r="DK316" s="313"/>
      <c r="DL316" s="313"/>
      <c r="DM316" s="313"/>
      <c r="DN316" s="313"/>
      <c r="DO316" s="313"/>
      <c r="DP316" s="313"/>
      <c r="DQ316" s="313"/>
      <c r="DR316" s="313"/>
      <c r="DS316" s="313"/>
      <c r="DT316" s="313"/>
      <c r="DU316" s="313"/>
      <c r="DV316" s="313"/>
      <c r="DW316" s="313"/>
      <c r="DX316" s="313"/>
      <c r="DY316" s="313"/>
      <c r="DZ316" s="313"/>
      <c r="EA316" s="313"/>
      <c r="EB316" s="313"/>
      <c r="EC316" s="313"/>
      <c r="ED316" s="313"/>
      <c r="EE316" s="313"/>
      <c r="EF316" s="313"/>
      <c r="EG316" s="313"/>
      <c r="EH316" s="313"/>
      <c r="EI316" s="313"/>
      <c r="EJ316" s="313"/>
      <c r="EK316" s="313"/>
      <c r="EL316" s="313"/>
      <c r="EM316" s="313"/>
      <c r="EN316" s="313"/>
      <c r="EO316" s="313"/>
      <c r="EP316" s="313"/>
      <c r="EQ316" s="313"/>
      <c r="ER316" s="313"/>
      <c r="ES316" s="313"/>
      <c r="ET316" s="313"/>
      <c r="EU316" s="313"/>
      <c r="EV316" s="313"/>
      <c r="EW316" s="313"/>
      <c r="EX316" s="313"/>
      <c r="EY316" s="313"/>
      <c r="EZ316" s="313"/>
      <c r="FA316" s="313"/>
      <c r="FB316" s="313"/>
      <c r="FC316" s="313"/>
      <c r="FD316" s="313"/>
      <c r="FE316" s="313"/>
      <c r="FF316" s="313"/>
      <c r="FG316" s="313"/>
      <c r="FH316" s="313"/>
      <c r="FI316" s="313"/>
      <c r="FJ316" s="313"/>
      <c r="FK316" s="313"/>
      <c r="FL316" s="313"/>
      <c r="FM316" s="313"/>
      <c r="FN316" s="313"/>
      <c r="FO316" s="313"/>
      <c r="FP316" s="313"/>
      <c r="FQ316" s="313"/>
      <c r="FR316" s="313"/>
      <c r="FS316" s="313"/>
      <c r="FT316" s="313"/>
      <c r="FU316" s="313"/>
      <c r="FV316" s="313"/>
      <c r="FW316" s="313"/>
      <c r="FX316" s="313"/>
      <c r="FY316" s="313"/>
      <c r="FZ316" s="313"/>
      <c r="GA316" s="313"/>
      <c r="GB316" s="313"/>
      <c r="GC316" s="313"/>
      <c r="GD316" s="313"/>
      <c r="GE316" s="313"/>
      <c r="GF316" s="313"/>
      <c r="GG316" s="313"/>
      <c r="GH316" s="313"/>
      <c r="GI316" s="313"/>
      <c r="GJ316" s="313"/>
      <c r="GK316" s="313"/>
      <c r="GL316" s="313"/>
      <c r="GM316" s="313"/>
      <c r="GN316" s="313"/>
      <c r="GO316" s="313"/>
      <c r="GP316" s="313"/>
      <c r="GQ316" s="313"/>
      <c r="GR316" s="313"/>
      <c r="GS316" s="313"/>
      <c r="GT316" s="313"/>
      <c r="GU316" s="313"/>
      <c r="GV316" s="313"/>
      <c r="GW316" s="313"/>
      <c r="GX316" s="313"/>
      <c r="GY316" s="313"/>
      <c r="GZ316" s="313"/>
      <c r="HA316" s="313"/>
      <c r="HB316" s="313"/>
      <c r="HC316" s="313"/>
      <c r="HD316" s="313"/>
      <c r="HE316" s="313"/>
      <c r="HF316" s="313"/>
      <c r="HG316" s="313"/>
      <c r="HH316" s="313"/>
      <c r="HI316" s="313"/>
      <c r="HJ316" s="313"/>
      <c r="HK316" s="313"/>
      <c r="HL316" s="313"/>
      <c r="HM316" s="313"/>
      <c r="HN316" s="313"/>
      <c r="HO316" s="313"/>
      <c r="HP316" s="313"/>
      <c r="HQ316" s="313"/>
      <c r="HR316" s="313"/>
      <c r="HS316" s="313"/>
      <c r="HT316" s="313"/>
      <c r="HU316" s="313"/>
      <c r="HV316" s="313"/>
      <c r="HW316" s="313"/>
      <c r="HX316" s="313"/>
      <c r="HY316" s="313"/>
      <c r="HZ316" s="313"/>
      <c r="IA316" s="313"/>
    </row>
    <row r="317" s="22" customFormat="1" ht="13.9" spans="1:235">
      <c r="A317" s="340"/>
      <c r="B317" s="341"/>
      <c r="C317" s="341"/>
      <c r="D317" s="341"/>
      <c r="E317" s="342"/>
      <c r="F317" s="105"/>
      <c r="G317" s="174" t="s">
        <v>423</v>
      </c>
      <c r="H317" s="285" t="s">
        <v>368</v>
      </c>
      <c r="I317" s="302">
        <v>3045.54</v>
      </c>
      <c r="J317" s="302">
        <f>11.23+11.23</f>
        <v>22.46</v>
      </c>
      <c r="K317" s="94">
        <f t="shared" si="115"/>
        <v>3068</v>
      </c>
      <c r="L317" s="237"/>
      <c r="M317" s="237"/>
      <c r="N317" s="237"/>
      <c r="O317" s="237"/>
      <c r="P317" s="237"/>
      <c r="Q317" s="237"/>
      <c r="R317" s="310"/>
      <c r="S317" s="94"/>
      <c r="T317" s="94"/>
      <c r="U317" s="237"/>
      <c r="V317" s="310"/>
      <c r="W317" s="237"/>
      <c r="X317" s="158"/>
      <c r="Y317" s="313"/>
      <c r="Z317" s="313"/>
      <c r="AA317" s="313"/>
      <c r="AB317" s="313"/>
      <c r="AC317" s="313"/>
      <c r="AD317" s="313"/>
      <c r="AE317" s="313"/>
      <c r="AF317" s="313"/>
      <c r="AG317" s="313"/>
      <c r="AH317" s="313"/>
      <c r="AI317" s="313"/>
      <c r="AJ317" s="313"/>
      <c r="AK317" s="313"/>
      <c r="AL317" s="313"/>
      <c r="AM317" s="313"/>
      <c r="AN317" s="313"/>
      <c r="AO317" s="313"/>
      <c r="AP317" s="313"/>
      <c r="AQ317" s="313"/>
      <c r="AR317" s="313"/>
      <c r="AS317" s="313"/>
      <c r="AT317" s="313"/>
      <c r="AU317" s="313"/>
      <c r="AV317" s="313"/>
      <c r="AW317" s="313"/>
      <c r="AX317" s="313"/>
      <c r="AY317" s="313"/>
      <c r="AZ317" s="313"/>
      <c r="BA317" s="313"/>
      <c r="BB317" s="313"/>
      <c r="BC317" s="313"/>
      <c r="BD317" s="313"/>
      <c r="BE317" s="313"/>
      <c r="BF317" s="313"/>
      <c r="BG317" s="313"/>
      <c r="BH317" s="313"/>
      <c r="BI317" s="313"/>
      <c r="BJ317" s="313"/>
      <c r="BK317" s="313"/>
      <c r="BL317" s="313"/>
      <c r="BM317" s="313"/>
      <c r="BN317" s="313"/>
      <c r="BO317" s="313"/>
      <c r="BP317" s="313"/>
      <c r="BQ317" s="313"/>
      <c r="BR317" s="313"/>
      <c r="BS317" s="313"/>
      <c r="BT317" s="313"/>
      <c r="BU317" s="313"/>
      <c r="BV317" s="313"/>
      <c r="BW317" s="313"/>
      <c r="BX317" s="313"/>
      <c r="BY317" s="313"/>
      <c r="BZ317" s="313"/>
      <c r="CA317" s="313"/>
      <c r="CB317" s="313"/>
      <c r="CC317" s="313"/>
      <c r="CD317" s="313"/>
      <c r="CE317" s="313"/>
      <c r="CF317" s="313"/>
      <c r="CG317" s="313"/>
      <c r="CH317" s="313"/>
      <c r="CI317" s="313"/>
      <c r="CJ317" s="313"/>
      <c r="CK317" s="313"/>
      <c r="CL317" s="313"/>
      <c r="CM317" s="313"/>
      <c r="CN317" s="313"/>
      <c r="CO317" s="313"/>
      <c r="CP317" s="313"/>
      <c r="CQ317" s="313"/>
      <c r="CR317" s="313"/>
      <c r="CS317" s="313"/>
      <c r="CT317" s="313"/>
      <c r="CU317" s="313"/>
      <c r="CV317" s="313"/>
      <c r="CW317" s="313"/>
      <c r="CX317" s="313"/>
      <c r="CY317" s="313"/>
      <c r="CZ317" s="313"/>
      <c r="DA317" s="313"/>
      <c r="DB317" s="313"/>
      <c r="DC317" s="313"/>
      <c r="DD317" s="313"/>
      <c r="DE317" s="313"/>
      <c r="DF317" s="313"/>
      <c r="DG317" s="313"/>
      <c r="DH317" s="313"/>
      <c r="DI317" s="313"/>
      <c r="DJ317" s="313"/>
      <c r="DK317" s="313"/>
      <c r="DL317" s="313"/>
      <c r="DM317" s="313"/>
      <c r="DN317" s="313"/>
      <c r="DO317" s="313"/>
      <c r="DP317" s="313"/>
      <c r="DQ317" s="313"/>
      <c r="DR317" s="313"/>
      <c r="DS317" s="313"/>
      <c r="DT317" s="313"/>
      <c r="DU317" s="313"/>
      <c r="DV317" s="313"/>
      <c r="DW317" s="313"/>
      <c r="DX317" s="313"/>
      <c r="DY317" s="313"/>
      <c r="DZ317" s="313"/>
      <c r="EA317" s="313"/>
      <c r="EB317" s="313"/>
      <c r="EC317" s="313"/>
      <c r="ED317" s="313"/>
      <c r="EE317" s="313"/>
      <c r="EF317" s="313"/>
      <c r="EG317" s="313"/>
      <c r="EH317" s="313"/>
      <c r="EI317" s="313"/>
      <c r="EJ317" s="313"/>
      <c r="EK317" s="313"/>
      <c r="EL317" s="313"/>
      <c r="EM317" s="313"/>
      <c r="EN317" s="313"/>
      <c r="EO317" s="313"/>
      <c r="EP317" s="313"/>
      <c r="EQ317" s="313"/>
      <c r="ER317" s="313"/>
      <c r="ES317" s="313"/>
      <c r="ET317" s="313"/>
      <c r="EU317" s="313"/>
      <c r="EV317" s="313"/>
      <c r="EW317" s="313"/>
      <c r="EX317" s="313"/>
      <c r="EY317" s="313"/>
      <c r="EZ317" s="313"/>
      <c r="FA317" s="313"/>
      <c r="FB317" s="313"/>
      <c r="FC317" s="313"/>
      <c r="FD317" s="313"/>
      <c r="FE317" s="313"/>
      <c r="FF317" s="313"/>
      <c r="FG317" s="313"/>
      <c r="FH317" s="313"/>
      <c r="FI317" s="313"/>
      <c r="FJ317" s="313"/>
      <c r="FK317" s="313"/>
      <c r="FL317" s="313"/>
      <c r="FM317" s="313"/>
      <c r="FN317" s="313"/>
      <c r="FO317" s="313"/>
      <c r="FP317" s="313"/>
      <c r="FQ317" s="313"/>
      <c r="FR317" s="313"/>
      <c r="FS317" s="313"/>
      <c r="FT317" s="313"/>
      <c r="FU317" s="313"/>
      <c r="FV317" s="313"/>
      <c r="FW317" s="313"/>
      <c r="FX317" s="313"/>
      <c r="FY317" s="313"/>
      <c r="FZ317" s="313"/>
      <c r="GA317" s="313"/>
      <c r="GB317" s="313"/>
      <c r="GC317" s="313"/>
      <c r="GD317" s="313"/>
      <c r="GE317" s="313"/>
      <c r="GF317" s="313"/>
      <c r="GG317" s="313"/>
      <c r="GH317" s="313"/>
      <c r="GI317" s="313"/>
      <c r="GJ317" s="313"/>
      <c r="GK317" s="313"/>
      <c r="GL317" s="313"/>
      <c r="GM317" s="313"/>
      <c r="GN317" s="313"/>
      <c r="GO317" s="313"/>
      <c r="GP317" s="313"/>
      <c r="GQ317" s="313"/>
      <c r="GR317" s="313"/>
      <c r="GS317" s="313"/>
      <c r="GT317" s="313"/>
      <c r="GU317" s="313"/>
      <c r="GV317" s="313"/>
      <c r="GW317" s="313"/>
      <c r="GX317" s="313"/>
      <c r="GY317" s="313"/>
      <c r="GZ317" s="313"/>
      <c r="HA317" s="313"/>
      <c r="HB317" s="313"/>
      <c r="HC317" s="313"/>
      <c r="HD317" s="313"/>
      <c r="HE317" s="313"/>
      <c r="HF317" s="313"/>
      <c r="HG317" s="313"/>
      <c r="HH317" s="313"/>
      <c r="HI317" s="313"/>
      <c r="HJ317" s="313"/>
      <c r="HK317" s="313"/>
      <c r="HL317" s="313"/>
      <c r="HM317" s="313"/>
      <c r="HN317" s="313"/>
      <c r="HO317" s="313"/>
      <c r="HP317" s="313"/>
      <c r="HQ317" s="313"/>
      <c r="HR317" s="313"/>
      <c r="HS317" s="313"/>
      <c r="HT317" s="313"/>
      <c r="HU317" s="313"/>
      <c r="HV317" s="313"/>
      <c r="HW317" s="313"/>
      <c r="HX317" s="313"/>
      <c r="HY317" s="313"/>
      <c r="HZ317" s="313"/>
      <c r="IA317" s="313"/>
    </row>
    <row r="318" s="22" customFormat="1" ht="13.9" spans="1:235">
      <c r="A318" s="340"/>
      <c r="B318" s="341"/>
      <c r="C318" s="341"/>
      <c r="D318" s="341"/>
      <c r="E318" s="342"/>
      <c r="F318" s="105"/>
      <c r="G318" s="174" t="s">
        <v>478</v>
      </c>
      <c r="H318" s="285" t="s">
        <v>368</v>
      </c>
      <c r="I318" s="302">
        <v>11334.65</v>
      </c>
      <c r="J318" s="357">
        <f>11.23+7.49+18.71+7.49+32.79+3.64</f>
        <v>81.35</v>
      </c>
      <c r="K318" s="94">
        <f t="shared" si="115"/>
        <v>11416</v>
      </c>
      <c r="L318" s="237"/>
      <c r="M318" s="237"/>
      <c r="N318" s="237"/>
      <c r="O318" s="237"/>
      <c r="P318" s="237"/>
      <c r="Q318" s="237"/>
      <c r="R318" s="310"/>
      <c r="S318" s="94"/>
      <c r="T318" s="94"/>
      <c r="U318" s="237"/>
      <c r="V318" s="310"/>
      <c r="W318" s="237"/>
      <c r="X318" s="158"/>
      <c r="Y318" s="313"/>
      <c r="Z318" s="313"/>
      <c r="AA318" s="313"/>
      <c r="AB318" s="313"/>
      <c r="AC318" s="313"/>
      <c r="AD318" s="313"/>
      <c r="AE318" s="313"/>
      <c r="AF318" s="313"/>
      <c r="AG318" s="313"/>
      <c r="AH318" s="313"/>
      <c r="AI318" s="313"/>
      <c r="AJ318" s="313"/>
      <c r="AK318" s="313"/>
      <c r="AL318" s="313"/>
      <c r="AM318" s="313"/>
      <c r="AN318" s="313"/>
      <c r="AO318" s="313"/>
      <c r="AP318" s="313"/>
      <c r="AQ318" s="313"/>
      <c r="AR318" s="313"/>
      <c r="AS318" s="313"/>
      <c r="AT318" s="313"/>
      <c r="AU318" s="313"/>
      <c r="AV318" s="313"/>
      <c r="AW318" s="313"/>
      <c r="AX318" s="313"/>
      <c r="AY318" s="313"/>
      <c r="AZ318" s="313"/>
      <c r="BA318" s="313"/>
      <c r="BB318" s="313"/>
      <c r="BC318" s="313"/>
      <c r="BD318" s="313"/>
      <c r="BE318" s="313"/>
      <c r="BF318" s="313"/>
      <c r="BG318" s="313"/>
      <c r="BH318" s="313"/>
      <c r="BI318" s="313"/>
      <c r="BJ318" s="313"/>
      <c r="BK318" s="313"/>
      <c r="BL318" s="313"/>
      <c r="BM318" s="313"/>
      <c r="BN318" s="313"/>
      <c r="BO318" s="313"/>
      <c r="BP318" s="313"/>
      <c r="BQ318" s="313"/>
      <c r="BR318" s="313"/>
      <c r="BS318" s="313"/>
      <c r="BT318" s="313"/>
      <c r="BU318" s="313"/>
      <c r="BV318" s="313"/>
      <c r="BW318" s="313"/>
      <c r="BX318" s="313"/>
      <c r="BY318" s="313"/>
      <c r="BZ318" s="313"/>
      <c r="CA318" s="313"/>
      <c r="CB318" s="313"/>
      <c r="CC318" s="313"/>
      <c r="CD318" s="313"/>
      <c r="CE318" s="313"/>
      <c r="CF318" s="313"/>
      <c r="CG318" s="313"/>
      <c r="CH318" s="313"/>
      <c r="CI318" s="313"/>
      <c r="CJ318" s="313"/>
      <c r="CK318" s="313"/>
      <c r="CL318" s="313"/>
      <c r="CM318" s="313"/>
      <c r="CN318" s="313"/>
      <c r="CO318" s="313"/>
      <c r="CP318" s="313"/>
      <c r="CQ318" s="313"/>
      <c r="CR318" s="313"/>
      <c r="CS318" s="313"/>
      <c r="CT318" s="313"/>
      <c r="CU318" s="313"/>
      <c r="CV318" s="313"/>
      <c r="CW318" s="313"/>
      <c r="CX318" s="313"/>
      <c r="CY318" s="313"/>
      <c r="CZ318" s="313"/>
      <c r="DA318" s="313"/>
      <c r="DB318" s="313"/>
      <c r="DC318" s="313"/>
      <c r="DD318" s="313"/>
      <c r="DE318" s="313"/>
      <c r="DF318" s="313"/>
      <c r="DG318" s="313"/>
      <c r="DH318" s="313"/>
      <c r="DI318" s="313"/>
      <c r="DJ318" s="313"/>
      <c r="DK318" s="313"/>
      <c r="DL318" s="313"/>
      <c r="DM318" s="313"/>
      <c r="DN318" s="313"/>
      <c r="DO318" s="313"/>
      <c r="DP318" s="313"/>
      <c r="DQ318" s="313"/>
      <c r="DR318" s="313"/>
      <c r="DS318" s="313"/>
      <c r="DT318" s="313"/>
      <c r="DU318" s="313"/>
      <c r="DV318" s="313"/>
      <c r="DW318" s="313"/>
      <c r="DX318" s="313"/>
      <c r="DY318" s="313"/>
      <c r="DZ318" s="313"/>
      <c r="EA318" s="313"/>
      <c r="EB318" s="313"/>
      <c r="EC318" s="313"/>
      <c r="ED318" s="313"/>
      <c r="EE318" s="313"/>
      <c r="EF318" s="313"/>
      <c r="EG318" s="313"/>
      <c r="EH318" s="313"/>
      <c r="EI318" s="313"/>
      <c r="EJ318" s="313"/>
      <c r="EK318" s="313"/>
      <c r="EL318" s="313"/>
      <c r="EM318" s="313"/>
      <c r="EN318" s="313"/>
      <c r="EO318" s="313"/>
      <c r="EP318" s="313"/>
      <c r="EQ318" s="313"/>
      <c r="ER318" s="313"/>
      <c r="ES318" s="313"/>
      <c r="ET318" s="313"/>
      <c r="EU318" s="313"/>
      <c r="EV318" s="313"/>
      <c r="EW318" s="313"/>
      <c r="EX318" s="313"/>
      <c r="EY318" s="313"/>
      <c r="EZ318" s="313"/>
      <c r="FA318" s="313"/>
      <c r="FB318" s="313"/>
      <c r="FC318" s="313"/>
      <c r="FD318" s="313"/>
      <c r="FE318" s="313"/>
      <c r="FF318" s="313"/>
      <c r="FG318" s="313"/>
      <c r="FH318" s="313"/>
      <c r="FI318" s="313"/>
      <c r="FJ318" s="313"/>
      <c r="FK318" s="313"/>
      <c r="FL318" s="313"/>
      <c r="FM318" s="313"/>
      <c r="FN318" s="313"/>
      <c r="FO318" s="313"/>
      <c r="FP318" s="313"/>
      <c r="FQ318" s="313"/>
      <c r="FR318" s="313"/>
      <c r="FS318" s="313"/>
      <c r="FT318" s="313"/>
      <c r="FU318" s="313"/>
      <c r="FV318" s="313"/>
      <c r="FW318" s="313"/>
      <c r="FX318" s="313"/>
      <c r="FY318" s="313"/>
      <c r="FZ318" s="313"/>
      <c r="GA318" s="313"/>
      <c r="GB318" s="313"/>
      <c r="GC318" s="313"/>
      <c r="GD318" s="313"/>
      <c r="GE318" s="313"/>
      <c r="GF318" s="313"/>
      <c r="GG318" s="313"/>
      <c r="GH318" s="313"/>
      <c r="GI318" s="313"/>
      <c r="GJ318" s="313"/>
      <c r="GK318" s="313"/>
      <c r="GL318" s="313"/>
      <c r="GM318" s="313"/>
      <c r="GN318" s="313"/>
      <c r="GO318" s="313"/>
      <c r="GP318" s="313"/>
      <c r="GQ318" s="313"/>
      <c r="GR318" s="313"/>
      <c r="GS318" s="313"/>
      <c r="GT318" s="313"/>
      <c r="GU318" s="313"/>
      <c r="GV318" s="313"/>
      <c r="GW318" s="313"/>
      <c r="GX318" s="313"/>
      <c r="GY318" s="313"/>
      <c r="GZ318" s="313"/>
      <c r="HA318" s="313"/>
      <c r="HB318" s="313"/>
      <c r="HC318" s="313"/>
      <c r="HD318" s="313"/>
      <c r="HE318" s="313"/>
      <c r="HF318" s="313"/>
      <c r="HG318" s="313"/>
      <c r="HH318" s="313"/>
      <c r="HI318" s="313"/>
      <c r="HJ318" s="313"/>
      <c r="HK318" s="313"/>
      <c r="HL318" s="313"/>
      <c r="HM318" s="313"/>
      <c r="HN318" s="313"/>
      <c r="HO318" s="313"/>
      <c r="HP318" s="313"/>
      <c r="HQ318" s="313"/>
      <c r="HR318" s="313"/>
      <c r="HS318" s="313"/>
      <c r="HT318" s="313"/>
      <c r="HU318" s="313"/>
      <c r="HV318" s="313"/>
      <c r="HW318" s="313"/>
      <c r="HX318" s="313"/>
      <c r="HY318" s="313"/>
      <c r="HZ318" s="313"/>
      <c r="IA318" s="313"/>
    </row>
    <row r="319" s="22" customFormat="1" spans="1:235">
      <c r="A319" s="340"/>
      <c r="B319" s="341"/>
      <c r="C319" s="341"/>
      <c r="D319" s="341"/>
      <c r="E319" s="342"/>
      <c r="F319" s="105"/>
      <c r="G319" s="174"/>
      <c r="H319" s="285"/>
      <c r="I319" s="302"/>
      <c r="J319" s="302"/>
      <c r="K319" s="94"/>
      <c r="L319" s="237"/>
      <c r="M319" s="237"/>
      <c r="N319" s="237"/>
      <c r="O319" s="237"/>
      <c r="P319" s="237"/>
      <c r="Q319" s="237"/>
      <c r="R319" s="310"/>
      <c r="S319" s="94"/>
      <c r="T319" s="94"/>
      <c r="U319" s="237"/>
      <c r="V319" s="310"/>
      <c r="W319" s="237"/>
      <c r="X319" s="158"/>
      <c r="Y319" s="313"/>
      <c r="Z319" s="313"/>
      <c r="AA319" s="313"/>
      <c r="AB319" s="313"/>
      <c r="AC319" s="313"/>
      <c r="AD319" s="313"/>
      <c r="AE319" s="313"/>
      <c r="AF319" s="313"/>
      <c r="AG319" s="313"/>
      <c r="AH319" s="313"/>
      <c r="AI319" s="313"/>
      <c r="AJ319" s="313"/>
      <c r="AK319" s="313"/>
      <c r="AL319" s="313"/>
      <c r="AM319" s="313"/>
      <c r="AN319" s="313"/>
      <c r="AO319" s="313"/>
      <c r="AP319" s="313"/>
      <c r="AQ319" s="313"/>
      <c r="AR319" s="313"/>
      <c r="AS319" s="313"/>
      <c r="AT319" s="313"/>
      <c r="AU319" s="313"/>
      <c r="AV319" s="313"/>
      <c r="AW319" s="313"/>
      <c r="AX319" s="313"/>
      <c r="AY319" s="313"/>
      <c r="AZ319" s="313"/>
      <c r="BA319" s="313"/>
      <c r="BB319" s="313"/>
      <c r="BC319" s="313"/>
      <c r="BD319" s="313"/>
      <c r="BE319" s="313"/>
      <c r="BF319" s="313"/>
      <c r="BG319" s="313"/>
      <c r="BH319" s="313"/>
      <c r="BI319" s="313"/>
      <c r="BJ319" s="313"/>
      <c r="BK319" s="313"/>
      <c r="BL319" s="313"/>
      <c r="BM319" s="313"/>
      <c r="BN319" s="313"/>
      <c r="BO319" s="313"/>
      <c r="BP319" s="313"/>
      <c r="BQ319" s="313"/>
      <c r="BR319" s="313"/>
      <c r="BS319" s="313"/>
      <c r="BT319" s="313"/>
      <c r="BU319" s="313"/>
      <c r="BV319" s="313"/>
      <c r="BW319" s="313"/>
      <c r="BX319" s="313"/>
      <c r="BY319" s="313"/>
      <c r="BZ319" s="313"/>
      <c r="CA319" s="313"/>
      <c r="CB319" s="313"/>
      <c r="CC319" s="313"/>
      <c r="CD319" s="313"/>
      <c r="CE319" s="313"/>
      <c r="CF319" s="313"/>
      <c r="CG319" s="313"/>
      <c r="CH319" s="313"/>
      <c r="CI319" s="313"/>
      <c r="CJ319" s="313"/>
      <c r="CK319" s="313"/>
      <c r="CL319" s="313"/>
      <c r="CM319" s="313"/>
      <c r="CN319" s="313"/>
      <c r="CO319" s="313"/>
      <c r="CP319" s="313"/>
      <c r="CQ319" s="313"/>
      <c r="CR319" s="313"/>
      <c r="CS319" s="313"/>
      <c r="CT319" s="313"/>
      <c r="CU319" s="313"/>
      <c r="CV319" s="313"/>
      <c r="CW319" s="313"/>
      <c r="CX319" s="313"/>
      <c r="CY319" s="313"/>
      <c r="CZ319" s="313"/>
      <c r="DA319" s="313"/>
      <c r="DB319" s="313"/>
      <c r="DC319" s="313"/>
      <c r="DD319" s="313"/>
      <c r="DE319" s="313"/>
      <c r="DF319" s="313"/>
      <c r="DG319" s="313"/>
      <c r="DH319" s="313"/>
      <c r="DI319" s="313"/>
      <c r="DJ319" s="313"/>
      <c r="DK319" s="313"/>
      <c r="DL319" s="313"/>
      <c r="DM319" s="313"/>
      <c r="DN319" s="313"/>
      <c r="DO319" s="313"/>
      <c r="DP319" s="313"/>
      <c r="DQ319" s="313"/>
      <c r="DR319" s="313"/>
      <c r="DS319" s="313"/>
      <c r="DT319" s="313"/>
      <c r="DU319" s="313"/>
      <c r="DV319" s="313"/>
      <c r="DW319" s="313"/>
      <c r="DX319" s="313"/>
      <c r="DY319" s="313"/>
      <c r="DZ319" s="313"/>
      <c r="EA319" s="313"/>
      <c r="EB319" s="313"/>
      <c r="EC319" s="313"/>
      <c r="ED319" s="313"/>
      <c r="EE319" s="313"/>
      <c r="EF319" s="313"/>
      <c r="EG319" s="313"/>
      <c r="EH319" s="313"/>
      <c r="EI319" s="313"/>
      <c r="EJ319" s="313"/>
      <c r="EK319" s="313"/>
      <c r="EL319" s="313"/>
      <c r="EM319" s="313"/>
      <c r="EN319" s="313"/>
      <c r="EO319" s="313"/>
      <c r="EP319" s="313"/>
      <c r="EQ319" s="313"/>
      <c r="ER319" s="313"/>
      <c r="ES319" s="313"/>
      <c r="ET319" s="313"/>
      <c r="EU319" s="313"/>
      <c r="EV319" s="313"/>
      <c r="EW319" s="313"/>
      <c r="EX319" s="313"/>
      <c r="EY319" s="313"/>
      <c r="EZ319" s="313"/>
      <c r="FA319" s="313"/>
      <c r="FB319" s="313"/>
      <c r="FC319" s="313"/>
      <c r="FD319" s="313"/>
      <c r="FE319" s="313"/>
      <c r="FF319" s="313"/>
      <c r="FG319" s="313"/>
      <c r="FH319" s="313"/>
      <c r="FI319" s="313"/>
      <c r="FJ319" s="313"/>
      <c r="FK319" s="313"/>
      <c r="FL319" s="313"/>
      <c r="FM319" s="313"/>
      <c r="FN319" s="313"/>
      <c r="FO319" s="313"/>
      <c r="FP319" s="313"/>
      <c r="FQ319" s="313"/>
      <c r="FR319" s="313"/>
      <c r="FS319" s="313"/>
      <c r="FT319" s="313"/>
      <c r="FU319" s="313"/>
      <c r="FV319" s="313"/>
      <c r="FW319" s="313"/>
      <c r="FX319" s="313"/>
      <c r="FY319" s="313"/>
      <c r="FZ319" s="313"/>
      <c r="GA319" s="313"/>
      <c r="GB319" s="313"/>
      <c r="GC319" s="313"/>
      <c r="GD319" s="313"/>
      <c r="GE319" s="313"/>
      <c r="GF319" s="313"/>
      <c r="GG319" s="313"/>
      <c r="GH319" s="313"/>
      <c r="GI319" s="313"/>
      <c r="GJ319" s="313"/>
      <c r="GK319" s="313"/>
      <c r="GL319" s="313"/>
      <c r="GM319" s="313"/>
      <c r="GN319" s="313"/>
      <c r="GO319" s="313"/>
      <c r="GP319" s="313"/>
      <c r="GQ319" s="313"/>
      <c r="GR319" s="313"/>
      <c r="GS319" s="313"/>
      <c r="GT319" s="313"/>
      <c r="GU319" s="313"/>
      <c r="GV319" s="313"/>
      <c r="GW319" s="313"/>
      <c r="GX319" s="313"/>
      <c r="GY319" s="313"/>
      <c r="GZ319" s="313"/>
      <c r="HA319" s="313"/>
      <c r="HB319" s="313"/>
      <c r="HC319" s="313"/>
      <c r="HD319" s="313"/>
      <c r="HE319" s="313"/>
      <c r="HF319" s="313"/>
      <c r="HG319" s="313"/>
      <c r="HH319" s="313"/>
      <c r="HI319" s="313"/>
      <c r="HJ319" s="313"/>
      <c r="HK319" s="313"/>
      <c r="HL319" s="313"/>
      <c r="HM319" s="313"/>
      <c r="HN319" s="313"/>
      <c r="HO319" s="313"/>
      <c r="HP319" s="313"/>
      <c r="HQ319" s="313"/>
      <c r="HR319" s="313"/>
      <c r="HS319" s="313"/>
      <c r="HT319" s="313"/>
      <c r="HU319" s="313"/>
      <c r="HV319" s="313"/>
      <c r="HW319" s="313"/>
      <c r="HX319" s="313"/>
      <c r="HY319" s="313"/>
      <c r="HZ319" s="313"/>
      <c r="IA319" s="313"/>
    </row>
    <row r="320" s="22" customFormat="1" spans="1:235">
      <c r="A320" s="340"/>
      <c r="B320" s="341"/>
      <c r="C320" s="341"/>
      <c r="D320" s="341"/>
      <c r="E320" s="342"/>
      <c r="F320" s="105"/>
      <c r="G320" s="174"/>
      <c r="H320" s="285"/>
      <c r="I320" s="302"/>
      <c r="J320" s="302"/>
      <c r="K320" s="94"/>
      <c r="L320" s="237"/>
      <c r="M320" s="237"/>
      <c r="N320" s="237"/>
      <c r="O320" s="237"/>
      <c r="P320" s="237"/>
      <c r="Q320" s="237"/>
      <c r="R320" s="310"/>
      <c r="S320" s="94"/>
      <c r="T320" s="94"/>
      <c r="U320" s="237"/>
      <c r="V320" s="310"/>
      <c r="W320" s="237"/>
      <c r="X320" s="158"/>
      <c r="Y320" s="313"/>
      <c r="Z320" s="313"/>
      <c r="AA320" s="313"/>
      <c r="AB320" s="313"/>
      <c r="AC320" s="313"/>
      <c r="AD320" s="313"/>
      <c r="AE320" s="313"/>
      <c r="AF320" s="313"/>
      <c r="AG320" s="313"/>
      <c r="AH320" s="313"/>
      <c r="AI320" s="313"/>
      <c r="AJ320" s="313"/>
      <c r="AK320" s="313"/>
      <c r="AL320" s="313"/>
      <c r="AM320" s="313"/>
      <c r="AN320" s="313"/>
      <c r="AO320" s="313"/>
      <c r="AP320" s="313"/>
      <c r="AQ320" s="313"/>
      <c r="AR320" s="313"/>
      <c r="AS320" s="313"/>
      <c r="AT320" s="313"/>
      <c r="AU320" s="313"/>
      <c r="AV320" s="313"/>
      <c r="AW320" s="313"/>
      <c r="AX320" s="313"/>
      <c r="AY320" s="313"/>
      <c r="AZ320" s="313"/>
      <c r="BA320" s="313"/>
      <c r="BB320" s="313"/>
      <c r="BC320" s="313"/>
      <c r="BD320" s="313"/>
      <c r="BE320" s="313"/>
      <c r="BF320" s="313"/>
      <c r="BG320" s="313"/>
      <c r="BH320" s="313"/>
      <c r="BI320" s="313"/>
      <c r="BJ320" s="313"/>
      <c r="BK320" s="313"/>
      <c r="BL320" s="313"/>
      <c r="BM320" s="313"/>
      <c r="BN320" s="313"/>
      <c r="BO320" s="313"/>
      <c r="BP320" s="313"/>
      <c r="BQ320" s="313"/>
      <c r="BR320" s="313"/>
      <c r="BS320" s="313"/>
      <c r="BT320" s="313"/>
      <c r="BU320" s="313"/>
      <c r="BV320" s="313"/>
      <c r="BW320" s="313"/>
      <c r="BX320" s="313"/>
      <c r="BY320" s="313"/>
      <c r="BZ320" s="313"/>
      <c r="CA320" s="313"/>
      <c r="CB320" s="313"/>
      <c r="CC320" s="313"/>
      <c r="CD320" s="313"/>
      <c r="CE320" s="313"/>
      <c r="CF320" s="313"/>
      <c r="CG320" s="313"/>
      <c r="CH320" s="313"/>
      <c r="CI320" s="313"/>
      <c r="CJ320" s="313"/>
      <c r="CK320" s="313"/>
      <c r="CL320" s="313"/>
      <c r="CM320" s="313"/>
      <c r="CN320" s="313"/>
      <c r="CO320" s="313"/>
      <c r="CP320" s="313"/>
      <c r="CQ320" s="313"/>
      <c r="CR320" s="313"/>
      <c r="CS320" s="313"/>
      <c r="CT320" s="313"/>
      <c r="CU320" s="313"/>
      <c r="CV320" s="313"/>
      <c r="CW320" s="313"/>
      <c r="CX320" s="313"/>
      <c r="CY320" s="313"/>
      <c r="CZ320" s="313"/>
      <c r="DA320" s="313"/>
      <c r="DB320" s="313"/>
      <c r="DC320" s="313"/>
      <c r="DD320" s="313"/>
      <c r="DE320" s="313"/>
      <c r="DF320" s="313"/>
      <c r="DG320" s="313"/>
      <c r="DH320" s="313"/>
      <c r="DI320" s="313"/>
      <c r="DJ320" s="313"/>
      <c r="DK320" s="313"/>
      <c r="DL320" s="313"/>
      <c r="DM320" s="313"/>
      <c r="DN320" s="313"/>
      <c r="DO320" s="313"/>
      <c r="DP320" s="313"/>
      <c r="DQ320" s="313"/>
      <c r="DR320" s="313"/>
      <c r="DS320" s="313"/>
      <c r="DT320" s="313"/>
      <c r="DU320" s="313"/>
      <c r="DV320" s="313"/>
      <c r="DW320" s="313"/>
      <c r="DX320" s="313"/>
      <c r="DY320" s="313"/>
      <c r="DZ320" s="313"/>
      <c r="EA320" s="313"/>
      <c r="EB320" s="313"/>
      <c r="EC320" s="313"/>
      <c r="ED320" s="313"/>
      <c r="EE320" s="313"/>
      <c r="EF320" s="313"/>
      <c r="EG320" s="313"/>
      <c r="EH320" s="313"/>
      <c r="EI320" s="313"/>
      <c r="EJ320" s="313"/>
      <c r="EK320" s="313"/>
      <c r="EL320" s="313"/>
      <c r="EM320" s="313"/>
      <c r="EN320" s="313"/>
      <c r="EO320" s="313"/>
      <c r="EP320" s="313"/>
      <c r="EQ320" s="313"/>
      <c r="ER320" s="313"/>
      <c r="ES320" s="313"/>
      <c r="ET320" s="313"/>
      <c r="EU320" s="313"/>
      <c r="EV320" s="313"/>
      <c r="EW320" s="313"/>
      <c r="EX320" s="313"/>
      <c r="EY320" s="313"/>
      <c r="EZ320" s="313"/>
      <c r="FA320" s="313"/>
      <c r="FB320" s="313"/>
      <c r="FC320" s="313"/>
      <c r="FD320" s="313"/>
      <c r="FE320" s="313"/>
      <c r="FF320" s="313"/>
      <c r="FG320" s="313"/>
      <c r="FH320" s="313"/>
      <c r="FI320" s="313"/>
      <c r="FJ320" s="313"/>
      <c r="FK320" s="313"/>
      <c r="FL320" s="313"/>
      <c r="FM320" s="313"/>
      <c r="FN320" s="313"/>
      <c r="FO320" s="313"/>
      <c r="FP320" s="313"/>
      <c r="FQ320" s="313"/>
      <c r="FR320" s="313"/>
      <c r="FS320" s="313"/>
      <c r="FT320" s="313"/>
      <c r="FU320" s="313"/>
      <c r="FV320" s="313"/>
      <c r="FW320" s="313"/>
      <c r="FX320" s="313"/>
      <c r="FY320" s="313"/>
      <c r="FZ320" s="313"/>
      <c r="GA320" s="313"/>
      <c r="GB320" s="313"/>
      <c r="GC320" s="313"/>
      <c r="GD320" s="313"/>
      <c r="GE320" s="313"/>
      <c r="GF320" s="313"/>
      <c r="GG320" s="313"/>
      <c r="GH320" s="313"/>
      <c r="GI320" s="313"/>
      <c r="GJ320" s="313"/>
      <c r="GK320" s="313"/>
      <c r="GL320" s="313"/>
      <c r="GM320" s="313"/>
      <c r="GN320" s="313"/>
      <c r="GO320" s="313"/>
      <c r="GP320" s="313"/>
      <c r="GQ320" s="313"/>
      <c r="GR320" s="313"/>
      <c r="GS320" s="313"/>
      <c r="GT320" s="313"/>
      <c r="GU320" s="313"/>
      <c r="GV320" s="313"/>
      <c r="GW320" s="313"/>
      <c r="GX320" s="313"/>
      <c r="GY320" s="313"/>
      <c r="GZ320" s="313"/>
      <c r="HA320" s="313"/>
      <c r="HB320" s="313"/>
      <c r="HC320" s="313"/>
      <c r="HD320" s="313"/>
      <c r="HE320" s="313"/>
      <c r="HF320" s="313"/>
      <c r="HG320" s="313"/>
      <c r="HH320" s="313"/>
      <c r="HI320" s="313"/>
      <c r="HJ320" s="313"/>
      <c r="HK320" s="313"/>
      <c r="HL320" s="313"/>
      <c r="HM320" s="313"/>
      <c r="HN320" s="313"/>
      <c r="HO320" s="313"/>
      <c r="HP320" s="313"/>
      <c r="HQ320" s="313"/>
      <c r="HR320" s="313"/>
      <c r="HS320" s="313"/>
      <c r="HT320" s="313"/>
      <c r="HU320" s="313"/>
      <c r="HV320" s="313"/>
      <c r="HW320" s="313"/>
      <c r="HX320" s="313"/>
      <c r="HY320" s="313"/>
      <c r="HZ320" s="313"/>
      <c r="IA320" s="313"/>
    </row>
    <row r="321" s="22" customFormat="1" spans="1:235">
      <c r="A321" s="372"/>
      <c r="B321" s="373"/>
      <c r="C321" s="373"/>
      <c r="D321" s="373"/>
      <c r="E321" s="374"/>
      <c r="F321" s="105"/>
      <c r="G321" s="174"/>
      <c r="H321" s="285"/>
      <c r="I321" s="302"/>
      <c r="J321" s="302"/>
      <c r="K321" s="94"/>
      <c r="L321" s="237"/>
      <c r="M321" s="237"/>
      <c r="N321" s="237"/>
      <c r="O321" s="237"/>
      <c r="P321" s="237"/>
      <c r="Q321" s="237"/>
      <c r="R321" s="310"/>
      <c r="S321" s="94"/>
      <c r="T321" s="94"/>
      <c r="U321" s="237"/>
      <c r="V321" s="310"/>
      <c r="W321" s="237"/>
      <c r="X321" s="158"/>
      <c r="Y321" s="313"/>
      <c r="Z321" s="313"/>
      <c r="AA321" s="313"/>
      <c r="AB321" s="313"/>
      <c r="AC321" s="313"/>
      <c r="AD321" s="313"/>
      <c r="AE321" s="313"/>
      <c r="AF321" s="313"/>
      <c r="AG321" s="313"/>
      <c r="AH321" s="313"/>
      <c r="AI321" s="313"/>
      <c r="AJ321" s="313"/>
      <c r="AK321" s="313"/>
      <c r="AL321" s="313"/>
      <c r="AM321" s="313"/>
      <c r="AN321" s="313"/>
      <c r="AO321" s="313"/>
      <c r="AP321" s="313"/>
      <c r="AQ321" s="313"/>
      <c r="AR321" s="313"/>
      <c r="AS321" s="313"/>
      <c r="AT321" s="313"/>
      <c r="AU321" s="313"/>
      <c r="AV321" s="313"/>
      <c r="AW321" s="313"/>
      <c r="AX321" s="313"/>
      <c r="AY321" s="313"/>
      <c r="AZ321" s="313"/>
      <c r="BA321" s="313"/>
      <c r="BB321" s="313"/>
      <c r="BC321" s="313"/>
      <c r="BD321" s="313"/>
      <c r="BE321" s="313"/>
      <c r="BF321" s="313"/>
      <c r="BG321" s="313"/>
      <c r="BH321" s="313"/>
      <c r="BI321" s="313"/>
      <c r="BJ321" s="313"/>
      <c r="BK321" s="313"/>
      <c r="BL321" s="313"/>
      <c r="BM321" s="313"/>
      <c r="BN321" s="313"/>
      <c r="BO321" s="313"/>
      <c r="BP321" s="313"/>
      <c r="BQ321" s="313"/>
      <c r="BR321" s="313"/>
      <c r="BS321" s="313"/>
      <c r="BT321" s="313"/>
      <c r="BU321" s="313"/>
      <c r="BV321" s="313"/>
      <c r="BW321" s="313"/>
      <c r="BX321" s="313"/>
      <c r="BY321" s="313"/>
      <c r="BZ321" s="313"/>
      <c r="CA321" s="313"/>
      <c r="CB321" s="313"/>
      <c r="CC321" s="313"/>
      <c r="CD321" s="313"/>
      <c r="CE321" s="313"/>
      <c r="CF321" s="313"/>
      <c r="CG321" s="313"/>
      <c r="CH321" s="313"/>
      <c r="CI321" s="313"/>
      <c r="CJ321" s="313"/>
      <c r="CK321" s="313"/>
      <c r="CL321" s="313"/>
      <c r="CM321" s="313"/>
      <c r="CN321" s="313"/>
      <c r="CO321" s="313"/>
      <c r="CP321" s="313"/>
      <c r="CQ321" s="313"/>
      <c r="CR321" s="313"/>
      <c r="CS321" s="313"/>
      <c r="CT321" s="313"/>
      <c r="CU321" s="313"/>
      <c r="CV321" s="313"/>
      <c r="CW321" s="313"/>
      <c r="CX321" s="313"/>
      <c r="CY321" s="313"/>
      <c r="CZ321" s="313"/>
      <c r="DA321" s="313"/>
      <c r="DB321" s="313"/>
      <c r="DC321" s="313"/>
      <c r="DD321" s="313"/>
      <c r="DE321" s="313"/>
      <c r="DF321" s="313"/>
      <c r="DG321" s="313"/>
      <c r="DH321" s="313"/>
      <c r="DI321" s="313"/>
      <c r="DJ321" s="313"/>
      <c r="DK321" s="313"/>
      <c r="DL321" s="313"/>
      <c r="DM321" s="313"/>
      <c r="DN321" s="313"/>
      <c r="DO321" s="313"/>
      <c r="DP321" s="313"/>
      <c r="DQ321" s="313"/>
      <c r="DR321" s="313"/>
      <c r="DS321" s="313"/>
      <c r="DT321" s="313"/>
      <c r="DU321" s="313"/>
      <c r="DV321" s="313"/>
      <c r="DW321" s="313"/>
      <c r="DX321" s="313"/>
      <c r="DY321" s="313"/>
      <c r="DZ321" s="313"/>
      <c r="EA321" s="313"/>
      <c r="EB321" s="313"/>
      <c r="EC321" s="313"/>
      <c r="ED321" s="313"/>
      <c r="EE321" s="313"/>
      <c r="EF321" s="313"/>
      <c r="EG321" s="313"/>
      <c r="EH321" s="313"/>
      <c r="EI321" s="313"/>
      <c r="EJ321" s="313"/>
      <c r="EK321" s="313"/>
      <c r="EL321" s="313"/>
      <c r="EM321" s="313"/>
      <c r="EN321" s="313"/>
      <c r="EO321" s="313"/>
      <c r="EP321" s="313"/>
      <c r="EQ321" s="313"/>
      <c r="ER321" s="313"/>
      <c r="ES321" s="313"/>
      <c r="ET321" s="313"/>
      <c r="EU321" s="313"/>
      <c r="EV321" s="313"/>
      <c r="EW321" s="313"/>
      <c r="EX321" s="313"/>
      <c r="EY321" s="313"/>
      <c r="EZ321" s="313"/>
      <c r="FA321" s="313"/>
      <c r="FB321" s="313"/>
      <c r="FC321" s="313"/>
      <c r="FD321" s="313"/>
      <c r="FE321" s="313"/>
      <c r="FF321" s="313"/>
      <c r="FG321" s="313"/>
      <c r="FH321" s="313"/>
      <c r="FI321" s="313"/>
      <c r="FJ321" s="313"/>
      <c r="FK321" s="313"/>
      <c r="FL321" s="313"/>
      <c r="FM321" s="313"/>
      <c r="FN321" s="313"/>
      <c r="FO321" s="313"/>
      <c r="FP321" s="313"/>
      <c r="FQ321" s="313"/>
      <c r="FR321" s="313"/>
      <c r="FS321" s="313"/>
      <c r="FT321" s="313"/>
      <c r="FU321" s="313"/>
      <c r="FV321" s="313"/>
      <c r="FW321" s="313"/>
      <c r="FX321" s="313"/>
      <c r="FY321" s="313"/>
      <c r="FZ321" s="313"/>
      <c r="GA321" s="313"/>
      <c r="GB321" s="313"/>
      <c r="GC321" s="313"/>
      <c r="GD321" s="313"/>
      <c r="GE321" s="313"/>
      <c r="GF321" s="313"/>
      <c r="GG321" s="313"/>
      <c r="GH321" s="313"/>
      <c r="GI321" s="313"/>
      <c r="GJ321" s="313"/>
      <c r="GK321" s="313"/>
      <c r="GL321" s="313"/>
      <c r="GM321" s="313"/>
      <c r="GN321" s="313"/>
      <c r="GO321" s="313"/>
      <c r="GP321" s="313"/>
      <c r="GQ321" s="313"/>
      <c r="GR321" s="313"/>
      <c r="GS321" s="313"/>
      <c r="GT321" s="313"/>
      <c r="GU321" s="313"/>
      <c r="GV321" s="313"/>
      <c r="GW321" s="313"/>
      <c r="GX321" s="313"/>
      <c r="GY321" s="313"/>
      <c r="GZ321" s="313"/>
      <c r="HA321" s="313"/>
      <c r="HB321" s="313"/>
      <c r="HC321" s="313"/>
      <c r="HD321" s="313"/>
      <c r="HE321" s="313"/>
      <c r="HF321" s="313"/>
      <c r="HG321" s="313"/>
      <c r="HH321" s="313"/>
      <c r="HI321" s="313"/>
      <c r="HJ321" s="313"/>
      <c r="HK321" s="313"/>
      <c r="HL321" s="313"/>
      <c r="HM321" s="313"/>
      <c r="HN321" s="313"/>
      <c r="HO321" s="313"/>
      <c r="HP321" s="313"/>
      <c r="HQ321" s="313"/>
      <c r="HR321" s="313"/>
      <c r="HS321" s="313"/>
      <c r="HT321" s="313"/>
      <c r="HU321" s="313"/>
      <c r="HV321" s="313"/>
      <c r="HW321" s="313"/>
      <c r="HX321" s="313"/>
      <c r="HY321" s="313"/>
      <c r="HZ321" s="313"/>
      <c r="IA321" s="313"/>
    </row>
    <row r="322" s="22" customFormat="1" ht="13.9" spans="1:24">
      <c r="A322" s="337" t="s">
        <v>400</v>
      </c>
      <c r="B322" s="338"/>
      <c r="C322" s="338"/>
      <c r="D322" s="338"/>
      <c r="E322" s="339"/>
      <c r="F322" s="375" t="s">
        <v>296</v>
      </c>
      <c r="G322" s="174" t="s">
        <v>339</v>
      </c>
      <c r="H322" s="285" t="s">
        <v>368</v>
      </c>
      <c r="I322" s="94">
        <v>6072.28</v>
      </c>
      <c r="J322" s="94">
        <f>14.57+7.29+21.86</f>
        <v>43.72</v>
      </c>
      <c r="K322" s="94">
        <f t="shared" ref="K322:K324" si="116">J322+I322</f>
        <v>6116</v>
      </c>
      <c r="L322" s="237"/>
      <c r="M322" s="237"/>
      <c r="N322" s="237"/>
      <c r="O322" s="237"/>
      <c r="P322" s="237"/>
      <c r="Q322" s="237"/>
      <c r="R322" s="237"/>
      <c r="S322" s="94">
        <f>K322</f>
        <v>6116</v>
      </c>
      <c r="T322" s="94"/>
      <c r="U322" s="237">
        <f>S322</f>
        <v>6116</v>
      </c>
      <c r="V322" s="237"/>
      <c r="W322" s="237">
        <f>S322+T322-U322-V322</f>
        <v>0</v>
      </c>
      <c r="X322" s="158"/>
    </row>
    <row r="323" s="22" customFormat="1" ht="13.9" spans="1:24">
      <c r="A323" s="340"/>
      <c r="B323" s="341"/>
      <c r="C323" s="341"/>
      <c r="D323" s="341"/>
      <c r="E323" s="342"/>
      <c r="F323" s="375"/>
      <c r="G323" s="174" t="s">
        <v>423</v>
      </c>
      <c r="H323" s="285" t="s">
        <v>399</v>
      </c>
      <c r="I323" s="94">
        <v>2768</v>
      </c>
      <c r="J323" s="94"/>
      <c r="K323" s="94">
        <f t="shared" si="116"/>
        <v>2768</v>
      </c>
      <c r="L323" s="237"/>
      <c r="M323" s="237"/>
      <c r="N323" s="237"/>
      <c r="O323" s="237"/>
      <c r="P323" s="237"/>
      <c r="Q323" s="237"/>
      <c r="R323" s="237"/>
      <c r="S323" s="94"/>
      <c r="T323" s="94"/>
      <c r="U323" s="237"/>
      <c r="V323" s="237"/>
      <c r="W323" s="237"/>
      <c r="X323" s="158"/>
    </row>
    <row r="324" s="22" customFormat="1" ht="13.9" spans="1:24">
      <c r="A324" s="340"/>
      <c r="B324" s="341"/>
      <c r="C324" s="341"/>
      <c r="D324" s="341"/>
      <c r="E324" s="342"/>
      <c r="F324" s="375"/>
      <c r="G324" s="174" t="s">
        <v>423</v>
      </c>
      <c r="H324" s="285" t="s">
        <v>368</v>
      </c>
      <c r="I324" s="94">
        <v>1417.82</v>
      </c>
      <c r="J324" s="94">
        <f>-12.56+6.18+4.32+4.12+2.06+2.06</f>
        <v>6.18</v>
      </c>
      <c r="K324" s="94">
        <f t="shared" si="116"/>
        <v>1424</v>
      </c>
      <c r="L324" s="237"/>
      <c r="M324" s="237"/>
      <c r="N324" s="237"/>
      <c r="O324" s="237"/>
      <c r="P324" s="237"/>
      <c r="Q324" s="237"/>
      <c r="R324" s="237"/>
      <c r="S324" s="94"/>
      <c r="T324" s="94"/>
      <c r="U324" s="237"/>
      <c r="V324" s="237"/>
      <c r="W324" s="237"/>
      <c r="X324" s="158"/>
    </row>
    <row r="325" s="22" customFormat="1" ht="13.9" spans="1:24">
      <c r="A325" s="340"/>
      <c r="B325" s="341"/>
      <c r="C325" s="341"/>
      <c r="D325" s="341"/>
      <c r="E325" s="342"/>
      <c r="F325" s="375"/>
      <c r="G325" s="174" t="s">
        <v>478</v>
      </c>
      <c r="H325" s="285" t="s">
        <v>399</v>
      </c>
      <c r="I325" s="94">
        <v>2150</v>
      </c>
      <c r="J325" s="94"/>
      <c r="K325" s="94">
        <f>I325+J325</f>
        <v>2150</v>
      </c>
      <c r="L325" s="237"/>
      <c r="M325" s="237"/>
      <c r="N325" s="237"/>
      <c r="O325" s="237"/>
      <c r="P325" s="237"/>
      <c r="Q325" s="237"/>
      <c r="R325" s="237"/>
      <c r="S325" s="94"/>
      <c r="T325" s="94"/>
      <c r="U325" s="237"/>
      <c r="V325" s="237"/>
      <c r="W325" s="237"/>
      <c r="X325" s="158"/>
    </row>
    <row r="326" s="22" customFormat="1" ht="13.9" spans="1:24">
      <c r="A326" s="340"/>
      <c r="B326" s="341"/>
      <c r="C326" s="341"/>
      <c r="D326" s="341"/>
      <c r="E326" s="342"/>
      <c r="F326" s="375"/>
      <c r="G326" s="174" t="s">
        <v>478</v>
      </c>
      <c r="H326" s="285" t="s">
        <v>368</v>
      </c>
      <c r="I326" s="94">
        <v>1729.7</v>
      </c>
      <c r="J326" s="93">
        <f>6.18+4.12</f>
        <v>10.3</v>
      </c>
      <c r="K326" s="94">
        <f>J326+I326</f>
        <v>1740</v>
      </c>
      <c r="L326" s="237"/>
      <c r="M326" s="237"/>
      <c r="N326" s="237"/>
      <c r="O326" s="237"/>
      <c r="P326" s="237"/>
      <c r="Q326" s="237"/>
      <c r="R326" s="237"/>
      <c r="S326" s="94"/>
      <c r="T326" s="94"/>
      <c r="U326" s="237"/>
      <c r="V326" s="237"/>
      <c r="W326" s="237"/>
      <c r="X326" s="158"/>
    </row>
    <row r="327" s="22" customFormat="1" spans="1:24">
      <c r="A327" s="340"/>
      <c r="B327" s="341"/>
      <c r="C327" s="341"/>
      <c r="D327" s="341"/>
      <c r="E327" s="342"/>
      <c r="F327" s="375"/>
      <c r="G327" s="174"/>
      <c r="H327" s="285"/>
      <c r="I327" s="94"/>
      <c r="J327" s="94"/>
      <c r="K327" s="94"/>
      <c r="L327" s="237"/>
      <c r="M327" s="237"/>
      <c r="N327" s="237"/>
      <c r="O327" s="237"/>
      <c r="P327" s="237"/>
      <c r="Q327" s="237"/>
      <c r="R327" s="237"/>
      <c r="S327" s="94"/>
      <c r="T327" s="94"/>
      <c r="U327" s="237"/>
      <c r="V327" s="237"/>
      <c r="W327" s="237"/>
      <c r="X327" s="158"/>
    </row>
    <row r="328" s="22" customFormat="1" spans="1:24">
      <c r="A328" s="340"/>
      <c r="B328" s="341"/>
      <c r="C328" s="341"/>
      <c r="D328" s="341"/>
      <c r="E328" s="342"/>
      <c r="F328" s="375"/>
      <c r="G328" s="174"/>
      <c r="H328" s="285"/>
      <c r="I328" s="94"/>
      <c r="J328" s="94"/>
      <c r="K328" s="94"/>
      <c r="L328" s="237"/>
      <c r="M328" s="237"/>
      <c r="N328" s="237"/>
      <c r="O328" s="237"/>
      <c r="P328" s="237"/>
      <c r="Q328" s="237"/>
      <c r="R328" s="237"/>
      <c r="S328" s="94"/>
      <c r="T328" s="94"/>
      <c r="U328" s="237"/>
      <c r="V328" s="237"/>
      <c r="W328" s="237"/>
      <c r="X328" s="158"/>
    </row>
    <row r="329" s="22" customFormat="1" spans="1:24">
      <c r="A329" s="340"/>
      <c r="B329" s="341"/>
      <c r="C329" s="341"/>
      <c r="D329" s="341"/>
      <c r="E329" s="342"/>
      <c r="F329" s="375"/>
      <c r="G329" s="174"/>
      <c r="H329" s="285"/>
      <c r="I329" s="94"/>
      <c r="J329" s="94"/>
      <c r="K329" s="94"/>
      <c r="L329" s="237"/>
      <c r="M329" s="237"/>
      <c r="N329" s="237"/>
      <c r="O329" s="237"/>
      <c r="P329" s="237"/>
      <c r="Q329" s="237"/>
      <c r="R329" s="237"/>
      <c r="S329" s="94"/>
      <c r="T329" s="94"/>
      <c r="U329" s="237"/>
      <c r="V329" s="237"/>
      <c r="W329" s="237"/>
      <c r="X329" s="158"/>
    </row>
    <row r="330" s="22" customFormat="1" spans="1:24">
      <c r="A330" s="340"/>
      <c r="B330" s="341"/>
      <c r="C330" s="341"/>
      <c r="D330" s="341"/>
      <c r="E330" s="342"/>
      <c r="F330" s="375"/>
      <c r="G330" s="174"/>
      <c r="H330" s="285"/>
      <c r="I330" s="94"/>
      <c r="J330" s="94"/>
      <c r="K330" s="94"/>
      <c r="L330" s="237"/>
      <c r="M330" s="237"/>
      <c r="N330" s="237"/>
      <c r="O330" s="237"/>
      <c r="P330" s="237"/>
      <c r="Q330" s="237"/>
      <c r="R330" s="237"/>
      <c r="S330" s="94"/>
      <c r="T330" s="94"/>
      <c r="U330" s="237"/>
      <c r="V330" s="237"/>
      <c r="W330" s="237"/>
      <c r="X330" s="158"/>
    </row>
    <row r="331" s="22" customFormat="1" spans="1:24">
      <c r="A331" s="340"/>
      <c r="B331" s="341"/>
      <c r="C331" s="341"/>
      <c r="D331" s="341"/>
      <c r="E331" s="342"/>
      <c r="F331" s="375"/>
      <c r="G331" s="174"/>
      <c r="H331" s="285"/>
      <c r="I331" s="94"/>
      <c r="J331" s="94"/>
      <c r="K331" s="94">
        <f t="shared" ref="K331:K335" si="117">J331+I331</f>
        <v>0</v>
      </c>
      <c r="L331" s="237"/>
      <c r="M331" s="237"/>
      <c r="N331" s="237"/>
      <c r="O331" s="237"/>
      <c r="P331" s="237"/>
      <c r="Q331" s="237"/>
      <c r="R331" s="237"/>
      <c r="S331" s="94"/>
      <c r="T331" s="94"/>
      <c r="U331" s="237"/>
      <c r="V331" s="237"/>
      <c r="W331" s="237"/>
      <c r="X331" s="158"/>
    </row>
    <row r="332" s="22" customFormat="1" spans="1:24">
      <c r="A332" s="372"/>
      <c r="B332" s="373"/>
      <c r="C332" s="373"/>
      <c r="D332" s="373"/>
      <c r="E332" s="374"/>
      <c r="F332" s="375"/>
      <c r="G332" s="174"/>
      <c r="H332" s="285"/>
      <c r="I332" s="94"/>
      <c r="J332" s="94"/>
      <c r="K332" s="94">
        <f t="shared" si="117"/>
        <v>0</v>
      </c>
      <c r="L332" s="237"/>
      <c r="M332" s="237"/>
      <c r="N332" s="237"/>
      <c r="O332" s="237"/>
      <c r="P332" s="237"/>
      <c r="Q332" s="237"/>
      <c r="R332" s="237"/>
      <c r="S332" s="94"/>
      <c r="T332" s="94"/>
      <c r="U332" s="237"/>
      <c r="V332" s="237"/>
      <c r="W332" s="237"/>
      <c r="X332" s="158"/>
    </row>
    <row r="333" s="22" customFormat="1" ht="13.9" spans="1:24">
      <c r="A333" s="337" t="s">
        <v>401</v>
      </c>
      <c r="B333" s="338"/>
      <c r="C333" s="338"/>
      <c r="D333" s="338"/>
      <c r="E333" s="339"/>
      <c r="F333" s="103" t="s">
        <v>296</v>
      </c>
      <c r="G333" s="174" t="s">
        <v>339</v>
      </c>
      <c r="H333" s="285" t="s">
        <v>368</v>
      </c>
      <c r="I333" s="94">
        <v>1012.87</v>
      </c>
      <c r="J333" s="94">
        <v>7.13</v>
      </c>
      <c r="K333" s="94">
        <f t="shared" si="117"/>
        <v>1020</v>
      </c>
      <c r="L333" s="237"/>
      <c r="M333" s="237"/>
      <c r="N333" s="237"/>
      <c r="O333" s="237"/>
      <c r="P333" s="237"/>
      <c r="Q333" s="237"/>
      <c r="R333" s="237"/>
      <c r="S333" s="94">
        <f>K333</f>
        <v>1020</v>
      </c>
      <c r="T333" s="94"/>
      <c r="U333" s="237">
        <f>S333</f>
        <v>1020</v>
      </c>
      <c r="V333" s="237"/>
      <c r="W333" s="237">
        <f>S333+T333-U333-V333</f>
        <v>0</v>
      </c>
      <c r="X333" s="158"/>
    </row>
    <row r="334" s="22" customFormat="1" ht="13.9" spans="1:24">
      <c r="A334" s="340"/>
      <c r="B334" s="341"/>
      <c r="C334" s="341"/>
      <c r="D334" s="341"/>
      <c r="E334" s="342"/>
      <c r="F334" s="105"/>
      <c r="G334" s="174" t="s">
        <v>423</v>
      </c>
      <c r="H334" s="285" t="s">
        <v>399</v>
      </c>
      <c r="I334" s="94">
        <v>850</v>
      </c>
      <c r="J334" s="94"/>
      <c r="K334" s="94">
        <f t="shared" si="117"/>
        <v>850</v>
      </c>
      <c r="L334" s="237"/>
      <c r="M334" s="237"/>
      <c r="N334" s="237"/>
      <c r="O334" s="237"/>
      <c r="P334" s="237"/>
      <c r="Q334" s="237"/>
      <c r="R334" s="237"/>
      <c r="S334" s="94"/>
      <c r="T334" s="94"/>
      <c r="U334" s="237"/>
      <c r="V334" s="237"/>
      <c r="W334" s="237"/>
      <c r="X334" s="158"/>
    </row>
    <row r="335" s="22" customFormat="1" ht="13.9" spans="1:24">
      <c r="A335" s="340"/>
      <c r="B335" s="341"/>
      <c r="C335" s="341"/>
      <c r="D335" s="341"/>
      <c r="E335" s="342"/>
      <c r="F335" s="105"/>
      <c r="G335" s="174" t="s">
        <v>423</v>
      </c>
      <c r="H335" s="285" t="s">
        <v>368</v>
      </c>
      <c r="I335" s="94">
        <v>1477.36</v>
      </c>
      <c r="J335" s="94">
        <v>52.64</v>
      </c>
      <c r="K335" s="94">
        <f t="shared" si="117"/>
        <v>1530</v>
      </c>
      <c r="L335" s="237"/>
      <c r="M335" s="237"/>
      <c r="N335" s="237"/>
      <c r="O335" s="237"/>
      <c r="P335" s="237"/>
      <c r="Q335" s="237"/>
      <c r="R335" s="237"/>
      <c r="S335" s="94"/>
      <c r="T335" s="94"/>
      <c r="U335" s="237"/>
      <c r="V335" s="237"/>
      <c r="W335" s="237"/>
      <c r="X335" s="158"/>
    </row>
    <row r="336" s="22" customFormat="1" ht="13.9" spans="1:24">
      <c r="A336" s="340"/>
      <c r="B336" s="341"/>
      <c r="C336" s="341"/>
      <c r="D336" s="341"/>
      <c r="E336" s="342"/>
      <c r="F336" s="105"/>
      <c r="G336" s="174" t="s">
        <v>478</v>
      </c>
      <c r="H336" s="285" t="s">
        <v>399</v>
      </c>
      <c r="I336" s="94">
        <v>2725</v>
      </c>
      <c r="J336" s="94"/>
      <c r="K336" s="94">
        <f>I336+J336</f>
        <v>2725</v>
      </c>
      <c r="L336" s="237"/>
      <c r="M336" s="237"/>
      <c r="N336" s="237"/>
      <c r="O336" s="237"/>
      <c r="P336" s="237"/>
      <c r="Q336" s="237"/>
      <c r="R336" s="237"/>
      <c r="S336" s="94"/>
      <c r="T336" s="94"/>
      <c r="U336" s="237"/>
      <c r="V336" s="237"/>
      <c r="W336" s="237"/>
      <c r="X336" s="158"/>
    </row>
    <row r="337" s="22" customFormat="1" ht="13.9" spans="1:24">
      <c r="A337" s="340"/>
      <c r="B337" s="341"/>
      <c r="C337" s="341"/>
      <c r="D337" s="341"/>
      <c r="E337" s="342"/>
      <c r="F337" s="105"/>
      <c r="G337" s="174" t="s">
        <v>478</v>
      </c>
      <c r="H337" s="285" t="s">
        <v>368</v>
      </c>
      <c r="I337" s="94">
        <v>2259</v>
      </c>
      <c r="J337" s="93">
        <f>3.74+19.13+18.57+3.56</f>
        <v>45</v>
      </c>
      <c r="K337" s="94">
        <f>J337+I337</f>
        <v>2304</v>
      </c>
      <c r="L337" s="237"/>
      <c r="M337" s="237"/>
      <c r="N337" s="237"/>
      <c r="O337" s="237"/>
      <c r="P337" s="237"/>
      <c r="Q337" s="237"/>
      <c r="R337" s="237"/>
      <c r="S337" s="94"/>
      <c r="T337" s="94"/>
      <c r="U337" s="237"/>
      <c r="V337" s="237"/>
      <c r="W337" s="237"/>
      <c r="X337" s="158"/>
    </row>
    <row r="338" s="22" customFormat="1" spans="1:24">
      <c r="A338" s="340"/>
      <c r="B338" s="341"/>
      <c r="C338" s="341"/>
      <c r="D338" s="341"/>
      <c r="E338" s="342"/>
      <c r="F338" s="105"/>
      <c r="G338" s="174"/>
      <c r="H338" s="285"/>
      <c r="I338" s="94"/>
      <c r="J338" s="94"/>
      <c r="K338" s="94"/>
      <c r="L338" s="237"/>
      <c r="M338" s="237"/>
      <c r="N338" s="237"/>
      <c r="O338" s="237"/>
      <c r="P338" s="237"/>
      <c r="Q338" s="237"/>
      <c r="R338" s="237"/>
      <c r="S338" s="94"/>
      <c r="T338" s="94"/>
      <c r="U338" s="237"/>
      <c r="V338" s="237"/>
      <c r="W338" s="237"/>
      <c r="X338" s="158"/>
    </row>
    <row r="339" s="22" customFormat="1" spans="1:24">
      <c r="A339" s="340"/>
      <c r="B339" s="341"/>
      <c r="C339" s="341"/>
      <c r="D339" s="341"/>
      <c r="E339" s="342"/>
      <c r="F339" s="105"/>
      <c r="G339" s="174"/>
      <c r="H339" s="285"/>
      <c r="I339" s="94"/>
      <c r="J339" s="94"/>
      <c r="K339" s="94"/>
      <c r="L339" s="237"/>
      <c r="M339" s="237"/>
      <c r="N339" s="237"/>
      <c r="O339" s="237"/>
      <c r="P339" s="237"/>
      <c r="Q339" s="237"/>
      <c r="R339" s="237"/>
      <c r="S339" s="94"/>
      <c r="T339" s="94"/>
      <c r="U339" s="237"/>
      <c r="V339" s="237"/>
      <c r="W339" s="237"/>
      <c r="X339" s="158"/>
    </row>
    <row r="340" s="22" customFormat="1" spans="1:24">
      <c r="A340" s="340"/>
      <c r="B340" s="341"/>
      <c r="C340" s="341"/>
      <c r="D340" s="341"/>
      <c r="E340" s="342"/>
      <c r="F340" s="105"/>
      <c r="G340" s="174"/>
      <c r="H340" s="285"/>
      <c r="I340" s="94"/>
      <c r="J340" s="94"/>
      <c r="K340" s="94"/>
      <c r="L340" s="237"/>
      <c r="M340" s="237"/>
      <c r="N340" s="237"/>
      <c r="O340" s="237"/>
      <c r="P340" s="237"/>
      <c r="Q340" s="237"/>
      <c r="R340" s="237"/>
      <c r="S340" s="94"/>
      <c r="T340" s="94"/>
      <c r="U340" s="237"/>
      <c r="V340" s="237"/>
      <c r="W340" s="237"/>
      <c r="X340" s="158"/>
    </row>
    <row r="341" s="22" customFormat="1" spans="1:24">
      <c r="A341" s="340"/>
      <c r="B341" s="341"/>
      <c r="C341" s="341"/>
      <c r="D341" s="341"/>
      <c r="E341" s="342"/>
      <c r="F341" s="105"/>
      <c r="G341" s="174"/>
      <c r="H341" s="285"/>
      <c r="I341" s="94"/>
      <c r="J341" s="94"/>
      <c r="K341" s="94"/>
      <c r="L341" s="237"/>
      <c r="M341" s="237"/>
      <c r="N341" s="237"/>
      <c r="O341" s="237"/>
      <c r="P341" s="237"/>
      <c r="Q341" s="237"/>
      <c r="R341" s="237"/>
      <c r="S341" s="94"/>
      <c r="T341" s="94"/>
      <c r="U341" s="237"/>
      <c r="V341" s="237"/>
      <c r="W341" s="237"/>
      <c r="X341" s="158"/>
    </row>
    <row r="342" s="22" customFormat="1" spans="1:24">
      <c r="A342" s="340"/>
      <c r="B342" s="341"/>
      <c r="C342" s="341"/>
      <c r="D342" s="341"/>
      <c r="E342" s="342"/>
      <c r="F342" s="105"/>
      <c r="G342" s="174"/>
      <c r="H342" s="285"/>
      <c r="I342" s="94"/>
      <c r="J342" s="94"/>
      <c r="K342" s="94"/>
      <c r="L342" s="237"/>
      <c r="M342" s="237"/>
      <c r="N342" s="237"/>
      <c r="O342" s="237"/>
      <c r="P342" s="237"/>
      <c r="Q342" s="237"/>
      <c r="R342" s="237"/>
      <c r="S342" s="94"/>
      <c r="T342" s="94"/>
      <c r="U342" s="237"/>
      <c r="V342" s="237"/>
      <c r="W342" s="237"/>
      <c r="X342" s="158"/>
    </row>
    <row r="343" s="22" customFormat="1" spans="1:24">
      <c r="A343" s="340"/>
      <c r="B343" s="341"/>
      <c r="C343" s="341"/>
      <c r="D343" s="341"/>
      <c r="E343" s="342"/>
      <c r="F343" s="105"/>
      <c r="G343" s="174"/>
      <c r="H343" s="285"/>
      <c r="I343" s="94"/>
      <c r="J343" s="94"/>
      <c r="K343" s="94">
        <f t="shared" ref="K343:K349" si="118">J343+I343</f>
        <v>0</v>
      </c>
      <c r="L343" s="237"/>
      <c r="M343" s="237"/>
      <c r="N343" s="237"/>
      <c r="O343" s="237"/>
      <c r="P343" s="237"/>
      <c r="Q343" s="237"/>
      <c r="R343" s="237"/>
      <c r="S343" s="94"/>
      <c r="T343" s="94"/>
      <c r="U343" s="237"/>
      <c r="V343" s="237"/>
      <c r="W343" s="237"/>
      <c r="X343" s="158"/>
    </row>
    <row r="344" s="22" customFormat="1" spans="1:24">
      <c r="A344" s="340"/>
      <c r="B344" s="341"/>
      <c r="C344" s="341"/>
      <c r="D344" s="341"/>
      <c r="E344" s="342"/>
      <c r="F344" s="105"/>
      <c r="G344" s="174"/>
      <c r="H344" s="285"/>
      <c r="I344" s="94"/>
      <c r="J344" s="94"/>
      <c r="K344" s="94">
        <f t="shared" si="118"/>
        <v>0</v>
      </c>
      <c r="L344" s="237"/>
      <c r="M344" s="237"/>
      <c r="N344" s="237"/>
      <c r="O344" s="237"/>
      <c r="P344" s="237"/>
      <c r="Q344" s="237"/>
      <c r="R344" s="237"/>
      <c r="S344" s="94"/>
      <c r="T344" s="94"/>
      <c r="U344" s="237"/>
      <c r="V344" s="237"/>
      <c r="W344" s="237"/>
      <c r="X344" s="158"/>
    </row>
    <row r="345" s="22" customFormat="1" ht="13.9" spans="1:24">
      <c r="A345" s="166" t="s">
        <v>402</v>
      </c>
      <c r="B345" s="166"/>
      <c r="C345" s="166"/>
      <c r="D345" s="166"/>
      <c r="E345" s="376"/>
      <c r="F345" s="375" t="s">
        <v>296</v>
      </c>
      <c r="G345" s="174" t="s">
        <v>339</v>
      </c>
      <c r="H345" s="285" t="s">
        <v>399</v>
      </c>
      <c r="I345" s="94">
        <v>2369</v>
      </c>
      <c r="J345" s="94"/>
      <c r="K345" s="94">
        <f t="shared" si="118"/>
        <v>2369</v>
      </c>
      <c r="L345" s="237"/>
      <c r="M345" s="237"/>
      <c r="N345" s="237"/>
      <c r="O345" s="237"/>
      <c r="P345" s="237"/>
      <c r="Q345" s="237"/>
      <c r="R345" s="237"/>
      <c r="S345" s="94">
        <f>K345</f>
        <v>2369</v>
      </c>
      <c r="T345" s="94"/>
      <c r="U345" s="237">
        <f>S345</f>
        <v>2369</v>
      </c>
      <c r="V345" s="237"/>
      <c r="W345" s="237">
        <f>S345+T345-U345-V345</f>
        <v>0</v>
      </c>
      <c r="X345" s="158"/>
    </row>
    <row r="346" s="22" customFormat="1" ht="13.9" spans="1:24">
      <c r="A346" s="166"/>
      <c r="B346" s="166"/>
      <c r="C346" s="166"/>
      <c r="D346" s="166"/>
      <c r="E346" s="376"/>
      <c r="F346" s="375" t="s">
        <v>296</v>
      </c>
      <c r="G346" s="174" t="s">
        <v>339</v>
      </c>
      <c r="H346" s="285" t="s">
        <v>368</v>
      </c>
      <c r="I346" s="94">
        <v>705.8</v>
      </c>
      <c r="J346" s="94">
        <f>745.43-705.8</f>
        <v>39.63</v>
      </c>
      <c r="K346" s="94">
        <f t="shared" si="118"/>
        <v>745.43</v>
      </c>
      <c r="L346" s="237"/>
      <c r="M346" s="237"/>
      <c r="N346" s="237"/>
      <c r="O346" s="237"/>
      <c r="P346" s="237"/>
      <c r="Q346" s="237"/>
      <c r="R346" s="237"/>
      <c r="S346" s="94">
        <f>K346</f>
        <v>745.43</v>
      </c>
      <c r="T346" s="94"/>
      <c r="U346" s="237">
        <f>S346</f>
        <v>745.43</v>
      </c>
      <c r="V346" s="237"/>
      <c r="W346" s="237">
        <f>S346+T346-U346-V346</f>
        <v>0</v>
      </c>
      <c r="X346" s="158"/>
    </row>
    <row r="347" s="22" customFormat="1" ht="13.9" spans="1:24">
      <c r="A347" s="166"/>
      <c r="B347" s="166"/>
      <c r="C347" s="166"/>
      <c r="D347" s="166"/>
      <c r="E347" s="376"/>
      <c r="F347" s="375"/>
      <c r="G347" s="174" t="s">
        <v>423</v>
      </c>
      <c r="H347" s="285" t="s">
        <v>399</v>
      </c>
      <c r="I347" s="94">
        <v>1105</v>
      </c>
      <c r="J347" s="94"/>
      <c r="K347" s="94">
        <f t="shared" si="118"/>
        <v>1105</v>
      </c>
      <c r="L347" s="237"/>
      <c r="M347" s="237"/>
      <c r="N347" s="237"/>
      <c r="O347" s="237"/>
      <c r="P347" s="237"/>
      <c r="Q347" s="237"/>
      <c r="R347" s="237"/>
      <c r="S347" s="94"/>
      <c r="T347" s="94"/>
      <c r="U347" s="237"/>
      <c r="V347" s="237"/>
      <c r="W347" s="237"/>
      <c r="X347" s="158"/>
    </row>
    <row r="348" s="22" customFormat="1" ht="13.9" spans="1:24">
      <c r="A348" s="166"/>
      <c r="B348" s="166"/>
      <c r="C348" s="166"/>
      <c r="D348" s="166"/>
      <c r="E348" s="376"/>
      <c r="F348" s="375"/>
      <c r="G348" s="174" t="s">
        <v>423</v>
      </c>
      <c r="H348" s="285" t="s">
        <v>368</v>
      </c>
      <c r="I348" s="94">
        <v>1489.71</v>
      </c>
      <c r="J348" s="94">
        <f>1565.42-1489.71</f>
        <v>75.71</v>
      </c>
      <c r="K348" s="94">
        <f t="shared" si="118"/>
        <v>1565.42</v>
      </c>
      <c r="L348" s="237"/>
      <c r="M348" s="237"/>
      <c r="N348" s="237"/>
      <c r="O348" s="237"/>
      <c r="P348" s="237"/>
      <c r="Q348" s="237"/>
      <c r="R348" s="237"/>
      <c r="S348" s="94"/>
      <c r="T348" s="94"/>
      <c r="U348" s="237"/>
      <c r="V348" s="237"/>
      <c r="W348" s="237"/>
      <c r="X348" s="158"/>
    </row>
    <row r="349" s="22" customFormat="1" ht="13.9" spans="1:24">
      <c r="A349" s="166"/>
      <c r="B349" s="166"/>
      <c r="C349" s="166"/>
      <c r="D349" s="166"/>
      <c r="E349" s="376"/>
      <c r="F349" s="375"/>
      <c r="G349" s="174" t="s">
        <v>478</v>
      </c>
      <c r="H349" s="285" t="s">
        <v>399</v>
      </c>
      <c r="I349" s="94">
        <v>1390</v>
      </c>
      <c r="J349" s="94"/>
      <c r="K349" s="94">
        <f t="shared" si="118"/>
        <v>1390</v>
      </c>
      <c r="L349" s="237"/>
      <c r="M349" s="237"/>
      <c r="N349" s="237"/>
      <c r="O349" s="237"/>
      <c r="P349" s="237"/>
      <c r="Q349" s="237"/>
      <c r="R349" s="237"/>
      <c r="S349" s="94"/>
      <c r="T349" s="94"/>
      <c r="U349" s="237"/>
      <c r="V349" s="237"/>
      <c r="W349" s="237"/>
      <c r="X349" s="158"/>
    </row>
    <row r="350" s="22" customFormat="1" spans="1:24">
      <c r="A350" s="166"/>
      <c r="B350" s="166"/>
      <c r="C350" s="166"/>
      <c r="D350" s="166"/>
      <c r="E350" s="376"/>
      <c r="F350" s="375"/>
      <c r="G350" s="174"/>
      <c r="H350" s="285"/>
      <c r="I350" s="94"/>
      <c r="J350" s="94"/>
      <c r="K350" s="94"/>
      <c r="L350" s="237"/>
      <c r="M350" s="237"/>
      <c r="N350" s="237"/>
      <c r="O350" s="237"/>
      <c r="P350" s="237"/>
      <c r="Q350" s="237"/>
      <c r="R350" s="237"/>
      <c r="S350" s="94"/>
      <c r="T350" s="94"/>
      <c r="U350" s="237"/>
      <c r="V350" s="237"/>
      <c r="W350" s="237"/>
      <c r="X350" s="158"/>
    </row>
    <row r="351" s="22" customFormat="1" spans="1:24">
      <c r="A351" s="166"/>
      <c r="B351" s="166"/>
      <c r="C351" s="166"/>
      <c r="D351" s="166"/>
      <c r="E351" s="376"/>
      <c r="F351" s="375"/>
      <c r="G351" s="174"/>
      <c r="H351" s="285"/>
      <c r="I351" s="94"/>
      <c r="J351" s="94"/>
      <c r="K351" s="94"/>
      <c r="L351" s="237"/>
      <c r="M351" s="237"/>
      <c r="N351" s="237"/>
      <c r="O351" s="237"/>
      <c r="P351" s="237"/>
      <c r="Q351" s="237"/>
      <c r="R351" s="237"/>
      <c r="S351" s="94"/>
      <c r="T351" s="94"/>
      <c r="U351" s="237"/>
      <c r="V351" s="237"/>
      <c r="W351" s="237"/>
      <c r="X351" s="158"/>
    </row>
    <row r="352" s="22" customFormat="1" spans="1:24">
      <c r="A352" s="166"/>
      <c r="B352" s="166"/>
      <c r="C352" s="166"/>
      <c r="D352" s="166"/>
      <c r="E352" s="376"/>
      <c r="F352" s="375"/>
      <c r="G352" s="174"/>
      <c r="H352" s="285"/>
      <c r="I352" s="94"/>
      <c r="J352" s="94"/>
      <c r="K352" s="94"/>
      <c r="L352" s="237"/>
      <c r="M352" s="237"/>
      <c r="N352" s="237"/>
      <c r="O352" s="237"/>
      <c r="P352" s="237"/>
      <c r="Q352" s="237"/>
      <c r="R352" s="237"/>
      <c r="S352" s="94"/>
      <c r="T352" s="94"/>
      <c r="U352" s="237"/>
      <c r="V352" s="237"/>
      <c r="W352" s="237"/>
      <c r="X352" s="158"/>
    </row>
    <row r="353" s="22" customFormat="1" ht="13.9" spans="1:24">
      <c r="A353" s="166"/>
      <c r="B353" s="166"/>
      <c r="C353" s="166"/>
      <c r="D353" s="166"/>
      <c r="E353" s="377" t="s">
        <v>403</v>
      </c>
      <c r="F353" s="375" t="s">
        <v>296</v>
      </c>
      <c r="G353" s="174" t="s">
        <v>339</v>
      </c>
      <c r="H353" s="285" t="s">
        <v>404</v>
      </c>
      <c r="I353" s="94">
        <v>1000</v>
      </c>
      <c r="J353" s="94"/>
      <c r="K353" s="94">
        <f t="shared" ref="K353:K361" si="119">J353+I353</f>
        <v>1000</v>
      </c>
      <c r="L353" s="237"/>
      <c r="M353" s="237"/>
      <c r="N353" s="237"/>
      <c r="O353" s="237"/>
      <c r="P353" s="237"/>
      <c r="Q353" s="237"/>
      <c r="R353" s="237"/>
      <c r="S353" s="94">
        <f>K353</f>
        <v>1000</v>
      </c>
      <c r="T353" s="94"/>
      <c r="U353" s="237">
        <f>S353</f>
        <v>1000</v>
      </c>
      <c r="V353" s="237"/>
      <c r="W353" s="237">
        <f>S353+T353-U353-V353</f>
        <v>0</v>
      </c>
      <c r="X353" s="158"/>
    </row>
    <row r="354" s="22" customFormat="1" ht="13.9" spans="1:24">
      <c r="A354" s="166" t="s">
        <v>405</v>
      </c>
      <c r="B354" s="166"/>
      <c r="C354" s="166"/>
      <c r="D354" s="166"/>
      <c r="E354" s="166"/>
      <c r="F354" s="102" t="s">
        <v>296</v>
      </c>
      <c r="G354" s="174" t="s">
        <v>339</v>
      </c>
      <c r="H354" s="285" t="s">
        <v>404</v>
      </c>
      <c r="I354" s="94">
        <v>1800</v>
      </c>
      <c r="J354" s="94"/>
      <c r="K354" s="94">
        <f t="shared" si="119"/>
        <v>1800</v>
      </c>
      <c r="L354" s="237"/>
      <c r="M354" s="237"/>
      <c r="N354" s="237"/>
      <c r="O354" s="382"/>
      <c r="P354" s="237"/>
      <c r="Q354" s="237"/>
      <c r="R354" s="237"/>
      <c r="S354" s="134">
        <f>K354</f>
        <v>1800</v>
      </c>
      <c r="T354" s="94"/>
      <c r="U354" s="237">
        <f>S354</f>
        <v>1800</v>
      </c>
      <c r="V354" s="237"/>
      <c r="W354" s="237">
        <f>S354+T354-U354-V354</f>
        <v>0</v>
      </c>
      <c r="X354" s="158"/>
    </row>
    <row r="355" s="23" customFormat="1" ht="13.9" spans="1:24">
      <c r="A355" s="166"/>
      <c r="B355" s="166"/>
      <c r="C355" s="166"/>
      <c r="D355" s="166"/>
      <c r="E355" s="166"/>
      <c r="F355" s="102"/>
      <c r="G355" s="174" t="s">
        <v>423</v>
      </c>
      <c r="H355" s="285" t="s">
        <v>399</v>
      </c>
      <c r="I355" s="95">
        <v>3703</v>
      </c>
      <c r="J355" s="95"/>
      <c r="K355" s="94">
        <f t="shared" si="119"/>
        <v>3703</v>
      </c>
      <c r="L355" s="235"/>
      <c r="M355" s="235"/>
      <c r="N355" s="235"/>
      <c r="O355" s="383"/>
      <c r="P355" s="235"/>
      <c r="Q355" s="235"/>
      <c r="R355" s="235"/>
      <c r="S355" s="384"/>
      <c r="T355" s="384"/>
      <c r="U355" s="224"/>
      <c r="V355" s="224"/>
      <c r="W355" s="224"/>
      <c r="X355" s="231"/>
    </row>
    <row r="356" s="23" customFormat="1" spans="1:24">
      <c r="A356" s="166"/>
      <c r="B356" s="166"/>
      <c r="C356" s="166"/>
      <c r="D356" s="166"/>
      <c r="E356" s="166"/>
      <c r="F356" s="102"/>
      <c r="G356" s="52"/>
      <c r="H356" s="68"/>
      <c r="I356" s="95"/>
      <c r="J356" s="95"/>
      <c r="K356" s="94">
        <f t="shared" si="119"/>
        <v>0</v>
      </c>
      <c r="L356" s="235"/>
      <c r="M356" s="235"/>
      <c r="N356" s="235"/>
      <c r="O356" s="383"/>
      <c r="P356" s="235"/>
      <c r="Q356" s="235"/>
      <c r="R356" s="235"/>
      <c r="S356" s="384"/>
      <c r="T356" s="384"/>
      <c r="U356" s="224"/>
      <c r="V356" s="224"/>
      <c r="W356" s="224"/>
      <c r="X356" s="231"/>
    </row>
    <row r="357" s="23" customFormat="1" spans="1:24">
      <c r="A357" s="166"/>
      <c r="B357" s="166"/>
      <c r="C357" s="166"/>
      <c r="D357" s="166"/>
      <c r="E357" s="166"/>
      <c r="F357" s="102"/>
      <c r="G357" s="52"/>
      <c r="H357" s="68"/>
      <c r="I357" s="95"/>
      <c r="J357" s="95"/>
      <c r="K357" s="94">
        <f t="shared" si="119"/>
        <v>0</v>
      </c>
      <c r="L357" s="235"/>
      <c r="M357" s="235"/>
      <c r="N357" s="235"/>
      <c r="O357" s="383"/>
      <c r="P357" s="235"/>
      <c r="Q357" s="235"/>
      <c r="R357" s="235"/>
      <c r="S357" s="384"/>
      <c r="T357" s="384"/>
      <c r="U357" s="224"/>
      <c r="V357" s="224"/>
      <c r="W357" s="224"/>
      <c r="X357" s="231"/>
    </row>
    <row r="358" s="23" customFormat="1" spans="1:24">
      <c r="A358" s="166"/>
      <c r="B358" s="166"/>
      <c r="C358" s="166"/>
      <c r="D358" s="166"/>
      <c r="E358" s="166"/>
      <c r="F358" s="102"/>
      <c r="G358" s="52"/>
      <c r="H358" s="68"/>
      <c r="I358" s="95"/>
      <c r="J358" s="95"/>
      <c r="K358" s="94">
        <f t="shared" si="119"/>
        <v>0</v>
      </c>
      <c r="L358" s="235"/>
      <c r="M358" s="235"/>
      <c r="N358" s="235"/>
      <c r="O358" s="383"/>
      <c r="P358" s="235"/>
      <c r="Q358" s="235"/>
      <c r="R358" s="235"/>
      <c r="S358" s="384"/>
      <c r="T358" s="384"/>
      <c r="U358" s="224"/>
      <c r="V358" s="224"/>
      <c r="W358" s="224"/>
      <c r="X358" s="231"/>
    </row>
    <row r="359" s="23" customFormat="1" spans="1:24">
      <c r="A359" s="166"/>
      <c r="B359" s="166"/>
      <c r="C359" s="166"/>
      <c r="D359" s="166"/>
      <c r="E359" s="166"/>
      <c r="F359" s="102"/>
      <c r="G359" s="52"/>
      <c r="H359" s="68"/>
      <c r="I359" s="95"/>
      <c r="J359" s="95"/>
      <c r="K359" s="94">
        <f t="shared" si="119"/>
        <v>0</v>
      </c>
      <c r="L359" s="235"/>
      <c r="M359" s="235"/>
      <c r="N359" s="235"/>
      <c r="O359" s="383"/>
      <c r="P359" s="235"/>
      <c r="Q359" s="235"/>
      <c r="R359" s="235"/>
      <c r="S359" s="384"/>
      <c r="T359" s="384"/>
      <c r="U359" s="224"/>
      <c r="V359" s="224"/>
      <c r="W359" s="224"/>
      <c r="X359" s="231"/>
    </row>
    <row r="360" s="23" customFormat="1" spans="1:24">
      <c r="A360" s="166"/>
      <c r="B360" s="166"/>
      <c r="C360" s="166"/>
      <c r="D360" s="166"/>
      <c r="E360" s="166"/>
      <c r="F360" s="102"/>
      <c r="G360" s="52"/>
      <c r="H360" s="68"/>
      <c r="I360" s="95"/>
      <c r="J360" s="95"/>
      <c r="K360" s="94">
        <f t="shared" si="119"/>
        <v>0</v>
      </c>
      <c r="L360" s="235"/>
      <c r="M360" s="235"/>
      <c r="N360" s="235"/>
      <c r="O360" s="383"/>
      <c r="P360" s="235"/>
      <c r="Q360" s="235"/>
      <c r="R360" s="235"/>
      <c r="S360" s="384"/>
      <c r="T360" s="384"/>
      <c r="U360" s="224"/>
      <c r="V360" s="224"/>
      <c r="W360" s="224"/>
      <c r="X360" s="231"/>
    </row>
    <row r="361" s="23" customFormat="1" spans="1:24">
      <c r="A361" s="166"/>
      <c r="B361" s="166"/>
      <c r="C361" s="166"/>
      <c r="D361" s="166"/>
      <c r="E361" s="166"/>
      <c r="F361" s="102"/>
      <c r="G361" s="52"/>
      <c r="H361" s="68"/>
      <c r="I361" s="95"/>
      <c r="J361" s="95"/>
      <c r="K361" s="94">
        <f t="shared" si="119"/>
        <v>0</v>
      </c>
      <c r="L361" s="235"/>
      <c r="M361" s="235"/>
      <c r="N361" s="235"/>
      <c r="O361" s="383"/>
      <c r="P361" s="235"/>
      <c r="Q361" s="235"/>
      <c r="R361" s="235"/>
      <c r="S361" s="384"/>
      <c r="T361" s="384"/>
      <c r="U361" s="224"/>
      <c r="V361" s="224"/>
      <c r="W361" s="224"/>
      <c r="X361" s="231"/>
    </row>
    <row r="362" s="23" customFormat="1" spans="1:24">
      <c r="A362" s="166"/>
      <c r="B362" s="166"/>
      <c r="C362" s="166"/>
      <c r="D362" s="166"/>
      <c r="E362" s="166"/>
      <c r="F362" s="102"/>
      <c r="G362" s="52"/>
      <c r="H362" s="68"/>
      <c r="I362" s="95"/>
      <c r="J362" s="95"/>
      <c r="K362" s="95"/>
      <c r="L362" s="235"/>
      <c r="M362" s="235"/>
      <c r="N362" s="235"/>
      <c r="O362" s="383"/>
      <c r="P362" s="235"/>
      <c r="Q362" s="235"/>
      <c r="R362" s="235"/>
      <c r="S362" s="384"/>
      <c r="T362" s="384"/>
      <c r="U362" s="224"/>
      <c r="V362" s="224"/>
      <c r="W362" s="224"/>
      <c r="X362" s="231"/>
    </row>
    <row r="363" s="23" customFormat="1" spans="1:24">
      <c r="A363" s="166"/>
      <c r="B363" s="166"/>
      <c r="C363" s="166"/>
      <c r="D363" s="166"/>
      <c r="E363" s="166"/>
      <c r="F363" s="102"/>
      <c r="G363" s="52"/>
      <c r="H363" s="68"/>
      <c r="I363" s="95"/>
      <c r="J363" s="95"/>
      <c r="K363" s="95"/>
      <c r="L363" s="235"/>
      <c r="M363" s="235"/>
      <c r="N363" s="235"/>
      <c r="O363" s="383"/>
      <c r="P363" s="235"/>
      <c r="Q363" s="235"/>
      <c r="R363" s="235"/>
      <c r="S363" s="384"/>
      <c r="T363" s="384"/>
      <c r="U363" s="224"/>
      <c r="V363" s="224"/>
      <c r="W363" s="224"/>
      <c r="X363" s="231"/>
    </row>
    <row r="364" s="23" customFormat="1" spans="1:24">
      <c r="A364" s="166"/>
      <c r="B364" s="166"/>
      <c r="C364" s="166"/>
      <c r="D364" s="166"/>
      <c r="E364" s="166"/>
      <c r="F364" s="102"/>
      <c r="G364" s="52"/>
      <c r="H364" s="68"/>
      <c r="I364" s="95"/>
      <c r="J364" s="95"/>
      <c r="K364" s="95"/>
      <c r="L364" s="235"/>
      <c r="M364" s="235"/>
      <c r="N364" s="235"/>
      <c r="O364" s="383"/>
      <c r="P364" s="235"/>
      <c r="Q364" s="235"/>
      <c r="R364" s="235"/>
      <c r="S364" s="384"/>
      <c r="T364" s="384"/>
      <c r="U364" s="224"/>
      <c r="V364" s="224"/>
      <c r="W364" s="224"/>
      <c r="X364" s="231"/>
    </row>
    <row r="365" s="23" customFormat="1" spans="1:24">
      <c r="A365" s="341"/>
      <c r="B365" s="341"/>
      <c r="C365" s="341"/>
      <c r="D365" s="341"/>
      <c r="E365" s="378"/>
      <c r="F365" s="379"/>
      <c r="G365" s="380"/>
      <c r="H365" s="381"/>
      <c r="I365" s="384"/>
      <c r="J365" s="384"/>
      <c r="K365" s="384"/>
      <c r="L365" s="224"/>
      <c r="M365" s="224"/>
      <c r="N365" s="224"/>
      <c r="P365" s="224"/>
      <c r="Q365" s="224"/>
      <c r="R365" s="224"/>
      <c r="S365" s="384"/>
      <c r="T365" s="384"/>
      <c r="U365" s="224"/>
      <c r="V365" s="224"/>
      <c r="W365" s="224"/>
      <c r="X365" s="231"/>
    </row>
    <row r="366" spans="19:21">
      <c r="S366" s="29"/>
      <c r="T366" s="29">
        <f>SUM(T313:T354)</f>
        <v>0</v>
      </c>
      <c r="U366" s="29"/>
    </row>
    <row r="367" ht="31" customHeight="1" spans="9:21">
      <c r="I367" s="29">
        <f t="shared" ref="I367:K367" si="120">SUM(I314:I366)</f>
        <v>62524.53</v>
      </c>
      <c r="J367" s="29">
        <f t="shared" si="120"/>
        <v>410.32</v>
      </c>
      <c r="K367" s="29">
        <f t="shared" si="120"/>
        <v>62934.85</v>
      </c>
      <c r="S367" s="29">
        <f t="shared" ref="S367:U367" si="121">SUM(S314:S366)</f>
        <v>17776.43</v>
      </c>
      <c r="T367" s="29">
        <f t="shared" si="121"/>
        <v>0</v>
      </c>
      <c r="U367" s="29">
        <f t="shared" si="121"/>
        <v>17776.43</v>
      </c>
    </row>
    <row r="377" spans="10:10">
      <c r="J377" s="366"/>
    </row>
  </sheetData>
  <mergeCells count="370">
    <mergeCell ref="A1:W1"/>
    <mergeCell ref="I2:K2"/>
    <mergeCell ref="L2:Q2"/>
    <mergeCell ref="S2:T2"/>
    <mergeCell ref="U2:V2"/>
    <mergeCell ref="O3:Q3"/>
    <mergeCell ref="B5:H5"/>
    <mergeCell ref="F26:H26"/>
    <mergeCell ref="F27:H27"/>
    <mergeCell ref="F35:H35"/>
    <mergeCell ref="F36:H36"/>
    <mergeCell ref="F51:H51"/>
    <mergeCell ref="F52:H52"/>
    <mergeCell ref="F60:H60"/>
    <mergeCell ref="F61:H61"/>
    <mergeCell ref="F70:H70"/>
    <mergeCell ref="F71:H71"/>
    <mergeCell ref="G73:H73"/>
    <mergeCell ref="B135:D135"/>
    <mergeCell ref="B192:D192"/>
    <mergeCell ref="B197:H197"/>
    <mergeCell ref="B213:D213"/>
    <mergeCell ref="B215:D215"/>
    <mergeCell ref="B223:D223"/>
    <mergeCell ref="B230:D230"/>
    <mergeCell ref="B235:H235"/>
    <mergeCell ref="B250:D250"/>
    <mergeCell ref="B278:D278"/>
    <mergeCell ref="G280:H280"/>
    <mergeCell ref="O294:Q294"/>
    <mergeCell ref="O297:Q297"/>
    <mergeCell ref="L298:Q298"/>
    <mergeCell ref="I310:K310"/>
    <mergeCell ref="L310:Q310"/>
    <mergeCell ref="S310:T310"/>
    <mergeCell ref="U310:V310"/>
    <mergeCell ref="O311:Q311"/>
    <mergeCell ref="A313:H313"/>
    <mergeCell ref="A2:A4"/>
    <mergeCell ref="A6:A27"/>
    <mergeCell ref="A29:A36"/>
    <mergeCell ref="A37:A52"/>
    <mergeCell ref="A53:A61"/>
    <mergeCell ref="A62:A71"/>
    <mergeCell ref="A72:A73"/>
    <mergeCell ref="A81:A84"/>
    <mergeCell ref="A97:A98"/>
    <mergeCell ref="A99:A100"/>
    <mergeCell ref="A101:A102"/>
    <mergeCell ref="A116:A119"/>
    <mergeCell ref="A120:A124"/>
    <mergeCell ref="A136:A192"/>
    <mergeCell ref="A198:A203"/>
    <mergeCell ref="A209:A210"/>
    <mergeCell ref="A242:A245"/>
    <mergeCell ref="A263:A275"/>
    <mergeCell ref="A310:A312"/>
    <mergeCell ref="B2:B4"/>
    <mergeCell ref="B6:B27"/>
    <mergeCell ref="B29:B36"/>
    <mergeCell ref="B37:B52"/>
    <mergeCell ref="B53:B61"/>
    <mergeCell ref="B62:B71"/>
    <mergeCell ref="B72:B73"/>
    <mergeCell ref="B81:B84"/>
    <mergeCell ref="B97:B98"/>
    <mergeCell ref="B99:B100"/>
    <mergeCell ref="B101:B102"/>
    <mergeCell ref="B198:B203"/>
    <mergeCell ref="B209:B210"/>
    <mergeCell ref="B242:B245"/>
    <mergeCell ref="B310:B312"/>
    <mergeCell ref="C2:C4"/>
    <mergeCell ref="C6:C27"/>
    <mergeCell ref="C29:C36"/>
    <mergeCell ref="C37:C52"/>
    <mergeCell ref="C53:C61"/>
    <mergeCell ref="C62:C71"/>
    <mergeCell ref="C72:C73"/>
    <mergeCell ref="C81:C84"/>
    <mergeCell ref="C97:C98"/>
    <mergeCell ref="C99:C100"/>
    <mergeCell ref="C101:C102"/>
    <mergeCell ref="C198:C203"/>
    <mergeCell ref="C209:C210"/>
    <mergeCell ref="C242:C245"/>
    <mergeCell ref="C310:C312"/>
    <mergeCell ref="D2:D4"/>
    <mergeCell ref="D6:D27"/>
    <mergeCell ref="D29:D36"/>
    <mergeCell ref="D37:D52"/>
    <mergeCell ref="D53:D61"/>
    <mergeCell ref="D62:D71"/>
    <mergeCell ref="D72:D73"/>
    <mergeCell ref="D81:D84"/>
    <mergeCell ref="D97:D98"/>
    <mergeCell ref="D99:D100"/>
    <mergeCell ref="D101:D102"/>
    <mergeCell ref="D198:D203"/>
    <mergeCell ref="D209:D210"/>
    <mergeCell ref="D242:D245"/>
    <mergeCell ref="D310:D312"/>
    <mergeCell ref="E2:E4"/>
    <mergeCell ref="E6:E27"/>
    <mergeCell ref="E29:E36"/>
    <mergeCell ref="E37:E52"/>
    <mergeCell ref="E53:E61"/>
    <mergeCell ref="E62:E71"/>
    <mergeCell ref="E72:E73"/>
    <mergeCell ref="E81:E84"/>
    <mergeCell ref="E99:E100"/>
    <mergeCell ref="E101:E102"/>
    <mergeCell ref="E120:E126"/>
    <mergeCell ref="E136:E142"/>
    <mergeCell ref="E143:E147"/>
    <mergeCell ref="E148:E154"/>
    <mergeCell ref="E156:E157"/>
    <mergeCell ref="E198:E203"/>
    <mergeCell ref="E209:E210"/>
    <mergeCell ref="E216:E222"/>
    <mergeCell ref="E224:E229"/>
    <mergeCell ref="E242:E245"/>
    <mergeCell ref="E269:E274"/>
    <mergeCell ref="E279:E282"/>
    <mergeCell ref="E310:E312"/>
    <mergeCell ref="E345:E352"/>
    <mergeCell ref="F2:F4"/>
    <mergeCell ref="F6:F18"/>
    <mergeCell ref="F19:F25"/>
    <mergeCell ref="F29:F30"/>
    <mergeCell ref="F31:F34"/>
    <mergeCell ref="F37:F44"/>
    <mergeCell ref="F45:F48"/>
    <mergeCell ref="F53:F55"/>
    <mergeCell ref="F56:F59"/>
    <mergeCell ref="F62:F65"/>
    <mergeCell ref="F66:F69"/>
    <mergeCell ref="F72:F73"/>
    <mergeCell ref="F81:F84"/>
    <mergeCell ref="F117:F119"/>
    <mergeCell ref="F120:F122"/>
    <mergeCell ref="F123:F134"/>
    <mergeCell ref="F136:F137"/>
    <mergeCell ref="F138:F142"/>
    <mergeCell ref="F144:F147"/>
    <mergeCell ref="F148:F150"/>
    <mergeCell ref="F151:F155"/>
    <mergeCell ref="F157:F160"/>
    <mergeCell ref="F161:F184"/>
    <mergeCell ref="F198:F203"/>
    <mergeCell ref="F209:F210"/>
    <mergeCell ref="F216:F217"/>
    <mergeCell ref="F218:F222"/>
    <mergeCell ref="F224:F229"/>
    <mergeCell ref="F242:F245"/>
    <mergeCell ref="F264:F268"/>
    <mergeCell ref="F269:F274"/>
    <mergeCell ref="F276:F277"/>
    <mergeCell ref="F278:F289"/>
    <mergeCell ref="F294:F297"/>
    <mergeCell ref="F310:F312"/>
    <mergeCell ref="F314:F321"/>
    <mergeCell ref="F333:F344"/>
    <mergeCell ref="G2:G4"/>
    <mergeCell ref="G6:G7"/>
    <mergeCell ref="G8:G10"/>
    <mergeCell ref="G12:G14"/>
    <mergeCell ref="G15:G18"/>
    <mergeCell ref="G20:G22"/>
    <mergeCell ref="G38:G40"/>
    <mergeCell ref="G42:G43"/>
    <mergeCell ref="G46:G47"/>
    <mergeCell ref="G83:G84"/>
    <mergeCell ref="G120:G122"/>
    <mergeCell ref="G123:G124"/>
    <mergeCell ref="G125:G126"/>
    <mergeCell ref="G127:G128"/>
    <mergeCell ref="G149:G150"/>
    <mergeCell ref="G185:G189"/>
    <mergeCell ref="G199:G202"/>
    <mergeCell ref="G310:G312"/>
    <mergeCell ref="H2:H4"/>
    <mergeCell ref="H6:H7"/>
    <mergeCell ref="H8:H10"/>
    <mergeCell ref="H12:H14"/>
    <mergeCell ref="H15:H18"/>
    <mergeCell ref="H20:H22"/>
    <mergeCell ref="H38:H40"/>
    <mergeCell ref="H42:H43"/>
    <mergeCell ref="H46:H47"/>
    <mergeCell ref="H83:H84"/>
    <mergeCell ref="H199:H202"/>
    <mergeCell ref="H310:H312"/>
    <mergeCell ref="I3:I4"/>
    <mergeCell ref="I63:I65"/>
    <mergeCell ref="I311:I312"/>
    <mergeCell ref="J3:J4"/>
    <mergeCell ref="J6:J7"/>
    <mergeCell ref="J8:J10"/>
    <mergeCell ref="J16:J17"/>
    <mergeCell ref="J38:J40"/>
    <mergeCell ref="J63:J65"/>
    <mergeCell ref="J200:J201"/>
    <mergeCell ref="J311:J312"/>
    <mergeCell ref="K3:K4"/>
    <mergeCell ref="K6:K7"/>
    <mergeCell ref="K8:K10"/>
    <mergeCell ref="K12:K14"/>
    <mergeCell ref="K16:K17"/>
    <mergeCell ref="K20:K22"/>
    <mergeCell ref="K38:K40"/>
    <mergeCell ref="K63:K65"/>
    <mergeCell ref="K311:K312"/>
    <mergeCell ref="L3:L4"/>
    <mergeCell ref="L6:L7"/>
    <mergeCell ref="L8:L10"/>
    <mergeCell ref="L12:L14"/>
    <mergeCell ref="L15:L18"/>
    <mergeCell ref="L38:L40"/>
    <mergeCell ref="L42:L43"/>
    <mergeCell ref="L63:L65"/>
    <mergeCell ref="L199:L202"/>
    <mergeCell ref="L311:L312"/>
    <mergeCell ref="M3:M4"/>
    <mergeCell ref="M6:M7"/>
    <mergeCell ref="M8:M10"/>
    <mergeCell ref="M12:M14"/>
    <mergeCell ref="M15:M18"/>
    <mergeCell ref="M38:M40"/>
    <mergeCell ref="M42:M43"/>
    <mergeCell ref="M63:M65"/>
    <mergeCell ref="M199:M202"/>
    <mergeCell ref="M311:M312"/>
    <mergeCell ref="N3:N4"/>
    <mergeCell ref="N6:N7"/>
    <mergeCell ref="N8:N10"/>
    <mergeCell ref="N12:N14"/>
    <mergeCell ref="N15:N18"/>
    <mergeCell ref="N38:N40"/>
    <mergeCell ref="N42:N43"/>
    <mergeCell ref="N63:N65"/>
    <mergeCell ref="N199:N202"/>
    <mergeCell ref="N311:N312"/>
    <mergeCell ref="O6:O7"/>
    <mergeCell ref="O8:O10"/>
    <mergeCell ref="O12:O14"/>
    <mergeCell ref="O15:O18"/>
    <mergeCell ref="O38:O40"/>
    <mergeCell ref="O42:O43"/>
    <mergeCell ref="O63:O65"/>
    <mergeCell ref="O199:O202"/>
    <mergeCell ref="P6:P7"/>
    <mergeCell ref="P8:P10"/>
    <mergeCell ref="P12:P14"/>
    <mergeCell ref="P15:P18"/>
    <mergeCell ref="P38:P40"/>
    <mergeCell ref="P42:P43"/>
    <mergeCell ref="P63:P65"/>
    <mergeCell ref="P199:P202"/>
    <mergeCell ref="Q6:Q7"/>
    <mergeCell ref="Q8:Q10"/>
    <mergeCell ref="Q12:Q14"/>
    <mergeCell ref="Q15:Q18"/>
    <mergeCell ref="Q38:Q40"/>
    <mergeCell ref="Q42:Q43"/>
    <mergeCell ref="Q63:Q65"/>
    <mergeCell ref="Q199:Q202"/>
    <mergeCell ref="R2:R3"/>
    <mergeCell ref="R6:R7"/>
    <mergeCell ref="R8:R10"/>
    <mergeCell ref="R12:R14"/>
    <mergeCell ref="R15:R18"/>
    <mergeCell ref="R38:R40"/>
    <mergeCell ref="R42:R43"/>
    <mergeCell ref="R63:R65"/>
    <mergeCell ref="R199:R202"/>
    <mergeCell ref="R310:R311"/>
    <mergeCell ref="S6:S7"/>
    <mergeCell ref="S8:S10"/>
    <mergeCell ref="S12:S14"/>
    <mergeCell ref="S15:S18"/>
    <mergeCell ref="S38:S40"/>
    <mergeCell ref="S42:S43"/>
    <mergeCell ref="S63:S65"/>
    <mergeCell ref="S97:S98"/>
    <mergeCell ref="S99:S100"/>
    <mergeCell ref="S101:S102"/>
    <mergeCell ref="S199:S202"/>
    <mergeCell ref="T6:T7"/>
    <mergeCell ref="T8:T10"/>
    <mergeCell ref="T12:T14"/>
    <mergeCell ref="T15:T18"/>
    <mergeCell ref="T38:T40"/>
    <mergeCell ref="T42:T43"/>
    <mergeCell ref="T46:T47"/>
    <mergeCell ref="T63:T65"/>
    <mergeCell ref="T97:T98"/>
    <mergeCell ref="T99:T100"/>
    <mergeCell ref="T101:T102"/>
    <mergeCell ref="T199:T202"/>
    <mergeCell ref="U6:U7"/>
    <mergeCell ref="U8:U10"/>
    <mergeCell ref="U12:U14"/>
    <mergeCell ref="U15:U18"/>
    <mergeCell ref="U38:U40"/>
    <mergeCell ref="U42:U43"/>
    <mergeCell ref="U46:U47"/>
    <mergeCell ref="U63:U64"/>
    <mergeCell ref="U97:U98"/>
    <mergeCell ref="U199:U202"/>
    <mergeCell ref="V6:V7"/>
    <mergeCell ref="V8:V10"/>
    <mergeCell ref="V12:V14"/>
    <mergeCell ref="V15:V18"/>
    <mergeCell ref="V38:V40"/>
    <mergeCell ref="V42:V43"/>
    <mergeCell ref="V46:V47"/>
    <mergeCell ref="V63:V65"/>
    <mergeCell ref="V97:V98"/>
    <mergeCell ref="V99:V100"/>
    <mergeCell ref="V101:V102"/>
    <mergeCell ref="V199:V202"/>
    <mergeCell ref="W2:W3"/>
    <mergeCell ref="W6:W7"/>
    <mergeCell ref="W8:W10"/>
    <mergeCell ref="W12:W14"/>
    <mergeCell ref="W15:W18"/>
    <mergeCell ref="W38:W40"/>
    <mergeCell ref="W42:W43"/>
    <mergeCell ref="W46:W47"/>
    <mergeCell ref="W63:W65"/>
    <mergeCell ref="W97:W98"/>
    <mergeCell ref="W199:W202"/>
    <mergeCell ref="W310:W311"/>
    <mergeCell ref="X2:X3"/>
    <mergeCell ref="X6:X7"/>
    <mergeCell ref="X8:X10"/>
    <mergeCell ref="X12:X14"/>
    <mergeCell ref="X15:X18"/>
    <mergeCell ref="X42:X43"/>
    <mergeCell ref="X63:X65"/>
    <mergeCell ref="X97:X98"/>
    <mergeCell ref="X193:X194"/>
    <mergeCell ref="X199:X202"/>
    <mergeCell ref="X231:X232"/>
    <mergeCell ref="X290:X291"/>
    <mergeCell ref="X310:X311"/>
    <mergeCell ref="B116:D119"/>
    <mergeCell ref="B120:D134"/>
    <mergeCell ref="B136:D142"/>
    <mergeCell ref="B143:D147"/>
    <mergeCell ref="B148:D155"/>
    <mergeCell ref="B156:D160"/>
    <mergeCell ref="B161:D184"/>
    <mergeCell ref="A193:F194"/>
    <mergeCell ref="B216:D222"/>
    <mergeCell ref="B224:D229"/>
    <mergeCell ref="A231:F232"/>
    <mergeCell ref="B263:D268"/>
    <mergeCell ref="B269:D274"/>
    <mergeCell ref="B275:D277"/>
    <mergeCell ref="B279:D282"/>
    <mergeCell ref="B283:D289"/>
    <mergeCell ref="A290:F291"/>
    <mergeCell ref="A294:E297"/>
    <mergeCell ref="A314:E321"/>
    <mergeCell ref="A322:E332"/>
    <mergeCell ref="A333:E344"/>
    <mergeCell ref="A345:D353"/>
    <mergeCell ref="A354:E364"/>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59"/>
  <sheetViews>
    <sheetView topLeftCell="A97" workbookViewId="0">
      <selection activeCell="H130" sqref="H130"/>
    </sheetView>
  </sheetViews>
  <sheetFormatPr defaultColWidth="9" defaultRowHeight="13.5"/>
  <cols>
    <col min="1" max="1" width="5.375" style="1" customWidth="1"/>
    <col min="2" max="2" width="4.375" style="1" customWidth="1"/>
    <col min="3" max="3" width="21.25" style="1" customWidth="1"/>
    <col min="4" max="4" width="11.5" style="1" customWidth="1"/>
    <col min="5" max="5" width="11.875" style="1" customWidth="1"/>
    <col min="6" max="6" width="44.375" style="1" customWidth="1"/>
    <col min="7" max="7" width="46" style="1" customWidth="1"/>
    <col min="8" max="8" width="45.25" style="1" customWidth="1"/>
    <col min="9" max="9" width="27.5" style="1" customWidth="1"/>
    <col min="10" max="11" width="11.5" style="1" customWidth="1"/>
    <col min="12" max="12" width="16" style="1" customWidth="1"/>
    <col min="13" max="16384" width="9" style="1"/>
  </cols>
  <sheetData>
    <row r="1" s="1" customFormat="1" spans="1:12">
      <c r="A1" s="2" t="s">
        <v>284</v>
      </c>
      <c r="B1" s="2" t="s">
        <v>498</v>
      </c>
      <c r="C1" s="2" t="s">
        <v>499</v>
      </c>
      <c r="D1" s="2" t="s">
        <v>7</v>
      </c>
      <c r="E1" s="2" t="s">
        <v>500</v>
      </c>
      <c r="F1" s="2" t="s">
        <v>501</v>
      </c>
      <c r="G1" s="2" t="s">
        <v>502</v>
      </c>
      <c r="H1" s="2" t="s">
        <v>503</v>
      </c>
      <c r="I1" s="2" t="s">
        <v>504</v>
      </c>
      <c r="J1" s="4" t="s">
        <v>505</v>
      </c>
      <c r="K1" s="4" t="s">
        <v>506</v>
      </c>
      <c r="L1" s="4" t="s">
        <v>507</v>
      </c>
    </row>
    <row r="2" s="1" customFormat="1" spans="1:12">
      <c r="A2" s="3" t="s">
        <v>508</v>
      </c>
      <c r="B2" s="3" t="s">
        <v>509</v>
      </c>
      <c r="C2" s="3" t="s">
        <v>510</v>
      </c>
      <c r="D2" s="3" t="s">
        <v>511</v>
      </c>
      <c r="E2" s="3" t="s">
        <v>512</v>
      </c>
      <c r="F2" s="3" t="s">
        <v>513</v>
      </c>
      <c r="G2" s="3" t="s">
        <v>514</v>
      </c>
      <c r="H2" s="3" t="s">
        <v>514</v>
      </c>
      <c r="I2" s="3" t="s">
        <v>515</v>
      </c>
      <c r="J2" s="5">
        <v>45207</v>
      </c>
      <c r="K2" s="5">
        <v>45207</v>
      </c>
      <c r="L2" s="6">
        <v>26478900.92</v>
      </c>
    </row>
    <row r="3" s="1" customFormat="1" spans="1:12">
      <c r="A3" s="3" t="s">
        <v>508</v>
      </c>
      <c r="B3" s="3" t="s">
        <v>509</v>
      </c>
      <c r="C3" s="3" t="s">
        <v>516</v>
      </c>
      <c r="D3" s="3" t="s">
        <v>517</v>
      </c>
      <c r="E3" s="3" t="s">
        <v>512</v>
      </c>
      <c r="F3" s="3" t="s">
        <v>513</v>
      </c>
      <c r="G3" s="3" t="s">
        <v>60</v>
      </c>
      <c r="H3" s="3" t="s">
        <v>60</v>
      </c>
      <c r="I3" s="3" t="s">
        <v>515</v>
      </c>
      <c r="J3" s="5">
        <v>45224</v>
      </c>
      <c r="K3" s="5">
        <v>45224</v>
      </c>
      <c r="L3" s="6">
        <v>3153077.71</v>
      </c>
    </row>
    <row r="4" s="1" customFormat="1" spans="1:12">
      <c r="A4" s="3" t="s">
        <v>508</v>
      </c>
      <c r="B4" s="3" t="s">
        <v>518</v>
      </c>
      <c r="C4" s="3" t="s">
        <v>519</v>
      </c>
      <c r="D4" s="3" t="s">
        <v>520</v>
      </c>
      <c r="E4" s="3" t="s">
        <v>512</v>
      </c>
      <c r="F4" s="3" t="s">
        <v>513</v>
      </c>
      <c r="G4" s="3" t="s">
        <v>64</v>
      </c>
      <c r="H4" s="3" t="s">
        <v>64</v>
      </c>
      <c r="I4" s="3" t="s">
        <v>515</v>
      </c>
      <c r="J4" s="5">
        <v>45279</v>
      </c>
      <c r="K4" s="5">
        <v>45279</v>
      </c>
      <c r="L4" s="6">
        <v>2877914.34</v>
      </c>
    </row>
    <row r="5" s="1" customFormat="1" spans="1:12">
      <c r="A5" s="3" t="s">
        <v>508</v>
      </c>
      <c r="B5" s="3" t="s">
        <v>518</v>
      </c>
      <c r="C5" s="3" t="s">
        <v>519</v>
      </c>
      <c r="D5" s="3" t="s">
        <v>520</v>
      </c>
      <c r="E5" s="3" t="s">
        <v>512</v>
      </c>
      <c r="F5" s="3" t="s">
        <v>513</v>
      </c>
      <c r="G5" s="3" t="s">
        <v>64</v>
      </c>
      <c r="H5" s="3" t="s">
        <v>64</v>
      </c>
      <c r="I5" s="3" t="s">
        <v>515</v>
      </c>
      <c r="J5" s="5">
        <v>45279</v>
      </c>
      <c r="K5" s="5">
        <v>45279</v>
      </c>
      <c r="L5" s="6">
        <v>12612310.83</v>
      </c>
    </row>
    <row r="6" s="1" customFormat="1" spans="1:12">
      <c r="A6" s="3" t="s">
        <v>521</v>
      </c>
      <c r="B6" s="3" t="s">
        <v>522</v>
      </c>
      <c r="C6" s="3" t="s">
        <v>523</v>
      </c>
      <c r="D6" s="3" t="s">
        <v>524</v>
      </c>
      <c r="E6" s="3" t="s">
        <v>512</v>
      </c>
      <c r="F6" s="3" t="s">
        <v>513</v>
      </c>
      <c r="G6" s="3" t="s">
        <v>525</v>
      </c>
      <c r="H6" s="3" t="s">
        <v>526</v>
      </c>
      <c r="I6" s="3" t="s">
        <v>527</v>
      </c>
      <c r="J6" s="5">
        <v>45351</v>
      </c>
      <c r="K6" s="5">
        <v>45345</v>
      </c>
      <c r="L6" s="6">
        <v>954776.18</v>
      </c>
    </row>
    <row r="7" s="1" customFormat="1" spans="1:12">
      <c r="A7" s="3" t="s">
        <v>508</v>
      </c>
      <c r="B7" s="3" t="s">
        <v>518</v>
      </c>
      <c r="C7" s="3" t="s">
        <v>528</v>
      </c>
      <c r="D7" s="3" t="s">
        <v>529</v>
      </c>
      <c r="E7" s="3" t="s">
        <v>512</v>
      </c>
      <c r="F7" s="3" t="s">
        <v>513</v>
      </c>
      <c r="G7" s="3" t="s">
        <v>525</v>
      </c>
      <c r="H7" s="3" t="s">
        <v>526</v>
      </c>
      <c r="I7" s="3" t="s">
        <v>527</v>
      </c>
      <c r="J7" s="5">
        <v>45291</v>
      </c>
      <c r="K7" s="5">
        <v>45288</v>
      </c>
      <c r="L7" s="6">
        <v>-24763113.32</v>
      </c>
    </row>
    <row r="8" s="1" customFormat="1" spans="1:12">
      <c r="A8" s="3" t="s">
        <v>521</v>
      </c>
      <c r="B8" s="3" t="s">
        <v>530</v>
      </c>
      <c r="C8" s="3" t="s">
        <v>472</v>
      </c>
      <c r="D8" s="3" t="s">
        <v>531</v>
      </c>
      <c r="E8" s="3" t="s">
        <v>512</v>
      </c>
      <c r="F8" s="3" t="s">
        <v>513</v>
      </c>
      <c r="G8" s="3" t="s">
        <v>473</v>
      </c>
      <c r="H8" s="3" t="s">
        <v>473</v>
      </c>
      <c r="I8" s="3" t="s">
        <v>515</v>
      </c>
      <c r="J8" s="5">
        <v>45460</v>
      </c>
      <c r="K8" s="5">
        <v>45460</v>
      </c>
      <c r="L8" s="6">
        <v>2752293.58</v>
      </c>
    </row>
    <row r="9" s="1" customFormat="1" spans="1:12">
      <c r="A9" s="3" t="s">
        <v>521</v>
      </c>
      <c r="B9" s="3" t="s">
        <v>530</v>
      </c>
      <c r="C9" s="3" t="s">
        <v>474</v>
      </c>
      <c r="D9" s="3" t="s">
        <v>532</v>
      </c>
      <c r="E9" s="3" t="s">
        <v>512</v>
      </c>
      <c r="F9" s="3" t="s">
        <v>513</v>
      </c>
      <c r="G9" s="3" t="s">
        <v>475</v>
      </c>
      <c r="H9" s="3" t="s">
        <v>475</v>
      </c>
      <c r="I9" s="3" t="s">
        <v>533</v>
      </c>
      <c r="J9" s="5">
        <v>45460</v>
      </c>
      <c r="K9" s="5">
        <v>45460</v>
      </c>
      <c r="L9" s="6">
        <v>8577309.74</v>
      </c>
    </row>
    <row r="10" s="1" customFormat="1" spans="1:12">
      <c r="A10" s="3" t="s">
        <v>521</v>
      </c>
      <c r="B10" s="3" t="s">
        <v>530</v>
      </c>
      <c r="C10" s="3" t="s">
        <v>470</v>
      </c>
      <c r="D10" s="3" t="s">
        <v>534</v>
      </c>
      <c r="E10" s="3" t="s">
        <v>512</v>
      </c>
      <c r="F10" s="3" t="s">
        <v>513</v>
      </c>
      <c r="G10" s="3" t="s">
        <v>471</v>
      </c>
      <c r="H10" s="3" t="s">
        <v>471</v>
      </c>
      <c r="I10" s="3" t="s">
        <v>533</v>
      </c>
      <c r="J10" s="5">
        <v>45461</v>
      </c>
      <c r="K10" s="5">
        <v>45461</v>
      </c>
      <c r="L10" s="6">
        <v>4702774.53</v>
      </c>
    </row>
    <row r="11" s="1" customFormat="1" spans="1:12">
      <c r="A11" s="3" t="s">
        <v>521</v>
      </c>
      <c r="B11" s="3" t="s">
        <v>522</v>
      </c>
      <c r="C11" s="3" t="s">
        <v>330</v>
      </c>
      <c r="D11" s="3" t="s">
        <v>535</v>
      </c>
      <c r="E11" s="3" t="s">
        <v>512</v>
      </c>
      <c r="F11" s="3" t="s">
        <v>513</v>
      </c>
      <c r="G11" s="3" t="s">
        <v>331</v>
      </c>
      <c r="H11" s="3" t="s">
        <v>331</v>
      </c>
      <c r="I11" s="3" t="s">
        <v>515</v>
      </c>
      <c r="J11" s="5">
        <v>45327</v>
      </c>
      <c r="K11" s="5">
        <v>45327</v>
      </c>
      <c r="L11" s="6">
        <v>8318111.97</v>
      </c>
    </row>
    <row r="12" s="1" customFormat="1" spans="1:12">
      <c r="A12" s="3" t="s">
        <v>521</v>
      </c>
      <c r="B12" s="3" t="s">
        <v>522</v>
      </c>
      <c r="C12" s="3" t="s">
        <v>328</v>
      </c>
      <c r="D12" s="3" t="s">
        <v>536</v>
      </c>
      <c r="E12" s="3" t="s">
        <v>512</v>
      </c>
      <c r="F12" s="3" t="s">
        <v>513</v>
      </c>
      <c r="G12" s="3" t="s">
        <v>537</v>
      </c>
      <c r="H12" s="3" t="s">
        <v>537</v>
      </c>
      <c r="I12" s="3" t="s">
        <v>533</v>
      </c>
      <c r="J12" s="5">
        <v>45329</v>
      </c>
      <c r="K12" s="5">
        <v>45281</v>
      </c>
      <c r="L12" s="6">
        <v>-9272888.15</v>
      </c>
    </row>
    <row r="13" s="1" customFormat="1" spans="1:12">
      <c r="A13" s="3" t="s">
        <v>508</v>
      </c>
      <c r="B13" s="3" t="s">
        <v>518</v>
      </c>
      <c r="C13" s="3" t="s">
        <v>65</v>
      </c>
      <c r="D13" s="3" t="s">
        <v>538</v>
      </c>
      <c r="E13" s="3" t="s">
        <v>512</v>
      </c>
      <c r="F13" s="3" t="s">
        <v>513</v>
      </c>
      <c r="G13" s="3" t="s">
        <v>539</v>
      </c>
      <c r="H13" s="3" t="s">
        <v>539</v>
      </c>
      <c r="I13" s="3" t="s">
        <v>533</v>
      </c>
      <c r="J13" s="5">
        <v>45281</v>
      </c>
      <c r="K13" s="5">
        <v>45281</v>
      </c>
      <c r="L13" s="6">
        <v>9272888.15</v>
      </c>
    </row>
    <row r="14" s="1" customFormat="1" spans="1:12">
      <c r="A14" s="3" t="s">
        <v>508</v>
      </c>
      <c r="B14" s="3" t="s">
        <v>509</v>
      </c>
      <c r="C14" s="3" t="s">
        <v>540</v>
      </c>
      <c r="D14" s="3" t="s">
        <v>541</v>
      </c>
      <c r="E14" s="3" t="s">
        <v>512</v>
      </c>
      <c r="F14" s="3" t="s">
        <v>513</v>
      </c>
      <c r="G14" s="3" t="s">
        <v>525</v>
      </c>
      <c r="H14" s="3" t="s">
        <v>526</v>
      </c>
      <c r="I14" s="3" t="s">
        <v>527</v>
      </c>
      <c r="J14" s="5">
        <v>45230</v>
      </c>
      <c r="K14" s="5">
        <v>45225</v>
      </c>
      <c r="L14" s="6">
        <v>-29631978.63</v>
      </c>
    </row>
    <row r="15" s="1" customFormat="1" spans="1:12">
      <c r="A15" s="3" t="s">
        <v>508</v>
      </c>
      <c r="B15" s="3" t="s">
        <v>542</v>
      </c>
      <c r="C15" s="3" t="s">
        <v>543</v>
      </c>
      <c r="D15" s="3" t="s">
        <v>544</v>
      </c>
      <c r="E15" s="3" t="s">
        <v>545</v>
      </c>
      <c r="F15" s="3" t="s">
        <v>546</v>
      </c>
      <c r="G15" s="3" t="s">
        <v>547</v>
      </c>
      <c r="H15" s="3" t="s">
        <v>547</v>
      </c>
      <c r="I15" s="3" t="s">
        <v>515</v>
      </c>
      <c r="J15" s="5">
        <v>45238</v>
      </c>
      <c r="K15" s="5">
        <v>45238</v>
      </c>
      <c r="L15" s="6">
        <v>9999999</v>
      </c>
    </row>
    <row r="16" s="1" customFormat="1" spans="1:12">
      <c r="A16" s="3" t="s">
        <v>508</v>
      </c>
      <c r="B16" s="3" t="s">
        <v>542</v>
      </c>
      <c r="C16" s="3" t="s">
        <v>543</v>
      </c>
      <c r="D16" s="3" t="s">
        <v>544</v>
      </c>
      <c r="E16" s="3" t="s">
        <v>545</v>
      </c>
      <c r="F16" s="3" t="s">
        <v>546</v>
      </c>
      <c r="G16" s="3" t="s">
        <v>547</v>
      </c>
      <c r="H16" s="3" t="s">
        <v>547</v>
      </c>
      <c r="I16" s="3" t="s">
        <v>515</v>
      </c>
      <c r="J16" s="5">
        <v>45238</v>
      </c>
      <c r="K16" s="5">
        <v>45238</v>
      </c>
      <c r="L16" s="6">
        <v>7013045.58</v>
      </c>
    </row>
    <row r="17" s="1" customFormat="1" spans="1:12">
      <c r="A17" s="3" t="s">
        <v>508</v>
      </c>
      <c r="B17" s="3" t="s">
        <v>542</v>
      </c>
      <c r="C17" s="3" t="s">
        <v>543</v>
      </c>
      <c r="D17" s="3" t="s">
        <v>544</v>
      </c>
      <c r="E17" s="3" t="s">
        <v>545</v>
      </c>
      <c r="F17" s="3" t="s">
        <v>546</v>
      </c>
      <c r="G17" s="3" t="s">
        <v>547</v>
      </c>
      <c r="H17" s="3" t="s">
        <v>547</v>
      </c>
      <c r="I17" s="3" t="s">
        <v>515</v>
      </c>
      <c r="J17" s="5">
        <v>45238</v>
      </c>
      <c r="K17" s="5">
        <v>45238</v>
      </c>
      <c r="L17" s="6">
        <v>9999999</v>
      </c>
    </row>
    <row r="18" s="1" customFormat="1" spans="1:12">
      <c r="A18" s="3" t="s">
        <v>508</v>
      </c>
      <c r="B18" s="3" t="s">
        <v>518</v>
      </c>
      <c r="C18" s="3" t="s">
        <v>548</v>
      </c>
      <c r="D18" s="3" t="s">
        <v>549</v>
      </c>
      <c r="E18" s="3" t="s">
        <v>545</v>
      </c>
      <c r="F18" s="3" t="s">
        <v>546</v>
      </c>
      <c r="G18" s="3" t="s">
        <v>43</v>
      </c>
      <c r="H18" s="3" t="s">
        <v>43</v>
      </c>
      <c r="I18" s="3" t="s">
        <v>515</v>
      </c>
      <c r="J18" s="5">
        <v>45265</v>
      </c>
      <c r="K18" s="5">
        <v>45265</v>
      </c>
      <c r="L18" s="6">
        <v>3193650.73</v>
      </c>
    </row>
    <row r="19" s="1" customFormat="1" spans="1:12">
      <c r="A19" s="3" t="s">
        <v>508</v>
      </c>
      <c r="B19" s="3" t="s">
        <v>518</v>
      </c>
      <c r="C19" s="3" t="s">
        <v>548</v>
      </c>
      <c r="D19" s="3" t="s">
        <v>549</v>
      </c>
      <c r="E19" s="3" t="s">
        <v>545</v>
      </c>
      <c r="F19" s="3" t="s">
        <v>546</v>
      </c>
      <c r="G19" s="3" t="s">
        <v>43</v>
      </c>
      <c r="H19" s="3" t="s">
        <v>43</v>
      </c>
      <c r="I19" s="3" t="s">
        <v>515</v>
      </c>
      <c r="J19" s="5">
        <v>45265</v>
      </c>
      <c r="K19" s="5">
        <v>45265</v>
      </c>
      <c r="L19" s="6">
        <v>990566.04</v>
      </c>
    </row>
    <row r="20" s="1" customFormat="1" spans="1:12">
      <c r="A20" s="3" t="s">
        <v>508</v>
      </c>
      <c r="B20" s="3" t="s">
        <v>518</v>
      </c>
      <c r="C20" s="3" t="s">
        <v>548</v>
      </c>
      <c r="D20" s="3" t="s">
        <v>549</v>
      </c>
      <c r="E20" s="3" t="s">
        <v>545</v>
      </c>
      <c r="F20" s="3" t="s">
        <v>546</v>
      </c>
      <c r="G20" s="3" t="s">
        <v>43</v>
      </c>
      <c r="H20" s="3" t="s">
        <v>43</v>
      </c>
      <c r="I20" s="3" t="s">
        <v>550</v>
      </c>
      <c r="J20" s="5">
        <v>45265</v>
      </c>
      <c r="K20" s="5">
        <v>45265</v>
      </c>
      <c r="L20" s="6">
        <v>9877809.73</v>
      </c>
    </row>
    <row r="21" s="1" customFormat="1" spans="1:12">
      <c r="A21" s="3" t="s">
        <v>508</v>
      </c>
      <c r="B21" s="3" t="s">
        <v>518</v>
      </c>
      <c r="C21" s="3" t="s">
        <v>551</v>
      </c>
      <c r="D21" s="3" t="s">
        <v>552</v>
      </c>
      <c r="E21" s="3" t="s">
        <v>545</v>
      </c>
      <c r="F21" s="3" t="s">
        <v>546</v>
      </c>
      <c r="G21" s="3" t="s">
        <v>553</v>
      </c>
      <c r="H21" s="3" t="s">
        <v>553</v>
      </c>
      <c r="I21" s="3" t="s">
        <v>515</v>
      </c>
      <c r="J21" s="5">
        <v>45280</v>
      </c>
      <c r="K21" s="5">
        <v>45280</v>
      </c>
      <c r="L21" s="6">
        <v>1684264.97</v>
      </c>
    </row>
    <row r="22" s="1" customFormat="1" spans="1:12">
      <c r="A22" s="3" t="s">
        <v>508</v>
      </c>
      <c r="B22" s="3" t="s">
        <v>518</v>
      </c>
      <c r="C22" s="3" t="s">
        <v>551</v>
      </c>
      <c r="D22" s="3" t="s">
        <v>552</v>
      </c>
      <c r="E22" s="3" t="s">
        <v>545</v>
      </c>
      <c r="F22" s="3" t="s">
        <v>546</v>
      </c>
      <c r="G22" s="3" t="s">
        <v>553</v>
      </c>
      <c r="H22" s="3" t="s">
        <v>553</v>
      </c>
      <c r="I22" s="3" t="s">
        <v>515</v>
      </c>
      <c r="J22" s="5">
        <v>45280</v>
      </c>
      <c r="K22" s="5">
        <v>45280</v>
      </c>
      <c r="L22" s="6">
        <v>9174311.93</v>
      </c>
    </row>
    <row r="23" s="1" customFormat="1" spans="1:12">
      <c r="A23" s="3" t="s">
        <v>508</v>
      </c>
      <c r="B23" s="3" t="s">
        <v>518</v>
      </c>
      <c r="C23" s="3" t="s">
        <v>551</v>
      </c>
      <c r="D23" s="3" t="s">
        <v>552</v>
      </c>
      <c r="E23" s="3" t="s">
        <v>545</v>
      </c>
      <c r="F23" s="3" t="s">
        <v>546</v>
      </c>
      <c r="G23" s="3" t="s">
        <v>553</v>
      </c>
      <c r="H23" s="3" t="s">
        <v>553</v>
      </c>
      <c r="I23" s="3" t="s">
        <v>550</v>
      </c>
      <c r="J23" s="5">
        <v>45280</v>
      </c>
      <c r="K23" s="5">
        <v>45280</v>
      </c>
      <c r="L23" s="6">
        <v>3170698.41</v>
      </c>
    </row>
    <row r="24" s="1" customFormat="1" spans="1:12">
      <c r="A24" s="3" t="s">
        <v>508</v>
      </c>
      <c r="B24" s="3" t="s">
        <v>518</v>
      </c>
      <c r="C24" s="3" t="s">
        <v>554</v>
      </c>
      <c r="D24" s="3" t="s">
        <v>555</v>
      </c>
      <c r="E24" s="3" t="s">
        <v>545</v>
      </c>
      <c r="F24" s="3" t="s">
        <v>546</v>
      </c>
      <c r="G24" s="3" t="s">
        <v>525</v>
      </c>
      <c r="H24" s="3" t="s">
        <v>556</v>
      </c>
      <c r="I24" s="3" t="s">
        <v>527</v>
      </c>
      <c r="J24" s="5">
        <v>45291</v>
      </c>
      <c r="K24" s="5">
        <v>45288</v>
      </c>
      <c r="L24" s="6">
        <v>-28091301.81</v>
      </c>
    </row>
    <row r="25" s="1" customFormat="1" spans="1:12">
      <c r="A25" s="3" t="s">
        <v>508</v>
      </c>
      <c r="B25" s="3" t="s">
        <v>542</v>
      </c>
      <c r="C25" s="3" t="s">
        <v>557</v>
      </c>
      <c r="D25" s="3" t="s">
        <v>558</v>
      </c>
      <c r="E25" s="3" t="s">
        <v>545</v>
      </c>
      <c r="F25" s="3" t="s">
        <v>546</v>
      </c>
      <c r="G25" s="3" t="s">
        <v>525</v>
      </c>
      <c r="H25" s="3" t="s">
        <v>556</v>
      </c>
      <c r="I25" s="3" t="s">
        <v>527</v>
      </c>
      <c r="J25" s="5">
        <v>45260</v>
      </c>
      <c r="K25" s="5">
        <v>45254</v>
      </c>
      <c r="L25" s="6">
        <v>-38235135.51</v>
      </c>
    </row>
    <row r="26" s="1" customFormat="1" spans="1:12">
      <c r="A26" s="3" t="s">
        <v>508</v>
      </c>
      <c r="B26" s="3" t="s">
        <v>542</v>
      </c>
      <c r="C26" s="3" t="s">
        <v>559</v>
      </c>
      <c r="D26" s="3" t="s">
        <v>560</v>
      </c>
      <c r="E26" s="3" t="s">
        <v>545</v>
      </c>
      <c r="F26" s="3" t="s">
        <v>546</v>
      </c>
      <c r="G26" s="3" t="s">
        <v>561</v>
      </c>
      <c r="H26" s="3" t="s">
        <v>561</v>
      </c>
      <c r="I26" s="3" t="s">
        <v>550</v>
      </c>
      <c r="J26" s="5">
        <v>45246</v>
      </c>
      <c r="K26" s="5">
        <v>45246</v>
      </c>
      <c r="L26" s="6">
        <v>11222091.93</v>
      </c>
    </row>
    <row r="27" s="1" customFormat="1" spans="1:12">
      <c r="A27" s="3" t="s">
        <v>521</v>
      </c>
      <c r="B27" s="3" t="s">
        <v>562</v>
      </c>
      <c r="C27" s="3" t="s">
        <v>406</v>
      </c>
      <c r="D27" s="3" t="s">
        <v>563</v>
      </c>
      <c r="E27" s="3" t="s">
        <v>545</v>
      </c>
      <c r="F27" s="3" t="s">
        <v>546</v>
      </c>
      <c r="G27" s="3" t="s">
        <v>407</v>
      </c>
      <c r="H27" s="3" t="s">
        <v>407</v>
      </c>
      <c r="I27" s="3" t="s">
        <v>515</v>
      </c>
      <c r="J27" s="5">
        <v>45433</v>
      </c>
      <c r="K27" s="5">
        <v>45433</v>
      </c>
      <c r="L27" s="6">
        <v>2720001.87</v>
      </c>
    </row>
    <row r="28" s="1" customFormat="1" spans="1:12">
      <c r="A28" s="3" t="s">
        <v>521</v>
      </c>
      <c r="B28" s="3" t="s">
        <v>562</v>
      </c>
      <c r="C28" s="3" t="s">
        <v>564</v>
      </c>
      <c r="D28" s="3" t="s">
        <v>565</v>
      </c>
      <c r="E28" s="3" t="s">
        <v>545</v>
      </c>
      <c r="F28" s="3" t="s">
        <v>546</v>
      </c>
      <c r="G28" s="3" t="s">
        <v>525</v>
      </c>
      <c r="H28" s="3" t="s">
        <v>556</v>
      </c>
      <c r="I28" s="3" t="s">
        <v>527</v>
      </c>
      <c r="J28" s="5">
        <v>45443</v>
      </c>
      <c r="K28" s="5">
        <v>45435</v>
      </c>
      <c r="L28" s="6">
        <v>-2720001.87</v>
      </c>
    </row>
    <row r="29" s="1" customFormat="1" spans="1:12">
      <c r="A29" s="3" t="s">
        <v>508</v>
      </c>
      <c r="B29" s="3" t="s">
        <v>518</v>
      </c>
      <c r="C29" s="3" t="s">
        <v>551</v>
      </c>
      <c r="D29" s="3" t="s">
        <v>552</v>
      </c>
      <c r="E29" s="3" t="s">
        <v>566</v>
      </c>
      <c r="F29" s="3" t="s">
        <v>567</v>
      </c>
      <c r="G29" s="3" t="s">
        <v>553</v>
      </c>
      <c r="H29" s="3" t="s">
        <v>553</v>
      </c>
      <c r="I29" s="3" t="s">
        <v>515</v>
      </c>
      <c r="J29" s="5">
        <v>45280</v>
      </c>
      <c r="K29" s="5">
        <v>45280</v>
      </c>
      <c r="L29" s="6">
        <v>594339.62</v>
      </c>
    </row>
    <row r="30" s="1" customFormat="1" spans="1:12">
      <c r="A30" s="3" t="s">
        <v>508</v>
      </c>
      <c r="B30" s="3" t="s">
        <v>542</v>
      </c>
      <c r="C30" s="3" t="s">
        <v>568</v>
      </c>
      <c r="D30" s="3" t="s">
        <v>569</v>
      </c>
      <c r="E30" s="3" t="s">
        <v>566</v>
      </c>
      <c r="F30" s="3" t="s">
        <v>567</v>
      </c>
      <c r="G30" s="3" t="s">
        <v>570</v>
      </c>
      <c r="H30" s="3" t="s">
        <v>570</v>
      </c>
      <c r="I30" s="3" t="s">
        <v>550</v>
      </c>
      <c r="J30" s="5">
        <v>45250</v>
      </c>
      <c r="K30" s="5">
        <v>45250</v>
      </c>
      <c r="L30" s="6">
        <v>12303071.5</v>
      </c>
    </row>
    <row r="31" s="1" customFormat="1" spans="1:12">
      <c r="A31" s="3" t="s">
        <v>508</v>
      </c>
      <c r="B31" s="3" t="s">
        <v>542</v>
      </c>
      <c r="C31" s="3" t="s">
        <v>571</v>
      </c>
      <c r="D31" s="3" t="s">
        <v>572</v>
      </c>
      <c r="E31" s="3" t="s">
        <v>566</v>
      </c>
      <c r="F31" s="3" t="s">
        <v>567</v>
      </c>
      <c r="G31" s="3" t="s">
        <v>525</v>
      </c>
      <c r="H31" s="3" t="s">
        <v>573</v>
      </c>
      <c r="I31" s="3" t="s">
        <v>527</v>
      </c>
      <c r="J31" s="5">
        <v>45260</v>
      </c>
      <c r="K31" s="5">
        <v>45254</v>
      </c>
      <c r="L31" s="6">
        <v>-12303071.5</v>
      </c>
    </row>
    <row r="32" s="1" customFormat="1" spans="1:12">
      <c r="A32" s="3" t="s">
        <v>521</v>
      </c>
      <c r="B32" s="3" t="s">
        <v>522</v>
      </c>
      <c r="C32" s="3" t="s">
        <v>330</v>
      </c>
      <c r="D32" s="3" t="s">
        <v>535</v>
      </c>
      <c r="E32" s="3" t="s">
        <v>566</v>
      </c>
      <c r="F32" s="3" t="s">
        <v>567</v>
      </c>
      <c r="G32" s="3" t="s">
        <v>331</v>
      </c>
      <c r="H32" s="3" t="s">
        <v>331</v>
      </c>
      <c r="I32" s="3" t="s">
        <v>574</v>
      </c>
      <c r="J32" s="5">
        <v>45327</v>
      </c>
      <c r="K32" s="5">
        <v>45327</v>
      </c>
      <c r="L32" s="6">
        <v>954776.18</v>
      </c>
    </row>
    <row r="33" s="1" customFormat="1" spans="1:12">
      <c r="A33" s="3" t="s">
        <v>521</v>
      </c>
      <c r="B33" s="3" t="s">
        <v>522</v>
      </c>
      <c r="C33" s="3" t="s">
        <v>575</v>
      </c>
      <c r="D33" s="3" t="s">
        <v>576</v>
      </c>
      <c r="E33" s="3" t="s">
        <v>566</v>
      </c>
      <c r="F33" s="3" t="s">
        <v>567</v>
      </c>
      <c r="G33" s="3" t="s">
        <v>525</v>
      </c>
      <c r="H33" s="3" t="s">
        <v>573</v>
      </c>
      <c r="I33" s="3" t="s">
        <v>527</v>
      </c>
      <c r="J33" s="5">
        <v>45351</v>
      </c>
      <c r="K33" s="5">
        <v>45345</v>
      </c>
      <c r="L33" s="6">
        <v>-954776.18</v>
      </c>
    </row>
    <row r="34" s="1" customFormat="1" spans="1:12">
      <c r="A34" s="3" t="s">
        <v>508</v>
      </c>
      <c r="B34" s="3" t="s">
        <v>518</v>
      </c>
      <c r="C34" s="3" t="s">
        <v>577</v>
      </c>
      <c r="D34" s="3" t="s">
        <v>578</v>
      </c>
      <c r="E34" s="3" t="s">
        <v>566</v>
      </c>
      <c r="F34" s="3" t="s">
        <v>567</v>
      </c>
      <c r="G34" s="3" t="s">
        <v>525</v>
      </c>
      <c r="H34" s="3" t="s">
        <v>573</v>
      </c>
      <c r="I34" s="3" t="s">
        <v>527</v>
      </c>
      <c r="J34" s="5">
        <v>45291</v>
      </c>
      <c r="K34" s="5">
        <v>45288</v>
      </c>
      <c r="L34" s="6">
        <v>-594339.62</v>
      </c>
    </row>
    <row r="35" s="1" customFormat="1" spans="1:12">
      <c r="A35" s="3" t="s">
        <v>521</v>
      </c>
      <c r="B35" s="3" t="s">
        <v>530</v>
      </c>
      <c r="C35" s="3" t="s">
        <v>476</v>
      </c>
      <c r="D35" s="3" t="s">
        <v>579</v>
      </c>
      <c r="E35" s="3" t="s">
        <v>580</v>
      </c>
      <c r="F35" s="3" t="s">
        <v>581</v>
      </c>
      <c r="G35" s="3" t="s">
        <v>477</v>
      </c>
      <c r="H35" s="3" t="s">
        <v>477</v>
      </c>
      <c r="I35" s="3" t="s">
        <v>550</v>
      </c>
      <c r="J35" s="5">
        <v>45461</v>
      </c>
      <c r="K35" s="5">
        <v>45461</v>
      </c>
      <c r="L35" s="6">
        <v>1850748.14</v>
      </c>
    </row>
    <row r="36" s="1" customFormat="1" spans="1:12">
      <c r="A36" s="3" t="s">
        <v>521</v>
      </c>
      <c r="B36" s="3" t="s">
        <v>530</v>
      </c>
      <c r="C36" s="3" t="s">
        <v>470</v>
      </c>
      <c r="D36" s="3" t="s">
        <v>534</v>
      </c>
      <c r="E36" s="3" t="s">
        <v>580</v>
      </c>
      <c r="F36" s="3" t="s">
        <v>581</v>
      </c>
      <c r="G36" s="3" t="s">
        <v>471</v>
      </c>
      <c r="H36" s="3" t="s">
        <v>471</v>
      </c>
      <c r="I36" s="3" t="s">
        <v>533</v>
      </c>
      <c r="J36" s="5">
        <v>45461</v>
      </c>
      <c r="K36" s="5">
        <v>45461</v>
      </c>
      <c r="L36" s="6">
        <v>1114016.8</v>
      </c>
    </row>
    <row r="37" s="1" customFormat="1" spans="1:12">
      <c r="A37" s="3" t="s">
        <v>508</v>
      </c>
      <c r="B37" s="3" t="s">
        <v>542</v>
      </c>
      <c r="C37" s="3" t="s">
        <v>582</v>
      </c>
      <c r="D37" s="3" t="s">
        <v>583</v>
      </c>
      <c r="E37" s="3" t="s">
        <v>584</v>
      </c>
      <c r="F37" s="3" t="s">
        <v>585</v>
      </c>
      <c r="G37" s="3" t="s">
        <v>73</v>
      </c>
      <c r="H37" s="3" t="s">
        <v>73</v>
      </c>
      <c r="I37" s="3" t="s">
        <v>550</v>
      </c>
      <c r="J37" s="5">
        <v>45239</v>
      </c>
      <c r="K37" s="5">
        <v>45239</v>
      </c>
      <c r="L37" s="6">
        <v>994777.12</v>
      </c>
    </row>
    <row r="38" s="1" customFormat="1" spans="1:12">
      <c r="A38" s="3" t="s">
        <v>508</v>
      </c>
      <c r="B38" s="3" t="s">
        <v>542</v>
      </c>
      <c r="C38" s="3" t="s">
        <v>582</v>
      </c>
      <c r="D38" s="3" t="s">
        <v>583</v>
      </c>
      <c r="E38" s="3" t="s">
        <v>584</v>
      </c>
      <c r="F38" s="3" t="s">
        <v>585</v>
      </c>
      <c r="G38" s="3" t="s">
        <v>73</v>
      </c>
      <c r="H38" s="3" t="s">
        <v>73</v>
      </c>
      <c r="I38" s="3" t="s">
        <v>550</v>
      </c>
      <c r="J38" s="5">
        <v>45239</v>
      </c>
      <c r="K38" s="5">
        <v>45239</v>
      </c>
      <c r="L38" s="6">
        <v>994777.12</v>
      </c>
    </row>
    <row r="39" s="1" customFormat="1" spans="1:12">
      <c r="A39" s="3" t="s">
        <v>508</v>
      </c>
      <c r="B39" s="3" t="s">
        <v>542</v>
      </c>
      <c r="C39" s="3" t="s">
        <v>582</v>
      </c>
      <c r="D39" s="3" t="s">
        <v>583</v>
      </c>
      <c r="E39" s="3" t="s">
        <v>584</v>
      </c>
      <c r="F39" s="3" t="s">
        <v>585</v>
      </c>
      <c r="G39" s="3" t="s">
        <v>73</v>
      </c>
      <c r="H39" s="3" t="s">
        <v>73</v>
      </c>
      <c r="I39" s="3" t="s">
        <v>550</v>
      </c>
      <c r="J39" s="5">
        <v>45239</v>
      </c>
      <c r="K39" s="5">
        <v>45239</v>
      </c>
      <c r="L39" s="6">
        <v>994777.12</v>
      </c>
    </row>
    <row r="40" s="1" customFormat="1" spans="1:12">
      <c r="A40" s="3" t="s">
        <v>508</v>
      </c>
      <c r="B40" s="3" t="s">
        <v>542</v>
      </c>
      <c r="C40" s="3" t="s">
        <v>582</v>
      </c>
      <c r="D40" s="3" t="s">
        <v>583</v>
      </c>
      <c r="E40" s="3" t="s">
        <v>584</v>
      </c>
      <c r="F40" s="3" t="s">
        <v>585</v>
      </c>
      <c r="G40" s="3" t="s">
        <v>73</v>
      </c>
      <c r="H40" s="3" t="s">
        <v>73</v>
      </c>
      <c r="I40" s="3" t="s">
        <v>550</v>
      </c>
      <c r="J40" s="5">
        <v>45239</v>
      </c>
      <c r="K40" s="5">
        <v>45239</v>
      </c>
      <c r="L40" s="6">
        <v>994777.12</v>
      </c>
    </row>
    <row r="41" s="1" customFormat="1" spans="1:12">
      <c r="A41" s="3" t="s">
        <v>508</v>
      </c>
      <c r="B41" s="3" t="s">
        <v>542</v>
      </c>
      <c r="C41" s="3" t="s">
        <v>582</v>
      </c>
      <c r="D41" s="3" t="s">
        <v>583</v>
      </c>
      <c r="E41" s="3" t="s">
        <v>584</v>
      </c>
      <c r="F41" s="3" t="s">
        <v>585</v>
      </c>
      <c r="G41" s="3" t="s">
        <v>73</v>
      </c>
      <c r="H41" s="3" t="s">
        <v>73</v>
      </c>
      <c r="I41" s="3" t="s">
        <v>550</v>
      </c>
      <c r="J41" s="5">
        <v>45239</v>
      </c>
      <c r="K41" s="5">
        <v>45239</v>
      </c>
      <c r="L41" s="6">
        <v>994777.12</v>
      </c>
    </row>
    <row r="42" s="1" customFormat="1" spans="1:12">
      <c r="A42" s="3" t="s">
        <v>508</v>
      </c>
      <c r="B42" s="3" t="s">
        <v>542</v>
      </c>
      <c r="C42" s="3" t="s">
        <v>582</v>
      </c>
      <c r="D42" s="3" t="s">
        <v>583</v>
      </c>
      <c r="E42" s="3" t="s">
        <v>584</v>
      </c>
      <c r="F42" s="3" t="s">
        <v>585</v>
      </c>
      <c r="G42" s="3" t="s">
        <v>73</v>
      </c>
      <c r="H42" s="3" t="s">
        <v>73</v>
      </c>
      <c r="I42" s="3" t="s">
        <v>550</v>
      </c>
      <c r="J42" s="5">
        <v>45239</v>
      </c>
      <c r="K42" s="5">
        <v>45239</v>
      </c>
      <c r="L42" s="6">
        <v>740299.29</v>
      </c>
    </row>
    <row r="43" s="1" customFormat="1" spans="1:12">
      <c r="A43" s="3" t="s">
        <v>508</v>
      </c>
      <c r="B43" s="3" t="s">
        <v>542</v>
      </c>
      <c r="C43" s="3" t="s">
        <v>582</v>
      </c>
      <c r="D43" s="3" t="s">
        <v>583</v>
      </c>
      <c r="E43" s="3" t="s">
        <v>584</v>
      </c>
      <c r="F43" s="3" t="s">
        <v>585</v>
      </c>
      <c r="G43" s="3" t="s">
        <v>73</v>
      </c>
      <c r="H43" s="3" t="s">
        <v>73</v>
      </c>
      <c r="I43" s="3" t="s">
        <v>550</v>
      </c>
      <c r="J43" s="5">
        <v>45239</v>
      </c>
      <c r="K43" s="5">
        <v>45239</v>
      </c>
      <c r="L43" s="6">
        <v>994777.12</v>
      </c>
    </row>
    <row r="44" s="1" customFormat="1" spans="1:12">
      <c r="A44" s="3" t="s">
        <v>508</v>
      </c>
      <c r="B44" s="3" t="s">
        <v>542</v>
      </c>
      <c r="C44" s="3" t="s">
        <v>582</v>
      </c>
      <c r="D44" s="3" t="s">
        <v>583</v>
      </c>
      <c r="E44" s="3" t="s">
        <v>584</v>
      </c>
      <c r="F44" s="3" t="s">
        <v>585</v>
      </c>
      <c r="G44" s="3" t="s">
        <v>73</v>
      </c>
      <c r="H44" s="3" t="s">
        <v>73</v>
      </c>
      <c r="I44" s="3" t="s">
        <v>550</v>
      </c>
      <c r="J44" s="5">
        <v>45239</v>
      </c>
      <c r="K44" s="5">
        <v>45239</v>
      </c>
      <c r="L44" s="6">
        <v>994777.12</v>
      </c>
    </row>
    <row r="45" s="1" customFormat="1" spans="1:12">
      <c r="A45" s="3" t="s">
        <v>508</v>
      </c>
      <c r="B45" s="3" t="s">
        <v>542</v>
      </c>
      <c r="C45" s="3" t="s">
        <v>582</v>
      </c>
      <c r="D45" s="3" t="s">
        <v>583</v>
      </c>
      <c r="E45" s="3" t="s">
        <v>584</v>
      </c>
      <c r="F45" s="3" t="s">
        <v>585</v>
      </c>
      <c r="G45" s="3" t="s">
        <v>73</v>
      </c>
      <c r="H45" s="3" t="s">
        <v>73</v>
      </c>
      <c r="I45" s="3" t="s">
        <v>550</v>
      </c>
      <c r="J45" s="5">
        <v>45239</v>
      </c>
      <c r="K45" s="5">
        <v>45239</v>
      </c>
      <c r="L45" s="6">
        <v>994777.12</v>
      </c>
    </row>
    <row r="46" s="1" customFormat="1" spans="1:12">
      <c r="A46" s="3" t="s">
        <v>508</v>
      </c>
      <c r="B46" s="3" t="s">
        <v>542</v>
      </c>
      <c r="C46" s="3" t="s">
        <v>582</v>
      </c>
      <c r="D46" s="3" t="s">
        <v>583</v>
      </c>
      <c r="E46" s="3" t="s">
        <v>584</v>
      </c>
      <c r="F46" s="3" t="s">
        <v>585</v>
      </c>
      <c r="G46" s="3" t="s">
        <v>73</v>
      </c>
      <c r="H46" s="3" t="s">
        <v>73</v>
      </c>
      <c r="I46" s="3" t="s">
        <v>550</v>
      </c>
      <c r="J46" s="5">
        <v>45239</v>
      </c>
      <c r="K46" s="5">
        <v>45239</v>
      </c>
      <c r="L46" s="6">
        <v>994777.12</v>
      </c>
    </row>
    <row r="47" s="1" customFormat="1" spans="1:12">
      <c r="A47" s="3" t="s">
        <v>508</v>
      </c>
      <c r="B47" s="3" t="s">
        <v>542</v>
      </c>
      <c r="C47" s="3" t="s">
        <v>582</v>
      </c>
      <c r="D47" s="3" t="s">
        <v>583</v>
      </c>
      <c r="E47" s="3" t="s">
        <v>584</v>
      </c>
      <c r="F47" s="3" t="s">
        <v>585</v>
      </c>
      <c r="G47" s="3" t="s">
        <v>73</v>
      </c>
      <c r="H47" s="3" t="s">
        <v>73</v>
      </c>
      <c r="I47" s="3" t="s">
        <v>550</v>
      </c>
      <c r="J47" s="5">
        <v>45239</v>
      </c>
      <c r="K47" s="5">
        <v>45239</v>
      </c>
      <c r="L47" s="6">
        <v>994777.12</v>
      </c>
    </row>
    <row r="48" s="1" customFormat="1" spans="1:12">
      <c r="A48" s="3" t="s">
        <v>508</v>
      </c>
      <c r="B48" s="3" t="s">
        <v>542</v>
      </c>
      <c r="C48" s="3" t="s">
        <v>582</v>
      </c>
      <c r="D48" s="3" t="s">
        <v>583</v>
      </c>
      <c r="E48" s="3" t="s">
        <v>584</v>
      </c>
      <c r="F48" s="3" t="s">
        <v>585</v>
      </c>
      <c r="G48" s="3" t="s">
        <v>73</v>
      </c>
      <c r="H48" s="3" t="s">
        <v>73</v>
      </c>
      <c r="I48" s="3" t="s">
        <v>550</v>
      </c>
      <c r="J48" s="5">
        <v>45239</v>
      </c>
      <c r="K48" s="5">
        <v>45239</v>
      </c>
      <c r="L48" s="6">
        <v>994777.12</v>
      </c>
    </row>
    <row r="49" s="1" customFormat="1" spans="1:12">
      <c r="A49" s="3" t="s">
        <v>508</v>
      </c>
      <c r="B49" s="3" t="s">
        <v>542</v>
      </c>
      <c r="C49" s="3" t="s">
        <v>582</v>
      </c>
      <c r="D49" s="3" t="s">
        <v>583</v>
      </c>
      <c r="E49" s="3" t="s">
        <v>584</v>
      </c>
      <c r="F49" s="3" t="s">
        <v>585</v>
      </c>
      <c r="G49" s="3" t="s">
        <v>73</v>
      </c>
      <c r="H49" s="3" t="s">
        <v>73</v>
      </c>
      <c r="I49" s="3" t="s">
        <v>550</v>
      </c>
      <c r="J49" s="5">
        <v>45239</v>
      </c>
      <c r="K49" s="5">
        <v>45239</v>
      </c>
      <c r="L49" s="6">
        <v>994777.12</v>
      </c>
    </row>
    <row r="50" s="1" customFormat="1" spans="1:12">
      <c r="A50" s="3" t="s">
        <v>508</v>
      </c>
      <c r="B50" s="3" t="s">
        <v>542</v>
      </c>
      <c r="C50" s="3" t="s">
        <v>582</v>
      </c>
      <c r="D50" s="3" t="s">
        <v>583</v>
      </c>
      <c r="E50" s="3" t="s">
        <v>584</v>
      </c>
      <c r="F50" s="3" t="s">
        <v>585</v>
      </c>
      <c r="G50" s="3" t="s">
        <v>73</v>
      </c>
      <c r="H50" s="3" t="s">
        <v>73</v>
      </c>
      <c r="I50" s="3" t="s">
        <v>550</v>
      </c>
      <c r="J50" s="5">
        <v>45239</v>
      </c>
      <c r="K50" s="5">
        <v>45239</v>
      </c>
      <c r="L50" s="6">
        <v>994777.12</v>
      </c>
    </row>
    <row r="51" s="1" customFormat="1" spans="1:12">
      <c r="A51" s="3" t="s">
        <v>508</v>
      </c>
      <c r="B51" s="3" t="s">
        <v>542</v>
      </c>
      <c r="C51" s="3" t="s">
        <v>582</v>
      </c>
      <c r="D51" s="3" t="s">
        <v>583</v>
      </c>
      <c r="E51" s="3" t="s">
        <v>584</v>
      </c>
      <c r="F51" s="3" t="s">
        <v>585</v>
      </c>
      <c r="G51" s="3" t="s">
        <v>73</v>
      </c>
      <c r="H51" s="3" t="s">
        <v>73</v>
      </c>
      <c r="I51" s="3" t="s">
        <v>550</v>
      </c>
      <c r="J51" s="5">
        <v>45239</v>
      </c>
      <c r="K51" s="5">
        <v>45239</v>
      </c>
      <c r="L51" s="6">
        <v>994777.12</v>
      </c>
    </row>
    <row r="52" s="1" customFormat="1" spans="1:12">
      <c r="A52" s="3" t="s">
        <v>508</v>
      </c>
      <c r="B52" s="3" t="s">
        <v>542</v>
      </c>
      <c r="C52" s="3" t="s">
        <v>582</v>
      </c>
      <c r="D52" s="3" t="s">
        <v>583</v>
      </c>
      <c r="E52" s="3" t="s">
        <v>584</v>
      </c>
      <c r="F52" s="3" t="s">
        <v>585</v>
      </c>
      <c r="G52" s="3" t="s">
        <v>73</v>
      </c>
      <c r="H52" s="3" t="s">
        <v>73</v>
      </c>
      <c r="I52" s="3" t="s">
        <v>550</v>
      </c>
      <c r="J52" s="5">
        <v>45239</v>
      </c>
      <c r="K52" s="5">
        <v>45239</v>
      </c>
      <c r="L52" s="6">
        <v>994777.12</v>
      </c>
    </row>
    <row r="53" s="1" customFormat="1" spans="1:12">
      <c r="A53" s="3" t="s">
        <v>508</v>
      </c>
      <c r="B53" s="3" t="s">
        <v>542</v>
      </c>
      <c r="C53" s="3" t="s">
        <v>582</v>
      </c>
      <c r="D53" s="3" t="s">
        <v>583</v>
      </c>
      <c r="E53" s="3" t="s">
        <v>584</v>
      </c>
      <c r="F53" s="3" t="s">
        <v>585</v>
      </c>
      <c r="G53" s="3" t="s">
        <v>73</v>
      </c>
      <c r="H53" s="3" t="s">
        <v>73</v>
      </c>
      <c r="I53" s="3" t="s">
        <v>550</v>
      </c>
      <c r="J53" s="5">
        <v>45239</v>
      </c>
      <c r="K53" s="5">
        <v>45239</v>
      </c>
      <c r="L53" s="6">
        <v>994777.12</v>
      </c>
    </row>
    <row r="54" s="1" customFormat="1" spans="1:12">
      <c r="A54" s="3" t="s">
        <v>508</v>
      </c>
      <c r="B54" s="3" t="s">
        <v>518</v>
      </c>
      <c r="C54" s="3" t="s">
        <v>586</v>
      </c>
      <c r="D54" s="3" t="s">
        <v>587</v>
      </c>
      <c r="E54" s="3" t="s">
        <v>584</v>
      </c>
      <c r="F54" s="3" t="s">
        <v>585</v>
      </c>
      <c r="G54" s="3" t="s">
        <v>75</v>
      </c>
      <c r="H54" s="3" t="s">
        <v>75</v>
      </c>
      <c r="I54" s="3" t="s">
        <v>550</v>
      </c>
      <c r="J54" s="5">
        <v>45274</v>
      </c>
      <c r="K54" s="5">
        <v>45274</v>
      </c>
      <c r="L54" s="6">
        <v>9253740.7</v>
      </c>
    </row>
    <row r="55" s="1" customFormat="1" spans="1:12">
      <c r="A55" s="3" t="s">
        <v>508</v>
      </c>
      <c r="B55" s="3" t="s">
        <v>518</v>
      </c>
      <c r="C55" s="3" t="s">
        <v>588</v>
      </c>
      <c r="D55" s="3" t="s">
        <v>589</v>
      </c>
      <c r="E55" s="3" t="s">
        <v>584</v>
      </c>
      <c r="F55" s="3" t="s">
        <v>585</v>
      </c>
      <c r="G55" s="3" t="s">
        <v>525</v>
      </c>
      <c r="H55" s="3" t="s">
        <v>590</v>
      </c>
      <c r="I55" s="3" t="s">
        <v>527</v>
      </c>
      <c r="J55" s="5">
        <v>45291</v>
      </c>
      <c r="K55" s="5">
        <v>45288</v>
      </c>
      <c r="L55" s="6">
        <v>-79257280.52</v>
      </c>
    </row>
    <row r="56" s="1" customFormat="1" spans="1:12">
      <c r="A56" s="3" t="s">
        <v>508</v>
      </c>
      <c r="B56" s="3" t="s">
        <v>518</v>
      </c>
      <c r="C56" s="3" t="s">
        <v>591</v>
      </c>
      <c r="D56" s="3" t="s">
        <v>592</v>
      </c>
      <c r="E56" s="3" t="s">
        <v>584</v>
      </c>
      <c r="F56" s="3" t="s">
        <v>585</v>
      </c>
      <c r="G56" s="3" t="s">
        <v>82</v>
      </c>
      <c r="H56" s="3" t="s">
        <v>82</v>
      </c>
      <c r="I56" s="3" t="s">
        <v>550</v>
      </c>
      <c r="J56" s="5">
        <v>45265</v>
      </c>
      <c r="K56" s="5">
        <v>45265</v>
      </c>
      <c r="L56" s="6">
        <v>70003539.82</v>
      </c>
    </row>
    <row r="57" s="1" customFormat="1" spans="1:12">
      <c r="A57" s="3" t="s">
        <v>508</v>
      </c>
      <c r="B57" s="3" t="s">
        <v>542</v>
      </c>
      <c r="C57" s="3" t="s">
        <v>593</v>
      </c>
      <c r="D57" s="3" t="s">
        <v>594</v>
      </c>
      <c r="E57" s="3" t="s">
        <v>584</v>
      </c>
      <c r="F57" s="3" t="s">
        <v>585</v>
      </c>
      <c r="G57" s="3" t="s">
        <v>525</v>
      </c>
      <c r="H57" s="3" t="s">
        <v>590</v>
      </c>
      <c r="I57" s="3" t="s">
        <v>527</v>
      </c>
      <c r="J57" s="5">
        <v>45260</v>
      </c>
      <c r="K57" s="5">
        <v>45254</v>
      </c>
      <c r="L57" s="6">
        <v>-16656733.21</v>
      </c>
    </row>
    <row r="58" s="1" customFormat="1" spans="1:12">
      <c r="A58" s="3" t="s">
        <v>521</v>
      </c>
      <c r="B58" s="3" t="s">
        <v>530</v>
      </c>
      <c r="C58" s="3" t="s">
        <v>474</v>
      </c>
      <c r="D58" s="3" t="s">
        <v>532</v>
      </c>
      <c r="E58" s="3" t="s">
        <v>595</v>
      </c>
      <c r="F58" s="3" t="s">
        <v>596</v>
      </c>
      <c r="G58" s="3" t="s">
        <v>475</v>
      </c>
      <c r="H58" s="3" t="s">
        <v>475</v>
      </c>
      <c r="I58" s="3" t="s">
        <v>533</v>
      </c>
      <c r="J58" s="5">
        <v>45460</v>
      </c>
      <c r="K58" s="5">
        <v>45460</v>
      </c>
      <c r="L58" s="6">
        <v>4583416.01</v>
      </c>
    </row>
    <row r="59" s="1" customFormat="1" spans="1:12">
      <c r="A59" s="3" t="s">
        <v>521</v>
      </c>
      <c r="B59" s="3" t="s">
        <v>597</v>
      </c>
      <c r="C59" s="3" t="s">
        <v>358</v>
      </c>
      <c r="D59" s="3" t="s">
        <v>598</v>
      </c>
      <c r="E59" s="3" t="s">
        <v>599</v>
      </c>
      <c r="F59" s="3" t="s">
        <v>600</v>
      </c>
      <c r="G59" s="3" t="s">
        <v>359</v>
      </c>
      <c r="H59" s="3" t="s">
        <v>359</v>
      </c>
      <c r="I59" s="3" t="s">
        <v>550</v>
      </c>
      <c r="J59" s="5">
        <v>45379</v>
      </c>
      <c r="K59" s="5">
        <v>45379</v>
      </c>
      <c r="L59" s="6">
        <v>17500884.96</v>
      </c>
    </row>
    <row r="60" s="1" customFormat="1" spans="1:12">
      <c r="A60" s="3" t="s">
        <v>521</v>
      </c>
      <c r="B60" s="3" t="s">
        <v>597</v>
      </c>
      <c r="C60" s="3" t="s">
        <v>601</v>
      </c>
      <c r="D60" s="3" t="s">
        <v>602</v>
      </c>
      <c r="E60" s="3" t="s">
        <v>599</v>
      </c>
      <c r="F60" s="3" t="s">
        <v>600</v>
      </c>
      <c r="G60" s="3" t="s">
        <v>525</v>
      </c>
      <c r="H60" s="3" t="s">
        <v>603</v>
      </c>
      <c r="I60" s="3" t="s">
        <v>527</v>
      </c>
      <c r="J60" s="5">
        <v>45382</v>
      </c>
      <c r="K60" s="5">
        <v>45380</v>
      </c>
      <c r="L60" s="6">
        <v>-17500884.96</v>
      </c>
    </row>
    <row r="61" s="1" customFormat="1" spans="1:12">
      <c r="A61" s="3" t="s">
        <v>521</v>
      </c>
      <c r="B61" s="3" t="s">
        <v>562</v>
      </c>
      <c r="C61" s="3" t="s">
        <v>406</v>
      </c>
      <c r="D61" s="3" t="s">
        <v>563</v>
      </c>
      <c r="E61" s="3" t="s">
        <v>604</v>
      </c>
      <c r="F61" s="3" t="s">
        <v>605</v>
      </c>
      <c r="G61" s="3" t="s">
        <v>407</v>
      </c>
      <c r="H61" s="3" t="s">
        <v>407</v>
      </c>
      <c r="I61" s="3" t="s">
        <v>550</v>
      </c>
      <c r="J61" s="5">
        <v>45433</v>
      </c>
      <c r="K61" s="5">
        <v>45433</v>
      </c>
      <c r="L61" s="6">
        <v>2909931.2</v>
      </c>
    </row>
    <row r="62" s="1" customFormat="1" spans="1:12">
      <c r="A62" s="3" t="s">
        <v>521</v>
      </c>
      <c r="B62" s="3" t="s">
        <v>562</v>
      </c>
      <c r="C62" s="3" t="s">
        <v>606</v>
      </c>
      <c r="D62" s="3" t="s">
        <v>607</v>
      </c>
      <c r="E62" s="3" t="s">
        <v>604</v>
      </c>
      <c r="F62" s="3" t="s">
        <v>605</v>
      </c>
      <c r="G62" s="3" t="s">
        <v>525</v>
      </c>
      <c r="H62" s="3" t="s">
        <v>608</v>
      </c>
      <c r="I62" s="3" t="s">
        <v>527</v>
      </c>
      <c r="J62" s="5">
        <v>45443</v>
      </c>
      <c r="K62" s="5">
        <v>45435</v>
      </c>
      <c r="L62" s="6">
        <v>-2909931.2</v>
      </c>
    </row>
    <row r="63" s="1" customFormat="1" spans="1:12">
      <c r="A63" s="3" t="s">
        <v>508</v>
      </c>
      <c r="B63" s="3" t="s">
        <v>509</v>
      </c>
      <c r="C63" s="3" t="s">
        <v>516</v>
      </c>
      <c r="D63" s="3" t="s">
        <v>517</v>
      </c>
      <c r="E63" s="3" t="s">
        <v>609</v>
      </c>
      <c r="F63" s="3" t="s">
        <v>610</v>
      </c>
      <c r="G63" s="3" t="s">
        <v>60</v>
      </c>
      <c r="H63" s="3" t="s">
        <v>60</v>
      </c>
      <c r="I63" s="3" t="s">
        <v>550</v>
      </c>
      <c r="J63" s="5">
        <v>45224</v>
      </c>
      <c r="K63" s="5">
        <v>45224</v>
      </c>
      <c r="L63" s="6">
        <v>2307646.02</v>
      </c>
    </row>
    <row r="64" s="1" customFormat="1" spans="1:12">
      <c r="A64" s="3" t="s">
        <v>508</v>
      </c>
      <c r="B64" s="3" t="s">
        <v>509</v>
      </c>
      <c r="C64" s="3" t="s">
        <v>611</v>
      </c>
      <c r="D64" s="3" t="s">
        <v>612</v>
      </c>
      <c r="E64" s="3" t="s">
        <v>609</v>
      </c>
      <c r="F64" s="3" t="s">
        <v>610</v>
      </c>
      <c r="G64" s="3" t="s">
        <v>525</v>
      </c>
      <c r="H64" s="3" t="s">
        <v>613</v>
      </c>
      <c r="I64" s="3" t="s">
        <v>527</v>
      </c>
      <c r="J64" s="5">
        <v>45230</v>
      </c>
      <c r="K64" s="5">
        <v>45225</v>
      </c>
      <c r="L64" s="6">
        <v>-2307646.02</v>
      </c>
    </row>
    <row r="65" s="1" customFormat="1" spans="1:12">
      <c r="A65" s="3" t="s">
        <v>521</v>
      </c>
      <c r="B65" s="3" t="s">
        <v>562</v>
      </c>
      <c r="C65" s="3" t="s">
        <v>417</v>
      </c>
      <c r="D65" s="3" t="s">
        <v>614</v>
      </c>
      <c r="E65" s="3" t="s">
        <v>609</v>
      </c>
      <c r="F65" s="3" t="s">
        <v>610</v>
      </c>
      <c r="G65" s="3" t="s">
        <v>416</v>
      </c>
      <c r="H65" s="3" t="s">
        <v>416</v>
      </c>
      <c r="I65" s="3" t="s">
        <v>533</v>
      </c>
      <c r="J65" s="5">
        <v>45435</v>
      </c>
      <c r="K65" s="5">
        <v>45435</v>
      </c>
      <c r="L65" s="6">
        <v>1538584.07</v>
      </c>
    </row>
    <row r="66" s="1" customFormat="1" spans="1:12">
      <c r="A66" s="3" t="s">
        <v>521</v>
      </c>
      <c r="B66" s="3" t="s">
        <v>562</v>
      </c>
      <c r="C66" s="3" t="s">
        <v>615</v>
      </c>
      <c r="D66" s="3" t="s">
        <v>616</v>
      </c>
      <c r="E66" s="3" t="s">
        <v>609</v>
      </c>
      <c r="F66" s="3" t="s">
        <v>610</v>
      </c>
      <c r="G66" s="3" t="s">
        <v>525</v>
      </c>
      <c r="H66" s="3" t="s">
        <v>613</v>
      </c>
      <c r="I66" s="3" t="s">
        <v>527</v>
      </c>
      <c r="J66" s="5">
        <v>45443</v>
      </c>
      <c r="K66" s="5">
        <v>45436</v>
      </c>
      <c r="L66" s="6">
        <v>-1538584.07</v>
      </c>
    </row>
    <row r="67" s="1" customFormat="1" spans="1:12">
      <c r="A67" s="3" t="s">
        <v>508</v>
      </c>
      <c r="B67" s="3" t="s">
        <v>509</v>
      </c>
      <c r="C67" s="3" t="s">
        <v>516</v>
      </c>
      <c r="D67" s="3" t="s">
        <v>517</v>
      </c>
      <c r="E67" s="3" t="s">
        <v>617</v>
      </c>
      <c r="F67" s="3" t="s">
        <v>618</v>
      </c>
      <c r="G67" s="3" t="s">
        <v>60</v>
      </c>
      <c r="H67" s="3" t="s">
        <v>60</v>
      </c>
      <c r="I67" s="3" t="s">
        <v>574</v>
      </c>
      <c r="J67" s="5">
        <v>45224</v>
      </c>
      <c r="K67" s="5">
        <v>45224</v>
      </c>
      <c r="L67" s="6">
        <v>636517.45</v>
      </c>
    </row>
    <row r="68" s="1" customFormat="1" spans="1:12">
      <c r="A68" s="3" t="s">
        <v>508</v>
      </c>
      <c r="B68" s="3" t="s">
        <v>509</v>
      </c>
      <c r="C68" s="3" t="s">
        <v>619</v>
      </c>
      <c r="D68" s="3" t="s">
        <v>620</v>
      </c>
      <c r="E68" s="3" t="s">
        <v>617</v>
      </c>
      <c r="F68" s="3" t="s">
        <v>618</v>
      </c>
      <c r="G68" s="3" t="s">
        <v>525</v>
      </c>
      <c r="H68" s="3" t="s">
        <v>621</v>
      </c>
      <c r="I68" s="3" t="s">
        <v>527</v>
      </c>
      <c r="J68" s="5">
        <v>45230</v>
      </c>
      <c r="K68" s="5">
        <v>45225</v>
      </c>
      <c r="L68" s="6">
        <v>-636517.45</v>
      </c>
    </row>
    <row r="69" s="1" customFormat="1" spans="1:12">
      <c r="A69" s="3" t="s">
        <v>508</v>
      </c>
      <c r="B69" s="3" t="s">
        <v>509</v>
      </c>
      <c r="C69" s="3" t="s">
        <v>622</v>
      </c>
      <c r="D69" s="3" t="s">
        <v>623</v>
      </c>
      <c r="E69" s="3" t="s">
        <v>624</v>
      </c>
      <c r="F69" s="3" t="s">
        <v>625</v>
      </c>
      <c r="G69" s="3" t="s">
        <v>129</v>
      </c>
      <c r="H69" s="3" t="s">
        <v>626</v>
      </c>
      <c r="I69" s="3" t="s">
        <v>627</v>
      </c>
      <c r="J69" s="5">
        <v>45224</v>
      </c>
      <c r="K69" s="5">
        <v>45224</v>
      </c>
      <c r="L69" s="6">
        <v>300000</v>
      </c>
    </row>
    <row r="70" s="1" customFormat="1" spans="1:12">
      <c r="A70" s="3" t="s">
        <v>508</v>
      </c>
      <c r="B70" s="3" t="s">
        <v>509</v>
      </c>
      <c r="C70" s="3" t="s">
        <v>622</v>
      </c>
      <c r="D70" s="3" t="s">
        <v>623</v>
      </c>
      <c r="E70" s="3" t="s">
        <v>624</v>
      </c>
      <c r="F70" s="3" t="s">
        <v>625</v>
      </c>
      <c r="G70" s="3" t="s">
        <v>129</v>
      </c>
      <c r="H70" s="3" t="s">
        <v>626</v>
      </c>
      <c r="I70" s="3" t="s">
        <v>627</v>
      </c>
      <c r="J70" s="5">
        <v>45224</v>
      </c>
      <c r="K70" s="5">
        <v>45224</v>
      </c>
      <c r="L70" s="6">
        <v>9700000</v>
      </c>
    </row>
    <row r="71" s="1" customFormat="1" spans="1:12">
      <c r="A71" s="3" t="s">
        <v>508</v>
      </c>
      <c r="B71" s="3" t="s">
        <v>518</v>
      </c>
      <c r="C71" s="3" t="s">
        <v>628</v>
      </c>
      <c r="D71" s="3" t="s">
        <v>629</v>
      </c>
      <c r="E71" s="3" t="s">
        <v>624</v>
      </c>
      <c r="F71" s="3" t="s">
        <v>625</v>
      </c>
      <c r="G71" s="3" t="s">
        <v>630</v>
      </c>
      <c r="H71" s="3" t="s">
        <v>131</v>
      </c>
      <c r="I71" s="3" t="s">
        <v>627</v>
      </c>
      <c r="J71" s="5">
        <v>45281</v>
      </c>
      <c r="K71" s="5">
        <v>45281</v>
      </c>
      <c r="L71" s="6">
        <v>8350000</v>
      </c>
    </row>
    <row r="72" s="1" customFormat="1" spans="1:12">
      <c r="A72" s="3" t="s">
        <v>508</v>
      </c>
      <c r="B72" s="3" t="s">
        <v>509</v>
      </c>
      <c r="C72" s="3" t="s">
        <v>631</v>
      </c>
      <c r="D72" s="3" t="s">
        <v>632</v>
      </c>
      <c r="E72" s="3" t="s">
        <v>624</v>
      </c>
      <c r="F72" s="3" t="s">
        <v>625</v>
      </c>
      <c r="G72" s="3" t="s">
        <v>525</v>
      </c>
      <c r="H72" s="3" t="s">
        <v>633</v>
      </c>
      <c r="I72" s="3" t="s">
        <v>527</v>
      </c>
      <c r="J72" s="5">
        <v>45230</v>
      </c>
      <c r="K72" s="5">
        <v>45225</v>
      </c>
      <c r="L72" s="6">
        <v>-10000000</v>
      </c>
    </row>
    <row r="73" s="1" customFormat="1" spans="1:12">
      <c r="A73" s="3" t="s">
        <v>508</v>
      </c>
      <c r="B73" s="3" t="s">
        <v>518</v>
      </c>
      <c r="C73" s="3" t="s">
        <v>634</v>
      </c>
      <c r="D73" s="3" t="s">
        <v>635</v>
      </c>
      <c r="E73" s="3" t="s">
        <v>624</v>
      </c>
      <c r="F73" s="3" t="s">
        <v>625</v>
      </c>
      <c r="G73" s="3" t="s">
        <v>525</v>
      </c>
      <c r="H73" s="3" t="s">
        <v>633</v>
      </c>
      <c r="I73" s="3" t="s">
        <v>527</v>
      </c>
      <c r="J73" s="5">
        <v>45291</v>
      </c>
      <c r="K73" s="5">
        <v>45288</v>
      </c>
      <c r="L73" s="6">
        <v>-8350000</v>
      </c>
    </row>
    <row r="74" s="1" customFormat="1" spans="1:12">
      <c r="A74" s="3" t="s">
        <v>521</v>
      </c>
      <c r="B74" s="3" t="s">
        <v>562</v>
      </c>
      <c r="C74" s="3" t="s">
        <v>410</v>
      </c>
      <c r="D74" s="3" t="s">
        <v>636</v>
      </c>
      <c r="E74" s="3" t="s">
        <v>624</v>
      </c>
      <c r="F74" s="3" t="s">
        <v>625</v>
      </c>
      <c r="G74" s="3" t="s">
        <v>411</v>
      </c>
      <c r="H74" s="3" t="s">
        <v>411</v>
      </c>
      <c r="I74" s="3" t="s">
        <v>533</v>
      </c>
      <c r="J74" s="5">
        <v>45436</v>
      </c>
      <c r="K74" s="5">
        <v>45436</v>
      </c>
      <c r="L74" s="6">
        <v>1011228</v>
      </c>
    </row>
    <row r="75" s="1" customFormat="1" spans="1:12">
      <c r="A75" s="3" t="s">
        <v>521</v>
      </c>
      <c r="B75" s="3" t="s">
        <v>562</v>
      </c>
      <c r="C75" s="3" t="s">
        <v>637</v>
      </c>
      <c r="D75" s="3" t="s">
        <v>638</v>
      </c>
      <c r="E75" s="3" t="s">
        <v>624</v>
      </c>
      <c r="F75" s="3" t="s">
        <v>625</v>
      </c>
      <c r="G75" s="3" t="s">
        <v>525</v>
      </c>
      <c r="H75" s="3" t="s">
        <v>633</v>
      </c>
      <c r="I75" s="3" t="s">
        <v>527</v>
      </c>
      <c r="J75" s="5">
        <v>45443</v>
      </c>
      <c r="K75" s="5">
        <v>45437</v>
      </c>
      <c r="L75" s="6">
        <v>-1011228</v>
      </c>
    </row>
    <row r="76" s="1" customFormat="1" spans="1:12">
      <c r="A76" s="3" t="s">
        <v>508</v>
      </c>
      <c r="B76" s="3" t="s">
        <v>518</v>
      </c>
      <c r="C76" s="3" t="s">
        <v>190</v>
      </c>
      <c r="D76" s="3" t="s">
        <v>639</v>
      </c>
      <c r="E76" s="3" t="s">
        <v>640</v>
      </c>
      <c r="F76" s="3" t="s">
        <v>641</v>
      </c>
      <c r="G76" s="3" t="s">
        <v>642</v>
      </c>
      <c r="H76" s="3" t="s">
        <v>643</v>
      </c>
      <c r="I76" s="3" t="s">
        <v>515</v>
      </c>
      <c r="J76" s="5">
        <v>45287</v>
      </c>
      <c r="K76" s="5">
        <v>45287</v>
      </c>
      <c r="L76" s="6">
        <v>22005</v>
      </c>
    </row>
    <row r="77" s="1" customFormat="1" spans="1:12">
      <c r="A77" s="3" t="s">
        <v>508</v>
      </c>
      <c r="B77" s="3" t="s">
        <v>518</v>
      </c>
      <c r="C77" s="3" t="s">
        <v>190</v>
      </c>
      <c r="D77" s="3" t="s">
        <v>639</v>
      </c>
      <c r="E77" s="3" t="s">
        <v>640</v>
      </c>
      <c r="F77" s="3" t="s">
        <v>641</v>
      </c>
      <c r="G77" s="3" t="s">
        <v>642</v>
      </c>
      <c r="H77" s="3" t="s">
        <v>643</v>
      </c>
      <c r="I77" s="3" t="s">
        <v>515</v>
      </c>
      <c r="J77" s="5">
        <v>45287</v>
      </c>
      <c r="K77" s="5">
        <v>45287</v>
      </c>
      <c r="L77" s="6">
        <v>733495</v>
      </c>
    </row>
    <row r="78" s="1" customFormat="1" spans="1:12">
      <c r="A78" s="3" t="s">
        <v>508</v>
      </c>
      <c r="B78" s="3" t="s">
        <v>644</v>
      </c>
      <c r="C78" s="3" t="s">
        <v>645</v>
      </c>
      <c r="D78" s="3" t="s">
        <v>646</v>
      </c>
      <c r="E78" s="3" t="s">
        <v>640</v>
      </c>
      <c r="F78" s="3" t="s">
        <v>641</v>
      </c>
      <c r="G78" s="3" t="s">
        <v>136</v>
      </c>
      <c r="H78" s="3" t="s">
        <v>136</v>
      </c>
      <c r="I78" s="3" t="s">
        <v>647</v>
      </c>
      <c r="J78" s="5">
        <v>45190</v>
      </c>
      <c r="K78" s="5">
        <v>45190</v>
      </c>
      <c r="L78" s="6">
        <v>125290</v>
      </c>
    </row>
    <row r="79" s="1" customFormat="1" spans="1:12">
      <c r="A79" s="3" t="s">
        <v>508</v>
      </c>
      <c r="B79" s="3" t="s">
        <v>518</v>
      </c>
      <c r="C79" s="3" t="s">
        <v>648</v>
      </c>
      <c r="D79" s="3" t="s">
        <v>649</v>
      </c>
      <c r="E79" s="3" t="s">
        <v>640</v>
      </c>
      <c r="F79" s="3" t="s">
        <v>641</v>
      </c>
      <c r="G79" s="3" t="s">
        <v>525</v>
      </c>
      <c r="H79" s="3" t="s">
        <v>650</v>
      </c>
      <c r="I79" s="3" t="s">
        <v>527</v>
      </c>
      <c r="J79" s="5">
        <v>45291</v>
      </c>
      <c r="K79" s="5">
        <v>45288</v>
      </c>
      <c r="L79" s="6">
        <v>-755500</v>
      </c>
    </row>
    <row r="80" s="1" customFormat="1" spans="1:12">
      <c r="A80" s="3" t="s">
        <v>508</v>
      </c>
      <c r="B80" s="3" t="s">
        <v>644</v>
      </c>
      <c r="C80" s="3" t="s">
        <v>651</v>
      </c>
      <c r="D80" s="3" t="s">
        <v>652</v>
      </c>
      <c r="E80" s="3" t="s">
        <v>640</v>
      </c>
      <c r="F80" s="3" t="s">
        <v>641</v>
      </c>
      <c r="G80" s="3" t="s">
        <v>525</v>
      </c>
      <c r="H80" s="3" t="s">
        <v>650</v>
      </c>
      <c r="I80" s="3" t="s">
        <v>527</v>
      </c>
      <c r="J80" s="5">
        <v>45199</v>
      </c>
      <c r="K80" s="5">
        <v>45198</v>
      </c>
      <c r="L80" s="6">
        <v>-125290</v>
      </c>
    </row>
    <row r="81" s="1" customFormat="1" spans="1:12">
      <c r="A81" s="3" t="s">
        <v>521</v>
      </c>
      <c r="B81" s="3" t="s">
        <v>562</v>
      </c>
      <c r="C81" s="3" t="s">
        <v>410</v>
      </c>
      <c r="D81" s="3" t="s">
        <v>636</v>
      </c>
      <c r="E81" s="3" t="s">
        <v>653</v>
      </c>
      <c r="F81" s="3" t="s">
        <v>654</v>
      </c>
      <c r="G81" s="3" t="s">
        <v>411</v>
      </c>
      <c r="H81" s="3" t="s">
        <v>411</v>
      </c>
      <c r="I81" s="3" t="s">
        <v>533</v>
      </c>
      <c r="J81" s="5">
        <v>45436</v>
      </c>
      <c r="K81" s="5">
        <v>45436</v>
      </c>
      <c r="L81" s="6">
        <v>247850</v>
      </c>
    </row>
    <row r="82" s="1" customFormat="1" spans="1:12">
      <c r="A82" s="3" t="s">
        <v>521</v>
      </c>
      <c r="B82" s="3" t="s">
        <v>562</v>
      </c>
      <c r="C82" s="3" t="s">
        <v>655</v>
      </c>
      <c r="D82" s="3" t="s">
        <v>656</v>
      </c>
      <c r="E82" s="3" t="s">
        <v>653</v>
      </c>
      <c r="F82" s="3" t="s">
        <v>654</v>
      </c>
      <c r="G82" s="3" t="s">
        <v>525</v>
      </c>
      <c r="H82" s="3" t="s">
        <v>657</v>
      </c>
      <c r="I82" s="3" t="s">
        <v>527</v>
      </c>
      <c r="J82" s="5">
        <v>45443</v>
      </c>
      <c r="K82" s="5">
        <v>45437</v>
      </c>
      <c r="L82" s="6">
        <v>-247850</v>
      </c>
    </row>
    <row r="83" s="1" customFormat="1" spans="1:12">
      <c r="A83" s="3" t="s">
        <v>508</v>
      </c>
      <c r="B83" s="3" t="s">
        <v>542</v>
      </c>
      <c r="C83" s="3" t="s">
        <v>658</v>
      </c>
      <c r="D83" s="3" t="s">
        <v>659</v>
      </c>
      <c r="E83" s="3" t="s">
        <v>660</v>
      </c>
      <c r="F83" s="3" t="s">
        <v>661</v>
      </c>
      <c r="G83" s="3" t="s">
        <v>662</v>
      </c>
      <c r="H83" s="3" t="s">
        <v>662</v>
      </c>
      <c r="I83" s="3" t="s">
        <v>663</v>
      </c>
      <c r="J83" s="5">
        <v>45253</v>
      </c>
      <c r="K83" s="5">
        <v>45253</v>
      </c>
      <c r="L83" s="6">
        <v>-3681.91</v>
      </c>
    </row>
    <row r="84" s="1" customFormat="1" spans="1:12">
      <c r="A84" s="3" t="s">
        <v>508</v>
      </c>
      <c r="B84" s="3" t="s">
        <v>542</v>
      </c>
      <c r="C84" s="3" t="s">
        <v>664</v>
      </c>
      <c r="D84" s="3" t="s">
        <v>665</v>
      </c>
      <c r="E84" s="3" t="s">
        <v>660</v>
      </c>
      <c r="F84" s="3" t="s">
        <v>661</v>
      </c>
      <c r="G84" s="3" t="s">
        <v>666</v>
      </c>
      <c r="H84" s="3" t="s">
        <v>666</v>
      </c>
      <c r="I84" s="3" t="s">
        <v>663</v>
      </c>
      <c r="J84" s="5">
        <v>45244</v>
      </c>
      <c r="K84" s="5">
        <v>45244</v>
      </c>
      <c r="L84" s="6">
        <v>3681.91</v>
      </c>
    </row>
    <row r="85" s="1" customFormat="1" spans="1:12">
      <c r="A85" s="3" t="s">
        <v>508</v>
      </c>
      <c r="B85" s="3" t="s">
        <v>509</v>
      </c>
      <c r="C85" s="3" t="s">
        <v>667</v>
      </c>
      <c r="D85" s="3" t="s">
        <v>668</v>
      </c>
      <c r="E85" s="3" t="s">
        <v>660</v>
      </c>
      <c r="F85" s="3" t="s">
        <v>661</v>
      </c>
      <c r="G85" s="3" t="s">
        <v>669</v>
      </c>
      <c r="H85" s="3" t="s">
        <v>669</v>
      </c>
      <c r="I85" s="3" t="s">
        <v>670</v>
      </c>
      <c r="J85" s="5">
        <v>45217</v>
      </c>
      <c r="K85" s="5">
        <v>45217</v>
      </c>
      <c r="L85" s="6">
        <v>1168.86</v>
      </c>
    </row>
    <row r="86" s="1" customFormat="1" spans="1:12">
      <c r="A86" s="3" t="s">
        <v>508</v>
      </c>
      <c r="B86" s="3" t="s">
        <v>542</v>
      </c>
      <c r="C86" s="3" t="s">
        <v>671</v>
      </c>
      <c r="D86" s="3" t="s">
        <v>672</v>
      </c>
      <c r="E86" s="3" t="s">
        <v>660</v>
      </c>
      <c r="F86" s="3" t="s">
        <v>661</v>
      </c>
      <c r="G86" s="3" t="s">
        <v>673</v>
      </c>
      <c r="H86" s="3" t="s">
        <v>673</v>
      </c>
      <c r="I86" s="3" t="s">
        <v>670</v>
      </c>
      <c r="J86" s="5">
        <v>45253</v>
      </c>
      <c r="K86" s="5">
        <v>45253</v>
      </c>
      <c r="L86" s="6">
        <v>3681.91</v>
      </c>
    </row>
    <row r="87" s="1" customFormat="1" spans="1:12">
      <c r="A87" s="3" t="s">
        <v>508</v>
      </c>
      <c r="B87" s="3" t="s">
        <v>542</v>
      </c>
      <c r="C87" s="3" t="s">
        <v>674</v>
      </c>
      <c r="D87" s="3" t="s">
        <v>675</v>
      </c>
      <c r="E87" s="3" t="s">
        <v>660</v>
      </c>
      <c r="F87" s="3" t="s">
        <v>661</v>
      </c>
      <c r="G87" s="3" t="s">
        <v>676</v>
      </c>
      <c r="H87" s="3" t="s">
        <v>676</v>
      </c>
      <c r="I87" s="3" t="s">
        <v>670</v>
      </c>
      <c r="J87" s="5">
        <v>45244</v>
      </c>
      <c r="K87" s="5">
        <v>45244</v>
      </c>
      <c r="L87" s="6">
        <v>4657.43</v>
      </c>
    </row>
    <row r="88" s="1" customFormat="1" spans="1:12">
      <c r="A88" s="3" t="s">
        <v>508</v>
      </c>
      <c r="B88" s="3" t="s">
        <v>542</v>
      </c>
      <c r="C88" s="3" t="s">
        <v>677</v>
      </c>
      <c r="D88" s="3" t="s">
        <v>678</v>
      </c>
      <c r="E88" s="3" t="s">
        <v>660</v>
      </c>
      <c r="F88" s="3" t="s">
        <v>661</v>
      </c>
      <c r="G88" s="3" t="s">
        <v>669</v>
      </c>
      <c r="H88" s="3" t="s">
        <v>669</v>
      </c>
      <c r="I88" s="3" t="s">
        <v>670</v>
      </c>
      <c r="J88" s="5">
        <v>45238</v>
      </c>
      <c r="K88" s="5">
        <v>45238</v>
      </c>
      <c r="L88" s="6">
        <v>2855.76</v>
      </c>
    </row>
    <row r="89" s="1" customFormat="1" spans="1:12">
      <c r="A89" s="3" t="s">
        <v>508</v>
      </c>
      <c r="B89" s="3" t="s">
        <v>509</v>
      </c>
      <c r="C89" s="3" t="s">
        <v>679</v>
      </c>
      <c r="D89" s="3" t="s">
        <v>680</v>
      </c>
      <c r="E89" s="3" t="s">
        <v>660</v>
      </c>
      <c r="F89" s="3" t="s">
        <v>661</v>
      </c>
      <c r="G89" s="3" t="s">
        <v>681</v>
      </c>
      <c r="H89" s="3" t="s">
        <v>681</v>
      </c>
      <c r="I89" s="3" t="s">
        <v>670</v>
      </c>
      <c r="J89" s="5">
        <v>45217</v>
      </c>
      <c r="K89" s="5">
        <v>45217</v>
      </c>
      <c r="L89" s="6">
        <v>303.66</v>
      </c>
    </row>
    <row r="90" s="1" customFormat="1" spans="1:12">
      <c r="A90" s="3" t="s">
        <v>508</v>
      </c>
      <c r="B90" s="3" t="s">
        <v>509</v>
      </c>
      <c r="C90" s="3" t="s">
        <v>682</v>
      </c>
      <c r="D90" s="3" t="s">
        <v>683</v>
      </c>
      <c r="E90" s="3" t="s">
        <v>660</v>
      </c>
      <c r="F90" s="3" t="s">
        <v>661</v>
      </c>
      <c r="G90" s="3" t="s">
        <v>669</v>
      </c>
      <c r="H90" s="3" t="s">
        <v>669</v>
      </c>
      <c r="I90" s="3" t="s">
        <v>670</v>
      </c>
      <c r="J90" s="5">
        <v>45223</v>
      </c>
      <c r="K90" s="5">
        <v>45223</v>
      </c>
      <c r="L90" s="6">
        <v>3641.5</v>
      </c>
    </row>
    <row r="91" s="1" customFormat="1" spans="1:12">
      <c r="A91" s="3" t="s">
        <v>508</v>
      </c>
      <c r="B91" s="3" t="s">
        <v>509</v>
      </c>
      <c r="C91" s="3" t="s">
        <v>684</v>
      </c>
      <c r="D91" s="3" t="s">
        <v>685</v>
      </c>
      <c r="E91" s="3" t="s">
        <v>660</v>
      </c>
      <c r="F91" s="3" t="s">
        <v>661</v>
      </c>
      <c r="G91" s="3" t="s">
        <v>681</v>
      </c>
      <c r="H91" s="3" t="s">
        <v>681</v>
      </c>
      <c r="I91" s="3" t="s">
        <v>670</v>
      </c>
      <c r="J91" s="5">
        <v>45223</v>
      </c>
      <c r="K91" s="5">
        <v>45223</v>
      </c>
      <c r="L91" s="6">
        <v>3050.56</v>
      </c>
    </row>
    <row r="92" s="1" customFormat="1" spans="1:12">
      <c r="A92" s="3" t="s">
        <v>508</v>
      </c>
      <c r="B92" s="3" t="s">
        <v>509</v>
      </c>
      <c r="C92" s="3" t="s">
        <v>686</v>
      </c>
      <c r="D92" s="3" t="s">
        <v>687</v>
      </c>
      <c r="E92" s="3" t="s">
        <v>660</v>
      </c>
      <c r="F92" s="3" t="s">
        <v>661</v>
      </c>
      <c r="G92" s="3" t="s">
        <v>688</v>
      </c>
      <c r="H92" s="3" t="s">
        <v>688</v>
      </c>
      <c r="I92" s="3" t="s">
        <v>670</v>
      </c>
      <c r="J92" s="5">
        <v>45223</v>
      </c>
      <c r="K92" s="5">
        <v>45223</v>
      </c>
      <c r="L92" s="6">
        <v>6000</v>
      </c>
    </row>
    <row r="93" s="1" customFormat="1" spans="1:12">
      <c r="A93" s="3" t="s">
        <v>508</v>
      </c>
      <c r="B93" s="3" t="s">
        <v>509</v>
      </c>
      <c r="C93" s="3" t="s">
        <v>689</v>
      </c>
      <c r="D93" s="3" t="s">
        <v>690</v>
      </c>
      <c r="E93" s="3" t="s">
        <v>660</v>
      </c>
      <c r="F93" s="3" t="s">
        <v>661</v>
      </c>
      <c r="G93" s="3" t="s">
        <v>669</v>
      </c>
      <c r="H93" s="3" t="s">
        <v>669</v>
      </c>
      <c r="I93" s="3" t="s">
        <v>670</v>
      </c>
      <c r="J93" s="5">
        <v>45223</v>
      </c>
      <c r="K93" s="5">
        <v>45223</v>
      </c>
      <c r="L93" s="6">
        <v>1440.58</v>
      </c>
    </row>
    <row r="94" s="1" customFormat="1" spans="1:12">
      <c r="A94" s="3" t="s">
        <v>508</v>
      </c>
      <c r="B94" s="3" t="s">
        <v>509</v>
      </c>
      <c r="C94" s="3" t="s">
        <v>691</v>
      </c>
      <c r="D94" s="3" t="s">
        <v>692</v>
      </c>
      <c r="E94" s="3" t="s">
        <v>660</v>
      </c>
      <c r="F94" s="3" t="s">
        <v>661</v>
      </c>
      <c r="G94" s="3" t="s">
        <v>693</v>
      </c>
      <c r="H94" s="3" t="s">
        <v>693</v>
      </c>
      <c r="I94" s="3" t="s">
        <v>670</v>
      </c>
      <c r="J94" s="5">
        <v>45225</v>
      </c>
      <c r="K94" s="5">
        <v>45225</v>
      </c>
      <c r="L94" s="6">
        <v>6033.18</v>
      </c>
    </row>
    <row r="95" s="1" customFormat="1" spans="1:12">
      <c r="A95" s="3" t="s">
        <v>508</v>
      </c>
      <c r="B95" s="3" t="s">
        <v>509</v>
      </c>
      <c r="C95" s="3" t="s">
        <v>694</v>
      </c>
      <c r="D95" s="3" t="s">
        <v>695</v>
      </c>
      <c r="E95" s="3" t="s">
        <v>660</v>
      </c>
      <c r="F95" s="3" t="s">
        <v>661</v>
      </c>
      <c r="G95" s="3" t="s">
        <v>669</v>
      </c>
      <c r="H95" s="3" t="s">
        <v>669</v>
      </c>
      <c r="I95" s="3" t="s">
        <v>670</v>
      </c>
      <c r="J95" s="5">
        <v>45224</v>
      </c>
      <c r="K95" s="5">
        <v>45224</v>
      </c>
      <c r="L95" s="6">
        <v>1708.92</v>
      </c>
    </row>
    <row r="96" s="1" customFormat="1" spans="1:12">
      <c r="A96" s="3" t="s">
        <v>508</v>
      </c>
      <c r="B96" s="3" t="s">
        <v>509</v>
      </c>
      <c r="C96" s="3" t="s">
        <v>696</v>
      </c>
      <c r="D96" s="3" t="s">
        <v>697</v>
      </c>
      <c r="E96" s="3" t="s">
        <v>660</v>
      </c>
      <c r="F96" s="3" t="s">
        <v>661</v>
      </c>
      <c r="G96" s="3" t="s">
        <v>669</v>
      </c>
      <c r="H96" s="3" t="s">
        <v>669</v>
      </c>
      <c r="I96" s="3" t="s">
        <v>670</v>
      </c>
      <c r="J96" s="5">
        <v>45223</v>
      </c>
      <c r="K96" s="5">
        <v>45223</v>
      </c>
      <c r="L96" s="6">
        <v>2860.57</v>
      </c>
    </row>
    <row r="97" s="1" customFormat="1" spans="1:12">
      <c r="A97" s="3" t="s">
        <v>508</v>
      </c>
      <c r="B97" s="3" t="s">
        <v>542</v>
      </c>
      <c r="C97" s="3" t="s">
        <v>698</v>
      </c>
      <c r="D97" s="3" t="s">
        <v>699</v>
      </c>
      <c r="E97" s="3" t="s">
        <v>660</v>
      </c>
      <c r="F97" s="3" t="s">
        <v>661</v>
      </c>
      <c r="G97" s="3" t="s">
        <v>700</v>
      </c>
      <c r="H97" s="3" t="s">
        <v>700</v>
      </c>
      <c r="I97" s="3" t="s">
        <v>670</v>
      </c>
      <c r="J97" s="5">
        <v>45238</v>
      </c>
      <c r="K97" s="5">
        <v>45238</v>
      </c>
      <c r="L97" s="6">
        <v>6386.14</v>
      </c>
    </row>
    <row r="98" s="1" customFormat="1" spans="1:12">
      <c r="A98" s="3" t="s">
        <v>508</v>
      </c>
      <c r="B98" s="3" t="s">
        <v>542</v>
      </c>
      <c r="C98" s="3" t="s">
        <v>701</v>
      </c>
      <c r="D98" s="3" t="s">
        <v>702</v>
      </c>
      <c r="E98" s="3" t="s">
        <v>660</v>
      </c>
      <c r="F98" s="3" t="s">
        <v>661</v>
      </c>
      <c r="G98" s="3" t="s">
        <v>703</v>
      </c>
      <c r="H98" s="3" t="s">
        <v>703</v>
      </c>
      <c r="I98" s="3" t="s">
        <v>670</v>
      </c>
      <c r="J98" s="5">
        <v>45238</v>
      </c>
      <c r="K98" s="5">
        <v>45238</v>
      </c>
      <c r="L98" s="6">
        <v>8873.98</v>
      </c>
    </row>
    <row r="99" s="1" customFormat="1" spans="1:12">
      <c r="A99" s="3" t="s">
        <v>508</v>
      </c>
      <c r="B99" s="3" t="s">
        <v>542</v>
      </c>
      <c r="C99" s="3" t="s">
        <v>704</v>
      </c>
      <c r="D99" s="3" t="s">
        <v>705</v>
      </c>
      <c r="E99" s="3" t="s">
        <v>660</v>
      </c>
      <c r="F99" s="3" t="s">
        <v>661</v>
      </c>
      <c r="G99" s="3" t="s">
        <v>706</v>
      </c>
      <c r="H99" s="3" t="s">
        <v>706</v>
      </c>
      <c r="I99" s="3" t="s">
        <v>670</v>
      </c>
      <c r="J99" s="5">
        <v>45247</v>
      </c>
      <c r="K99" s="5">
        <v>45247</v>
      </c>
      <c r="L99" s="6">
        <v>6055.55</v>
      </c>
    </row>
    <row r="100" s="1" customFormat="1" spans="1:12">
      <c r="A100" s="3" t="s">
        <v>508</v>
      </c>
      <c r="B100" s="3" t="s">
        <v>542</v>
      </c>
      <c r="C100" s="3" t="s">
        <v>707</v>
      </c>
      <c r="D100" s="3" t="s">
        <v>708</v>
      </c>
      <c r="E100" s="3" t="s">
        <v>660</v>
      </c>
      <c r="F100" s="3" t="s">
        <v>661</v>
      </c>
      <c r="G100" s="3" t="s">
        <v>700</v>
      </c>
      <c r="H100" s="3" t="s">
        <v>700</v>
      </c>
      <c r="I100" s="3" t="s">
        <v>670</v>
      </c>
      <c r="J100" s="5">
        <v>45247</v>
      </c>
      <c r="K100" s="5">
        <v>45247</v>
      </c>
      <c r="L100" s="6">
        <v>5521.79</v>
      </c>
    </row>
    <row r="101" s="1" customFormat="1" spans="1:12">
      <c r="A101" s="3" t="s">
        <v>508</v>
      </c>
      <c r="B101" s="3" t="s">
        <v>542</v>
      </c>
      <c r="C101" s="3" t="s">
        <v>709</v>
      </c>
      <c r="D101" s="3" t="s">
        <v>710</v>
      </c>
      <c r="E101" s="3" t="s">
        <v>660</v>
      </c>
      <c r="F101" s="3" t="s">
        <v>661</v>
      </c>
      <c r="G101" s="3" t="s">
        <v>706</v>
      </c>
      <c r="H101" s="3" t="s">
        <v>706</v>
      </c>
      <c r="I101" s="3" t="s">
        <v>670</v>
      </c>
      <c r="J101" s="5">
        <v>45250</v>
      </c>
      <c r="K101" s="5">
        <v>45250</v>
      </c>
      <c r="L101" s="6">
        <v>5635.14</v>
      </c>
    </row>
    <row r="102" s="1" customFormat="1" spans="1:12">
      <c r="A102" s="3" t="s">
        <v>508</v>
      </c>
      <c r="B102" s="3" t="s">
        <v>542</v>
      </c>
      <c r="C102" s="3" t="s">
        <v>711</v>
      </c>
      <c r="D102" s="3" t="s">
        <v>712</v>
      </c>
      <c r="E102" s="3" t="s">
        <v>660</v>
      </c>
      <c r="F102" s="3" t="s">
        <v>661</v>
      </c>
      <c r="G102" s="3" t="s">
        <v>713</v>
      </c>
      <c r="H102" s="3" t="s">
        <v>713</v>
      </c>
      <c r="I102" s="3" t="s">
        <v>670</v>
      </c>
      <c r="J102" s="5">
        <v>45238</v>
      </c>
      <c r="K102" s="5">
        <v>45238</v>
      </c>
      <c r="L102" s="6">
        <v>6257.31</v>
      </c>
    </row>
    <row r="103" s="1" customFormat="1" spans="1:12">
      <c r="A103" s="3" t="s">
        <v>508</v>
      </c>
      <c r="B103" s="3" t="s">
        <v>542</v>
      </c>
      <c r="C103" s="3" t="s">
        <v>714</v>
      </c>
      <c r="D103" s="3" t="s">
        <v>715</v>
      </c>
      <c r="E103" s="3" t="s">
        <v>660</v>
      </c>
      <c r="F103" s="3" t="s">
        <v>661</v>
      </c>
      <c r="G103" s="3" t="s">
        <v>716</v>
      </c>
      <c r="H103" s="3" t="s">
        <v>716</v>
      </c>
      <c r="I103" s="3" t="s">
        <v>670</v>
      </c>
      <c r="J103" s="5">
        <v>45238</v>
      </c>
      <c r="K103" s="5">
        <v>45238</v>
      </c>
      <c r="L103" s="6">
        <v>800.28</v>
      </c>
    </row>
    <row r="104" s="1" customFormat="1" spans="1:12">
      <c r="A104" s="3" t="s">
        <v>508</v>
      </c>
      <c r="B104" s="3" t="s">
        <v>542</v>
      </c>
      <c r="C104" s="3" t="s">
        <v>717</v>
      </c>
      <c r="D104" s="3" t="s">
        <v>718</v>
      </c>
      <c r="E104" s="3" t="s">
        <v>660</v>
      </c>
      <c r="F104" s="3" t="s">
        <v>661</v>
      </c>
      <c r="G104" s="3" t="s">
        <v>719</v>
      </c>
      <c r="H104" s="3" t="s">
        <v>719</v>
      </c>
      <c r="I104" s="3" t="s">
        <v>670</v>
      </c>
      <c r="J104" s="5">
        <v>45251</v>
      </c>
      <c r="K104" s="5">
        <v>45251</v>
      </c>
      <c r="L104" s="6">
        <v>8733.61</v>
      </c>
    </row>
    <row r="105" s="1" customFormat="1" spans="1:12">
      <c r="A105" s="3" t="s">
        <v>508</v>
      </c>
      <c r="B105" s="3" t="s">
        <v>542</v>
      </c>
      <c r="C105" s="3" t="s">
        <v>720</v>
      </c>
      <c r="D105" s="3" t="s">
        <v>721</v>
      </c>
      <c r="E105" s="3" t="s">
        <v>660</v>
      </c>
      <c r="F105" s="3" t="s">
        <v>661</v>
      </c>
      <c r="G105" s="3" t="s">
        <v>706</v>
      </c>
      <c r="H105" s="3" t="s">
        <v>706</v>
      </c>
      <c r="I105" s="3" t="s">
        <v>670</v>
      </c>
      <c r="J105" s="5">
        <v>45250</v>
      </c>
      <c r="K105" s="5">
        <v>45250</v>
      </c>
      <c r="L105" s="6">
        <v>6109.91</v>
      </c>
    </row>
    <row r="106" s="1" customFormat="1" spans="1:12">
      <c r="A106" s="3" t="s">
        <v>508</v>
      </c>
      <c r="B106" s="3" t="s">
        <v>542</v>
      </c>
      <c r="C106" s="3" t="s">
        <v>722</v>
      </c>
      <c r="D106" s="3" t="s">
        <v>723</v>
      </c>
      <c r="E106" s="3" t="s">
        <v>660</v>
      </c>
      <c r="F106" s="3" t="s">
        <v>661</v>
      </c>
      <c r="G106" s="3" t="s">
        <v>724</v>
      </c>
      <c r="H106" s="3" t="s">
        <v>724</v>
      </c>
      <c r="I106" s="3" t="s">
        <v>670</v>
      </c>
      <c r="J106" s="5">
        <v>45244</v>
      </c>
      <c r="K106" s="5">
        <v>45244</v>
      </c>
      <c r="L106" s="6">
        <v>1592.29</v>
      </c>
    </row>
    <row r="107" s="1" customFormat="1" spans="1:12">
      <c r="A107" s="3" t="s">
        <v>508</v>
      </c>
      <c r="B107" s="3" t="s">
        <v>542</v>
      </c>
      <c r="C107" s="3" t="s">
        <v>725</v>
      </c>
      <c r="D107" s="3" t="s">
        <v>726</v>
      </c>
      <c r="E107" s="3" t="s">
        <v>660</v>
      </c>
      <c r="F107" s="3" t="s">
        <v>661</v>
      </c>
      <c r="G107" s="3" t="s">
        <v>669</v>
      </c>
      <c r="H107" s="3" t="s">
        <v>669</v>
      </c>
      <c r="I107" s="3" t="s">
        <v>670</v>
      </c>
      <c r="J107" s="5">
        <v>45239</v>
      </c>
      <c r="K107" s="5">
        <v>45239</v>
      </c>
      <c r="L107" s="6">
        <v>1869.14</v>
      </c>
    </row>
    <row r="108" s="1" customFormat="1" spans="1:12">
      <c r="A108" s="3" t="s">
        <v>508</v>
      </c>
      <c r="B108" s="3" t="s">
        <v>542</v>
      </c>
      <c r="C108" s="3" t="s">
        <v>727</v>
      </c>
      <c r="D108" s="3" t="s">
        <v>728</v>
      </c>
      <c r="E108" s="3" t="s">
        <v>660</v>
      </c>
      <c r="F108" s="3" t="s">
        <v>661</v>
      </c>
      <c r="G108" s="3" t="s">
        <v>669</v>
      </c>
      <c r="H108" s="3" t="s">
        <v>669</v>
      </c>
      <c r="I108" s="3" t="s">
        <v>670</v>
      </c>
      <c r="J108" s="5">
        <v>45239</v>
      </c>
      <c r="K108" s="5">
        <v>45239</v>
      </c>
      <c r="L108" s="6">
        <v>2967.71</v>
      </c>
    </row>
    <row r="109" s="1" customFormat="1" spans="1:12">
      <c r="A109" s="3" t="s">
        <v>508</v>
      </c>
      <c r="B109" s="3" t="s">
        <v>542</v>
      </c>
      <c r="C109" s="3" t="s">
        <v>729</v>
      </c>
      <c r="D109" s="3" t="s">
        <v>730</v>
      </c>
      <c r="E109" s="3" t="s">
        <v>660</v>
      </c>
      <c r="F109" s="3" t="s">
        <v>661</v>
      </c>
      <c r="G109" s="3" t="s">
        <v>731</v>
      </c>
      <c r="H109" s="3" t="s">
        <v>731</v>
      </c>
      <c r="I109" s="3" t="s">
        <v>670</v>
      </c>
      <c r="J109" s="5">
        <v>45244</v>
      </c>
      <c r="K109" s="5">
        <v>45244</v>
      </c>
      <c r="L109" s="6">
        <v>2785.17</v>
      </c>
    </row>
    <row r="110" s="1" customFormat="1" spans="1:12">
      <c r="A110" s="3" t="s">
        <v>508</v>
      </c>
      <c r="B110" s="3" t="s">
        <v>542</v>
      </c>
      <c r="C110" s="3" t="s">
        <v>732</v>
      </c>
      <c r="D110" s="3" t="s">
        <v>733</v>
      </c>
      <c r="E110" s="3" t="s">
        <v>660</v>
      </c>
      <c r="F110" s="3" t="s">
        <v>661</v>
      </c>
      <c r="G110" s="3" t="s">
        <v>734</v>
      </c>
      <c r="H110" s="3" t="s">
        <v>734</v>
      </c>
      <c r="I110" s="3" t="s">
        <v>670</v>
      </c>
      <c r="J110" s="5">
        <v>45244</v>
      </c>
      <c r="K110" s="5">
        <v>45244</v>
      </c>
      <c r="L110" s="6">
        <v>6055.54</v>
      </c>
    </row>
    <row r="111" s="1" customFormat="1" spans="1:12">
      <c r="A111" s="3" t="s">
        <v>508</v>
      </c>
      <c r="B111" s="3" t="s">
        <v>542</v>
      </c>
      <c r="C111" s="3" t="s">
        <v>735</v>
      </c>
      <c r="D111" s="3" t="s">
        <v>736</v>
      </c>
      <c r="E111" s="3" t="s">
        <v>660</v>
      </c>
      <c r="F111" s="3" t="s">
        <v>661</v>
      </c>
      <c r="G111" s="3" t="s">
        <v>700</v>
      </c>
      <c r="H111" s="3" t="s">
        <v>700</v>
      </c>
      <c r="I111" s="3" t="s">
        <v>670</v>
      </c>
      <c r="J111" s="5">
        <v>45244</v>
      </c>
      <c r="K111" s="5">
        <v>45244</v>
      </c>
      <c r="L111" s="6">
        <v>6109.9</v>
      </c>
    </row>
    <row r="112" s="1" customFormat="1" spans="1:12">
      <c r="A112" s="3" t="s">
        <v>508</v>
      </c>
      <c r="B112" s="3" t="s">
        <v>518</v>
      </c>
      <c r="C112" s="3" t="s">
        <v>737</v>
      </c>
      <c r="D112" s="3" t="s">
        <v>738</v>
      </c>
      <c r="E112" s="3" t="s">
        <v>660</v>
      </c>
      <c r="F112" s="3" t="s">
        <v>661</v>
      </c>
      <c r="G112" s="3" t="s">
        <v>731</v>
      </c>
      <c r="H112" s="3" t="s">
        <v>731</v>
      </c>
      <c r="I112" s="3" t="s">
        <v>670</v>
      </c>
      <c r="J112" s="5">
        <v>45266</v>
      </c>
      <c r="K112" s="5">
        <v>45266</v>
      </c>
      <c r="L112" s="6">
        <v>353.74</v>
      </c>
    </row>
    <row r="113" s="1" customFormat="1" spans="1:12">
      <c r="A113" s="3" t="s">
        <v>508</v>
      </c>
      <c r="B113" s="3" t="s">
        <v>518</v>
      </c>
      <c r="C113" s="3" t="s">
        <v>739</v>
      </c>
      <c r="D113" s="3" t="s">
        <v>740</v>
      </c>
      <c r="E113" s="3" t="s">
        <v>660</v>
      </c>
      <c r="F113" s="3" t="s">
        <v>661</v>
      </c>
      <c r="G113" s="3" t="s">
        <v>741</v>
      </c>
      <c r="H113" s="3" t="s">
        <v>741</v>
      </c>
      <c r="I113" s="3" t="s">
        <v>670</v>
      </c>
      <c r="J113" s="5">
        <v>45279</v>
      </c>
      <c r="K113" s="5">
        <v>45279</v>
      </c>
      <c r="L113" s="6">
        <v>753.04</v>
      </c>
    </row>
    <row r="114" s="1" customFormat="1" spans="1:12">
      <c r="A114" s="3" t="s">
        <v>508</v>
      </c>
      <c r="B114" s="3" t="s">
        <v>518</v>
      </c>
      <c r="C114" s="3" t="s">
        <v>742</v>
      </c>
      <c r="D114" s="3" t="s">
        <v>743</v>
      </c>
      <c r="E114" s="3" t="s">
        <v>660</v>
      </c>
      <c r="F114" s="3" t="s">
        <v>661</v>
      </c>
      <c r="G114" s="3" t="s">
        <v>744</v>
      </c>
      <c r="H114" s="3" t="s">
        <v>744</v>
      </c>
      <c r="I114" s="3" t="s">
        <v>670</v>
      </c>
      <c r="J114" s="5">
        <v>45275</v>
      </c>
      <c r="K114" s="5">
        <v>45275</v>
      </c>
      <c r="L114" s="6">
        <v>495.05</v>
      </c>
    </row>
    <row r="115" s="1" customFormat="1" spans="1:12">
      <c r="A115" s="3" t="s">
        <v>508</v>
      </c>
      <c r="B115" s="3" t="s">
        <v>509</v>
      </c>
      <c r="C115" s="3" t="s">
        <v>745</v>
      </c>
      <c r="D115" s="3" t="s">
        <v>746</v>
      </c>
      <c r="E115" s="3" t="s">
        <v>660</v>
      </c>
      <c r="F115" s="3" t="s">
        <v>661</v>
      </c>
      <c r="G115" s="3" t="s">
        <v>703</v>
      </c>
      <c r="H115" s="3" t="s">
        <v>703</v>
      </c>
      <c r="I115" s="3" t="s">
        <v>670</v>
      </c>
      <c r="J115" s="5">
        <v>45212</v>
      </c>
      <c r="K115" s="5">
        <v>45212</v>
      </c>
      <c r="L115" s="6">
        <v>2702.18</v>
      </c>
    </row>
    <row r="116" s="1" customFormat="1" spans="1:12">
      <c r="A116" s="3" t="s">
        <v>508</v>
      </c>
      <c r="B116" s="3" t="s">
        <v>509</v>
      </c>
      <c r="C116" s="3" t="s">
        <v>747</v>
      </c>
      <c r="D116" s="3" t="s">
        <v>748</v>
      </c>
      <c r="E116" s="3" t="s">
        <v>660</v>
      </c>
      <c r="F116" s="3" t="s">
        <v>661</v>
      </c>
      <c r="G116" s="3" t="s">
        <v>703</v>
      </c>
      <c r="H116" s="3" t="s">
        <v>703</v>
      </c>
      <c r="I116" s="3" t="s">
        <v>670</v>
      </c>
      <c r="J116" s="5">
        <v>45212</v>
      </c>
      <c r="K116" s="5">
        <v>45212</v>
      </c>
      <c r="L116" s="6">
        <v>747.17</v>
      </c>
    </row>
    <row r="117" s="1" customFormat="1" spans="1:12">
      <c r="A117" s="3" t="s">
        <v>508</v>
      </c>
      <c r="B117" s="3" t="s">
        <v>518</v>
      </c>
      <c r="C117" s="3" t="s">
        <v>749</v>
      </c>
      <c r="D117" s="3" t="s">
        <v>750</v>
      </c>
      <c r="E117" s="3" t="s">
        <v>660</v>
      </c>
      <c r="F117" s="3" t="s">
        <v>661</v>
      </c>
      <c r="G117" s="3" t="s">
        <v>751</v>
      </c>
      <c r="H117" s="3" t="s">
        <v>751</v>
      </c>
      <c r="I117" s="3" t="s">
        <v>670</v>
      </c>
      <c r="J117" s="5">
        <v>45264</v>
      </c>
      <c r="K117" s="5">
        <v>45264</v>
      </c>
      <c r="L117" s="6">
        <v>8800</v>
      </c>
    </row>
    <row r="118" s="1" customFormat="1" spans="1:12">
      <c r="A118" s="3" t="s">
        <v>508</v>
      </c>
      <c r="B118" s="3" t="s">
        <v>518</v>
      </c>
      <c r="C118" s="3" t="s">
        <v>752</v>
      </c>
      <c r="D118" s="3" t="s">
        <v>753</v>
      </c>
      <c r="E118" s="3" t="s">
        <v>660</v>
      </c>
      <c r="F118" s="3" t="s">
        <v>661</v>
      </c>
      <c r="G118" s="3" t="s">
        <v>754</v>
      </c>
      <c r="H118" s="3" t="s">
        <v>754</v>
      </c>
      <c r="I118" s="3" t="s">
        <v>670</v>
      </c>
      <c r="J118" s="5">
        <v>45275</v>
      </c>
      <c r="K118" s="5">
        <v>45275</v>
      </c>
      <c r="L118" s="6">
        <v>3340.37</v>
      </c>
    </row>
    <row r="119" s="1" customFormat="1" spans="1:12">
      <c r="A119" s="3" t="s">
        <v>508</v>
      </c>
      <c r="B119" s="3" t="s">
        <v>518</v>
      </c>
      <c r="C119" s="3" t="s">
        <v>755</v>
      </c>
      <c r="D119" s="3" t="s">
        <v>756</v>
      </c>
      <c r="E119" s="3" t="s">
        <v>660</v>
      </c>
      <c r="F119" s="3" t="s">
        <v>661</v>
      </c>
      <c r="G119" s="3" t="s">
        <v>757</v>
      </c>
      <c r="H119" s="3" t="s">
        <v>757</v>
      </c>
      <c r="I119" s="3" t="s">
        <v>670</v>
      </c>
      <c r="J119" s="5">
        <v>45275</v>
      </c>
      <c r="K119" s="5">
        <v>45275</v>
      </c>
      <c r="L119" s="6">
        <v>12163.76</v>
      </c>
    </row>
    <row r="120" s="1" customFormat="1" spans="1:12">
      <c r="A120" s="3" t="s">
        <v>508</v>
      </c>
      <c r="B120" s="3" t="s">
        <v>518</v>
      </c>
      <c r="C120" s="3" t="s">
        <v>758</v>
      </c>
      <c r="D120" s="3" t="s">
        <v>759</v>
      </c>
      <c r="E120" s="3" t="s">
        <v>660</v>
      </c>
      <c r="F120" s="3" t="s">
        <v>661</v>
      </c>
      <c r="G120" s="3" t="s">
        <v>760</v>
      </c>
      <c r="H120" s="3" t="s">
        <v>760</v>
      </c>
      <c r="I120" s="3" t="s">
        <v>670</v>
      </c>
      <c r="J120" s="5">
        <v>45280</v>
      </c>
      <c r="K120" s="5">
        <v>45280</v>
      </c>
      <c r="L120" s="6">
        <v>600</v>
      </c>
    </row>
    <row r="121" s="1" customFormat="1" spans="1:12">
      <c r="A121" s="3" t="s">
        <v>508</v>
      </c>
      <c r="B121" s="3" t="s">
        <v>518</v>
      </c>
      <c r="C121" s="3" t="s">
        <v>761</v>
      </c>
      <c r="D121" s="3" t="s">
        <v>762</v>
      </c>
      <c r="E121" s="3" t="s">
        <v>660</v>
      </c>
      <c r="F121" s="3" t="s">
        <v>661</v>
      </c>
      <c r="G121" s="3" t="s">
        <v>763</v>
      </c>
      <c r="H121" s="3" t="s">
        <v>763</v>
      </c>
      <c r="I121" s="3" t="s">
        <v>670</v>
      </c>
      <c r="J121" s="5">
        <v>45280</v>
      </c>
      <c r="K121" s="5">
        <v>45280</v>
      </c>
      <c r="L121" s="6">
        <v>3104.95</v>
      </c>
    </row>
    <row r="122" s="1" customFormat="1" spans="1:12">
      <c r="A122" s="3" t="s">
        <v>508</v>
      </c>
      <c r="B122" s="3" t="s">
        <v>518</v>
      </c>
      <c r="C122" s="3" t="s">
        <v>764</v>
      </c>
      <c r="D122" s="3" t="s">
        <v>765</v>
      </c>
      <c r="E122" s="3" t="s">
        <v>660</v>
      </c>
      <c r="F122" s="3" t="s">
        <v>661</v>
      </c>
      <c r="G122" s="3" t="s">
        <v>766</v>
      </c>
      <c r="H122" s="3" t="s">
        <v>766</v>
      </c>
      <c r="I122" s="3" t="s">
        <v>670</v>
      </c>
      <c r="J122" s="5">
        <v>45275</v>
      </c>
      <c r="K122" s="5">
        <v>45275</v>
      </c>
      <c r="L122" s="6">
        <v>8566.46</v>
      </c>
    </row>
    <row r="123" s="1" customFormat="1" spans="1:12">
      <c r="A123" s="3" t="s">
        <v>508</v>
      </c>
      <c r="B123" s="3" t="s">
        <v>542</v>
      </c>
      <c r="C123" s="3" t="s">
        <v>767</v>
      </c>
      <c r="D123" s="3" t="s">
        <v>768</v>
      </c>
      <c r="E123" s="3" t="s">
        <v>660</v>
      </c>
      <c r="F123" s="3" t="s">
        <v>661</v>
      </c>
      <c r="G123" s="3" t="s">
        <v>525</v>
      </c>
      <c r="H123" s="3" t="s">
        <v>769</v>
      </c>
      <c r="I123" s="3" t="s">
        <v>527</v>
      </c>
      <c r="J123" s="5">
        <v>45260</v>
      </c>
      <c r="K123" s="5">
        <v>45254</v>
      </c>
      <c r="L123" s="6">
        <v>-90630.47</v>
      </c>
    </row>
    <row r="124" s="1" customFormat="1" spans="1:12">
      <c r="A124" s="3" t="s">
        <v>508</v>
      </c>
      <c r="B124" s="3" t="s">
        <v>518</v>
      </c>
      <c r="C124" s="3" t="s">
        <v>770</v>
      </c>
      <c r="D124" s="3" t="s">
        <v>771</v>
      </c>
      <c r="E124" s="3" t="s">
        <v>660</v>
      </c>
      <c r="F124" s="3" t="s">
        <v>661</v>
      </c>
      <c r="G124" s="3" t="s">
        <v>525</v>
      </c>
      <c r="H124" s="3" t="s">
        <v>769</v>
      </c>
      <c r="I124" s="3" t="s">
        <v>527</v>
      </c>
      <c r="J124" s="5">
        <v>45291</v>
      </c>
      <c r="K124" s="5">
        <v>45288</v>
      </c>
      <c r="L124" s="6">
        <v>-89025.62</v>
      </c>
    </row>
    <row r="125" s="1" customFormat="1" spans="1:12">
      <c r="A125" s="3" t="s">
        <v>508</v>
      </c>
      <c r="B125" s="3" t="s">
        <v>518</v>
      </c>
      <c r="C125" s="3" t="s">
        <v>772</v>
      </c>
      <c r="D125" s="3" t="s">
        <v>773</v>
      </c>
      <c r="E125" s="3" t="s">
        <v>660</v>
      </c>
      <c r="F125" s="3" t="s">
        <v>661</v>
      </c>
      <c r="G125" s="3" t="s">
        <v>774</v>
      </c>
      <c r="H125" s="3" t="s">
        <v>774</v>
      </c>
      <c r="I125" s="3" t="s">
        <v>670</v>
      </c>
      <c r="J125" s="5">
        <v>45268</v>
      </c>
      <c r="K125" s="5">
        <v>45268</v>
      </c>
      <c r="L125" s="6">
        <v>2104.96</v>
      </c>
    </row>
    <row r="126" s="1" customFormat="1" spans="1:12">
      <c r="A126" s="3" t="s">
        <v>508</v>
      </c>
      <c r="B126" s="3" t="s">
        <v>518</v>
      </c>
      <c r="C126" s="3" t="s">
        <v>775</v>
      </c>
      <c r="D126" s="3" t="s">
        <v>776</v>
      </c>
      <c r="E126" s="3" t="s">
        <v>660</v>
      </c>
      <c r="F126" s="3" t="s">
        <v>661</v>
      </c>
      <c r="G126" s="3" t="s">
        <v>777</v>
      </c>
      <c r="H126" s="3" t="s">
        <v>777</v>
      </c>
      <c r="I126" s="3" t="s">
        <v>670</v>
      </c>
      <c r="J126" s="5">
        <v>45278</v>
      </c>
      <c r="K126" s="5">
        <v>45278</v>
      </c>
      <c r="L126" s="6">
        <v>1885.73</v>
      </c>
    </row>
    <row r="127" s="1" customFormat="1" spans="1:12">
      <c r="A127" s="3" t="s">
        <v>508</v>
      </c>
      <c r="B127" s="3" t="s">
        <v>518</v>
      </c>
      <c r="C127" s="3" t="s">
        <v>778</v>
      </c>
      <c r="D127" s="3" t="s">
        <v>779</v>
      </c>
      <c r="E127" s="3" t="s">
        <v>660</v>
      </c>
      <c r="F127" s="3" t="s">
        <v>661</v>
      </c>
      <c r="G127" s="3" t="s">
        <v>763</v>
      </c>
      <c r="H127" s="3" t="s">
        <v>763</v>
      </c>
      <c r="I127" s="3" t="s">
        <v>670</v>
      </c>
      <c r="J127" s="5">
        <v>45268</v>
      </c>
      <c r="K127" s="5">
        <v>45268</v>
      </c>
      <c r="L127" s="6">
        <v>4073.27</v>
      </c>
    </row>
    <row r="128" s="1" customFormat="1" spans="1:12">
      <c r="A128" s="3" t="s">
        <v>508</v>
      </c>
      <c r="B128" s="3" t="s">
        <v>518</v>
      </c>
      <c r="C128" s="3" t="s">
        <v>780</v>
      </c>
      <c r="D128" s="3" t="s">
        <v>781</v>
      </c>
      <c r="E128" s="3" t="s">
        <v>660</v>
      </c>
      <c r="F128" s="3" t="s">
        <v>661</v>
      </c>
      <c r="G128" s="3" t="s">
        <v>782</v>
      </c>
      <c r="H128" s="3" t="s">
        <v>782</v>
      </c>
      <c r="I128" s="3" t="s">
        <v>670</v>
      </c>
      <c r="J128" s="5">
        <v>45268</v>
      </c>
      <c r="K128" s="5">
        <v>45268</v>
      </c>
      <c r="L128" s="6">
        <v>831.57</v>
      </c>
    </row>
    <row r="129" s="1" customFormat="1" spans="1:12">
      <c r="A129" s="3" t="s">
        <v>508</v>
      </c>
      <c r="B129" s="3" t="s">
        <v>518</v>
      </c>
      <c r="C129" s="3" t="s">
        <v>783</v>
      </c>
      <c r="D129" s="3" t="s">
        <v>784</v>
      </c>
      <c r="E129" s="3" t="s">
        <v>660</v>
      </c>
      <c r="F129" s="3" t="s">
        <v>661</v>
      </c>
      <c r="G129" s="3" t="s">
        <v>681</v>
      </c>
      <c r="H129" s="3" t="s">
        <v>681</v>
      </c>
      <c r="I129" s="3" t="s">
        <v>670</v>
      </c>
      <c r="J129" s="5">
        <v>45265</v>
      </c>
      <c r="K129" s="5">
        <v>45265</v>
      </c>
      <c r="L129" s="6">
        <v>716.68</v>
      </c>
    </row>
    <row r="130" s="1" customFormat="1" spans="1:12">
      <c r="A130" s="3" t="s">
        <v>508</v>
      </c>
      <c r="B130" s="3" t="s">
        <v>518</v>
      </c>
      <c r="C130" s="3" t="s">
        <v>785</v>
      </c>
      <c r="D130" s="3" t="s">
        <v>786</v>
      </c>
      <c r="E130" s="3" t="s">
        <v>660</v>
      </c>
      <c r="F130" s="3" t="s">
        <v>661</v>
      </c>
      <c r="G130" s="3" t="s">
        <v>693</v>
      </c>
      <c r="H130" s="3" t="s">
        <v>693</v>
      </c>
      <c r="I130" s="3" t="s">
        <v>670</v>
      </c>
      <c r="J130" s="5">
        <v>45265</v>
      </c>
      <c r="K130" s="5">
        <v>45265</v>
      </c>
      <c r="L130" s="6">
        <v>1068.32</v>
      </c>
    </row>
    <row r="131" s="1" customFormat="1" spans="1:12">
      <c r="A131" s="3" t="s">
        <v>508</v>
      </c>
      <c r="B131" s="3" t="s">
        <v>518</v>
      </c>
      <c r="C131" s="3" t="s">
        <v>787</v>
      </c>
      <c r="D131" s="3" t="s">
        <v>788</v>
      </c>
      <c r="E131" s="3" t="s">
        <v>660</v>
      </c>
      <c r="F131" s="3" t="s">
        <v>661</v>
      </c>
      <c r="G131" s="3" t="s">
        <v>669</v>
      </c>
      <c r="H131" s="3" t="s">
        <v>669</v>
      </c>
      <c r="I131" s="3" t="s">
        <v>670</v>
      </c>
      <c r="J131" s="5">
        <v>45268</v>
      </c>
      <c r="K131" s="5">
        <v>45268</v>
      </c>
      <c r="L131" s="6">
        <v>3258.27</v>
      </c>
    </row>
    <row r="132" s="1" customFormat="1" spans="1:12">
      <c r="A132" s="3" t="s">
        <v>508</v>
      </c>
      <c r="B132" s="3" t="s">
        <v>518</v>
      </c>
      <c r="C132" s="3" t="s">
        <v>789</v>
      </c>
      <c r="D132" s="3" t="s">
        <v>790</v>
      </c>
      <c r="E132" s="3" t="s">
        <v>660</v>
      </c>
      <c r="F132" s="3" t="s">
        <v>661</v>
      </c>
      <c r="G132" s="3" t="s">
        <v>731</v>
      </c>
      <c r="H132" s="3" t="s">
        <v>731</v>
      </c>
      <c r="I132" s="3" t="s">
        <v>670</v>
      </c>
      <c r="J132" s="5">
        <v>45264</v>
      </c>
      <c r="K132" s="5">
        <v>45264</v>
      </c>
      <c r="L132" s="6">
        <v>345.66</v>
      </c>
    </row>
    <row r="133" s="1" customFormat="1" spans="1:12">
      <c r="A133" s="3" t="s">
        <v>508</v>
      </c>
      <c r="B133" s="3" t="s">
        <v>518</v>
      </c>
      <c r="C133" s="3" t="s">
        <v>791</v>
      </c>
      <c r="D133" s="3" t="s">
        <v>792</v>
      </c>
      <c r="E133" s="3" t="s">
        <v>660</v>
      </c>
      <c r="F133" s="3" t="s">
        <v>661</v>
      </c>
      <c r="G133" s="3" t="s">
        <v>731</v>
      </c>
      <c r="H133" s="3" t="s">
        <v>731</v>
      </c>
      <c r="I133" s="3" t="s">
        <v>670</v>
      </c>
      <c r="J133" s="5">
        <v>45264</v>
      </c>
      <c r="K133" s="5">
        <v>45264</v>
      </c>
      <c r="L133" s="6">
        <v>231.1</v>
      </c>
    </row>
    <row r="134" s="1" customFormat="1" spans="1:12">
      <c r="A134" s="3" t="s">
        <v>508</v>
      </c>
      <c r="B134" s="3" t="s">
        <v>518</v>
      </c>
      <c r="C134" s="3" t="s">
        <v>793</v>
      </c>
      <c r="D134" s="3" t="s">
        <v>794</v>
      </c>
      <c r="E134" s="3" t="s">
        <v>660</v>
      </c>
      <c r="F134" s="3" t="s">
        <v>661</v>
      </c>
      <c r="G134" s="3" t="s">
        <v>795</v>
      </c>
      <c r="H134" s="3" t="s">
        <v>795</v>
      </c>
      <c r="I134" s="3" t="s">
        <v>670</v>
      </c>
      <c r="J134" s="5">
        <v>45277</v>
      </c>
      <c r="K134" s="5">
        <v>45277</v>
      </c>
      <c r="L134" s="6">
        <v>1128.71</v>
      </c>
    </row>
    <row r="135" s="1" customFormat="1" spans="1:12">
      <c r="A135" s="3" t="s">
        <v>508</v>
      </c>
      <c r="B135" s="3" t="s">
        <v>518</v>
      </c>
      <c r="C135" s="3" t="s">
        <v>796</v>
      </c>
      <c r="D135" s="3" t="s">
        <v>797</v>
      </c>
      <c r="E135" s="3" t="s">
        <v>660</v>
      </c>
      <c r="F135" s="3" t="s">
        <v>661</v>
      </c>
      <c r="G135" s="3" t="s">
        <v>763</v>
      </c>
      <c r="H135" s="3" t="s">
        <v>763</v>
      </c>
      <c r="I135" s="3" t="s">
        <v>670</v>
      </c>
      <c r="J135" s="5">
        <v>45270</v>
      </c>
      <c r="K135" s="5">
        <v>45270</v>
      </c>
      <c r="L135" s="6">
        <v>2136.63</v>
      </c>
    </row>
    <row r="136" s="1" customFormat="1" spans="1:12">
      <c r="A136" s="3" t="s">
        <v>508</v>
      </c>
      <c r="B136" s="3" t="s">
        <v>518</v>
      </c>
      <c r="C136" s="3" t="s">
        <v>798</v>
      </c>
      <c r="D136" s="3" t="s">
        <v>799</v>
      </c>
      <c r="E136" s="3" t="s">
        <v>660</v>
      </c>
      <c r="F136" s="3" t="s">
        <v>661</v>
      </c>
      <c r="G136" s="3" t="s">
        <v>669</v>
      </c>
      <c r="H136" s="3" t="s">
        <v>669</v>
      </c>
      <c r="I136" s="3" t="s">
        <v>670</v>
      </c>
      <c r="J136" s="5">
        <v>45270</v>
      </c>
      <c r="K136" s="5">
        <v>45270</v>
      </c>
      <c r="L136" s="6">
        <v>2000.32</v>
      </c>
    </row>
    <row r="137" s="1" customFormat="1" spans="1:12">
      <c r="A137" s="3" t="s">
        <v>508</v>
      </c>
      <c r="B137" s="3" t="s">
        <v>518</v>
      </c>
      <c r="C137" s="3" t="s">
        <v>800</v>
      </c>
      <c r="D137" s="3" t="s">
        <v>801</v>
      </c>
      <c r="E137" s="3" t="s">
        <v>660</v>
      </c>
      <c r="F137" s="3" t="s">
        <v>661</v>
      </c>
      <c r="G137" s="3" t="s">
        <v>802</v>
      </c>
      <c r="H137" s="3" t="s">
        <v>802</v>
      </c>
      <c r="I137" s="3" t="s">
        <v>670</v>
      </c>
      <c r="J137" s="5">
        <v>45270</v>
      </c>
      <c r="K137" s="5">
        <v>45270</v>
      </c>
      <c r="L137" s="6">
        <v>1192.99</v>
      </c>
    </row>
    <row r="138" s="1" customFormat="1" spans="1:12">
      <c r="A138" s="3" t="s">
        <v>508</v>
      </c>
      <c r="B138" s="3" t="s">
        <v>518</v>
      </c>
      <c r="C138" s="3" t="s">
        <v>803</v>
      </c>
      <c r="D138" s="3" t="s">
        <v>804</v>
      </c>
      <c r="E138" s="3" t="s">
        <v>660</v>
      </c>
      <c r="F138" s="3" t="s">
        <v>661</v>
      </c>
      <c r="G138" s="3" t="s">
        <v>805</v>
      </c>
      <c r="H138" s="3" t="s">
        <v>805</v>
      </c>
      <c r="I138" s="3" t="s">
        <v>670</v>
      </c>
      <c r="J138" s="5">
        <v>45270</v>
      </c>
      <c r="K138" s="5">
        <v>45270</v>
      </c>
      <c r="L138" s="6">
        <v>10238.88</v>
      </c>
    </row>
    <row r="139" s="1" customFormat="1" spans="1:12">
      <c r="A139" s="3" t="s">
        <v>508</v>
      </c>
      <c r="B139" s="3" t="s">
        <v>518</v>
      </c>
      <c r="C139" s="3" t="s">
        <v>806</v>
      </c>
      <c r="D139" s="3" t="s">
        <v>807</v>
      </c>
      <c r="E139" s="3" t="s">
        <v>660</v>
      </c>
      <c r="F139" s="3" t="s">
        <v>661</v>
      </c>
      <c r="G139" s="3" t="s">
        <v>669</v>
      </c>
      <c r="H139" s="3" t="s">
        <v>669</v>
      </c>
      <c r="I139" s="3" t="s">
        <v>670</v>
      </c>
      <c r="J139" s="5">
        <v>45270</v>
      </c>
      <c r="K139" s="5">
        <v>45270</v>
      </c>
      <c r="L139" s="6">
        <v>3050.6</v>
      </c>
    </row>
    <row r="140" s="1" customFormat="1" spans="1:12">
      <c r="A140" s="3" t="s">
        <v>508</v>
      </c>
      <c r="B140" s="3" t="s">
        <v>518</v>
      </c>
      <c r="C140" s="3" t="s">
        <v>808</v>
      </c>
      <c r="D140" s="3" t="s">
        <v>809</v>
      </c>
      <c r="E140" s="3" t="s">
        <v>660</v>
      </c>
      <c r="F140" s="3" t="s">
        <v>661</v>
      </c>
      <c r="G140" s="3" t="s">
        <v>810</v>
      </c>
      <c r="H140" s="3" t="s">
        <v>810</v>
      </c>
      <c r="I140" s="3" t="s">
        <v>670</v>
      </c>
      <c r="J140" s="5">
        <v>45278</v>
      </c>
      <c r="K140" s="5">
        <v>45278</v>
      </c>
      <c r="L140" s="6">
        <v>3700</v>
      </c>
    </row>
    <row r="141" s="1" customFormat="1" spans="1:12">
      <c r="A141" s="3" t="s">
        <v>508</v>
      </c>
      <c r="B141" s="3" t="s">
        <v>518</v>
      </c>
      <c r="C141" s="3" t="s">
        <v>811</v>
      </c>
      <c r="D141" s="3" t="s">
        <v>812</v>
      </c>
      <c r="E141" s="3" t="s">
        <v>660</v>
      </c>
      <c r="F141" s="3" t="s">
        <v>661</v>
      </c>
      <c r="G141" s="3" t="s">
        <v>813</v>
      </c>
      <c r="H141" s="3" t="s">
        <v>813</v>
      </c>
      <c r="I141" s="3" t="s">
        <v>670</v>
      </c>
      <c r="J141" s="5">
        <v>45278</v>
      </c>
      <c r="K141" s="5">
        <v>45278</v>
      </c>
      <c r="L141" s="6">
        <v>10600</v>
      </c>
    </row>
    <row r="142" s="1" customFormat="1" spans="1:12">
      <c r="A142" s="3" t="s">
        <v>508</v>
      </c>
      <c r="B142" s="3" t="s">
        <v>518</v>
      </c>
      <c r="C142" s="3" t="s">
        <v>814</v>
      </c>
      <c r="D142" s="3" t="s">
        <v>815</v>
      </c>
      <c r="E142" s="3" t="s">
        <v>660</v>
      </c>
      <c r="F142" s="3" t="s">
        <v>661</v>
      </c>
      <c r="G142" s="3" t="s">
        <v>816</v>
      </c>
      <c r="H142" s="3" t="s">
        <v>816</v>
      </c>
      <c r="I142" s="3" t="s">
        <v>670</v>
      </c>
      <c r="J142" s="5">
        <v>45270</v>
      </c>
      <c r="K142" s="5">
        <v>45270</v>
      </c>
      <c r="L142" s="6">
        <v>1152.48</v>
      </c>
    </row>
    <row r="143" s="1" customFormat="1" spans="1:12">
      <c r="A143" s="3" t="s">
        <v>508</v>
      </c>
      <c r="B143" s="3" t="s">
        <v>518</v>
      </c>
      <c r="C143" s="3" t="s">
        <v>817</v>
      </c>
      <c r="D143" s="3" t="s">
        <v>818</v>
      </c>
      <c r="E143" s="3" t="s">
        <v>660</v>
      </c>
      <c r="F143" s="3" t="s">
        <v>661</v>
      </c>
      <c r="G143" s="3" t="s">
        <v>795</v>
      </c>
      <c r="H143" s="3" t="s">
        <v>795</v>
      </c>
      <c r="I143" s="3" t="s">
        <v>670</v>
      </c>
      <c r="J143" s="5">
        <v>45270</v>
      </c>
      <c r="K143" s="5">
        <v>45270</v>
      </c>
      <c r="L143" s="6">
        <v>1132.08</v>
      </c>
    </row>
    <row r="144" s="1" customFormat="1" spans="1:12">
      <c r="A144" s="3" t="s">
        <v>508</v>
      </c>
      <c r="B144" s="3" t="s">
        <v>509</v>
      </c>
      <c r="C144" s="3" t="s">
        <v>819</v>
      </c>
      <c r="D144" s="3" t="s">
        <v>820</v>
      </c>
      <c r="E144" s="3" t="s">
        <v>660</v>
      </c>
      <c r="F144" s="3" t="s">
        <v>661</v>
      </c>
      <c r="G144" s="3" t="s">
        <v>525</v>
      </c>
      <c r="H144" s="3" t="s">
        <v>769</v>
      </c>
      <c r="I144" s="3" t="s">
        <v>527</v>
      </c>
      <c r="J144" s="5">
        <v>45230</v>
      </c>
      <c r="K144" s="5">
        <v>45226</v>
      </c>
      <c r="L144" s="6">
        <v>-29657.18</v>
      </c>
    </row>
    <row r="145" s="1" customFormat="1" spans="1:12">
      <c r="A145" s="3" t="s">
        <v>508</v>
      </c>
      <c r="B145" s="3" t="s">
        <v>542</v>
      </c>
      <c r="C145" s="3" t="s">
        <v>821</v>
      </c>
      <c r="D145" s="3" t="s">
        <v>822</v>
      </c>
      <c r="E145" s="3" t="s">
        <v>660</v>
      </c>
      <c r="F145" s="3" t="s">
        <v>661</v>
      </c>
      <c r="G145" s="3" t="s">
        <v>525</v>
      </c>
      <c r="H145" s="3" t="s">
        <v>769</v>
      </c>
      <c r="I145" s="3" t="s">
        <v>527</v>
      </c>
      <c r="J145" s="5">
        <v>45260</v>
      </c>
      <c r="K145" s="5">
        <v>45254</v>
      </c>
      <c r="L145" s="6">
        <v>3681.91</v>
      </c>
    </row>
    <row r="146" s="1" customFormat="1" spans="1:12">
      <c r="A146" s="3" t="s">
        <v>521</v>
      </c>
      <c r="B146" s="3" t="s">
        <v>823</v>
      </c>
      <c r="C146" s="3" t="s">
        <v>824</v>
      </c>
      <c r="D146" s="3" t="s">
        <v>825</v>
      </c>
      <c r="E146" s="3" t="s">
        <v>660</v>
      </c>
      <c r="F146" s="3" t="s">
        <v>661</v>
      </c>
      <c r="G146" s="3" t="s">
        <v>826</v>
      </c>
      <c r="H146" s="3" t="s">
        <v>826</v>
      </c>
      <c r="I146" s="3" t="s">
        <v>670</v>
      </c>
      <c r="J146" s="5">
        <v>45303</v>
      </c>
      <c r="K146" s="5">
        <v>45303</v>
      </c>
      <c r="L146" s="6">
        <v>504.48</v>
      </c>
    </row>
    <row r="147" s="1" customFormat="1" spans="1:12">
      <c r="A147" s="3" t="s">
        <v>521</v>
      </c>
      <c r="B147" s="3" t="s">
        <v>823</v>
      </c>
      <c r="C147" s="3" t="s">
        <v>827</v>
      </c>
      <c r="D147" s="3" t="s">
        <v>828</v>
      </c>
      <c r="E147" s="3" t="s">
        <v>660</v>
      </c>
      <c r="F147" s="3" t="s">
        <v>661</v>
      </c>
      <c r="G147" s="3" t="s">
        <v>829</v>
      </c>
      <c r="H147" s="3" t="s">
        <v>829</v>
      </c>
      <c r="I147" s="3" t="s">
        <v>670</v>
      </c>
      <c r="J147" s="5">
        <v>45310</v>
      </c>
      <c r="K147" s="5">
        <v>45310</v>
      </c>
      <c r="L147" s="6">
        <v>14600</v>
      </c>
    </row>
    <row r="148" s="1" customFormat="1" spans="1:12">
      <c r="A148" s="3" t="s">
        <v>521</v>
      </c>
      <c r="B148" s="3" t="s">
        <v>823</v>
      </c>
      <c r="C148" s="3" t="s">
        <v>830</v>
      </c>
      <c r="D148" s="3" t="s">
        <v>831</v>
      </c>
      <c r="E148" s="3" t="s">
        <v>660</v>
      </c>
      <c r="F148" s="3" t="s">
        <v>661</v>
      </c>
      <c r="G148" s="3" t="s">
        <v>810</v>
      </c>
      <c r="H148" s="3" t="s">
        <v>810</v>
      </c>
      <c r="I148" s="3" t="s">
        <v>670</v>
      </c>
      <c r="J148" s="5">
        <v>45310</v>
      </c>
      <c r="K148" s="5">
        <v>45310</v>
      </c>
      <c r="L148" s="6">
        <v>13500</v>
      </c>
    </row>
    <row r="149" s="1" customFormat="1" spans="1:12">
      <c r="A149" s="3" t="s">
        <v>521</v>
      </c>
      <c r="B149" s="3" t="s">
        <v>823</v>
      </c>
      <c r="C149" s="3" t="s">
        <v>832</v>
      </c>
      <c r="D149" s="3" t="s">
        <v>833</v>
      </c>
      <c r="E149" s="3" t="s">
        <v>660</v>
      </c>
      <c r="F149" s="3" t="s">
        <v>661</v>
      </c>
      <c r="G149" s="3" t="s">
        <v>669</v>
      </c>
      <c r="H149" s="3" t="s">
        <v>669</v>
      </c>
      <c r="I149" s="3" t="s">
        <v>670</v>
      </c>
      <c r="J149" s="5">
        <v>45310</v>
      </c>
      <c r="K149" s="5">
        <v>45310</v>
      </c>
      <c r="L149" s="6">
        <v>3188.57</v>
      </c>
    </row>
    <row r="150" s="1" customFormat="1" spans="1:12">
      <c r="A150" s="3" t="s">
        <v>521</v>
      </c>
      <c r="B150" s="3" t="s">
        <v>823</v>
      </c>
      <c r="C150" s="3" t="s">
        <v>834</v>
      </c>
      <c r="D150" s="3" t="s">
        <v>835</v>
      </c>
      <c r="E150" s="3" t="s">
        <v>660</v>
      </c>
      <c r="F150" s="3" t="s">
        <v>661</v>
      </c>
      <c r="G150" s="3" t="s">
        <v>836</v>
      </c>
      <c r="H150" s="3" t="s">
        <v>836</v>
      </c>
      <c r="I150" s="3" t="s">
        <v>670</v>
      </c>
      <c r="J150" s="5">
        <v>45310</v>
      </c>
      <c r="K150" s="5">
        <v>45310</v>
      </c>
      <c r="L150" s="6">
        <v>6947.56</v>
      </c>
    </row>
    <row r="151" s="1" customFormat="1" spans="1:12">
      <c r="A151" s="3" t="s">
        <v>521</v>
      </c>
      <c r="B151" s="3" t="s">
        <v>823</v>
      </c>
      <c r="C151" s="3" t="s">
        <v>837</v>
      </c>
      <c r="D151" s="3" t="s">
        <v>838</v>
      </c>
      <c r="E151" s="3" t="s">
        <v>660</v>
      </c>
      <c r="F151" s="3" t="s">
        <v>661</v>
      </c>
      <c r="G151" s="3" t="s">
        <v>669</v>
      </c>
      <c r="H151" s="3" t="s">
        <v>669</v>
      </c>
      <c r="I151" s="3" t="s">
        <v>670</v>
      </c>
      <c r="J151" s="5">
        <v>45310</v>
      </c>
      <c r="K151" s="5">
        <v>45310</v>
      </c>
      <c r="L151" s="6">
        <v>2388.1</v>
      </c>
    </row>
    <row r="152" s="1" customFormat="1" spans="1:12">
      <c r="A152" s="3" t="s">
        <v>521</v>
      </c>
      <c r="B152" s="3" t="s">
        <v>823</v>
      </c>
      <c r="C152" s="3" t="s">
        <v>839</v>
      </c>
      <c r="D152" s="3" t="s">
        <v>840</v>
      </c>
      <c r="E152" s="3" t="s">
        <v>660</v>
      </c>
      <c r="F152" s="3" t="s">
        <v>661</v>
      </c>
      <c r="G152" s="3" t="s">
        <v>841</v>
      </c>
      <c r="H152" s="3" t="s">
        <v>841</v>
      </c>
      <c r="I152" s="3" t="s">
        <v>670</v>
      </c>
      <c r="J152" s="5">
        <v>45310</v>
      </c>
      <c r="K152" s="5">
        <v>45310</v>
      </c>
      <c r="L152" s="6">
        <v>603.66</v>
      </c>
    </row>
    <row r="153" s="1" customFormat="1" spans="1:12">
      <c r="A153" s="3" t="s">
        <v>521</v>
      </c>
      <c r="B153" s="3" t="s">
        <v>823</v>
      </c>
      <c r="C153" s="3" t="s">
        <v>842</v>
      </c>
      <c r="D153" s="3" t="s">
        <v>843</v>
      </c>
      <c r="E153" s="3" t="s">
        <v>660</v>
      </c>
      <c r="F153" s="3" t="s">
        <v>661</v>
      </c>
      <c r="G153" s="3" t="s">
        <v>844</v>
      </c>
      <c r="H153" s="3" t="s">
        <v>844</v>
      </c>
      <c r="I153" s="3" t="s">
        <v>670</v>
      </c>
      <c r="J153" s="5">
        <v>45313</v>
      </c>
      <c r="K153" s="5">
        <v>45313</v>
      </c>
      <c r="L153" s="6">
        <v>576.24</v>
      </c>
    </row>
    <row r="154" s="1" customFormat="1" spans="1:12">
      <c r="A154" s="3" t="s">
        <v>521</v>
      </c>
      <c r="B154" s="3" t="s">
        <v>823</v>
      </c>
      <c r="C154" s="3" t="s">
        <v>845</v>
      </c>
      <c r="D154" s="3" t="s">
        <v>846</v>
      </c>
      <c r="E154" s="3" t="s">
        <v>660</v>
      </c>
      <c r="F154" s="3" t="s">
        <v>661</v>
      </c>
      <c r="G154" s="3" t="s">
        <v>847</v>
      </c>
      <c r="H154" s="3" t="s">
        <v>847</v>
      </c>
      <c r="I154" s="3" t="s">
        <v>670</v>
      </c>
      <c r="J154" s="5">
        <v>45310</v>
      </c>
      <c r="K154" s="5">
        <v>45310</v>
      </c>
      <c r="L154" s="6">
        <v>600</v>
      </c>
    </row>
    <row r="155" s="1" customFormat="1" spans="1:12">
      <c r="A155" s="3" t="s">
        <v>521</v>
      </c>
      <c r="B155" s="3" t="s">
        <v>823</v>
      </c>
      <c r="C155" s="3" t="s">
        <v>848</v>
      </c>
      <c r="D155" s="3" t="s">
        <v>849</v>
      </c>
      <c r="E155" s="3" t="s">
        <v>660</v>
      </c>
      <c r="F155" s="3" t="s">
        <v>661</v>
      </c>
      <c r="G155" s="3" t="s">
        <v>850</v>
      </c>
      <c r="H155" s="3" t="s">
        <v>850</v>
      </c>
      <c r="I155" s="3" t="s">
        <v>670</v>
      </c>
      <c r="J155" s="5">
        <v>45313</v>
      </c>
      <c r="K155" s="5">
        <v>45313</v>
      </c>
      <c r="L155" s="6">
        <v>1600</v>
      </c>
    </row>
    <row r="156" s="1" customFormat="1" spans="1:12">
      <c r="A156" s="3" t="s">
        <v>521</v>
      </c>
      <c r="B156" s="3" t="s">
        <v>823</v>
      </c>
      <c r="C156" s="3" t="s">
        <v>851</v>
      </c>
      <c r="D156" s="3" t="s">
        <v>852</v>
      </c>
      <c r="E156" s="3" t="s">
        <v>660</v>
      </c>
      <c r="F156" s="3" t="s">
        <v>661</v>
      </c>
      <c r="G156" s="3" t="s">
        <v>754</v>
      </c>
      <c r="H156" s="3" t="s">
        <v>754</v>
      </c>
      <c r="I156" s="3" t="s">
        <v>670</v>
      </c>
      <c r="J156" s="5">
        <v>45313</v>
      </c>
      <c r="K156" s="5">
        <v>45313</v>
      </c>
      <c r="L156" s="6">
        <v>1249.77</v>
      </c>
    </row>
    <row r="157" s="1" customFormat="1" spans="1:12">
      <c r="A157" s="3" t="s">
        <v>521</v>
      </c>
      <c r="B157" s="3" t="s">
        <v>823</v>
      </c>
      <c r="C157" s="3" t="s">
        <v>853</v>
      </c>
      <c r="D157" s="3" t="s">
        <v>854</v>
      </c>
      <c r="E157" s="3" t="s">
        <v>660</v>
      </c>
      <c r="F157" s="3" t="s">
        <v>661</v>
      </c>
      <c r="G157" s="3" t="s">
        <v>669</v>
      </c>
      <c r="H157" s="3" t="s">
        <v>669</v>
      </c>
      <c r="I157" s="3" t="s">
        <v>670</v>
      </c>
      <c r="J157" s="5">
        <v>45313</v>
      </c>
      <c r="K157" s="5">
        <v>45313</v>
      </c>
      <c r="L157" s="6">
        <v>2402.18</v>
      </c>
    </row>
    <row r="158" s="1" customFormat="1" spans="1:12">
      <c r="A158" s="3" t="s">
        <v>521</v>
      </c>
      <c r="B158" s="3" t="s">
        <v>823</v>
      </c>
      <c r="C158" s="3" t="s">
        <v>855</v>
      </c>
      <c r="D158" s="3" t="s">
        <v>856</v>
      </c>
      <c r="E158" s="3" t="s">
        <v>660</v>
      </c>
      <c r="F158" s="3" t="s">
        <v>661</v>
      </c>
      <c r="G158" s="3" t="s">
        <v>681</v>
      </c>
      <c r="H158" s="3" t="s">
        <v>681</v>
      </c>
      <c r="I158" s="3" t="s">
        <v>670</v>
      </c>
      <c r="J158" s="5">
        <v>45303</v>
      </c>
      <c r="K158" s="5">
        <v>45303</v>
      </c>
      <c r="L158" s="6">
        <v>3836.35</v>
      </c>
    </row>
    <row r="159" s="1" customFormat="1" spans="1:12">
      <c r="A159" s="3" t="s">
        <v>521</v>
      </c>
      <c r="B159" s="3" t="s">
        <v>823</v>
      </c>
      <c r="C159" s="3" t="s">
        <v>857</v>
      </c>
      <c r="D159" s="3" t="s">
        <v>858</v>
      </c>
      <c r="E159" s="3" t="s">
        <v>660</v>
      </c>
      <c r="F159" s="3" t="s">
        <v>661</v>
      </c>
      <c r="G159" s="3" t="s">
        <v>859</v>
      </c>
      <c r="H159" s="3" t="s">
        <v>859</v>
      </c>
      <c r="I159" s="3" t="s">
        <v>670</v>
      </c>
      <c r="J159" s="5">
        <v>45303</v>
      </c>
      <c r="K159" s="5">
        <v>45303</v>
      </c>
      <c r="L159" s="6">
        <v>4073.27</v>
      </c>
    </row>
    <row r="160" s="1" customFormat="1" spans="1:12">
      <c r="A160" s="3" t="s">
        <v>521</v>
      </c>
      <c r="B160" s="3" t="s">
        <v>823</v>
      </c>
      <c r="C160" s="3" t="s">
        <v>860</v>
      </c>
      <c r="D160" s="3" t="s">
        <v>861</v>
      </c>
      <c r="E160" s="3" t="s">
        <v>660</v>
      </c>
      <c r="F160" s="3" t="s">
        <v>661</v>
      </c>
      <c r="G160" s="3" t="s">
        <v>763</v>
      </c>
      <c r="H160" s="3" t="s">
        <v>763</v>
      </c>
      <c r="I160" s="3" t="s">
        <v>670</v>
      </c>
      <c r="J160" s="5">
        <v>45303</v>
      </c>
      <c r="K160" s="5">
        <v>45303</v>
      </c>
      <c r="L160" s="6">
        <v>4073.27</v>
      </c>
    </row>
    <row r="161" s="1" customFormat="1" spans="1:12">
      <c r="A161" s="3" t="s">
        <v>521</v>
      </c>
      <c r="B161" s="3" t="s">
        <v>823</v>
      </c>
      <c r="C161" s="3" t="s">
        <v>862</v>
      </c>
      <c r="D161" s="3" t="s">
        <v>863</v>
      </c>
      <c r="E161" s="3" t="s">
        <v>660</v>
      </c>
      <c r="F161" s="3" t="s">
        <v>661</v>
      </c>
      <c r="G161" s="3" t="s">
        <v>864</v>
      </c>
      <c r="H161" s="3" t="s">
        <v>864</v>
      </c>
      <c r="I161" s="3" t="s">
        <v>670</v>
      </c>
      <c r="J161" s="5">
        <v>45310</v>
      </c>
      <c r="K161" s="5">
        <v>45310</v>
      </c>
      <c r="L161" s="6">
        <v>1093.07</v>
      </c>
    </row>
    <row r="162" s="1" customFormat="1" spans="1:12">
      <c r="A162" s="3" t="s">
        <v>521</v>
      </c>
      <c r="B162" s="3" t="s">
        <v>823</v>
      </c>
      <c r="C162" s="3" t="s">
        <v>865</v>
      </c>
      <c r="D162" s="3" t="s">
        <v>866</v>
      </c>
      <c r="E162" s="3" t="s">
        <v>660</v>
      </c>
      <c r="F162" s="3" t="s">
        <v>661</v>
      </c>
      <c r="G162" s="3" t="s">
        <v>867</v>
      </c>
      <c r="H162" s="3" t="s">
        <v>867</v>
      </c>
      <c r="I162" s="3" t="s">
        <v>670</v>
      </c>
      <c r="J162" s="5">
        <v>45314</v>
      </c>
      <c r="K162" s="5">
        <v>45314</v>
      </c>
      <c r="L162" s="6">
        <v>4073.27</v>
      </c>
    </row>
    <row r="163" s="1" customFormat="1" spans="1:12">
      <c r="A163" s="3" t="s">
        <v>521</v>
      </c>
      <c r="B163" s="3" t="s">
        <v>522</v>
      </c>
      <c r="C163" s="3" t="s">
        <v>868</v>
      </c>
      <c r="D163" s="3" t="s">
        <v>869</v>
      </c>
      <c r="E163" s="3" t="s">
        <v>660</v>
      </c>
      <c r="F163" s="3" t="s">
        <v>661</v>
      </c>
      <c r="G163" s="3" t="s">
        <v>681</v>
      </c>
      <c r="H163" s="3" t="s">
        <v>681</v>
      </c>
      <c r="I163" s="3" t="s">
        <v>670</v>
      </c>
      <c r="J163" s="5">
        <v>45323</v>
      </c>
      <c r="K163" s="5">
        <v>45323</v>
      </c>
      <c r="L163" s="6">
        <v>771.11</v>
      </c>
    </row>
    <row r="164" s="1" customFormat="1" spans="1:12">
      <c r="A164" s="3" t="s">
        <v>521</v>
      </c>
      <c r="B164" s="3" t="s">
        <v>522</v>
      </c>
      <c r="C164" s="3" t="s">
        <v>870</v>
      </c>
      <c r="D164" s="3" t="s">
        <v>871</v>
      </c>
      <c r="E164" s="3" t="s">
        <v>660</v>
      </c>
      <c r="F164" s="3" t="s">
        <v>661</v>
      </c>
      <c r="G164" s="3" t="s">
        <v>763</v>
      </c>
      <c r="H164" s="3" t="s">
        <v>763</v>
      </c>
      <c r="I164" s="3" t="s">
        <v>670</v>
      </c>
      <c r="J164" s="5">
        <v>45323</v>
      </c>
      <c r="K164" s="5">
        <v>45323</v>
      </c>
      <c r="L164" s="6">
        <v>1168.32</v>
      </c>
    </row>
    <row r="165" s="1" customFormat="1" spans="1:12">
      <c r="A165" s="3" t="s">
        <v>521</v>
      </c>
      <c r="B165" s="3" t="s">
        <v>522</v>
      </c>
      <c r="C165" s="3" t="s">
        <v>872</v>
      </c>
      <c r="D165" s="3" t="s">
        <v>873</v>
      </c>
      <c r="E165" s="3" t="s">
        <v>660</v>
      </c>
      <c r="F165" s="3" t="s">
        <v>661</v>
      </c>
      <c r="G165" s="3" t="s">
        <v>669</v>
      </c>
      <c r="H165" s="3" t="s">
        <v>669</v>
      </c>
      <c r="I165" s="3" t="s">
        <v>670</v>
      </c>
      <c r="J165" s="5">
        <v>45323</v>
      </c>
      <c r="K165" s="5">
        <v>45323</v>
      </c>
      <c r="L165" s="6">
        <v>750.83</v>
      </c>
    </row>
    <row r="166" s="1" customFormat="1" spans="1:12">
      <c r="A166" s="3" t="s">
        <v>521</v>
      </c>
      <c r="B166" s="3" t="s">
        <v>522</v>
      </c>
      <c r="C166" s="3" t="s">
        <v>874</v>
      </c>
      <c r="D166" s="3" t="s">
        <v>875</v>
      </c>
      <c r="E166" s="3" t="s">
        <v>660</v>
      </c>
      <c r="F166" s="3" t="s">
        <v>661</v>
      </c>
      <c r="G166" s="3" t="s">
        <v>876</v>
      </c>
      <c r="H166" s="3" t="s">
        <v>876</v>
      </c>
      <c r="I166" s="3" t="s">
        <v>670</v>
      </c>
      <c r="J166" s="5">
        <v>45340</v>
      </c>
      <c r="K166" s="5">
        <v>45340</v>
      </c>
      <c r="L166" s="6">
        <v>721.26</v>
      </c>
    </row>
    <row r="167" s="1" customFormat="1" spans="1:12">
      <c r="A167" s="3" t="s">
        <v>521</v>
      </c>
      <c r="B167" s="3" t="s">
        <v>522</v>
      </c>
      <c r="C167" s="3" t="s">
        <v>877</v>
      </c>
      <c r="D167" s="3" t="s">
        <v>878</v>
      </c>
      <c r="E167" s="3" t="s">
        <v>660</v>
      </c>
      <c r="F167" s="3" t="s">
        <v>661</v>
      </c>
      <c r="G167" s="3" t="s">
        <v>693</v>
      </c>
      <c r="H167" s="3" t="s">
        <v>693</v>
      </c>
      <c r="I167" s="3" t="s">
        <v>670</v>
      </c>
      <c r="J167" s="5">
        <v>45323</v>
      </c>
      <c r="K167" s="5">
        <v>45323</v>
      </c>
      <c r="L167" s="6">
        <v>2036.63</v>
      </c>
    </row>
    <row r="168" s="1" customFormat="1" spans="1:12">
      <c r="A168" s="3" t="s">
        <v>521</v>
      </c>
      <c r="B168" s="3" t="s">
        <v>522</v>
      </c>
      <c r="C168" s="3" t="s">
        <v>879</v>
      </c>
      <c r="D168" s="3" t="s">
        <v>880</v>
      </c>
      <c r="E168" s="3" t="s">
        <v>660</v>
      </c>
      <c r="F168" s="3" t="s">
        <v>661</v>
      </c>
      <c r="G168" s="3" t="s">
        <v>859</v>
      </c>
      <c r="H168" s="3" t="s">
        <v>859</v>
      </c>
      <c r="I168" s="3" t="s">
        <v>670</v>
      </c>
      <c r="J168" s="5">
        <v>45323</v>
      </c>
      <c r="K168" s="5">
        <v>45323</v>
      </c>
      <c r="L168" s="6">
        <v>4073.27</v>
      </c>
    </row>
    <row r="169" s="1" customFormat="1" spans="1:12">
      <c r="A169" s="3" t="s">
        <v>521</v>
      </c>
      <c r="B169" s="3" t="s">
        <v>597</v>
      </c>
      <c r="C169" s="3" t="s">
        <v>881</v>
      </c>
      <c r="D169" s="3" t="s">
        <v>882</v>
      </c>
      <c r="E169" s="3" t="s">
        <v>660</v>
      </c>
      <c r="F169" s="3" t="s">
        <v>661</v>
      </c>
      <c r="G169" s="3" t="s">
        <v>883</v>
      </c>
      <c r="H169" s="3" t="s">
        <v>883</v>
      </c>
      <c r="I169" s="3" t="s">
        <v>670</v>
      </c>
      <c r="J169" s="5">
        <v>45356</v>
      </c>
      <c r="K169" s="5">
        <v>45356</v>
      </c>
      <c r="L169" s="6">
        <v>6900</v>
      </c>
    </row>
    <row r="170" s="1" customFormat="1" spans="1:12">
      <c r="A170" s="3" t="s">
        <v>521</v>
      </c>
      <c r="B170" s="3" t="s">
        <v>597</v>
      </c>
      <c r="C170" s="3" t="s">
        <v>884</v>
      </c>
      <c r="D170" s="3" t="s">
        <v>885</v>
      </c>
      <c r="E170" s="3" t="s">
        <v>660</v>
      </c>
      <c r="F170" s="3" t="s">
        <v>661</v>
      </c>
      <c r="G170" s="3" t="s">
        <v>669</v>
      </c>
      <c r="H170" s="3" t="s">
        <v>669</v>
      </c>
      <c r="I170" s="3" t="s">
        <v>670</v>
      </c>
      <c r="J170" s="5">
        <v>45356</v>
      </c>
      <c r="K170" s="5">
        <v>45356</v>
      </c>
      <c r="L170" s="6">
        <v>865.31</v>
      </c>
    </row>
    <row r="171" s="1" customFormat="1" spans="1:12">
      <c r="A171" s="3" t="s">
        <v>521</v>
      </c>
      <c r="B171" s="3" t="s">
        <v>597</v>
      </c>
      <c r="C171" s="3" t="s">
        <v>886</v>
      </c>
      <c r="D171" s="3" t="s">
        <v>887</v>
      </c>
      <c r="E171" s="3" t="s">
        <v>660</v>
      </c>
      <c r="F171" s="3" t="s">
        <v>661</v>
      </c>
      <c r="G171" s="3" t="s">
        <v>888</v>
      </c>
      <c r="H171" s="3" t="s">
        <v>888</v>
      </c>
      <c r="I171" s="3" t="s">
        <v>670</v>
      </c>
      <c r="J171" s="5">
        <v>45356</v>
      </c>
      <c r="K171" s="5">
        <v>45356</v>
      </c>
      <c r="L171" s="6">
        <v>1561.82</v>
      </c>
    </row>
    <row r="172" s="1" customFormat="1" spans="1:12">
      <c r="A172" s="3" t="s">
        <v>521</v>
      </c>
      <c r="B172" s="3" t="s">
        <v>597</v>
      </c>
      <c r="C172" s="3" t="s">
        <v>889</v>
      </c>
      <c r="D172" s="3" t="s">
        <v>890</v>
      </c>
      <c r="E172" s="3" t="s">
        <v>660</v>
      </c>
      <c r="F172" s="3" t="s">
        <v>661</v>
      </c>
      <c r="G172" s="3" t="s">
        <v>826</v>
      </c>
      <c r="H172" s="3" t="s">
        <v>826</v>
      </c>
      <c r="I172" s="3" t="s">
        <v>670</v>
      </c>
      <c r="J172" s="5">
        <v>45356</v>
      </c>
      <c r="K172" s="5">
        <v>45356</v>
      </c>
      <c r="L172" s="6">
        <v>6091.72</v>
      </c>
    </row>
    <row r="173" s="1" customFormat="1" spans="1:12">
      <c r="A173" s="3" t="s">
        <v>521</v>
      </c>
      <c r="B173" s="3" t="s">
        <v>522</v>
      </c>
      <c r="C173" s="3" t="s">
        <v>891</v>
      </c>
      <c r="D173" s="3" t="s">
        <v>892</v>
      </c>
      <c r="E173" s="3" t="s">
        <v>660</v>
      </c>
      <c r="F173" s="3" t="s">
        <v>661</v>
      </c>
      <c r="G173" s="3" t="s">
        <v>525</v>
      </c>
      <c r="H173" s="3" t="s">
        <v>769</v>
      </c>
      <c r="I173" s="3" t="s">
        <v>527</v>
      </c>
      <c r="J173" s="5">
        <v>45351</v>
      </c>
      <c r="K173" s="5">
        <v>45345</v>
      </c>
      <c r="L173" s="6">
        <v>-9521.42</v>
      </c>
    </row>
    <row r="174" s="1" customFormat="1" spans="1:12">
      <c r="A174" s="3" t="s">
        <v>521</v>
      </c>
      <c r="B174" s="3" t="s">
        <v>562</v>
      </c>
      <c r="C174" s="3" t="s">
        <v>893</v>
      </c>
      <c r="D174" s="3" t="s">
        <v>894</v>
      </c>
      <c r="E174" s="3" t="s">
        <v>660</v>
      </c>
      <c r="F174" s="3" t="s">
        <v>661</v>
      </c>
      <c r="G174" s="3" t="s">
        <v>525</v>
      </c>
      <c r="H174" s="3" t="s">
        <v>769</v>
      </c>
      <c r="I174" s="3" t="s">
        <v>527</v>
      </c>
      <c r="J174" s="5">
        <v>45443</v>
      </c>
      <c r="K174" s="5">
        <v>45435</v>
      </c>
      <c r="L174" s="6">
        <v>-1555.85</v>
      </c>
    </row>
    <row r="175" s="1" customFormat="1" spans="1:12">
      <c r="A175" s="3" t="s">
        <v>521</v>
      </c>
      <c r="B175" s="3" t="s">
        <v>895</v>
      </c>
      <c r="C175" s="3" t="s">
        <v>896</v>
      </c>
      <c r="D175" s="3" t="s">
        <v>897</v>
      </c>
      <c r="E175" s="3" t="s">
        <v>660</v>
      </c>
      <c r="F175" s="3" t="s">
        <v>661</v>
      </c>
      <c r="G175" s="3" t="s">
        <v>525</v>
      </c>
      <c r="H175" s="3" t="s">
        <v>769</v>
      </c>
      <c r="I175" s="3" t="s">
        <v>527</v>
      </c>
      <c r="J175" s="5">
        <v>45412</v>
      </c>
      <c r="K175" s="5">
        <v>45407</v>
      </c>
      <c r="L175" s="6">
        <v>-19271.4</v>
      </c>
    </row>
    <row r="176" s="1" customFormat="1" spans="1:12">
      <c r="A176" s="3" t="s">
        <v>521</v>
      </c>
      <c r="B176" s="3" t="s">
        <v>597</v>
      </c>
      <c r="C176" s="3" t="s">
        <v>898</v>
      </c>
      <c r="D176" s="3" t="s">
        <v>899</v>
      </c>
      <c r="E176" s="3" t="s">
        <v>660</v>
      </c>
      <c r="F176" s="3" t="s">
        <v>661</v>
      </c>
      <c r="G176" s="3" t="s">
        <v>754</v>
      </c>
      <c r="H176" s="3" t="s">
        <v>754</v>
      </c>
      <c r="I176" s="3" t="s">
        <v>670</v>
      </c>
      <c r="J176" s="5">
        <v>45366</v>
      </c>
      <c r="K176" s="5">
        <v>45366</v>
      </c>
      <c r="L176" s="6">
        <v>1434.87</v>
      </c>
    </row>
    <row r="177" s="1" customFormat="1" spans="1:12">
      <c r="A177" s="3" t="s">
        <v>521</v>
      </c>
      <c r="B177" s="3" t="s">
        <v>597</v>
      </c>
      <c r="C177" s="3" t="s">
        <v>900</v>
      </c>
      <c r="D177" s="3" t="s">
        <v>901</v>
      </c>
      <c r="E177" s="3" t="s">
        <v>660</v>
      </c>
      <c r="F177" s="3" t="s">
        <v>661</v>
      </c>
      <c r="G177" s="3" t="s">
        <v>693</v>
      </c>
      <c r="H177" s="3" t="s">
        <v>693</v>
      </c>
      <c r="I177" s="3" t="s">
        <v>670</v>
      </c>
      <c r="J177" s="5">
        <v>45366</v>
      </c>
      <c r="K177" s="5">
        <v>45366</v>
      </c>
      <c r="L177" s="6">
        <v>1997.03</v>
      </c>
    </row>
    <row r="178" s="1" customFormat="1" spans="1:12">
      <c r="A178" s="3" t="s">
        <v>521</v>
      </c>
      <c r="B178" s="3" t="s">
        <v>597</v>
      </c>
      <c r="C178" s="3" t="s">
        <v>902</v>
      </c>
      <c r="D178" s="3" t="s">
        <v>903</v>
      </c>
      <c r="E178" s="3" t="s">
        <v>660</v>
      </c>
      <c r="F178" s="3" t="s">
        <v>661</v>
      </c>
      <c r="G178" s="3" t="s">
        <v>693</v>
      </c>
      <c r="H178" s="3" t="s">
        <v>693</v>
      </c>
      <c r="I178" s="3" t="s">
        <v>670</v>
      </c>
      <c r="J178" s="5">
        <v>45366</v>
      </c>
      <c r="K178" s="5">
        <v>45366</v>
      </c>
      <c r="L178" s="6">
        <v>1997.03</v>
      </c>
    </row>
    <row r="179" s="1" customFormat="1" spans="1:12">
      <c r="A179" s="3" t="s">
        <v>521</v>
      </c>
      <c r="B179" s="3" t="s">
        <v>597</v>
      </c>
      <c r="C179" s="3" t="s">
        <v>904</v>
      </c>
      <c r="D179" s="3" t="s">
        <v>905</v>
      </c>
      <c r="E179" s="3" t="s">
        <v>660</v>
      </c>
      <c r="F179" s="3" t="s">
        <v>661</v>
      </c>
      <c r="G179" s="3" t="s">
        <v>681</v>
      </c>
      <c r="H179" s="3" t="s">
        <v>681</v>
      </c>
      <c r="I179" s="3" t="s">
        <v>670</v>
      </c>
      <c r="J179" s="5">
        <v>45363</v>
      </c>
      <c r="K179" s="5">
        <v>45363</v>
      </c>
      <c r="L179" s="6">
        <v>1266.2</v>
      </c>
    </row>
    <row r="180" s="1" customFormat="1" spans="1:12">
      <c r="A180" s="3" t="s">
        <v>521</v>
      </c>
      <c r="B180" s="3" t="s">
        <v>597</v>
      </c>
      <c r="C180" s="3" t="s">
        <v>906</v>
      </c>
      <c r="D180" s="3" t="s">
        <v>907</v>
      </c>
      <c r="E180" s="3" t="s">
        <v>660</v>
      </c>
      <c r="F180" s="3" t="s">
        <v>661</v>
      </c>
      <c r="G180" s="3" t="s">
        <v>693</v>
      </c>
      <c r="H180" s="3" t="s">
        <v>693</v>
      </c>
      <c r="I180" s="3" t="s">
        <v>670</v>
      </c>
      <c r="J180" s="5">
        <v>45364</v>
      </c>
      <c r="K180" s="5">
        <v>45364</v>
      </c>
      <c r="L180" s="6">
        <v>1048.51</v>
      </c>
    </row>
    <row r="181" s="1" customFormat="1" spans="1:12">
      <c r="A181" s="3" t="s">
        <v>521</v>
      </c>
      <c r="B181" s="3" t="s">
        <v>597</v>
      </c>
      <c r="C181" s="3" t="s">
        <v>908</v>
      </c>
      <c r="D181" s="3" t="s">
        <v>909</v>
      </c>
      <c r="E181" s="3" t="s">
        <v>660</v>
      </c>
      <c r="F181" s="3" t="s">
        <v>661</v>
      </c>
      <c r="G181" s="3" t="s">
        <v>876</v>
      </c>
      <c r="H181" s="3" t="s">
        <v>876</v>
      </c>
      <c r="I181" s="3" t="s">
        <v>670</v>
      </c>
      <c r="J181" s="5">
        <v>45366</v>
      </c>
      <c r="K181" s="5">
        <v>45366</v>
      </c>
      <c r="L181" s="6">
        <v>774.4</v>
      </c>
    </row>
    <row r="182" s="1" customFormat="1" spans="1:12">
      <c r="A182" s="3" t="s">
        <v>521</v>
      </c>
      <c r="B182" s="3" t="s">
        <v>597</v>
      </c>
      <c r="C182" s="3" t="s">
        <v>910</v>
      </c>
      <c r="D182" s="3" t="s">
        <v>911</v>
      </c>
      <c r="E182" s="3" t="s">
        <v>660</v>
      </c>
      <c r="F182" s="3" t="s">
        <v>661</v>
      </c>
      <c r="G182" s="3" t="s">
        <v>731</v>
      </c>
      <c r="H182" s="3" t="s">
        <v>731</v>
      </c>
      <c r="I182" s="3" t="s">
        <v>670</v>
      </c>
      <c r="J182" s="5">
        <v>45376</v>
      </c>
      <c r="K182" s="5">
        <v>45376</v>
      </c>
      <c r="L182" s="6">
        <v>611.26</v>
      </c>
    </row>
    <row r="183" s="1" customFormat="1" spans="1:12">
      <c r="A183" s="3" t="s">
        <v>521</v>
      </c>
      <c r="B183" s="3" t="s">
        <v>597</v>
      </c>
      <c r="C183" s="3" t="s">
        <v>912</v>
      </c>
      <c r="D183" s="3" t="s">
        <v>913</v>
      </c>
      <c r="E183" s="3" t="s">
        <v>660</v>
      </c>
      <c r="F183" s="3" t="s">
        <v>661</v>
      </c>
      <c r="G183" s="3" t="s">
        <v>731</v>
      </c>
      <c r="H183" s="3" t="s">
        <v>731</v>
      </c>
      <c r="I183" s="3" t="s">
        <v>670</v>
      </c>
      <c r="J183" s="5">
        <v>45371</v>
      </c>
      <c r="K183" s="5">
        <v>45371</v>
      </c>
      <c r="L183" s="6">
        <v>556.44</v>
      </c>
    </row>
    <row r="184" s="1" customFormat="1" spans="1:12">
      <c r="A184" s="3" t="s">
        <v>521</v>
      </c>
      <c r="B184" s="3" t="s">
        <v>597</v>
      </c>
      <c r="C184" s="3" t="s">
        <v>914</v>
      </c>
      <c r="D184" s="3" t="s">
        <v>915</v>
      </c>
      <c r="E184" s="3" t="s">
        <v>660</v>
      </c>
      <c r="F184" s="3" t="s">
        <v>661</v>
      </c>
      <c r="G184" s="3" t="s">
        <v>693</v>
      </c>
      <c r="H184" s="3" t="s">
        <v>693</v>
      </c>
      <c r="I184" s="3" t="s">
        <v>670</v>
      </c>
      <c r="J184" s="5">
        <v>45366</v>
      </c>
      <c r="K184" s="5">
        <v>45366</v>
      </c>
      <c r="L184" s="6">
        <v>574.26</v>
      </c>
    </row>
    <row r="185" s="1" customFormat="1" spans="1:12">
      <c r="A185" s="3" t="s">
        <v>521</v>
      </c>
      <c r="B185" s="3" t="s">
        <v>597</v>
      </c>
      <c r="C185" s="3" t="s">
        <v>916</v>
      </c>
      <c r="D185" s="3" t="s">
        <v>917</v>
      </c>
      <c r="E185" s="3" t="s">
        <v>660</v>
      </c>
      <c r="F185" s="3" t="s">
        <v>661</v>
      </c>
      <c r="G185" s="3" t="s">
        <v>669</v>
      </c>
      <c r="H185" s="3" t="s">
        <v>669</v>
      </c>
      <c r="I185" s="3" t="s">
        <v>670</v>
      </c>
      <c r="J185" s="5">
        <v>45371</v>
      </c>
      <c r="K185" s="5">
        <v>45371</v>
      </c>
      <c r="L185" s="6">
        <v>342.25</v>
      </c>
    </row>
    <row r="186" s="1" customFormat="1" spans="1:12">
      <c r="A186" s="3" t="s">
        <v>521</v>
      </c>
      <c r="B186" s="3" t="s">
        <v>895</v>
      </c>
      <c r="C186" s="3" t="s">
        <v>918</v>
      </c>
      <c r="D186" s="3" t="s">
        <v>919</v>
      </c>
      <c r="E186" s="3" t="s">
        <v>660</v>
      </c>
      <c r="F186" s="3" t="s">
        <v>661</v>
      </c>
      <c r="G186" s="3" t="s">
        <v>693</v>
      </c>
      <c r="H186" s="3" t="s">
        <v>693</v>
      </c>
      <c r="I186" s="3" t="s">
        <v>670</v>
      </c>
      <c r="J186" s="5">
        <v>45401</v>
      </c>
      <c r="K186" s="5">
        <v>45401</v>
      </c>
      <c r="L186" s="6">
        <v>1997.03</v>
      </c>
    </row>
    <row r="187" s="1" customFormat="1" spans="1:12">
      <c r="A187" s="3" t="s">
        <v>521</v>
      </c>
      <c r="B187" s="3" t="s">
        <v>895</v>
      </c>
      <c r="C187" s="3" t="s">
        <v>920</v>
      </c>
      <c r="D187" s="3" t="s">
        <v>921</v>
      </c>
      <c r="E187" s="3" t="s">
        <v>660</v>
      </c>
      <c r="F187" s="3" t="s">
        <v>661</v>
      </c>
      <c r="G187" s="3" t="s">
        <v>922</v>
      </c>
      <c r="H187" s="3" t="s">
        <v>922</v>
      </c>
      <c r="I187" s="3" t="s">
        <v>670</v>
      </c>
      <c r="J187" s="5">
        <v>45385</v>
      </c>
      <c r="K187" s="5">
        <v>45385</v>
      </c>
      <c r="L187" s="6">
        <v>300</v>
      </c>
    </row>
    <row r="188" s="1" customFormat="1" spans="1:12">
      <c r="A188" s="3" t="s">
        <v>521</v>
      </c>
      <c r="B188" s="3" t="s">
        <v>895</v>
      </c>
      <c r="C188" s="3" t="s">
        <v>923</v>
      </c>
      <c r="D188" s="3" t="s">
        <v>924</v>
      </c>
      <c r="E188" s="3" t="s">
        <v>660</v>
      </c>
      <c r="F188" s="3" t="s">
        <v>661</v>
      </c>
      <c r="G188" s="3" t="s">
        <v>693</v>
      </c>
      <c r="H188" s="3" t="s">
        <v>693</v>
      </c>
      <c r="I188" s="3" t="s">
        <v>670</v>
      </c>
      <c r="J188" s="5">
        <v>45385</v>
      </c>
      <c r="K188" s="5">
        <v>45385</v>
      </c>
      <c r="L188" s="6">
        <v>1422.77</v>
      </c>
    </row>
    <row r="189" s="1" customFormat="1" spans="1:12">
      <c r="A189" s="3" t="s">
        <v>521</v>
      </c>
      <c r="B189" s="3" t="s">
        <v>895</v>
      </c>
      <c r="C189" s="3" t="s">
        <v>925</v>
      </c>
      <c r="D189" s="3" t="s">
        <v>926</v>
      </c>
      <c r="E189" s="3" t="s">
        <v>660</v>
      </c>
      <c r="F189" s="3" t="s">
        <v>661</v>
      </c>
      <c r="G189" s="3" t="s">
        <v>754</v>
      </c>
      <c r="H189" s="3" t="s">
        <v>754</v>
      </c>
      <c r="I189" s="3" t="s">
        <v>670</v>
      </c>
      <c r="J189" s="5">
        <v>45385</v>
      </c>
      <c r="K189" s="5">
        <v>45385</v>
      </c>
      <c r="L189" s="6">
        <v>10272.17</v>
      </c>
    </row>
    <row r="190" s="1" customFormat="1" spans="1:12">
      <c r="A190" s="3" t="s">
        <v>521</v>
      </c>
      <c r="B190" s="3" t="s">
        <v>895</v>
      </c>
      <c r="C190" s="3" t="s">
        <v>927</v>
      </c>
      <c r="D190" s="3" t="s">
        <v>928</v>
      </c>
      <c r="E190" s="3" t="s">
        <v>660</v>
      </c>
      <c r="F190" s="3" t="s">
        <v>661</v>
      </c>
      <c r="G190" s="3" t="s">
        <v>763</v>
      </c>
      <c r="H190" s="3" t="s">
        <v>763</v>
      </c>
      <c r="I190" s="3" t="s">
        <v>670</v>
      </c>
      <c r="J190" s="5">
        <v>45385</v>
      </c>
      <c r="K190" s="5">
        <v>45385</v>
      </c>
      <c r="L190" s="6">
        <v>200</v>
      </c>
    </row>
    <row r="191" s="1" customFormat="1" spans="1:12">
      <c r="A191" s="3" t="s">
        <v>521</v>
      </c>
      <c r="B191" s="3" t="s">
        <v>597</v>
      </c>
      <c r="C191" s="3" t="s">
        <v>929</v>
      </c>
      <c r="D191" s="3" t="s">
        <v>930</v>
      </c>
      <c r="E191" s="3" t="s">
        <v>660</v>
      </c>
      <c r="F191" s="3" t="s">
        <v>661</v>
      </c>
      <c r="G191" s="3" t="s">
        <v>525</v>
      </c>
      <c r="H191" s="3" t="s">
        <v>769</v>
      </c>
      <c r="I191" s="3" t="s">
        <v>527</v>
      </c>
      <c r="J191" s="5">
        <v>45382</v>
      </c>
      <c r="K191" s="5">
        <v>45377</v>
      </c>
      <c r="L191" s="6">
        <v>-26021.1</v>
      </c>
    </row>
    <row r="192" s="1" customFormat="1" spans="1:12">
      <c r="A192" s="3" t="s">
        <v>521</v>
      </c>
      <c r="B192" s="3" t="s">
        <v>562</v>
      </c>
      <c r="C192" s="3" t="s">
        <v>931</v>
      </c>
      <c r="D192" s="3" t="s">
        <v>932</v>
      </c>
      <c r="E192" s="3" t="s">
        <v>660</v>
      </c>
      <c r="F192" s="3" t="s">
        <v>661</v>
      </c>
      <c r="G192" s="3" t="s">
        <v>933</v>
      </c>
      <c r="H192" s="3" t="s">
        <v>933</v>
      </c>
      <c r="I192" s="3" t="s">
        <v>670</v>
      </c>
      <c r="J192" s="5">
        <v>45423</v>
      </c>
      <c r="K192" s="5">
        <v>45423</v>
      </c>
      <c r="L192" s="6">
        <v>1055.85</v>
      </c>
    </row>
    <row r="193" s="1" customFormat="1" spans="1:12">
      <c r="A193" s="3" t="s">
        <v>521</v>
      </c>
      <c r="B193" s="3" t="s">
        <v>823</v>
      </c>
      <c r="C193" s="3" t="s">
        <v>934</v>
      </c>
      <c r="D193" s="3" t="s">
        <v>935</v>
      </c>
      <c r="E193" s="3" t="s">
        <v>660</v>
      </c>
      <c r="F193" s="3" t="s">
        <v>661</v>
      </c>
      <c r="G193" s="3" t="s">
        <v>525</v>
      </c>
      <c r="H193" s="3" t="s">
        <v>769</v>
      </c>
      <c r="I193" s="3" t="s">
        <v>527</v>
      </c>
      <c r="J193" s="5">
        <v>45322</v>
      </c>
      <c r="K193" s="5">
        <v>45316</v>
      </c>
      <c r="L193" s="6">
        <v>-65309.79</v>
      </c>
    </row>
    <row r="194" s="1" customFormat="1" spans="1:12">
      <c r="A194" s="3" t="s">
        <v>521</v>
      </c>
      <c r="B194" s="3" t="s">
        <v>895</v>
      </c>
      <c r="C194" s="3" t="s">
        <v>936</v>
      </c>
      <c r="D194" s="3" t="s">
        <v>937</v>
      </c>
      <c r="E194" s="3" t="s">
        <v>660</v>
      </c>
      <c r="F194" s="3" t="s">
        <v>661</v>
      </c>
      <c r="G194" s="3" t="s">
        <v>669</v>
      </c>
      <c r="H194" s="3" t="s">
        <v>669</v>
      </c>
      <c r="I194" s="3" t="s">
        <v>670</v>
      </c>
      <c r="J194" s="5">
        <v>45394</v>
      </c>
      <c r="K194" s="5">
        <v>45394</v>
      </c>
      <c r="L194" s="6">
        <v>2035.28</v>
      </c>
    </row>
    <row r="195" s="1" customFormat="1" spans="1:12">
      <c r="A195" s="3" t="s">
        <v>521</v>
      </c>
      <c r="B195" s="3" t="s">
        <v>895</v>
      </c>
      <c r="C195" s="3" t="s">
        <v>938</v>
      </c>
      <c r="D195" s="3" t="s">
        <v>939</v>
      </c>
      <c r="E195" s="3" t="s">
        <v>660</v>
      </c>
      <c r="F195" s="3" t="s">
        <v>661</v>
      </c>
      <c r="G195" s="3" t="s">
        <v>940</v>
      </c>
      <c r="H195" s="3" t="s">
        <v>940</v>
      </c>
      <c r="I195" s="3" t="s">
        <v>670</v>
      </c>
      <c r="J195" s="5">
        <v>45394</v>
      </c>
      <c r="K195" s="5">
        <v>45394</v>
      </c>
      <c r="L195" s="6">
        <v>3044.15</v>
      </c>
    </row>
    <row r="196" s="1" customFormat="1" spans="1:12">
      <c r="A196" s="3" t="s">
        <v>521</v>
      </c>
      <c r="B196" s="3" t="s">
        <v>562</v>
      </c>
      <c r="C196" s="3" t="s">
        <v>941</v>
      </c>
      <c r="D196" s="3" t="s">
        <v>942</v>
      </c>
      <c r="E196" s="3" t="s">
        <v>660</v>
      </c>
      <c r="F196" s="3" t="s">
        <v>661</v>
      </c>
      <c r="G196" s="3" t="s">
        <v>943</v>
      </c>
      <c r="H196" s="3" t="s">
        <v>943</v>
      </c>
      <c r="I196" s="3" t="s">
        <v>670</v>
      </c>
      <c r="J196" s="5">
        <v>45423</v>
      </c>
      <c r="K196" s="5">
        <v>45423</v>
      </c>
      <c r="L196" s="6">
        <v>500</v>
      </c>
    </row>
    <row r="197" s="1" customFormat="1" spans="1:12">
      <c r="A197" s="3" t="s">
        <v>508</v>
      </c>
      <c r="B197" s="3" t="s">
        <v>518</v>
      </c>
      <c r="C197" s="3" t="s">
        <v>944</v>
      </c>
      <c r="D197" s="3" t="s">
        <v>945</v>
      </c>
      <c r="E197" s="3" t="s">
        <v>946</v>
      </c>
      <c r="F197" s="3" t="s">
        <v>947</v>
      </c>
      <c r="G197" s="3" t="s">
        <v>948</v>
      </c>
      <c r="H197" s="3" t="s">
        <v>948</v>
      </c>
      <c r="I197" s="3" t="s">
        <v>949</v>
      </c>
      <c r="J197" s="5">
        <v>45279</v>
      </c>
      <c r="K197" s="5">
        <v>45279</v>
      </c>
      <c r="L197" s="6">
        <v>1117.44</v>
      </c>
    </row>
    <row r="198" s="1" customFormat="1" spans="1:12">
      <c r="A198" s="3" t="s">
        <v>508</v>
      </c>
      <c r="B198" s="3" t="s">
        <v>518</v>
      </c>
      <c r="C198" s="3" t="s">
        <v>950</v>
      </c>
      <c r="D198" s="3" t="s">
        <v>951</v>
      </c>
      <c r="E198" s="3" t="s">
        <v>946</v>
      </c>
      <c r="F198" s="3" t="s">
        <v>947</v>
      </c>
      <c r="G198" s="3" t="s">
        <v>952</v>
      </c>
      <c r="H198" s="3" t="s">
        <v>952</v>
      </c>
      <c r="I198" s="3" t="s">
        <v>949</v>
      </c>
      <c r="J198" s="5">
        <v>45275</v>
      </c>
      <c r="K198" s="5">
        <v>45275</v>
      </c>
      <c r="L198" s="6">
        <v>7200</v>
      </c>
    </row>
    <row r="199" s="1" customFormat="1" spans="1:12">
      <c r="A199" s="3" t="s">
        <v>521</v>
      </c>
      <c r="B199" s="3" t="s">
        <v>823</v>
      </c>
      <c r="C199" s="3" t="s">
        <v>953</v>
      </c>
      <c r="D199" s="3" t="s">
        <v>954</v>
      </c>
      <c r="E199" s="3" t="s">
        <v>946</v>
      </c>
      <c r="F199" s="3" t="s">
        <v>947</v>
      </c>
      <c r="G199" s="3" t="s">
        <v>525</v>
      </c>
      <c r="H199" s="3" t="s">
        <v>955</v>
      </c>
      <c r="I199" s="3" t="s">
        <v>527</v>
      </c>
      <c r="J199" s="5">
        <v>45322</v>
      </c>
      <c r="K199" s="5">
        <v>45316</v>
      </c>
      <c r="L199" s="6">
        <v>-11785.05</v>
      </c>
    </row>
    <row r="200" s="1" customFormat="1" spans="1:12">
      <c r="A200" s="3" t="s">
        <v>508</v>
      </c>
      <c r="B200" s="3" t="s">
        <v>518</v>
      </c>
      <c r="C200" s="3" t="s">
        <v>956</v>
      </c>
      <c r="D200" s="3" t="s">
        <v>957</v>
      </c>
      <c r="E200" s="3" t="s">
        <v>946</v>
      </c>
      <c r="F200" s="3" t="s">
        <v>947</v>
      </c>
      <c r="G200" s="3" t="s">
        <v>958</v>
      </c>
      <c r="H200" s="3" t="s">
        <v>958</v>
      </c>
      <c r="I200" s="3" t="s">
        <v>949</v>
      </c>
      <c r="J200" s="5">
        <v>45275</v>
      </c>
      <c r="K200" s="5">
        <v>45275</v>
      </c>
      <c r="L200" s="6">
        <v>13411.78</v>
      </c>
    </row>
    <row r="201" s="1" customFormat="1" spans="1:12">
      <c r="A201" s="3" t="s">
        <v>508</v>
      </c>
      <c r="B201" s="3" t="s">
        <v>518</v>
      </c>
      <c r="C201" s="3" t="s">
        <v>959</v>
      </c>
      <c r="D201" s="3" t="s">
        <v>960</v>
      </c>
      <c r="E201" s="3" t="s">
        <v>946</v>
      </c>
      <c r="F201" s="3" t="s">
        <v>947</v>
      </c>
      <c r="G201" s="3" t="s">
        <v>525</v>
      </c>
      <c r="H201" s="3" t="s">
        <v>955</v>
      </c>
      <c r="I201" s="3" t="s">
        <v>527</v>
      </c>
      <c r="J201" s="5">
        <v>45291</v>
      </c>
      <c r="K201" s="5">
        <v>45288</v>
      </c>
      <c r="L201" s="6">
        <v>-22857.94</v>
      </c>
    </row>
    <row r="202" s="1" customFormat="1" spans="1:12">
      <c r="A202" s="3" t="s">
        <v>508</v>
      </c>
      <c r="B202" s="3" t="s">
        <v>518</v>
      </c>
      <c r="C202" s="3" t="s">
        <v>961</v>
      </c>
      <c r="D202" s="3" t="s">
        <v>962</v>
      </c>
      <c r="E202" s="3" t="s">
        <v>946</v>
      </c>
      <c r="F202" s="3" t="s">
        <v>947</v>
      </c>
      <c r="G202" s="3" t="s">
        <v>525</v>
      </c>
      <c r="H202" s="3" t="s">
        <v>955</v>
      </c>
      <c r="I202" s="3" t="s">
        <v>527</v>
      </c>
      <c r="J202" s="5">
        <v>45291</v>
      </c>
      <c r="K202" s="5">
        <v>45289</v>
      </c>
      <c r="L202" s="6">
        <v>-11.28</v>
      </c>
    </row>
    <row r="203" s="1" customFormat="1" spans="1:12">
      <c r="A203" s="3" t="s">
        <v>521</v>
      </c>
      <c r="B203" s="3" t="s">
        <v>823</v>
      </c>
      <c r="C203" s="3" t="s">
        <v>963</v>
      </c>
      <c r="D203" s="3" t="s">
        <v>964</v>
      </c>
      <c r="E203" s="3" t="s">
        <v>946</v>
      </c>
      <c r="F203" s="3" t="s">
        <v>947</v>
      </c>
      <c r="G203" s="3" t="s">
        <v>314</v>
      </c>
      <c r="H203" s="3" t="s">
        <v>314</v>
      </c>
      <c r="I203" s="3" t="s">
        <v>949</v>
      </c>
      <c r="J203" s="5">
        <v>45314</v>
      </c>
      <c r="K203" s="5">
        <v>45314</v>
      </c>
      <c r="L203" s="6">
        <v>11785.05</v>
      </c>
    </row>
    <row r="204" s="1" customFormat="1" spans="1:12">
      <c r="A204" s="3" t="s">
        <v>508</v>
      </c>
      <c r="B204" s="3" t="s">
        <v>518</v>
      </c>
      <c r="C204" s="3" t="s">
        <v>965</v>
      </c>
      <c r="D204" s="3" t="s">
        <v>966</v>
      </c>
      <c r="E204" s="3" t="s">
        <v>946</v>
      </c>
      <c r="F204" s="3" t="s">
        <v>947</v>
      </c>
      <c r="G204" s="3" t="s">
        <v>967</v>
      </c>
      <c r="H204" s="3" t="s">
        <v>967</v>
      </c>
      <c r="I204" s="3" t="s">
        <v>949</v>
      </c>
      <c r="J204" s="5">
        <v>45278</v>
      </c>
      <c r="K204" s="5">
        <v>45278</v>
      </c>
      <c r="L204" s="6">
        <v>1128.72</v>
      </c>
    </row>
    <row r="205" s="1" customFormat="1" spans="1:12">
      <c r="A205" s="3" t="s">
        <v>508</v>
      </c>
      <c r="B205" s="3" t="s">
        <v>518</v>
      </c>
      <c r="C205" s="3" t="s">
        <v>968</v>
      </c>
      <c r="D205" s="3" t="s">
        <v>969</v>
      </c>
      <c r="E205" s="3" t="s">
        <v>946</v>
      </c>
      <c r="F205" s="3" t="s">
        <v>947</v>
      </c>
      <c r="G205" s="3" t="s">
        <v>970</v>
      </c>
      <c r="H205" s="3" t="s">
        <v>970</v>
      </c>
      <c r="I205" s="3" t="s">
        <v>949</v>
      </c>
      <c r="J205" s="5">
        <v>45288</v>
      </c>
      <c r="K205" s="5">
        <v>45288</v>
      </c>
      <c r="L205" s="6">
        <v>11.28</v>
      </c>
    </row>
    <row r="206" s="1" customFormat="1" spans="1:12">
      <c r="A206" s="3" t="s">
        <v>508</v>
      </c>
      <c r="B206" s="3" t="s">
        <v>542</v>
      </c>
      <c r="C206" s="3" t="s">
        <v>971</v>
      </c>
      <c r="D206" s="3" t="s">
        <v>972</v>
      </c>
      <c r="E206" s="3" t="s">
        <v>973</v>
      </c>
      <c r="F206" s="3" t="s">
        <v>974</v>
      </c>
      <c r="G206" s="3" t="s">
        <v>975</v>
      </c>
      <c r="H206" s="3" t="s">
        <v>975</v>
      </c>
      <c r="I206" s="3" t="s">
        <v>976</v>
      </c>
      <c r="J206" s="5">
        <v>45247</v>
      </c>
      <c r="K206" s="5">
        <v>45247</v>
      </c>
      <c r="L206" s="6">
        <v>287.12</v>
      </c>
    </row>
    <row r="207" s="1" customFormat="1" spans="1:12">
      <c r="A207" s="3" t="s">
        <v>508</v>
      </c>
      <c r="B207" s="3" t="s">
        <v>542</v>
      </c>
      <c r="C207" s="3" t="s">
        <v>977</v>
      </c>
      <c r="D207" s="3" t="s">
        <v>978</v>
      </c>
      <c r="E207" s="3" t="s">
        <v>973</v>
      </c>
      <c r="F207" s="3" t="s">
        <v>974</v>
      </c>
      <c r="G207" s="3" t="s">
        <v>525</v>
      </c>
      <c r="H207" s="3" t="s">
        <v>979</v>
      </c>
      <c r="I207" s="3" t="s">
        <v>527</v>
      </c>
      <c r="J207" s="5">
        <v>45260</v>
      </c>
      <c r="K207" s="5">
        <v>45254</v>
      </c>
      <c r="L207" s="6">
        <v>-287.12</v>
      </c>
    </row>
    <row r="208" s="1" customFormat="1" spans="1:12">
      <c r="A208" s="3" t="s">
        <v>521</v>
      </c>
      <c r="B208" s="3" t="s">
        <v>522</v>
      </c>
      <c r="C208" s="3" t="s">
        <v>980</v>
      </c>
      <c r="D208" s="3" t="s">
        <v>981</v>
      </c>
      <c r="E208" s="3" t="s">
        <v>982</v>
      </c>
      <c r="F208" s="3" t="s">
        <v>983</v>
      </c>
      <c r="G208" s="3" t="s">
        <v>984</v>
      </c>
      <c r="H208" s="3" t="s">
        <v>984</v>
      </c>
      <c r="I208" s="3" t="s">
        <v>985</v>
      </c>
      <c r="J208" s="5">
        <v>45345</v>
      </c>
      <c r="K208" s="5">
        <v>45345</v>
      </c>
      <c r="L208" s="6">
        <v>3345.19</v>
      </c>
    </row>
    <row r="209" s="1" customFormat="1" spans="1:12">
      <c r="A209" s="3" t="s">
        <v>521</v>
      </c>
      <c r="B209" s="3" t="s">
        <v>522</v>
      </c>
      <c r="C209" s="3" t="s">
        <v>986</v>
      </c>
      <c r="D209" s="3" t="s">
        <v>987</v>
      </c>
      <c r="E209" s="3" t="s">
        <v>982</v>
      </c>
      <c r="F209" s="3" t="s">
        <v>983</v>
      </c>
      <c r="G209" s="3" t="s">
        <v>525</v>
      </c>
      <c r="H209" s="3" t="s">
        <v>988</v>
      </c>
      <c r="I209" s="3" t="s">
        <v>527</v>
      </c>
      <c r="J209" s="5">
        <v>45351</v>
      </c>
      <c r="K209" s="5">
        <v>45345</v>
      </c>
      <c r="L209" s="6">
        <v>-3345.19</v>
      </c>
    </row>
    <row r="210" s="1" customFormat="1" spans="1:12">
      <c r="A210" s="3" t="s">
        <v>508</v>
      </c>
      <c r="B210" s="3" t="s">
        <v>644</v>
      </c>
      <c r="C210" s="3" t="s">
        <v>989</v>
      </c>
      <c r="D210" s="3" t="s">
        <v>990</v>
      </c>
      <c r="E210" s="3" t="s">
        <v>991</v>
      </c>
      <c r="F210" s="3" t="s">
        <v>992</v>
      </c>
      <c r="G210" s="3" t="s">
        <v>993</v>
      </c>
      <c r="H210" s="3" t="s">
        <v>993</v>
      </c>
      <c r="I210" s="3" t="s">
        <v>994</v>
      </c>
      <c r="J210" s="5">
        <v>45189</v>
      </c>
      <c r="K210" s="5">
        <v>45189</v>
      </c>
      <c r="L210" s="6">
        <v>740</v>
      </c>
    </row>
    <row r="211" s="1" customFormat="1" spans="1:12">
      <c r="A211" s="3" t="s">
        <v>508</v>
      </c>
      <c r="B211" s="3" t="s">
        <v>509</v>
      </c>
      <c r="C211" s="3" t="s">
        <v>995</v>
      </c>
      <c r="D211" s="3" t="s">
        <v>996</v>
      </c>
      <c r="E211" s="3" t="s">
        <v>991</v>
      </c>
      <c r="F211" s="3" t="s">
        <v>992</v>
      </c>
      <c r="G211" s="3" t="s">
        <v>997</v>
      </c>
      <c r="H211" s="3" t="s">
        <v>997</v>
      </c>
      <c r="I211" s="3" t="s">
        <v>994</v>
      </c>
      <c r="J211" s="5">
        <v>45208</v>
      </c>
      <c r="K211" s="5">
        <v>45208</v>
      </c>
      <c r="L211" s="6">
        <v>980</v>
      </c>
    </row>
    <row r="212" s="1" customFormat="1" spans="1:12">
      <c r="A212" s="3" t="s">
        <v>508</v>
      </c>
      <c r="B212" s="3" t="s">
        <v>518</v>
      </c>
      <c r="C212" s="3" t="s">
        <v>998</v>
      </c>
      <c r="D212" s="3" t="s">
        <v>999</v>
      </c>
      <c r="E212" s="3" t="s">
        <v>991</v>
      </c>
      <c r="F212" s="3" t="s">
        <v>992</v>
      </c>
      <c r="G212" s="3" t="s">
        <v>1000</v>
      </c>
      <c r="H212" s="3" t="s">
        <v>1000</v>
      </c>
      <c r="I212" s="3" t="s">
        <v>994</v>
      </c>
      <c r="J212" s="5">
        <v>45270</v>
      </c>
      <c r="K212" s="5">
        <v>45270</v>
      </c>
      <c r="L212" s="6">
        <v>1165</v>
      </c>
    </row>
    <row r="213" s="1" customFormat="1" spans="1:12">
      <c r="A213" s="3" t="s">
        <v>508</v>
      </c>
      <c r="B213" s="3" t="s">
        <v>509</v>
      </c>
      <c r="C213" s="3" t="s">
        <v>1001</v>
      </c>
      <c r="D213" s="3" t="s">
        <v>1002</v>
      </c>
      <c r="E213" s="3" t="s">
        <v>991</v>
      </c>
      <c r="F213" s="3" t="s">
        <v>992</v>
      </c>
      <c r="G213" s="3" t="s">
        <v>525</v>
      </c>
      <c r="H213" s="3" t="s">
        <v>1003</v>
      </c>
      <c r="I213" s="3" t="s">
        <v>527</v>
      </c>
      <c r="J213" s="5">
        <v>45230</v>
      </c>
      <c r="K213" s="5">
        <v>45225</v>
      </c>
      <c r="L213" s="6">
        <v>-18160</v>
      </c>
    </row>
    <row r="214" s="1" customFormat="1" spans="1:12">
      <c r="A214" s="3" t="s">
        <v>508</v>
      </c>
      <c r="B214" s="3" t="s">
        <v>542</v>
      </c>
      <c r="C214" s="3" t="s">
        <v>1004</v>
      </c>
      <c r="D214" s="3" t="s">
        <v>1005</v>
      </c>
      <c r="E214" s="3" t="s">
        <v>991</v>
      </c>
      <c r="F214" s="3" t="s">
        <v>992</v>
      </c>
      <c r="G214" s="3" t="s">
        <v>525</v>
      </c>
      <c r="H214" s="3" t="s">
        <v>1003</v>
      </c>
      <c r="I214" s="3" t="s">
        <v>527</v>
      </c>
      <c r="J214" s="5">
        <v>45260</v>
      </c>
      <c r="K214" s="5">
        <v>45254</v>
      </c>
      <c r="L214" s="6">
        <v>-27617</v>
      </c>
    </row>
    <row r="215" s="1" customFormat="1" spans="1:12">
      <c r="A215" s="3" t="s">
        <v>508</v>
      </c>
      <c r="B215" s="3" t="s">
        <v>518</v>
      </c>
      <c r="C215" s="3" t="s">
        <v>1006</v>
      </c>
      <c r="D215" s="3" t="s">
        <v>1007</v>
      </c>
      <c r="E215" s="3" t="s">
        <v>991</v>
      </c>
      <c r="F215" s="3" t="s">
        <v>992</v>
      </c>
      <c r="G215" s="3" t="s">
        <v>525</v>
      </c>
      <c r="H215" s="3" t="s">
        <v>1003</v>
      </c>
      <c r="I215" s="3" t="s">
        <v>527</v>
      </c>
      <c r="J215" s="5">
        <v>45291</v>
      </c>
      <c r="K215" s="5">
        <v>45288</v>
      </c>
      <c r="L215" s="6">
        <v>-30516</v>
      </c>
    </row>
    <row r="216" s="1" customFormat="1" spans="1:12">
      <c r="A216" s="3" t="s">
        <v>521</v>
      </c>
      <c r="B216" s="3" t="s">
        <v>823</v>
      </c>
      <c r="C216" s="3" t="s">
        <v>1008</v>
      </c>
      <c r="D216" s="3" t="s">
        <v>1009</v>
      </c>
      <c r="E216" s="3" t="s">
        <v>991</v>
      </c>
      <c r="F216" s="3" t="s">
        <v>992</v>
      </c>
      <c r="G216" s="3" t="s">
        <v>1010</v>
      </c>
      <c r="H216" s="3" t="s">
        <v>1010</v>
      </c>
      <c r="I216" s="3" t="s">
        <v>994</v>
      </c>
      <c r="J216" s="5">
        <v>45310</v>
      </c>
      <c r="K216" s="5">
        <v>45310</v>
      </c>
      <c r="L216" s="6">
        <v>1570</v>
      </c>
    </row>
    <row r="217" s="1" customFormat="1" spans="1:12">
      <c r="A217" s="3" t="s">
        <v>508</v>
      </c>
      <c r="B217" s="3" t="s">
        <v>509</v>
      </c>
      <c r="C217" s="3" t="s">
        <v>1011</v>
      </c>
      <c r="D217" s="3" t="s">
        <v>1012</v>
      </c>
      <c r="E217" s="3" t="s">
        <v>991</v>
      </c>
      <c r="F217" s="3" t="s">
        <v>992</v>
      </c>
      <c r="G217" s="3" t="s">
        <v>1013</v>
      </c>
      <c r="H217" s="3" t="s">
        <v>1013</v>
      </c>
      <c r="I217" s="3" t="s">
        <v>994</v>
      </c>
      <c r="J217" s="5">
        <v>45209</v>
      </c>
      <c r="K217" s="5">
        <v>45209</v>
      </c>
      <c r="L217" s="6">
        <v>700</v>
      </c>
    </row>
    <row r="218" s="1" customFormat="1" spans="1:12">
      <c r="A218" s="3" t="s">
        <v>508</v>
      </c>
      <c r="B218" s="3" t="s">
        <v>509</v>
      </c>
      <c r="C218" s="3" t="s">
        <v>1014</v>
      </c>
      <c r="D218" s="3" t="s">
        <v>1015</v>
      </c>
      <c r="E218" s="3" t="s">
        <v>991</v>
      </c>
      <c r="F218" s="3" t="s">
        <v>992</v>
      </c>
      <c r="G218" s="3" t="s">
        <v>1016</v>
      </c>
      <c r="H218" s="3" t="s">
        <v>1016</v>
      </c>
      <c r="I218" s="3" t="s">
        <v>994</v>
      </c>
      <c r="J218" s="5">
        <v>45212</v>
      </c>
      <c r="K218" s="5">
        <v>45212</v>
      </c>
      <c r="L218" s="6">
        <v>1196</v>
      </c>
    </row>
    <row r="219" s="1" customFormat="1" spans="1:12">
      <c r="A219" s="3" t="s">
        <v>508</v>
      </c>
      <c r="B219" s="3" t="s">
        <v>509</v>
      </c>
      <c r="C219" s="3" t="s">
        <v>1017</v>
      </c>
      <c r="D219" s="3" t="s">
        <v>1018</v>
      </c>
      <c r="E219" s="3" t="s">
        <v>991</v>
      </c>
      <c r="F219" s="3" t="s">
        <v>992</v>
      </c>
      <c r="G219" s="3" t="s">
        <v>1016</v>
      </c>
      <c r="H219" s="3" t="s">
        <v>1016</v>
      </c>
      <c r="I219" s="3" t="s">
        <v>994</v>
      </c>
      <c r="J219" s="5">
        <v>45212</v>
      </c>
      <c r="K219" s="5">
        <v>45212</v>
      </c>
      <c r="L219" s="6">
        <v>1097</v>
      </c>
    </row>
    <row r="220" s="1" customFormat="1" spans="1:12">
      <c r="A220" s="3" t="s">
        <v>508</v>
      </c>
      <c r="B220" s="3" t="s">
        <v>509</v>
      </c>
      <c r="C220" s="3" t="s">
        <v>1019</v>
      </c>
      <c r="D220" s="3" t="s">
        <v>1020</v>
      </c>
      <c r="E220" s="3" t="s">
        <v>991</v>
      </c>
      <c r="F220" s="3" t="s">
        <v>992</v>
      </c>
      <c r="G220" s="3" t="s">
        <v>1016</v>
      </c>
      <c r="H220" s="3" t="s">
        <v>1016</v>
      </c>
      <c r="I220" s="3" t="s">
        <v>994</v>
      </c>
      <c r="J220" s="5">
        <v>45225</v>
      </c>
      <c r="K220" s="5">
        <v>45225</v>
      </c>
      <c r="L220" s="6">
        <v>996</v>
      </c>
    </row>
    <row r="221" s="1" customFormat="1" spans="1:12">
      <c r="A221" s="3" t="s">
        <v>508</v>
      </c>
      <c r="B221" s="3" t="s">
        <v>542</v>
      </c>
      <c r="C221" s="3" t="s">
        <v>1021</v>
      </c>
      <c r="D221" s="3" t="s">
        <v>1022</v>
      </c>
      <c r="E221" s="3" t="s">
        <v>991</v>
      </c>
      <c r="F221" s="3" t="s">
        <v>992</v>
      </c>
      <c r="G221" s="3" t="s">
        <v>1023</v>
      </c>
      <c r="H221" s="3" t="s">
        <v>1023</v>
      </c>
      <c r="I221" s="3" t="s">
        <v>994</v>
      </c>
      <c r="J221" s="5">
        <v>45244</v>
      </c>
      <c r="K221" s="5">
        <v>45244</v>
      </c>
      <c r="L221" s="6">
        <v>680</v>
      </c>
    </row>
    <row r="222" s="1" customFormat="1" spans="1:12">
      <c r="A222" s="3" t="s">
        <v>508</v>
      </c>
      <c r="B222" s="3" t="s">
        <v>542</v>
      </c>
      <c r="C222" s="3" t="s">
        <v>1024</v>
      </c>
      <c r="D222" s="3" t="s">
        <v>1025</v>
      </c>
      <c r="E222" s="3" t="s">
        <v>991</v>
      </c>
      <c r="F222" s="3" t="s">
        <v>992</v>
      </c>
      <c r="G222" s="3" t="s">
        <v>1026</v>
      </c>
      <c r="H222" s="3" t="s">
        <v>1027</v>
      </c>
      <c r="I222" s="3" t="s">
        <v>994</v>
      </c>
      <c r="J222" s="5">
        <v>45244</v>
      </c>
      <c r="K222" s="5">
        <v>45244</v>
      </c>
      <c r="L222" s="6">
        <v>1816</v>
      </c>
    </row>
    <row r="223" s="1" customFormat="1" spans="1:12">
      <c r="A223" s="3" t="s">
        <v>508</v>
      </c>
      <c r="B223" s="3" t="s">
        <v>518</v>
      </c>
      <c r="C223" s="3" t="s">
        <v>1028</v>
      </c>
      <c r="D223" s="3" t="s">
        <v>1029</v>
      </c>
      <c r="E223" s="3" t="s">
        <v>991</v>
      </c>
      <c r="F223" s="3" t="s">
        <v>992</v>
      </c>
      <c r="G223" s="3" t="s">
        <v>1030</v>
      </c>
      <c r="H223" s="3" t="s">
        <v>1030</v>
      </c>
      <c r="I223" s="3" t="s">
        <v>994</v>
      </c>
      <c r="J223" s="5">
        <v>45264</v>
      </c>
      <c r="K223" s="5">
        <v>45264</v>
      </c>
      <c r="L223" s="6">
        <v>1000</v>
      </c>
    </row>
    <row r="224" s="1" customFormat="1" spans="1:12">
      <c r="A224" s="3" t="s">
        <v>508</v>
      </c>
      <c r="B224" s="3" t="s">
        <v>518</v>
      </c>
      <c r="C224" s="3" t="s">
        <v>1031</v>
      </c>
      <c r="D224" s="3" t="s">
        <v>1032</v>
      </c>
      <c r="E224" s="3" t="s">
        <v>991</v>
      </c>
      <c r="F224" s="3" t="s">
        <v>992</v>
      </c>
      <c r="G224" s="3" t="s">
        <v>997</v>
      </c>
      <c r="H224" s="3" t="s">
        <v>997</v>
      </c>
      <c r="I224" s="3" t="s">
        <v>994</v>
      </c>
      <c r="J224" s="5">
        <v>45277</v>
      </c>
      <c r="K224" s="5">
        <v>45277</v>
      </c>
      <c r="L224" s="6">
        <v>1480</v>
      </c>
    </row>
    <row r="225" s="1" customFormat="1" spans="1:12">
      <c r="A225" s="3" t="s">
        <v>508</v>
      </c>
      <c r="B225" s="3" t="s">
        <v>518</v>
      </c>
      <c r="C225" s="3" t="s">
        <v>1033</v>
      </c>
      <c r="D225" s="3" t="s">
        <v>1034</v>
      </c>
      <c r="E225" s="3" t="s">
        <v>991</v>
      </c>
      <c r="F225" s="3" t="s">
        <v>992</v>
      </c>
      <c r="G225" s="3" t="s">
        <v>1030</v>
      </c>
      <c r="H225" s="3" t="s">
        <v>1030</v>
      </c>
      <c r="I225" s="3" t="s">
        <v>994</v>
      </c>
      <c r="J225" s="5">
        <v>45275</v>
      </c>
      <c r="K225" s="5">
        <v>45275</v>
      </c>
      <c r="L225" s="6">
        <v>1480</v>
      </c>
    </row>
    <row r="226" s="1" customFormat="1" spans="1:12">
      <c r="A226" s="3" t="s">
        <v>508</v>
      </c>
      <c r="B226" s="3" t="s">
        <v>518</v>
      </c>
      <c r="C226" s="3" t="s">
        <v>1035</v>
      </c>
      <c r="D226" s="3" t="s">
        <v>1036</v>
      </c>
      <c r="E226" s="3" t="s">
        <v>991</v>
      </c>
      <c r="F226" s="3" t="s">
        <v>992</v>
      </c>
      <c r="G226" s="3" t="s">
        <v>1037</v>
      </c>
      <c r="H226" s="3" t="s">
        <v>1037</v>
      </c>
      <c r="I226" s="3" t="s">
        <v>994</v>
      </c>
      <c r="J226" s="5">
        <v>45277</v>
      </c>
      <c r="K226" s="5">
        <v>45277</v>
      </c>
      <c r="L226" s="6">
        <v>1860</v>
      </c>
    </row>
    <row r="227" s="1" customFormat="1" spans="1:12">
      <c r="A227" s="3" t="s">
        <v>508</v>
      </c>
      <c r="B227" s="3" t="s">
        <v>644</v>
      </c>
      <c r="C227" s="3" t="s">
        <v>1038</v>
      </c>
      <c r="D227" s="3" t="s">
        <v>1039</v>
      </c>
      <c r="E227" s="3" t="s">
        <v>991</v>
      </c>
      <c r="F227" s="3" t="s">
        <v>992</v>
      </c>
      <c r="G227" s="3" t="s">
        <v>525</v>
      </c>
      <c r="H227" s="3" t="s">
        <v>1003</v>
      </c>
      <c r="I227" s="3" t="s">
        <v>527</v>
      </c>
      <c r="J227" s="5">
        <v>45199</v>
      </c>
      <c r="K227" s="5">
        <v>45198</v>
      </c>
      <c r="L227" s="6">
        <v>-740</v>
      </c>
    </row>
    <row r="228" s="1" customFormat="1" spans="1:12">
      <c r="A228" s="3" t="s">
        <v>521</v>
      </c>
      <c r="B228" s="3" t="s">
        <v>823</v>
      </c>
      <c r="C228" s="3" t="s">
        <v>1040</v>
      </c>
      <c r="D228" s="3" t="s">
        <v>1041</v>
      </c>
      <c r="E228" s="3" t="s">
        <v>991</v>
      </c>
      <c r="F228" s="3" t="s">
        <v>992</v>
      </c>
      <c r="G228" s="3" t="s">
        <v>1042</v>
      </c>
      <c r="H228" s="3" t="s">
        <v>1043</v>
      </c>
      <c r="I228" s="3" t="s">
        <v>994</v>
      </c>
      <c r="J228" s="5">
        <v>45310</v>
      </c>
      <c r="K228" s="5">
        <v>45310</v>
      </c>
      <c r="L228" s="6">
        <v>1752</v>
      </c>
    </row>
    <row r="229" s="1" customFormat="1" spans="1:12">
      <c r="A229" s="3" t="s">
        <v>521</v>
      </c>
      <c r="B229" s="3" t="s">
        <v>823</v>
      </c>
      <c r="C229" s="3" t="s">
        <v>1044</v>
      </c>
      <c r="D229" s="3" t="s">
        <v>1045</v>
      </c>
      <c r="E229" s="3" t="s">
        <v>991</v>
      </c>
      <c r="F229" s="3" t="s">
        <v>992</v>
      </c>
      <c r="G229" s="3" t="s">
        <v>1000</v>
      </c>
      <c r="H229" s="3" t="s">
        <v>1000</v>
      </c>
      <c r="I229" s="3" t="s">
        <v>994</v>
      </c>
      <c r="J229" s="5">
        <v>45310</v>
      </c>
      <c r="K229" s="5">
        <v>45310</v>
      </c>
      <c r="L229" s="6">
        <v>1368</v>
      </c>
    </row>
    <row r="230" s="1" customFormat="1" spans="1:12">
      <c r="A230" s="3" t="s">
        <v>521</v>
      </c>
      <c r="B230" s="3" t="s">
        <v>823</v>
      </c>
      <c r="C230" s="3" t="s">
        <v>1046</v>
      </c>
      <c r="D230" s="3" t="s">
        <v>1047</v>
      </c>
      <c r="E230" s="3" t="s">
        <v>991</v>
      </c>
      <c r="F230" s="3" t="s">
        <v>992</v>
      </c>
      <c r="G230" s="3" t="s">
        <v>1023</v>
      </c>
      <c r="H230" s="3" t="s">
        <v>1023</v>
      </c>
      <c r="I230" s="3" t="s">
        <v>994</v>
      </c>
      <c r="J230" s="5">
        <v>45303</v>
      </c>
      <c r="K230" s="5">
        <v>45303</v>
      </c>
      <c r="L230" s="6">
        <v>1138</v>
      </c>
    </row>
    <row r="231" s="1" customFormat="1" spans="1:12">
      <c r="A231" s="3" t="s">
        <v>521</v>
      </c>
      <c r="B231" s="3" t="s">
        <v>823</v>
      </c>
      <c r="C231" s="3" t="s">
        <v>1048</v>
      </c>
      <c r="D231" s="3" t="s">
        <v>1049</v>
      </c>
      <c r="E231" s="3" t="s">
        <v>991</v>
      </c>
      <c r="F231" s="3" t="s">
        <v>992</v>
      </c>
      <c r="G231" s="3" t="s">
        <v>1013</v>
      </c>
      <c r="H231" s="3" t="s">
        <v>1013</v>
      </c>
      <c r="I231" s="3" t="s">
        <v>994</v>
      </c>
      <c r="J231" s="5">
        <v>45313</v>
      </c>
      <c r="K231" s="5">
        <v>45313</v>
      </c>
      <c r="L231" s="6">
        <v>900</v>
      </c>
    </row>
    <row r="232" s="1" customFormat="1" spans="1:12">
      <c r="A232" s="3" t="s">
        <v>521</v>
      </c>
      <c r="B232" s="3" t="s">
        <v>522</v>
      </c>
      <c r="C232" s="3" t="s">
        <v>1050</v>
      </c>
      <c r="D232" s="3" t="s">
        <v>1051</v>
      </c>
      <c r="E232" s="3" t="s">
        <v>991</v>
      </c>
      <c r="F232" s="3" t="s">
        <v>992</v>
      </c>
      <c r="G232" s="3" t="s">
        <v>1052</v>
      </c>
      <c r="H232" s="3" t="s">
        <v>1053</v>
      </c>
      <c r="I232" s="3" t="s">
        <v>994</v>
      </c>
      <c r="J232" s="5">
        <v>45323</v>
      </c>
      <c r="K232" s="5">
        <v>45323</v>
      </c>
      <c r="L232" s="6">
        <v>1700</v>
      </c>
    </row>
    <row r="233" s="1" customFormat="1" spans="1:12">
      <c r="A233" s="3" t="s">
        <v>521</v>
      </c>
      <c r="B233" s="3" t="s">
        <v>597</v>
      </c>
      <c r="C233" s="3" t="s">
        <v>1054</v>
      </c>
      <c r="D233" s="3" t="s">
        <v>1055</v>
      </c>
      <c r="E233" s="3" t="s">
        <v>991</v>
      </c>
      <c r="F233" s="3" t="s">
        <v>992</v>
      </c>
      <c r="G233" s="3" t="s">
        <v>1056</v>
      </c>
      <c r="H233" s="3" t="s">
        <v>1056</v>
      </c>
      <c r="I233" s="3" t="s">
        <v>994</v>
      </c>
      <c r="J233" s="5">
        <v>45356</v>
      </c>
      <c r="K233" s="5">
        <v>45356</v>
      </c>
      <c r="L233" s="6">
        <v>1380</v>
      </c>
    </row>
    <row r="234" s="1" customFormat="1" spans="1:12">
      <c r="A234" s="3" t="s">
        <v>521</v>
      </c>
      <c r="B234" s="3" t="s">
        <v>597</v>
      </c>
      <c r="C234" s="3" t="s">
        <v>1057</v>
      </c>
      <c r="D234" s="3" t="s">
        <v>1058</v>
      </c>
      <c r="E234" s="3" t="s">
        <v>991</v>
      </c>
      <c r="F234" s="3" t="s">
        <v>992</v>
      </c>
      <c r="G234" s="3" t="s">
        <v>1059</v>
      </c>
      <c r="H234" s="3" t="s">
        <v>1059</v>
      </c>
      <c r="I234" s="3" t="s">
        <v>994</v>
      </c>
      <c r="J234" s="5">
        <v>45356</v>
      </c>
      <c r="K234" s="5">
        <v>45356</v>
      </c>
      <c r="L234" s="6">
        <v>1400</v>
      </c>
    </row>
    <row r="235" s="1" customFormat="1" spans="1:12">
      <c r="A235" s="3" t="s">
        <v>521</v>
      </c>
      <c r="B235" s="3" t="s">
        <v>597</v>
      </c>
      <c r="C235" s="3" t="s">
        <v>1060</v>
      </c>
      <c r="D235" s="3" t="s">
        <v>1061</v>
      </c>
      <c r="E235" s="3" t="s">
        <v>991</v>
      </c>
      <c r="F235" s="3" t="s">
        <v>992</v>
      </c>
      <c r="G235" s="3" t="s">
        <v>997</v>
      </c>
      <c r="H235" s="3" t="s">
        <v>997</v>
      </c>
      <c r="I235" s="3" t="s">
        <v>994</v>
      </c>
      <c r="J235" s="5">
        <v>45366</v>
      </c>
      <c r="K235" s="5">
        <v>45366</v>
      </c>
      <c r="L235" s="6">
        <v>1380</v>
      </c>
    </row>
    <row r="236" s="1" customFormat="1" spans="1:12">
      <c r="A236" s="3" t="s">
        <v>521</v>
      </c>
      <c r="B236" s="3" t="s">
        <v>597</v>
      </c>
      <c r="C236" s="3" t="s">
        <v>1062</v>
      </c>
      <c r="D236" s="3" t="s">
        <v>1063</v>
      </c>
      <c r="E236" s="3" t="s">
        <v>991</v>
      </c>
      <c r="F236" s="3" t="s">
        <v>992</v>
      </c>
      <c r="G236" s="3" t="s">
        <v>1016</v>
      </c>
      <c r="H236" s="3" t="s">
        <v>1016</v>
      </c>
      <c r="I236" s="3" t="s">
        <v>994</v>
      </c>
      <c r="J236" s="5">
        <v>45356</v>
      </c>
      <c r="K236" s="5">
        <v>45356</v>
      </c>
      <c r="L236" s="6">
        <v>1275</v>
      </c>
    </row>
    <row r="237" s="1" customFormat="1" spans="1:12">
      <c r="A237" s="3" t="s">
        <v>521</v>
      </c>
      <c r="B237" s="3" t="s">
        <v>823</v>
      </c>
      <c r="C237" s="3" t="s">
        <v>1064</v>
      </c>
      <c r="D237" s="3" t="s">
        <v>1065</v>
      </c>
      <c r="E237" s="3" t="s">
        <v>991</v>
      </c>
      <c r="F237" s="3" t="s">
        <v>992</v>
      </c>
      <c r="G237" s="3" t="s">
        <v>525</v>
      </c>
      <c r="H237" s="3" t="s">
        <v>1003</v>
      </c>
      <c r="I237" s="3" t="s">
        <v>527</v>
      </c>
      <c r="J237" s="5">
        <v>45322</v>
      </c>
      <c r="K237" s="5">
        <v>45316</v>
      </c>
      <c r="L237" s="6">
        <v>-13017</v>
      </c>
    </row>
    <row r="238" s="1" customFormat="1" spans="1:12">
      <c r="A238" s="3" t="s">
        <v>521</v>
      </c>
      <c r="B238" s="3" t="s">
        <v>522</v>
      </c>
      <c r="C238" s="3" t="s">
        <v>1066</v>
      </c>
      <c r="D238" s="3" t="s">
        <v>1067</v>
      </c>
      <c r="E238" s="3" t="s">
        <v>991</v>
      </c>
      <c r="F238" s="3" t="s">
        <v>992</v>
      </c>
      <c r="G238" s="3" t="s">
        <v>525</v>
      </c>
      <c r="H238" s="3" t="s">
        <v>1003</v>
      </c>
      <c r="I238" s="3" t="s">
        <v>527</v>
      </c>
      <c r="J238" s="5">
        <v>45351</v>
      </c>
      <c r="K238" s="5">
        <v>45345</v>
      </c>
      <c r="L238" s="6">
        <v>-1700</v>
      </c>
    </row>
    <row r="239" s="1" customFormat="1" spans="1:12">
      <c r="A239" s="3" t="s">
        <v>521</v>
      </c>
      <c r="B239" s="3" t="s">
        <v>597</v>
      </c>
      <c r="C239" s="3" t="s">
        <v>1068</v>
      </c>
      <c r="D239" s="3" t="s">
        <v>1069</v>
      </c>
      <c r="E239" s="3" t="s">
        <v>991</v>
      </c>
      <c r="F239" s="3" t="s">
        <v>992</v>
      </c>
      <c r="G239" s="3" t="s">
        <v>525</v>
      </c>
      <c r="H239" s="3" t="s">
        <v>1003</v>
      </c>
      <c r="I239" s="3" t="s">
        <v>527</v>
      </c>
      <c r="J239" s="5">
        <v>45382</v>
      </c>
      <c r="K239" s="5">
        <v>45377</v>
      </c>
      <c r="L239" s="6">
        <v>-10747</v>
      </c>
    </row>
    <row r="240" s="1" customFormat="1" spans="1:12">
      <c r="A240" s="3" t="s">
        <v>521</v>
      </c>
      <c r="B240" s="3" t="s">
        <v>895</v>
      </c>
      <c r="C240" s="3" t="s">
        <v>1070</v>
      </c>
      <c r="D240" s="3" t="s">
        <v>1071</v>
      </c>
      <c r="E240" s="3" t="s">
        <v>991</v>
      </c>
      <c r="F240" s="3" t="s">
        <v>992</v>
      </c>
      <c r="G240" s="3" t="s">
        <v>525</v>
      </c>
      <c r="H240" s="3" t="s">
        <v>1003</v>
      </c>
      <c r="I240" s="3" t="s">
        <v>527</v>
      </c>
      <c r="J240" s="5">
        <v>45412</v>
      </c>
      <c r="K240" s="5">
        <v>45407</v>
      </c>
      <c r="L240" s="6">
        <v>-3699</v>
      </c>
    </row>
    <row r="241" s="1" customFormat="1" spans="1:12">
      <c r="A241" s="3" t="s">
        <v>521</v>
      </c>
      <c r="B241" s="3" t="s">
        <v>823</v>
      </c>
      <c r="C241" s="3" t="s">
        <v>1072</v>
      </c>
      <c r="D241" s="3" t="s">
        <v>1073</v>
      </c>
      <c r="E241" s="3" t="s">
        <v>991</v>
      </c>
      <c r="F241" s="3" t="s">
        <v>992</v>
      </c>
      <c r="G241" s="3" t="s">
        <v>1000</v>
      </c>
      <c r="H241" s="3" t="s">
        <v>1000</v>
      </c>
      <c r="I241" s="3" t="s">
        <v>994</v>
      </c>
      <c r="J241" s="5">
        <v>45303</v>
      </c>
      <c r="K241" s="5">
        <v>45303</v>
      </c>
      <c r="L241" s="6">
        <v>1278</v>
      </c>
    </row>
    <row r="242" s="1" customFormat="1" spans="1:12">
      <c r="A242" s="3" t="s">
        <v>521</v>
      </c>
      <c r="B242" s="3" t="s">
        <v>895</v>
      </c>
      <c r="C242" s="3" t="s">
        <v>1074</v>
      </c>
      <c r="D242" s="3" t="s">
        <v>1075</v>
      </c>
      <c r="E242" s="3" t="s">
        <v>991</v>
      </c>
      <c r="F242" s="3" t="s">
        <v>992</v>
      </c>
      <c r="G242" s="3" t="s">
        <v>1076</v>
      </c>
      <c r="H242" s="3" t="s">
        <v>1077</v>
      </c>
      <c r="I242" s="3" t="s">
        <v>994</v>
      </c>
      <c r="J242" s="5">
        <v>45394</v>
      </c>
      <c r="K242" s="5">
        <v>45394</v>
      </c>
      <c r="L242" s="6">
        <v>1789</v>
      </c>
    </row>
    <row r="243" s="1" customFormat="1" spans="1:12">
      <c r="A243" s="3" t="s">
        <v>508</v>
      </c>
      <c r="B243" s="3" t="s">
        <v>509</v>
      </c>
      <c r="C243" s="3" t="s">
        <v>1078</v>
      </c>
      <c r="D243" s="3" t="s">
        <v>1079</v>
      </c>
      <c r="E243" s="3" t="s">
        <v>991</v>
      </c>
      <c r="F243" s="3" t="s">
        <v>992</v>
      </c>
      <c r="G243" s="3" t="s">
        <v>1016</v>
      </c>
      <c r="H243" s="3" t="s">
        <v>1016</v>
      </c>
      <c r="I243" s="3" t="s">
        <v>994</v>
      </c>
      <c r="J243" s="5">
        <v>45212</v>
      </c>
      <c r="K243" s="5">
        <v>45212</v>
      </c>
      <c r="L243" s="6">
        <v>894</v>
      </c>
    </row>
    <row r="244" s="1" customFormat="1" spans="1:12">
      <c r="A244" s="3" t="s">
        <v>508</v>
      </c>
      <c r="B244" s="3" t="s">
        <v>509</v>
      </c>
      <c r="C244" s="3" t="s">
        <v>1080</v>
      </c>
      <c r="D244" s="3" t="s">
        <v>1081</v>
      </c>
      <c r="E244" s="3" t="s">
        <v>991</v>
      </c>
      <c r="F244" s="3" t="s">
        <v>992</v>
      </c>
      <c r="G244" s="3" t="s">
        <v>1082</v>
      </c>
      <c r="H244" s="3" t="s">
        <v>1082</v>
      </c>
      <c r="I244" s="3" t="s">
        <v>994</v>
      </c>
      <c r="J244" s="5">
        <v>45209</v>
      </c>
      <c r="K244" s="5">
        <v>45209</v>
      </c>
      <c r="L244" s="6">
        <v>650</v>
      </c>
    </row>
    <row r="245" s="1" customFormat="1" spans="1:12">
      <c r="A245" s="3" t="s">
        <v>508</v>
      </c>
      <c r="B245" s="3" t="s">
        <v>509</v>
      </c>
      <c r="C245" s="3" t="s">
        <v>1083</v>
      </c>
      <c r="D245" s="3" t="s">
        <v>1084</v>
      </c>
      <c r="E245" s="3" t="s">
        <v>991</v>
      </c>
      <c r="F245" s="3" t="s">
        <v>992</v>
      </c>
      <c r="G245" s="3" t="s">
        <v>1016</v>
      </c>
      <c r="H245" s="3" t="s">
        <v>1016</v>
      </c>
      <c r="I245" s="3" t="s">
        <v>994</v>
      </c>
      <c r="J245" s="5">
        <v>45223</v>
      </c>
      <c r="K245" s="5">
        <v>45223</v>
      </c>
      <c r="L245" s="6">
        <v>897</v>
      </c>
    </row>
    <row r="246" s="1" customFormat="1" spans="1:12">
      <c r="A246" s="3" t="s">
        <v>508</v>
      </c>
      <c r="B246" s="3" t="s">
        <v>509</v>
      </c>
      <c r="C246" s="3" t="s">
        <v>1085</v>
      </c>
      <c r="D246" s="3" t="s">
        <v>1086</v>
      </c>
      <c r="E246" s="3" t="s">
        <v>991</v>
      </c>
      <c r="F246" s="3" t="s">
        <v>992</v>
      </c>
      <c r="G246" s="3" t="s">
        <v>1087</v>
      </c>
      <c r="H246" s="3" t="s">
        <v>1088</v>
      </c>
      <c r="I246" s="3" t="s">
        <v>994</v>
      </c>
      <c r="J246" s="5">
        <v>45223</v>
      </c>
      <c r="K246" s="5">
        <v>45223</v>
      </c>
      <c r="L246" s="6">
        <v>1790</v>
      </c>
    </row>
    <row r="247" s="1" customFormat="1" spans="1:12">
      <c r="A247" s="3" t="s">
        <v>508</v>
      </c>
      <c r="B247" s="3" t="s">
        <v>509</v>
      </c>
      <c r="C247" s="3" t="s">
        <v>1089</v>
      </c>
      <c r="D247" s="3" t="s">
        <v>1090</v>
      </c>
      <c r="E247" s="3" t="s">
        <v>991</v>
      </c>
      <c r="F247" s="3" t="s">
        <v>992</v>
      </c>
      <c r="G247" s="3" t="s">
        <v>1000</v>
      </c>
      <c r="H247" s="3" t="s">
        <v>1000</v>
      </c>
      <c r="I247" s="3" t="s">
        <v>994</v>
      </c>
      <c r="J247" s="5">
        <v>45223</v>
      </c>
      <c r="K247" s="5">
        <v>45223</v>
      </c>
      <c r="L247" s="6">
        <v>1565</v>
      </c>
    </row>
    <row r="248" s="1" customFormat="1" spans="1:12">
      <c r="A248" s="3" t="s">
        <v>508</v>
      </c>
      <c r="B248" s="3" t="s">
        <v>509</v>
      </c>
      <c r="C248" s="3" t="s">
        <v>1091</v>
      </c>
      <c r="D248" s="3" t="s">
        <v>1092</v>
      </c>
      <c r="E248" s="3" t="s">
        <v>991</v>
      </c>
      <c r="F248" s="3" t="s">
        <v>992</v>
      </c>
      <c r="G248" s="3" t="s">
        <v>1037</v>
      </c>
      <c r="H248" s="3" t="s">
        <v>1037</v>
      </c>
      <c r="I248" s="3" t="s">
        <v>994</v>
      </c>
      <c r="J248" s="5">
        <v>45223</v>
      </c>
      <c r="K248" s="5">
        <v>45223</v>
      </c>
      <c r="L248" s="6">
        <v>1280</v>
      </c>
    </row>
    <row r="249" s="1" customFormat="1" spans="1:12">
      <c r="A249" s="3" t="s">
        <v>508</v>
      </c>
      <c r="B249" s="3" t="s">
        <v>509</v>
      </c>
      <c r="C249" s="3" t="s">
        <v>1093</v>
      </c>
      <c r="D249" s="3" t="s">
        <v>1094</v>
      </c>
      <c r="E249" s="3" t="s">
        <v>991</v>
      </c>
      <c r="F249" s="3" t="s">
        <v>992</v>
      </c>
      <c r="G249" s="3" t="s">
        <v>1030</v>
      </c>
      <c r="H249" s="3" t="s">
        <v>1030</v>
      </c>
      <c r="I249" s="3" t="s">
        <v>994</v>
      </c>
      <c r="J249" s="5">
        <v>45223</v>
      </c>
      <c r="K249" s="5">
        <v>45223</v>
      </c>
      <c r="L249" s="6">
        <v>998</v>
      </c>
    </row>
    <row r="250" s="1" customFormat="1" spans="1:12">
      <c r="A250" s="3" t="s">
        <v>508</v>
      </c>
      <c r="B250" s="3" t="s">
        <v>509</v>
      </c>
      <c r="C250" s="3" t="s">
        <v>1095</v>
      </c>
      <c r="D250" s="3" t="s">
        <v>1096</v>
      </c>
      <c r="E250" s="3" t="s">
        <v>991</v>
      </c>
      <c r="F250" s="3" t="s">
        <v>992</v>
      </c>
      <c r="G250" s="3" t="s">
        <v>1023</v>
      </c>
      <c r="H250" s="3" t="s">
        <v>1023</v>
      </c>
      <c r="I250" s="3" t="s">
        <v>994</v>
      </c>
      <c r="J250" s="5">
        <v>45225</v>
      </c>
      <c r="K250" s="5">
        <v>45225</v>
      </c>
      <c r="L250" s="6">
        <v>1094</v>
      </c>
    </row>
    <row r="251" s="1" customFormat="1" spans="1:12">
      <c r="A251" s="3" t="s">
        <v>508</v>
      </c>
      <c r="B251" s="3" t="s">
        <v>509</v>
      </c>
      <c r="C251" s="3" t="s">
        <v>1097</v>
      </c>
      <c r="D251" s="3" t="s">
        <v>1098</v>
      </c>
      <c r="E251" s="3" t="s">
        <v>991</v>
      </c>
      <c r="F251" s="3" t="s">
        <v>992</v>
      </c>
      <c r="G251" s="3" t="s">
        <v>1000</v>
      </c>
      <c r="H251" s="3" t="s">
        <v>1000</v>
      </c>
      <c r="I251" s="3" t="s">
        <v>994</v>
      </c>
      <c r="J251" s="5">
        <v>45225</v>
      </c>
      <c r="K251" s="5">
        <v>45225</v>
      </c>
      <c r="L251" s="6">
        <v>1580</v>
      </c>
    </row>
    <row r="252" s="1" customFormat="1" spans="1:12">
      <c r="A252" s="3" t="s">
        <v>508</v>
      </c>
      <c r="B252" s="3" t="s">
        <v>509</v>
      </c>
      <c r="C252" s="3" t="s">
        <v>1099</v>
      </c>
      <c r="D252" s="3" t="s">
        <v>1100</v>
      </c>
      <c r="E252" s="3" t="s">
        <v>991</v>
      </c>
      <c r="F252" s="3" t="s">
        <v>992</v>
      </c>
      <c r="G252" s="3" t="s">
        <v>1082</v>
      </c>
      <c r="H252" s="3" t="s">
        <v>1082</v>
      </c>
      <c r="I252" s="3" t="s">
        <v>994</v>
      </c>
      <c r="J252" s="5">
        <v>45225</v>
      </c>
      <c r="K252" s="5">
        <v>45225</v>
      </c>
      <c r="L252" s="6">
        <v>600</v>
      </c>
    </row>
    <row r="253" s="1" customFormat="1" spans="1:12">
      <c r="A253" s="3" t="s">
        <v>508</v>
      </c>
      <c r="B253" s="3" t="s">
        <v>509</v>
      </c>
      <c r="C253" s="3" t="s">
        <v>1101</v>
      </c>
      <c r="D253" s="3" t="s">
        <v>1102</v>
      </c>
      <c r="E253" s="3" t="s">
        <v>991</v>
      </c>
      <c r="F253" s="3" t="s">
        <v>992</v>
      </c>
      <c r="G253" s="3" t="s">
        <v>1103</v>
      </c>
      <c r="H253" s="3" t="s">
        <v>1103</v>
      </c>
      <c r="I253" s="3" t="s">
        <v>994</v>
      </c>
      <c r="J253" s="5">
        <v>45223</v>
      </c>
      <c r="K253" s="5">
        <v>45223</v>
      </c>
      <c r="L253" s="6">
        <v>1243</v>
      </c>
    </row>
    <row r="254" s="1" customFormat="1" spans="1:12">
      <c r="A254" s="3" t="s">
        <v>508</v>
      </c>
      <c r="B254" s="3" t="s">
        <v>509</v>
      </c>
      <c r="C254" s="3" t="s">
        <v>1104</v>
      </c>
      <c r="D254" s="3" t="s">
        <v>1105</v>
      </c>
      <c r="E254" s="3" t="s">
        <v>991</v>
      </c>
      <c r="F254" s="3" t="s">
        <v>992</v>
      </c>
      <c r="G254" s="3" t="s">
        <v>1000</v>
      </c>
      <c r="H254" s="3" t="s">
        <v>1000</v>
      </c>
      <c r="I254" s="3" t="s">
        <v>994</v>
      </c>
      <c r="J254" s="5">
        <v>45223</v>
      </c>
      <c r="K254" s="5">
        <v>45223</v>
      </c>
      <c r="L254" s="6">
        <v>600</v>
      </c>
    </row>
    <row r="255" s="1" customFormat="1" spans="1:12">
      <c r="A255" s="3" t="s">
        <v>508</v>
      </c>
      <c r="B255" s="3" t="s">
        <v>542</v>
      </c>
      <c r="C255" s="3" t="s">
        <v>1106</v>
      </c>
      <c r="D255" s="3" t="s">
        <v>1107</v>
      </c>
      <c r="E255" s="3" t="s">
        <v>991</v>
      </c>
      <c r="F255" s="3" t="s">
        <v>992</v>
      </c>
      <c r="G255" s="3" t="s">
        <v>1013</v>
      </c>
      <c r="H255" s="3" t="s">
        <v>1013</v>
      </c>
      <c r="I255" s="3" t="s">
        <v>994</v>
      </c>
      <c r="J255" s="5">
        <v>45233</v>
      </c>
      <c r="K255" s="5">
        <v>45233</v>
      </c>
      <c r="L255" s="6">
        <v>1580</v>
      </c>
    </row>
    <row r="256" s="1" customFormat="1" spans="1:12">
      <c r="A256" s="3" t="s">
        <v>508</v>
      </c>
      <c r="B256" s="3" t="s">
        <v>542</v>
      </c>
      <c r="C256" s="3" t="s">
        <v>1108</v>
      </c>
      <c r="D256" s="3" t="s">
        <v>1109</v>
      </c>
      <c r="E256" s="3" t="s">
        <v>991</v>
      </c>
      <c r="F256" s="3" t="s">
        <v>992</v>
      </c>
      <c r="G256" s="3" t="s">
        <v>1013</v>
      </c>
      <c r="H256" s="3" t="s">
        <v>1013</v>
      </c>
      <c r="I256" s="3" t="s">
        <v>994</v>
      </c>
      <c r="J256" s="5">
        <v>45233</v>
      </c>
      <c r="K256" s="5">
        <v>45233</v>
      </c>
      <c r="L256" s="6">
        <v>1780</v>
      </c>
    </row>
    <row r="257" s="1" customFormat="1" spans="1:12">
      <c r="A257" s="3" t="s">
        <v>508</v>
      </c>
      <c r="B257" s="3" t="s">
        <v>542</v>
      </c>
      <c r="C257" s="3" t="s">
        <v>1110</v>
      </c>
      <c r="D257" s="3" t="s">
        <v>1111</v>
      </c>
      <c r="E257" s="3" t="s">
        <v>991</v>
      </c>
      <c r="F257" s="3" t="s">
        <v>992</v>
      </c>
      <c r="G257" s="3" t="s">
        <v>1016</v>
      </c>
      <c r="H257" s="3" t="s">
        <v>1016</v>
      </c>
      <c r="I257" s="3" t="s">
        <v>994</v>
      </c>
      <c r="J257" s="5">
        <v>45233</v>
      </c>
      <c r="K257" s="5">
        <v>45233</v>
      </c>
      <c r="L257" s="6">
        <v>997</v>
      </c>
    </row>
    <row r="258" s="1" customFormat="1" spans="1:12">
      <c r="A258" s="3" t="s">
        <v>508</v>
      </c>
      <c r="B258" s="3" t="s">
        <v>542</v>
      </c>
      <c r="C258" s="3" t="s">
        <v>1112</v>
      </c>
      <c r="D258" s="3" t="s">
        <v>1113</v>
      </c>
      <c r="E258" s="3" t="s">
        <v>991</v>
      </c>
      <c r="F258" s="3" t="s">
        <v>992</v>
      </c>
      <c r="G258" s="3" t="s">
        <v>1114</v>
      </c>
      <c r="H258" s="3" t="s">
        <v>1114</v>
      </c>
      <c r="I258" s="3" t="s">
        <v>994</v>
      </c>
      <c r="J258" s="5">
        <v>45233</v>
      </c>
      <c r="K258" s="5">
        <v>45233</v>
      </c>
      <c r="L258" s="6">
        <v>1176</v>
      </c>
    </row>
    <row r="259" s="1" customFormat="1" spans="1:12">
      <c r="A259" s="3" t="s">
        <v>508</v>
      </c>
      <c r="B259" s="3" t="s">
        <v>542</v>
      </c>
      <c r="C259" s="3" t="s">
        <v>1115</v>
      </c>
      <c r="D259" s="3" t="s">
        <v>1116</v>
      </c>
      <c r="E259" s="3" t="s">
        <v>991</v>
      </c>
      <c r="F259" s="3" t="s">
        <v>992</v>
      </c>
      <c r="G259" s="3" t="s">
        <v>1013</v>
      </c>
      <c r="H259" s="3" t="s">
        <v>1013</v>
      </c>
      <c r="I259" s="3" t="s">
        <v>994</v>
      </c>
      <c r="J259" s="5">
        <v>45233</v>
      </c>
      <c r="K259" s="5">
        <v>45233</v>
      </c>
      <c r="L259" s="6">
        <v>1000</v>
      </c>
    </row>
    <row r="260" s="1" customFormat="1" spans="1:12">
      <c r="A260" s="3" t="s">
        <v>508</v>
      </c>
      <c r="B260" s="3" t="s">
        <v>542</v>
      </c>
      <c r="C260" s="3" t="s">
        <v>1117</v>
      </c>
      <c r="D260" s="3" t="s">
        <v>1118</v>
      </c>
      <c r="E260" s="3" t="s">
        <v>991</v>
      </c>
      <c r="F260" s="3" t="s">
        <v>992</v>
      </c>
      <c r="G260" s="3" t="s">
        <v>1119</v>
      </c>
      <c r="H260" s="3" t="s">
        <v>1120</v>
      </c>
      <c r="I260" s="3" t="s">
        <v>994</v>
      </c>
      <c r="J260" s="5">
        <v>45233</v>
      </c>
      <c r="K260" s="5">
        <v>45233</v>
      </c>
      <c r="L260" s="6">
        <v>1484</v>
      </c>
    </row>
    <row r="261" s="1" customFormat="1" spans="1:12">
      <c r="A261" s="3" t="s">
        <v>508</v>
      </c>
      <c r="B261" s="3" t="s">
        <v>542</v>
      </c>
      <c r="C261" s="3" t="s">
        <v>1121</v>
      </c>
      <c r="D261" s="3" t="s">
        <v>1122</v>
      </c>
      <c r="E261" s="3" t="s">
        <v>991</v>
      </c>
      <c r="F261" s="3" t="s">
        <v>992</v>
      </c>
      <c r="G261" s="3" t="s">
        <v>1037</v>
      </c>
      <c r="H261" s="3" t="s">
        <v>1037</v>
      </c>
      <c r="I261" s="3" t="s">
        <v>994</v>
      </c>
      <c r="J261" s="5">
        <v>45233</v>
      </c>
      <c r="K261" s="5">
        <v>45233</v>
      </c>
      <c r="L261" s="6">
        <v>1350</v>
      </c>
    </row>
    <row r="262" s="1" customFormat="1" spans="1:12">
      <c r="A262" s="3" t="s">
        <v>508</v>
      </c>
      <c r="B262" s="3" t="s">
        <v>542</v>
      </c>
      <c r="C262" s="3" t="s">
        <v>1123</v>
      </c>
      <c r="D262" s="3" t="s">
        <v>1124</v>
      </c>
      <c r="E262" s="3" t="s">
        <v>991</v>
      </c>
      <c r="F262" s="3" t="s">
        <v>992</v>
      </c>
      <c r="G262" s="3" t="s">
        <v>1013</v>
      </c>
      <c r="H262" s="3" t="s">
        <v>1013</v>
      </c>
      <c r="I262" s="3" t="s">
        <v>994</v>
      </c>
      <c r="J262" s="5">
        <v>45233</v>
      </c>
      <c r="K262" s="5">
        <v>45233</v>
      </c>
      <c r="L262" s="6">
        <v>890</v>
      </c>
    </row>
    <row r="263" s="1" customFormat="1" spans="1:12">
      <c r="A263" s="3" t="s">
        <v>508</v>
      </c>
      <c r="B263" s="3" t="s">
        <v>542</v>
      </c>
      <c r="C263" s="3" t="s">
        <v>1125</v>
      </c>
      <c r="D263" s="3" t="s">
        <v>1126</v>
      </c>
      <c r="E263" s="3" t="s">
        <v>991</v>
      </c>
      <c r="F263" s="3" t="s">
        <v>992</v>
      </c>
      <c r="G263" s="3" t="s">
        <v>1127</v>
      </c>
      <c r="H263" s="3" t="s">
        <v>1128</v>
      </c>
      <c r="I263" s="3" t="s">
        <v>994</v>
      </c>
      <c r="J263" s="5">
        <v>45233</v>
      </c>
      <c r="K263" s="5">
        <v>45233</v>
      </c>
      <c r="L263" s="6">
        <v>1204</v>
      </c>
    </row>
    <row r="264" s="1" customFormat="1" spans="1:12">
      <c r="A264" s="3" t="s">
        <v>508</v>
      </c>
      <c r="B264" s="3" t="s">
        <v>542</v>
      </c>
      <c r="C264" s="3" t="s">
        <v>1129</v>
      </c>
      <c r="D264" s="3" t="s">
        <v>1130</v>
      </c>
      <c r="E264" s="3" t="s">
        <v>991</v>
      </c>
      <c r="F264" s="3" t="s">
        <v>992</v>
      </c>
      <c r="G264" s="3" t="s">
        <v>1013</v>
      </c>
      <c r="H264" s="3" t="s">
        <v>1013</v>
      </c>
      <c r="I264" s="3" t="s">
        <v>994</v>
      </c>
      <c r="J264" s="5">
        <v>45233</v>
      </c>
      <c r="K264" s="5">
        <v>45233</v>
      </c>
      <c r="L264" s="6">
        <v>1420</v>
      </c>
    </row>
    <row r="265" s="1" customFormat="1" spans="1:12">
      <c r="A265" s="3" t="s">
        <v>508</v>
      </c>
      <c r="B265" s="3" t="s">
        <v>542</v>
      </c>
      <c r="C265" s="3" t="s">
        <v>1131</v>
      </c>
      <c r="D265" s="3" t="s">
        <v>1132</v>
      </c>
      <c r="E265" s="3" t="s">
        <v>991</v>
      </c>
      <c r="F265" s="3" t="s">
        <v>992</v>
      </c>
      <c r="G265" s="3" t="s">
        <v>1133</v>
      </c>
      <c r="H265" s="3" t="s">
        <v>1133</v>
      </c>
      <c r="I265" s="3" t="s">
        <v>994</v>
      </c>
      <c r="J265" s="5">
        <v>45251</v>
      </c>
      <c r="K265" s="5">
        <v>45251</v>
      </c>
      <c r="L265" s="6">
        <v>700</v>
      </c>
    </row>
    <row r="266" s="1" customFormat="1" spans="1:12">
      <c r="A266" s="3" t="s">
        <v>508</v>
      </c>
      <c r="B266" s="3" t="s">
        <v>542</v>
      </c>
      <c r="C266" s="3" t="s">
        <v>1134</v>
      </c>
      <c r="D266" s="3" t="s">
        <v>1135</v>
      </c>
      <c r="E266" s="3" t="s">
        <v>991</v>
      </c>
      <c r="F266" s="3" t="s">
        <v>992</v>
      </c>
      <c r="G266" s="3" t="s">
        <v>1133</v>
      </c>
      <c r="H266" s="3" t="s">
        <v>1133</v>
      </c>
      <c r="I266" s="3" t="s">
        <v>994</v>
      </c>
      <c r="J266" s="5">
        <v>45250</v>
      </c>
      <c r="K266" s="5">
        <v>45250</v>
      </c>
      <c r="L266" s="6">
        <v>1000</v>
      </c>
    </row>
    <row r="267" s="1" customFormat="1" spans="1:12">
      <c r="A267" s="3" t="s">
        <v>508</v>
      </c>
      <c r="B267" s="3" t="s">
        <v>542</v>
      </c>
      <c r="C267" s="3" t="s">
        <v>1136</v>
      </c>
      <c r="D267" s="3" t="s">
        <v>1137</v>
      </c>
      <c r="E267" s="3" t="s">
        <v>991</v>
      </c>
      <c r="F267" s="3" t="s">
        <v>992</v>
      </c>
      <c r="G267" s="3" t="s">
        <v>1030</v>
      </c>
      <c r="H267" s="3" t="s">
        <v>1030</v>
      </c>
      <c r="I267" s="3" t="s">
        <v>994</v>
      </c>
      <c r="J267" s="5">
        <v>45244</v>
      </c>
      <c r="K267" s="5">
        <v>45244</v>
      </c>
      <c r="L267" s="6">
        <v>990</v>
      </c>
    </row>
    <row r="268" s="1" customFormat="1" spans="1:12">
      <c r="A268" s="3" t="s">
        <v>508</v>
      </c>
      <c r="B268" s="3" t="s">
        <v>542</v>
      </c>
      <c r="C268" s="3" t="s">
        <v>1138</v>
      </c>
      <c r="D268" s="3" t="s">
        <v>1139</v>
      </c>
      <c r="E268" s="3" t="s">
        <v>991</v>
      </c>
      <c r="F268" s="3" t="s">
        <v>992</v>
      </c>
      <c r="G268" s="3" t="s">
        <v>1037</v>
      </c>
      <c r="H268" s="3" t="s">
        <v>1037</v>
      </c>
      <c r="I268" s="3" t="s">
        <v>994</v>
      </c>
      <c r="J268" s="5">
        <v>45244</v>
      </c>
      <c r="K268" s="5">
        <v>45244</v>
      </c>
      <c r="L268" s="6">
        <v>1850</v>
      </c>
    </row>
    <row r="269" s="1" customFormat="1" spans="1:12">
      <c r="A269" s="3" t="s">
        <v>508</v>
      </c>
      <c r="B269" s="3" t="s">
        <v>542</v>
      </c>
      <c r="C269" s="3" t="s">
        <v>1140</v>
      </c>
      <c r="D269" s="3" t="s">
        <v>1141</v>
      </c>
      <c r="E269" s="3" t="s">
        <v>991</v>
      </c>
      <c r="F269" s="3" t="s">
        <v>992</v>
      </c>
      <c r="G269" s="3" t="s">
        <v>1037</v>
      </c>
      <c r="H269" s="3" t="s">
        <v>1037</v>
      </c>
      <c r="I269" s="3" t="s">
        <v>994</v>
      </c>
      <c r="J269" s="5">
        <v>45244</v>
      </c>
      <c r="K269" s="5">
        <v>45244</v>
      </c>
      <c r="L269" s="6">
        <v>1900</v>
      </c>
    </row>
    <row r="270" s="1" customFormat="1" spans="1:12">
      <c r="A270" s="3" t="s">
        <v>508</v>
      </c>
      <c r="B270" s="3" t="s">
        <v>542</v>
      </c>
      <c r="C270" s="3" t="s">
        <v>1142</v>
      </c>
      <c r="D270" s="3" t="s">
        <v>1143</v>
      </c>
      <c r="E270" s="3" t="s">
        <v>991</v>
      </c>
      <c r="F270" s="3" t="s">
        <v>992</v>
      </c>
      <c r="G270" s="3" t="s">
        <v>1030</v>
      </c>
      <c r="H270" s="3" t="s">
        <v>1030</v>
      </c>
      <c r="I270" s="3" t="s">
        <v>994</v>
      </c>
      <c r="J270" s="5">
        <v>45245</v>
      </c>
      <c r="K270" s="5">
        <v>45245</v>
      </c>
      <c r="L270" s="6">
        <v>1180</v>
      </c>
    </row>
    <row r="271" s="1" customFormat="1" spans="1:12">
      <c r="A271" s="3" t="s">
        <v>508</v>
      </c>
      <c r="B271" s="3" t="s">
        <v>542</v>
      </c>
      <c r="C271" s="3" t="s">
        <v>1144</v>
      </c>
      <c r="D271" s="3" t="s">
        <v>1145</v>
      </c>
      <c r="E271" s="3" t="s">
        <v>991</v>
      </c>
      <c r="F271" s="3" t="s">
        <v>992</v>
      </c>
      <c r="G271" s="3" t="s">
        <v>1146</v>
      </c>
      <c r="H271" s="3" t="s">
        <v>1146</v>
      </c>
      <c r="I271" s="3" t="s">
        <v>994</v>
      </c>
      <c r="J271" s="5">
        <v>45245</v>
      </c>
      <c r="K271" s="5">
        <v>45245</v>
      </c>
      <c r="L271" s="6">
        <v>1980</v>
      </c>
    </row>
    <row r="272" s="1" customFormat="1" spans="1:12">
      <c r="A272" s="3" t="s">
        <v>508</v>
      </c>
      <c r="B272" s="3" t="s">
        <v>542</v>
      </c>
      <c r="C272" s="3" t="s">
        <v>1147</v>
      </c>
      <c r="D272" s="3" t="s">
        <v>1148</v>
      </c>
      <c r="E272" s="3" t="s">
        <v>991</v>
      </c>
      <c r="F272" s="3" t="s">
        <v>992</v>
      </c>
      <c r="G272" s="3" t="s">
        <v>1030</v>
      </c>
      <c r="H272" s="3" t="s">
        <v>1030</v>
      </c>
      <c r="I272" s="3" t="s">
        <v>994</v>
      </c>
      <c r="J272" s="5">
        <v>45244</v>
      </c>
      <c r="K272" s="5">
        <v>45244</v>
      </c>
      <c r="L272" s="6">
        <v>1190</v>
      </c>
    </row>
    <row r="273" s="1" customFormat="1" spans="1:12">
      <c r="A273" s="3" t="s">
        <v>508</v>
      </c>
      <c r="B273" s="3" t="s">
        <v>542</v>
      </c>
      <c r="C273" s="3" t="s">
        <v>1149</v>
      </c>
      <c r="D273" s="3" t="s">
        <v>1150</v>
      </c>
      <c r="E273" s="3" t="s">
        <v>991</v>
      </c>
      <c r="F273" s="3" t="s">
        <v>992</v>
      </c>
      <c r="G273" s="3" t="s">
        <v>1010</v>
      </c>
      <c r="H273" s="3" t="s">
        <v>1010</v>
      </c>
      <c r="I273" s="3" t="s">
        <v>994</v>
      </c>
      <c r="J273" s="5">
        <v>45245</v>
      </c>
      <c r="K273" s="5">
        <v>45245</v>
      </c>
      <c r="L273" s="6">
        <v>1450</v>
      </c>
    </row>
    <row r="274" s="1" customFormat="1" spans="1:12">
      <c r="A274" s="3" t="s">
        <v>508</v>
      </c>
      <c r="B274" s="3" t="s">
        <v>518</v>
      </c>
      <c r="C274" s="3" t="s">
        <v>1151</v>
      </c>
      <c r="D274" s="3" t="s">
        <v>1152</v>
      </c>
      <c r="E274" s="3" t="s">
        <v>991</v>
      </c>
      <c r="F274" s="3" t="s">
        <v>992</v>
      </c>
      <c r="G274" s="3" t="s">
        <v>1153</v>
      </c>
      <c r="H274" s="3" t="s">
        <v>1154</v>
      </c>
      <c r="I274" s="3" t="s">
        <v>994</v>
      </c>
      <c r="J274" s="5">
        <v>45265</v>
      </c>
      <c r="K274" s="5">
        <v>45265</v>
      </c>
      <c r="L274" s="6">
        <v>1588</v>
      </c>
    </row>
    <row r="275" s="1" customFormat="1" spans="1:12">
      <c r="A275" s="3" t="s">
        <v>508</v>
      </c>
      <c r="B275" s="3" t="s">
        <v>518</v>
      </c>
      <c r="C275" s="3" t="s">
        <v>1155</v>
      </c>
      <c r="D275" s="3" t="s">
        <v>1156</v>
      </c>
      <c r="E275" s="3" t="s">
        <v>991</v>
      </c>
      <c r="F275" s="3" t="s">
        <v>992</v>
      </c>
      <c r="G275" s="3" t="s">
        <v>1133</v>
      </c>
      <c r="H275" s="3" t="s">
        <v>1133</v>
      </c>
      <c r="I275" s="3" t="s">
        <v>994</v>
      </c>
      <c r="J275" s="5">
        <v>45265</v>
      </c>
      <c r="K275" s="5">
        <v>45265</v>
      </c>
      <c r="L275" s="6">
        <v>1288</v>
      </c>
    </row>
    <row r="276" s="1" customFormat="1" spans="1:12">
      <c r="A276" s="3" t="s">
        <v>508</v>
      </c>
      <c r="B276" s="3" t="s">
        <v>518</v>
      </c>
      <c r="C276" s="3" t="s">
        <v>1157</v>
      </c>
      <c r="D276" s="3" t="s">
        <v>1158</v>
      </c>
      <c r="E276" s="3" t="s">
        <v>991</v>
      </c>
      <c r="F276" s="3" t="s">
        <v>992</v>
      </c>
      <c r="G276" s="3" t="s">
        <v>1016</v>
      </c>
      <c r="H276" s="3" t="s">
        <v>1016</v>
      </c>
      <c r="I276" s="3" t="s">
        <v>994</v>
      </c>
      <c r="J276" s="5">
        <v>45273</v>
      </c>
      <c r="K276" s="5">
        <v>45273</v>
      </c>
      <c r="L276" s="6">
        <v>1284</v>
      </c>
    </row>
    <row r="277" s="1" customFormat="1" spans="1:12">
      <c r="A277" s="3" t="s">
        <v>508</v>
      </c>
      <c r="B277" s="3" t="s">
        <v>518</v>
      </c>
      <c r="C277" s="3" t="s">
        <v>1159</v>
      </c>
      <c r="D277" s="3" t="s">
        <v>1160</v>
      </c>
      <c r="E277" s="3" t="s">
        <v>991</v>
      </c>
      <c r="F277" s="3" t="s">
        <v>992</v>
      </c>
      <c r="G277" s="3" t="s">
        <v>1023</v>
      </c>
      <c r="H277" s="3" t="s">
        <v>1023</v>
      </c>
      <c r="I277" s="3" t="s">
        <v>994</v>
      </c>
      <c r="J277" s="5">
        <v>45275</v>
      </c>
      <c r="K277" s="5">
        <v>45275</v>
      </c>
      <c r="L277" s="6">
        <v>1194</v>
      </c>
    </row>
    <row r="278" s="1" customFormat="1" spans="1:12">
      <c r="A278" s="3" t="s">
        <v>508</v>
      </c>
      <c r="B278" s="3" t="s">
        <v>518</v>
      </c>
      <c r="C278" s="3" t="s">
        <v>1161</v>
      </c>
      <c r="D278" s="3" t="s">
        <v>1162</v>
      </c>
      <c r="E278" s="3" t="s">
        <v>991</v>
      </c>
      <c r="F278" s="3" t="s">
        <v>992</v>
      </c>
      <c r="G278" s="3" t="s">
        <v>1082</v>
      </c>
      <c r="H278" s="3" t="s">
        <v>1082</v>
      </c>
      <c r="I278" s="3" t="s">
        <v>994</v>
      </c>
      <c r="J278" s="5">
        <v>45264</v>
      </c>
      <c r="K278" s="5">
        <v>45264</v>
      </c>
      <c r="L278" s="6">
        <v>820</v>
      </c>
    </row>
    <row r="279" s="1" customFormat="1" spans="1:12">
      <c r="A279" s="3" t="s">
        <v>508</v>
      </c>
      <c r="B279" s="3" t="s">
        <v>518</v>
      </c>
      <c r="C279" s="3" t="s">
        <v>1163</v>
      </c>
      <c r="D279" s="3" t="s">
        <v>1164</v>
      </c>
      <c r="E279" s="3" t="s">
        <v>991</v>
      </c>
      <c r="F279" s="3" t="s">
        <v>992</v>
      </c>
      <c r="G279" s="3" t="s">
        <v>1000</v>
      </c>
      <c r="H279" s="3" t="s">
        <v>1000</v>
      </c>
      <c r="I279" s="3" t="s">
        <v>994</v>
      </c>
      <c r="J279" s="5">
        <v>45279</v>
      </c>
      <c r="K279" s="5">
        <v>45279</v>
      </c>
      <c r="L279" s="6">
        <v>1300</v>
      </c>
    </row>
    <row r="280" s="1" customFormat="1" spans="1:12">
      <c r="A280" s="3" t="s">
        <v>508</v>
      </c>
      <c r="B280" s="3" t="s">
        <v>518</v>
      </c>
      <c r="C280" s="3" t="s">
        <v>1165</v>
      </c>
      <c r="D280" s="3" t="s">
        <v>1166</v>
      </c>
      <c r="E280" s="3" t="s">
        <v>991</v>
      </c>
      <c r="F280" s="3" t="s">
        <v>992</v>
      </c>
      <c r="G280" s="3" t="s">
        <v>1000</v>
      </c>
      <c r="H280" s="3" t="s">
        <v>1000</v>
      </c>
      <c r="I280" s="3" t="s">
        <v>994</v>
      </c>
      <c r="J280" s="5">
        <v>45279</v>
      </c>
      <c r="K280" s="5">
        <v>45279</v>
      </c>
      <c r="L280" s="6">
        <v>1208</v>
      </c>
    </row>
    <row r="281" s="1" customFormat="1" spans="1:12">
      <c r="A281" s="3" t="s">
        <v>508</v>
      </c>
      <c r="B281" s="3" t="s">
        <v>518</v>
      </c>
      <c r="C281" s="3" t="s">
        <v>1167</v>
      </c>
      <c r="D281" s="3" t="s">
        <v>1168</v>
      </c>
      <c r="E281" s="3" t="s">
        <v>991</v>
      </c>
      <c r="F281" s="3" t="s">
        <v>992</v>
      </c>
      <c r="G281" s="3" t="s">
        <v>1133</v>
      </c>
      <c r="H281" s="3" t="s">
        <v>1133</v>
      </c>
      <c r="I281" s="3" t="s">
        <v>994</v>
      </c>
      <c r="J281" s="5">
        <v>45280</v>
      </c>
      <c r="K281" s="5">
        <v>45280</v>
      </c>
      <c r="L281" s="6">
        <v>915</v>
      </c>
    </row>
    <row r="282" s="1" customFormat="1" spans="1:12">
      <c r="A282" s="3" t="s">
        <v>508</v>
      </c>
      <c r="B282" s="3" t="s">
        <v>518</v>
      </c>
      <c r="C282" s="3" t="s">
        <v>1169</v>
      </c>
      <c r="D282" s="3" t="s">
        <v>1170</v>
      </c>
      <c r="E282" s="3" t="s">
        <v>991</v>
      </c>
      <c r="F282" s="3" t="s">
        <v>992</v>
      </c>
      <c r="G282" s="3" t="s">
        <v>1133</v>
      </c>
      <c r="H282" s="3" t="s">
        <v>1133</v>
      </c>
      <c r="I282" s="3" t="s">
        <v>994</v>
      </c>
      <c r="J282" s="5">
        <v>45264</v>
      </c>
      <c r="K282" s="5">
        <v>45264</v>
      </c>
      <c r="L282" s="6">
        <v>600</v>
      </c>
    </row>
    <row r="283" s="1" customFormat="1" spans="1:12">
      <c r="A283" s="3" t="s">
        <v>508</v>
      </c>
      <c r="B283" s="3" t="s">
        <v>518</v>
      </c>
      <c r="C283" s="3" t="s">
        <v>1171</v>
      </c>
      <c r="D283" s="3" t="s">
        <v>1172</v>
      </c>
      <c r="E283" s="3" t="s">
        <v>991</v>
      </c>
      <c r="F283" s="3" t="s">
        <v>992</v>
      </c>
      <c r="G283" s="3" t="s">
        <v>1010</v>
      </c>
      <c r="H283" s="3" t="s">
        <v>1010</v>
      </c>
      <c r="I283" s="3" t="s">
        <v>994</v>
      </c>
      <c r="J283" s="5">
        <v>45270</v>
      </c>
      <c r="K283" s="5">
        <v>45270</v>
      </c>
      <c r="L283" s="6">
        <v>1870</v>
      </c>
    </row>
    <row r="284" s="1" customFormat="1" spans="1:12">
      <c r="A284" s="3" t="s">
        <v>508</v>
      </c>
      <c r="B284" s="3" t="s">
        <v>518</v>
      </c>
      <c r="C284" s="3" t="s">
        <v>1173</v>
      </c>
      <c r="D284" s="3" t="s">
        <v>1174</v>
      </c>
      <c r="E284" s="3" t="s">
        <v>991</v>
      </c>
      <c r="F284" s="3" t="s">
        <v>992</v>
      </c>
      <c r="G284" s="3" t="s">
        <v>1000</v>
      </c>
      <c r="H284" s="3" t="s">
        <v>1000</v>
      </c>
      <c r="I284" s="3" t="s">
        <v>994</v>
      </c>
      <c r="J284" s="5">
        <v>45270</v>
      </c>
      <c r="K284" s="5">
        <v>45270</v>
      </c>
      <c r="L284" s="6">
        <v>1320</v>
      </c>
    </row>
    <row r="285" s="1" customFormat="1" spans="1:12">
      <c r="A285" s="3" t="s">
        <v>508</v>
      </c>
      <c r="B285" s="3" t="s">
        <v>518</v>
      </c>
      <c r="C285" s="3" t="s">
        <v>1175</v>
      </c>
      <c r="D285" s="3" t="s">
        <v>1176</v>
      </c>
      <c r="E285" s="3" t="s">
        <v>991</v>
      </c>
      <c r="F285" s="3" t="s">
        <v>992</v>
      </c>
      <c r="G285" s="3" t="s">
        <v>1177</v>
      </c>
      <c r="H285" s="3" t="s">
        <v>1178</v>
      </c>
      <c r="I285" s="3" t="s">
        <v>994</v>
      </c>
      <c r="J285" s="5">
        <v>45268</v>
      </c>
      <c r="K285" s="5">
        <v>45268</v>
      </c>
      <c r="L285" s="6">
        <v>1850</v>
      </c>
    </row>
    <row r="286" s="1" customFormat="1" spans="1:12">
      <c r="A286" s="3" t="s">
        <v>508</v>
      </c>
      <c r="B286" s="3" t="s">
        <v>518</v>
      </c>
      <c r="C286" s="3" t="s">
        <v>1179</v>
      </c>
      <c r="D286" s="3" t="s">
        <v>1180</v>
      </c>
      <c r="E286" s="3" t="s">
        <v>991</v>
      </c>
      <c r="F286" s="3" t="s">
        <v>992</v>
      </c>
      <c r="G286" s="3" t="s">
        <v>1013</v>
      </c>
      <c r="H286" s="3" t="s">
        <v>1013</v>
      </c>
      <c r="I286" s="3" t="s">
        <v>994</v>
      </c>
      <c r="J286" s="5">
        <v>45268</v>
      </c>
      <c r="K286" s="5">
        <v>45268</v>
      </c>
      <c r="L286" s="6">
        <v>1480</v>
      </c>
    </row>
    <row r="287" s="1" customFormat="1" spans="1:12">
      <c r="A287" s="3" t="s">
        <v>508</v>
      </c>
      <c r="B287" s="3" t="s">
        <v>518</v>
      </c>
      <c r="C287" s="3" t="s">
        <v>1181</v>
      </c>
      <c r="D287" s="3" t="s">
        <v>1182</v>
      </c>
      <c r="E287" s="3" t="s">
        <v>991</v>
      </c>
      <c r="F287" s="3" t="s">
        <v>992</v>
      </c>
      <c r="G287" s="3" t="s">
        <v>1133</v>
      </c>
      <c r="H287" s="3" t="s">
        <v>1133</v>
      </c>
      <c r="I287" s="3" t="s">
        <v>994</v>
      </c>
      <c r="J287" s="5">
        <v>45268</v>
      </c>
      <c r="K287" s="5">
        <v>45268</v>
      </c>
      <c r="L287" s="6">
        <v>700</v>
      </c>
    </row>
    <row r="288" s="1" customFormat="1" spans="1:12">
      <c r="A288" s="3" t="s">
        <v>508</v>
      </c>
      <c r="B288" s="3" t="s">
        <v>518</v>
      </c>
      <c r="C288" s="3" t="s">
        <v>1183</v>
      </c>
      <c r="D288" s="3" t="s">
        <v>1184</v>
      </c>
      <c r="E288" s="3" t="s">
        <v>991</v>
      </c>
      <c r="F288" s="3" t="s">
        <v>992</v>
      </c>
      <c r="G288" s="3" t="s">
        <v>1023</v>
      </c>
      <c r="H288" s="3" t="s">
        <v>1023</v>
      </c>
      <c r="I288" s="3" t="s">
        <v>994</v>
      </c>
      <c r="J288" s="5">
        <v>45268</v>
      </c>
      <c r="K288" s="5">
        <v>45268</v>
      </c>
      <c r="L288" s="6">
        <v>986</v>
      </c>
    </row>
    <row r="289" s="1" customFormat="1" spans="1:12">
      <c r="A289" s="3" t="s">
        <v>508</v>
      </c>
      <c r="B289" s="3" t="s">
        <v>518</v>
      </c>
      <c r="C289" s="3" t="s">
        <v>1185</v>
      </c>
      <c r="D289" s="3" t="s">
        <v>1186</v>
      </c>
      <c r="E289" s="3" t="s">
        <v>991</v>
      </c>
      <c r="F289" s="3" t="s">
        <v>992</v>
      </c>
      <c r="G289" s="3" t="s">
        <v>1000</v>
      </c>
      <c r="H289" s="3" t="s">
        <v>1000</v>
      </c>
      <c r="I289" s="3" t="s">
        <v>994</v>
      </c>
      <c r="J289" s="5">
        <v>45268</v>
      </c>
      <c r="K289" s="5">
        <v>45268</v>
      </c>
      <c r="L289" s="6">
        <v>937</v>
      </c>
    </row>
    <row r="290" s="1" customFormat="1" spans="1:12">
      <c r="A290" s="3" t="s">
        <v>508</v>
      </c>
      <c r="B290" s="3" t="s">
        <v>518</v>
      </c>
      <c r="C290" s="3" t="s">
        <v>1187</v>
      </c>
      <c r="D290" s="3" t="s">
        <v>1188</v>
      </c>
      <c r="E290" s="3" t="s">
        <v>991</v>
      </c>
      <c r="F290" s="3" t="s">
        <v>992</v>
      </c>
      <c r="G290" s="3" t="s">
        <v>1037</v>
      </c>
      <c r="H290" s="3" t="s">
        <v>1037</v>
      </c>
      <c r="I290" s="3" t="s">
        <v>994</v>
      </c>
      <c r="J290" s="5">
        <v>45276</v>
      </c>
      <c r="K290" s="5">
        <v>45276</v>
      </c>
      <c r="L290" s="6">
        <v>1900</v>
      </c>
    </row>
    <row r="291" s="1" customFormat="1" spans="1:12">
      <c r="A291" s="3" t="s">
        <v>508</v>
      </c>
      <c r="B291" s="3" t="s">
        <v>518</v>
      </c>
      <c r="C291" s="3" t="s">
        <v>1189</v>
      </c>
      <c r="D291" s="3" t="s">
        <v>1190</v>
      </c>
      <c r="E291" s="3" t="s">
        <v>991</v>
      </c>
      <c r="F291" s="3" t="s">
        <v>992</v>
      </c>
      <c r="G291" s="3" t="s">
        <v>1133</v>
      </c>
      <c r="H291" s="3" t="s">
        <v>1133</v>
      </c>
      <c r="I291" s="3" t="s">
        <v>994</v>
      </c>
      <c r="J291" s="5">
        <v>45280</v>
      </c>
      <c r="K291" s="5">
        <v>45280</v>
      </c>
      <c r="L291" s="6">
        <v>1195</v>
      </c>
    </row>
    <row r="292" s="1" customFormat="1" spans="1:12">
      <c r="A292" s="3" t="s">
        <v>508</v>
      </c>
      <c r="B292" s="3" t="s">
        <v>518</v>
      </c>
      <c r="C292" s="3" t="s">
        <v>1191</v>
      </c>
      <c r="D292" s="3" t="s">
        <v>1192</v>
      </c>
      <c r="E292" s="3" t="s">
        <v>991</v>
      </c>
      <c r="F292" s="3" t="s">
        <v>992</v>
      </c>
      <c r="G292" s="3" t="s">
        <v>1133</v>
      </c>
      <c r="H292" s="3" t="s">
        <v>1133</v>
      </c>
      <c r="I292" s="3" t="s">
        <v>994</v>
      </c>
      <c r="J292" s="5">
        <v>45275</v>
      </c>
      <c r="K292" s="5">
        <v>45275</v>
      </c>
      <c r="L292" s="6">
        <v>296</v>
      </c>
    </row>
    <row r="293" s="1" customFormat="1" spans="1:12">
      <c r="A293" s="3" t="s">
        <v>508</v>
      </c>
      <c r="B293" s="3" t="s">
        <v>518</v>
      </c>
      <c r="C293" s="3" t="s">
        <v>1193</v>
      </c>
      <c r="D293" s="3" t="s">
        <v>1194</v>
      </c>
      <c r="E293" s="3" t="s">
        <v>991</v>
      </c>
      <c r="F293" s="3" t="s">
        <v>992</v>
      </c>
      <c r="G293" s="3" t="s">
        <v>1082</v>
      </c>
      <c r="H293" s="3" t="s">
        <v>1082</v>
      </c>
      <c r="I293" s="3" t="s">
        <v>994</v>
      </c>
      <c r="J293" s="5">
        <v>45268</v>
      </c>
      <c r="K293" s="5">
        <v>45268</v>
      </c>
      <c r="L293" s="6">
        <v>800</v>
      </c>
    </row>
    <row r="294" s="1" customFormat="1" spans="1:12">
      <c r="A294" s="3" t="s">
        <v>521</v>
      </c>
      <c r="B294" s="3" t="s">
        <v>823</v>
      </c>
      <c r="C294" s="3" t="s">
        <v>1195</v>
      </c>
      <c r="D294" s="3" t="s">
        <v>1196</v>
      </c>
      <c r="E294" s="3" t="s">
        <v>991</v>
      </c>
      <c r="F294" s="3" t="s">
        <v>992</v>
      </c>
      <c r="G294" s="3" t="s">
        <v>1010</v>
      </c>
      <c r="H294" s="3" t="s">
        <v>1010</v>
      </c>
      <c r="I294" s="3" t="s">
        <v>994</v>
      </c>
      <c r="J294" s="5">
        <v>45310</v>
      </c>
      <c r="K294" s="5">
        <v>45310</v>
      </c>
      <c r="L294" s="6">
        <v>1480</v>
      </c>
    </row>
    <row r="295" s="1" customFormat="1" spans="1:12">
      <c r="A295" s="3" t="s">
        <v>521</v>
      </c>
      <c r="B295" s="3" t="s">
        <v>823</v>
      </c>
      <c r="C295" s="3" t="s">
        <v>1197</v>
      </c>
      <c r="D295" s="3" t="s">
        <v>1198</v>
      </c>
      <c r="E295" s="3" t="s">
        <v>991</v>
      </c>
      <c r="F295" s="3" t="s">
        <v>992</v>
      </c>
      <c r="G295" s="3" t="s">
        <v>1000</v>
      </c>
      <c r="H295" s="3" t="s">
        <v>1000</v>
      </c>
      <c r="I295" s="3" t="s">
        <v>994</v>
      </c>
      <c r="J295" s="5">
        <v>45303</v>
      </c>
      <c r="K295" s="5">
        <v>45303</v>
      </c>
      <c r="L295" s="6">
        <v>1185</v>
      </c>
    </row>
    <row r="296" s="1" customFormat="1" spans="1:12">
      <c r="A296" s="3" t="s">
        <v>521</v>
      </c>
      <c r="B296" s="3" t="s">
        <v>823</v>
      </c>
      <c r="C296" s="3" t="s">
        <v>1199</v>
      </c>
      <c r="D296" s="3" t="s">
        <v>1200</v>
      </c>
      <c r="E296" s="3" t="s">
        <v>991</v>
      </c>
      <c r="F296" s="3" t="s">
        <v>992</v>
      </c>
      <c r="G296" s="3" t="s">
        <v>1082</v>
      </c>
      <c r="H296" s="3" t="s">
        <v>1082</v>
      </c>
      <c r="I296" s="3" t="s">
        <v>994</v>
      </c>
      <c r="J296" s="5">
        <v>45303</v>
      </c>
      <c r="K296" s="5">
        <v>45303</v>
      </c>
      <c r="L296" s="6">
        <v>1200</v>
      </c>
    </row>
    <row r="297" s="1" customFormat="1" spans="1:12">
      <c r="A297" s="3" t="s">
        <v>521</v>
      </c>
      <c r="B297" s="3" t="s">
        <v>823</v>
      </c>
      <c r="C297" s="3" t="s">
        <v>1201</v>
      </c>
      <c r="D297" s="3" t="s">
        <v>1202</v>
      </c>
      <c r="E297" s="3" t="s">
        <v>991</v>
      </c>
      <c r="F297" s="3" t="s">
        <v>992</v>
      </c>
      <c r="G297" s="3" t="s">
        <v>1133</v>
      </c>
      <c r="H297" s="3" t="s">
        <v>1133</v>
      </c>
      <c r="I297" s="3" t="s">
        <v>994</v>
      </c>
      <c r="J297" s="5">
        <v>45303</v>
      </c>
      <c r="K297" s="5">
        <v>45303</v>
      </c>
      <c r="L297" s="6">
        <v>1146</v>
      </c>
    </row>
    <row r="298" s="1" customFormat="1" spans="1:12">
      <c r="A298" s="3" t="s">
        <v>521</v>
      </c>
      <c r="B298" s="3" t="s">
        <v>597</v>
      </c>
      <c r="C298" s="3" t="s">
        <v>1203</v>
      </c>
      <c r="D298" s="3" t="s">
        <v>1204</v>
      </c>
      <c r="E298" s="3" t="s">
        <v>991</v>
      </c>
      <c r="F298" s="3" t="s">
        <v>992</v>
      </c>
      <c r="G298" s="3" t="s">
        <v>1205</v>
      </c>
      <c r="H298" s="3" t="s">
        <v>1206</v>
      </c>
      <c r="I298" s="3" t="s">
        <v>994</v>
      </c>
      <c r="J298" s="5">
        <v>45363</v>
      </c>
      <c r="K298" s="5">
        <v>45363</v>
      </c>
      <c r="L298" s="6">
        <v>1940</v>
      </c>
    </row>
    <row r="299" s="1" customFormat="1" spans="1:12">
      <c r="A299" s="3" t="s">
        <v>521</v>
      </c>
      <c r="B299" s="3" t="s">
        <v>597</v>
      </c>
      <c r="C299" s="3" t="s">
        <v>1207</v>
      </c>
      <c r="D299" s="3" t="s">
        <v>1208</v>
      </c>
      <c r="E299" s="3" t="s">
        <v>991</v>
      </c>
      <c r="F299" s="3" t="s">
        <v>992</v>
      </c>
      <c r="G299" s="3" t="s">
        <v>1209</v>
      </c>
      <c r="H299" s="3" t="s">
        <v>1209</v>
      </c>
      <c r="I299" s="3" t="s">
        <v>994</v>
      </c>
      <c r="J299" s="5">
        <v>45364</v>
      </c>
      <c r="K299" s="5">
        <v>45364</v>
      </c>
      <c r="L299" s="6">
        <v>968</v>
      </c>
    </row>
    <row r="300" s="1" customFormat="1" spans="1:12">
      <c r="A300" s="3" t="s">
        <v>521</v>
      </c>
      <c r="B300" s="3" t="s">
        <v>597</v>
      </c>
      <c r="C300" s="3" t="s">
        <v>1210</v>
      </c>
      <c r="D300" s="3" t="s">
        <v>1211</v>
      </c>
      <c r="E300" s="3" t="s">
        <v>991</v>
      </c>
      <c r="F300" s="3" t="s">
        <v>992</v>
      </c>
      <c r="G300" s="3" t="s">
        <v>1082</v>
      </c>
      <c r="H300" s="3" t="s">
        <v>1082</v>
      </c>
      <c r="I300" s="3" t="s">
        <v>994</v>
      </c>
      <c r="J300" s="5">
        <v>45376</v>
      </c>
      <c r="K300" s="5">
        <v>45376</v>
      </c>
      <c r="L300" s="6">
        <v>1254</v>
      </c>
    </row>
    <row r="301" s="1" customFormat="1" spans="1:12">
      <c r="A301" s="3" t="s">
        <v>521</v>
      </c>
      <c r="B301" s="3" t="s">
        <v>597</v>
      </c>
      <c r="C301" s="3" t="s">
        <v>1212</v>
      </c>
      <c r="D301" s="3" t="s">
        <v>1213</v>
      </c>
      <c r="E301" s="3" t="s">
        <v>991</v>
      </c>
      <c r="F301" s="3" t="s">
        <v>992</v>
      </c>
      <c r="G301" s="3" t="s">
        <v>1000</v>
      </c>
      <c r="H301" s="3" t="s">
        <v>1000</v>
      </c>
      <c r="I301" s="3" t="s">
        <v>994</v>
      </c>
      <c r="J301" s="5">
        <v>45376</v>
      </c>
      <c r="K301" s="5">
        <v>45376</v>
      </c>
      <c r="L301" s="6">
        <v>1150</v>
      </c>
    </row>
    <row r="302" s="1" customFormat="1" spans="1:12">
      <c r="A302" s="3" t="s">
        <v>521</v>
      </c>
      <c r="B302" s="3" t="s">
        <v>895</v>
      </c>
      <c r="C302" s="3" t="s">
        <v>1214</v>
      </c>
      <c r="D302" s="3" t="s">
        <v>1215</v>
      </c>
      <c r="E302" s="3" t="s">
        <v>991</v>
      </c>
      <c r="F302" s="3" t="s">
        <v>992</v>
      </c>
      <c r="G302" s="3" t="s">
        <v>1037</v>
      </c>
      <c r="H302" s="3" t="s">
        <v>1037</v>
      </c>
      <c r="I302" s="3" t="s">
        <v>994</v>
      </c>
      <c r="J302" s="5">
        <v>45394</v>
      </c>
      <c r="K302" s="5">
        <v>45394</v>
      </c>
      <c r="L302" s="6">
        <v>960</v>
      </c>
    </row>
    <row r="303" s="1" customFormat="1" spans="1:12">
      <c r="A303" s="3" t="s">
        <v>521</v>
      </c>
      <c r="B303" s="3" t="s">
        <v>895</v>
      </c>
      <c r="C303" s="3" t="s">
        <v>1216</v>
      </c>
      <c r="D303" s="3" t="s">
        <v>1217</v>
      </c>
      <c r="E303" s="3" t="s">
        <v>991</v>
      </c>
      <c r="F303" s="3" t="s">
        <v>992</v>
      </c>
      <c r="G303" s="3" t="s">
        <v>1037</v>
      </c>
      <c r="H303" s="3" t="s">
        <v>1037</v>
      </c>
      <c r="I303" s="3" t="s">
        <v>994</v>
      </c>
      <c r="J303" s="5">
        <v>45394</v>
      </c>
      <c r="K303" s="5">
        <v>45394</v>
      </c>
      <c r="L303" s="6">
        <v>950</v>
      </c>
    </row>
    <row r="304" s="1" customFormat="1" spans="1:12">
      <c r="A304" s="3" t="s">
        <v>521</v>
      </c>
      <c r="B304" s="3" t="s">
        <v>530</v>
      </c>
      <c r="C304" s="3" t="s">
        <v>483</v>
      </c>
      <c r="D304" s="3" t="s">
        <v>1218</v>
      </c>
      <c r="E304" s="3" t="s">
        <v>1219</v>
      </c>
      <c r="F304" s="3" t="s">
        <v>1220</v>
      </c>
      <c r="G304" s="3" t="s">
        <v>484</v>
      </c>
      <c r="H304" s="3" t="s">
        <v>484</v>
      </c>
      <c r="I304" s="3" t="s">
        <v>515</v>
      </c>
      <c r="J304" s="5">
        <v>45455</v>
      </c>
      <c r="K304" s="5">
        <v>45455</v>
      </c>
      <c r="L304" s="6">
        <v>18867.92</v>
      </c>
    </row>
    <row r="305" s="1" customFormat="1" spans="1:12">
      <c r="A305" s="3" t="s">
        <v>508</v>
      </c>
      <c r="B305" s="3" t="s">
        <v>518</v>
      </c>
      <c r="C305" s="3" t="s">
        <v>1221</v>
      </c>
      <c r="D305" s="3" t="s">
        <v>1222</v>
      </c>
      <c r="E305" s="3" t="s">
        <v>1223</v>
      </c>
      <c r="F305" s="3" t="s">
        <v>1224</v>
      </c>
      <c r="G305" s="3" t="s">
        <v>1225</v>
      </c>
      <c r="H305" s="3" t="s">
        <v>198</v>
      </c>
      <c r="I305" s="3" t="s">
        <v>1226</v>
      </c>
      <c r="J305" s="5">
        <v>45271</v>
      </c>
      <c r="K305" s="5">
        <v>45271</v>
      </c>
      <c r="L305" s="6">
        <v>61468.44</v>
      </c>
    </row>
    <row r="306" s="1" customFormat="1" spans="1:12">
      <c r="A306" s="3" t="s">
        <v>508</v>
      </c>
      <c r="B306" s="3" t="s">
        <v>518</v>
      </c>
      <c r="C306" s="3" t="s">
        <v>1227</v>
      </c>
      <c r="D306" s="3" t="s">
        <v>1228</v>
      </c>
      <c r="E306" s="3" t="s">
        <v>1223</v>
      </c>
      <c r="F306" s="3" t="s">
        <v>1224</v>
      </c>
      <c r="G306" s="3" t="s">
        <v>525</v>
      </c>
      <c r="H306" s="3" t="s">
        <v>1229</v>
      </c>
      <c r="I306" s="3" t="s">
        <v>527</v>
      </c>
      <c r="J306" s="5">
        <v>45291</v>
      </c>
      <c r="K306" s="5">
        <v>45288</v>
      </c>
      <c r="L306" s="6">
        <v>-61468.44</v>
      </c>
    </row>
    <row r="307" s="1" customFormat="1" spans="1:12">
      <c r="A307" s="3" t="s">
        <v>508</v>
      </c>
      <c r="B307" s="3" t="s">
        <v>509</v>
      </c>
      <c r="C307" s="3" t="s">
        <v>1230</v>
      </c>
      <c r="D307" s="3" t="s">
        <v>1231</v>
      </c>
      <c r="E307" s="3" t="s">
        <v>1232</v>
      </c>
      <c r="F307" s="3" t="s">
        <v>1233</v>
      </c>
      <c r="G307" s="3" t="s">
        <v>170</v>
      </c>
      <c r="H307" s="3" t="s">
        <v>170</v>
      </c>
      <c r="I307" s="3" t="s">
        <v>647</v>
      </c>
      <c r="J307" s="5">
        <v>45216</v>
      </c>
      <c r="K307" s="5">
        <v>45216</v>
      </c>
      <c r="L307" s="6">
        <v>159281.3</v>
      </c>
    </row>
    <row r="308" s="1" customFormat="1" spans="1:12">
      <c r="A308" s="3" t="s">
        <v>508</v>
      </c>
      <c r="B308" s="3" t="s">
        <v>509</v>
      </c>
      <c r="C308" s="3" t="s">
        <v>1234</v>
      </c>
      <c r="D308" s="3" t="s">
        <v>1235</v>
      </c>
      <c r="E308" s="3" t="s">
        <v>1232</v>
      </c>
      <c r="F308" s="3" t="s">
        <v>1233</v>
      </c>
      <c r="G308" s="3" t="s">
        <v>525</v>
      </c>
      <c r="H308" s="3" t="s">
        <v>1236</v>
      </c>
      <c r="I308" s="3" t="s">
        <v>527</v>
      </c>
      <c r="J308" s="5">
        <v>45230</v>
      </c>
      <c r="K308" s="5">
        <v>45226</v>
      </c>
      <c r="L308" s="6">
        <v>-159281.3</v>
      </c>
    </row>
    <row r="309" s="1" customFormat="1" spans="1:12">
      <c r="A309" s="3" t="s">
        <v>508</v>
      </c>
      <c r="B309" s="3" t="s">
        <v>518</v>
      </c>
      <c r="C309" s="3" t="s">
        <v>1237</v>
      </c>
      <c r="D309" s="3" t="s">
        <v>1238</v>
      </c>
      <c r="E309" s="3" t="s">
        <v>1239</v>
      </c>
      <c r="F309" s="3" t="s">
        <v>1240</v>
      </c>
      <c r="G309" s="3" t="s">
        <v>175</v>
      </c>
      <c r="H309" s="3" t="s">
        <v>175</v>
      </c>
      <c r="I309" s="3" t="s">
        <v>647</v>
      </c>
      <c r="J309" s="5">
        <v>45273</v>
      </c>
      <c r="K309" s="5">
        <v>45273</v>
      </c>
      <c r="L309" s="6">
        <v>471858.4</v>
      </c>
    </row>
    <row r="310" s="1" customFormat="1" spans="1:12">
      <c r="A310" s="3" t="s">
        <v>508</v>
      </c>
      <c r="B310" s="3" t="s">
        <v>518</v>
      </c>
      <c r="C310" s="3" t="s">
        <v>1241</v>
      </c>
      <c r="D310" s="3" t="s">
        <v>1242</v>
      </c>
      <c r="E310" s="3" t="s">
        <v>1239</v>
      </c>
      <c r="F310" s="3" t="s">
        <v>1240</v>
      </c>
      <c r="G310" s="3" t="s">
        <v>525</v>
      </c>
      <c r="H310" s="3" t="s">
        <v>1243</v>
      </c>
      <c r="I310" s="3" t="s">
        <v>527</v>
      </c>
      <c r="J310" s="5">
        <v>45291</v>
      </c>
      <c r="K310" s="5">
        <v>45288</v>
      </c>
      <c r="L310" s="6">
        <v>-471858.4</v>
      </c>
    </row>
    <row r="311" s="1" customFormat="1" spans="1:12">
      <c r="A311" s="3" t="s">
        <v>508</v>
      </c>
      <c r="B311" s="3" t="s">
        <v>518</v>
      </c>
      <c r="C311" s="3" t="s">
        <v>181</v>
      </c>
      <c r="D311" s="3" t="s">
        <v>1244</v>
      </c>
      <c r="E311" s="3" t="s">
        <v>1245</v>
      </c>
      <c r="F311" s="3" t="s">
        <v>1246</v>
      </c>
      <c r="G311" s="3" t="s">
        <v>182</v>
      </c>
      <c r="H311" s="3" t="s">
        <v>182</v>
      </c>
      <c r="I311" s="3" t="s">
        <v>1247</v>
      </c>
      <c r="J311" s="5">
        <v>45273</v>
      </c>
      <c r="K311" s="5">
        <v>45273</v>
      </c>
      <c r="L311" s="6">
        <v>22528.3</v>
      </c>
    </row>
    <row r="312" s="1" customFormat="1" spans="1:12">
      <c r="A312" s="3" t="s">
        <v>508</v>
      </c>
      <c r="B312" s="3" t="s">
        <v>518</v>
      </c>
      <c r="C312" s="3" t="s">
        <v>1248</v>
      </c>
      <c r="D312" s="3" t="s">
        <v>1249</v>
      </c>
      <c r="E312" s="3" t="s">
        <v>1245</v>
      </c>
      <c r="F312" s="3" t="s">
        <v>1246</v>
      </c>
      <c r="G312" s="3" t="s">
        <v>525</v>
      </c>
      <c r="H312" s="3" t="s">
        <v>1250</v>
      </c>
      <c r="I312" s="3" t="s">
        <v>527</v>
      </c>
      <c r="J312" s="5">
        <v>45291</v>
      </c>
      <c r="K312" s="5">
        <v>45288</v>
      </c>
      <c r="L312" s="6">
        <v>-22528.3</v>
      </c>
    </row>
    <row r="313" s="1" customFormat="1" spans="1:12">
      <c r="A313" s="3" t="s">
        <v>521</v>
      </c>
      <c r="B313" s="3" t="s">
        <v>895</v>
      </c>
      <c r="C313" s="3" t="s">
        <v>377</v>
      </c>
      <c r="D313" s="3" t="s">
        <v>1251</v>
      </c>
      <c r="E313" s="3" t="s">
        <v>1245</v>
      </c>
      <c r="F313" s="3" t="s">
        <v>1246</v>
      </c>
      <c r="G313" s="3" t="s">
        <v>378</v>
      </c>
      <c r="H313" s="3" t="s">
        <v>378</v>
      </c>
      <c r="I313" s="3" t="s">
        <v>1247</v>
      </c>
      <c r="J313" s="5">
        <v>45405</v>
      </c>
      <c r="K313" s="5">
        <v>45405</v>
      </c>
      <c r="L313" s="6">
        <v>127358.49</v>
      </c>
    </row>
    <row r="314" s="1" customFormat="1" spans="1:12">
      <c r="A314" s="3" t="s">
        <v>521</v>
      </c>
      <c r="B314" s="3" t="s">
        <v>895</v>
      </c>
      <c r="C314" s="3" t="s">
        <v>1252</v>
      </c>
      <c r="D314" s="3" t="s">
        <v>1253</v>
      </c>
      <c r="E314" s="3" t="s">
        <v>1245</v>
      </c>
      <c r="F314" s="3" t="s">
        <v>1246</v>
      </c>
      <c r="G314" s="3" t="s">
        <v>525</v>
      </c>
      <c r="H314" s="3" t="s">
        <v>1250</v>
      </c>
      <c r="I314" s="3" t="s">
        <v>527</v>
      </c>
      <c r="J314" s="5">
        <v>45412</v>
      </c>
      <c r="K314" s="5">
        <v>45407</v>
      </c>
      <c r="L314" s="6">
        <v>-127358.49</v>
      </c>
    </row>
    <row r="315" s="1" customFormat="1" spans="1:12">
      <c r="A315" s="3" t="s">
        <v>521</v>
      </c>
      <c r="B315" s="3" t="s">
        <v>562</v>
      </c>
      <c r="C315" s="3" t="s">
        <v>1254</v>
      </c>
      <c r="D315" s="3" t="s">
        <v>1255</v>
      </c>
      <c r="E315" s="3" t="s">
        <v>1245</v>
      </c>
      <c r="F315" s="3" t="s">
        <v>1246</v>
      </c>
      <c r="G315" s="3" t="s">
        <v>525</v>
      </c>
      <c r="H315" s="3" t="s">
        <v>1250</v>
      </c>
      <c r="I315" s="3" t="s">
        <v>527</v>
      </c>
      <c r="J315" s="5">
        <v>45443</v>
      </c>
      <c r="K315" s="5">
        <v>45435</v>
      </c>
      <c r="L315" s="6">
        <v>-245283.02</v>
      </c>
    </row>
    <row r="316" s="1" customFormat="1" spans="1:12">
      <c r="A316" s="3" t="s">
        <v>521</v>
      </c>
      <c r="B316" s="3" t="s">
        <v>562</v>
      </c>
      <c r="C316" s="3" t="s">
        <v>419</v>
      </c>
      <c r="D316" s="3" t="s">
        <v>1256</v>
      </c>
      <c r="E316" s="3" t="s">
        <v>1245</v>
      </c>
      <c r="F316" s="3" t="s">
        <v>1246</v>
      </c>
      <c r="G316" s="3" t="s">
        <v>418</v>
      </c>
      <c r="H316" s="3" t="s">
        <v>418</v>
      </c>
      <c r="I316" s="3" t="s">
        <v>574</v>
      </c>
      <c r="J316" s="5">
        <v>45435</v>
      </c>
      <c r="K316" s="5">
        <v>45435</v>
      </c>
      <c r="L316" s="6">
        <v>245283.02</v>
      </c>
    </row>
    <row r="317" s="1" customFormat="1" spans="1:12">
      <c r="A317" s="3" t="s">
        <v>508</v>
      </c>
      <c r="B317" s="3" t="s">
        <v>509</v>
      </c>
      <c r="C317" s="3" t="s">
        <v>1257</v>
      </c>
      <c r="D317" s="3" t="s">
        <v>1258</v>
      </c>
      <c r="E317" s="3" t="s">
        <v>1259</v>
      </c>
      <c r="F317" s="3" t="s">
        <v>1260</v>
      </c>
      <c r="G317" s="3" t="s">
        <v>119</v>
      </c>
      <c r="H317" s="3" t="s">
        <v>119</v>
      </c>
      <c r="I317" s="3" t="s">
        <v>647</v>
      </c>
      <c r="J317" s="5">
        <v>45223</v>
      </c>
      <c r="K317" s="5">
        <v>45223</v>
      </c>
      <c r="L317" s="6">
        <v>350943.4</v>
      </c>
    </row>
    <row r="318" s="1" customFormat="1" spans="1:12">
      <c r="A318" s="3" t="s">
        <v>508</v>
      </c>
      <c r="B318" s="3" t="s">
        <v>542</v>
      </c>
      <c r="C318" s="3" t="s">
        <v>1261</v>
      </c>
      <c r="D318" s="3" t="s">
        <v>1262</v>
      </c>
      <c r="E318" s="3" t="s">
        <v>1259</v>
      </c>
      <c r="F318" s="3" t="s">
        <v>1260</v>
      </c>
      <c r="G318" s="3" t="s">
        <v>165</v>
      </c>
      <c r="H318" s="3" t="s">
        <v>165</v>
      </c>
      <c r="I318" s="3" t="s">
        <v>647</v>
      </c>
      <c r="J318" s="5">
        <v>45244</v>
      </c>
      <c r="K318" s="5">
        <v>45244</v>
      </c>
      <c r="L318" s="6">
        <v>174757.28</v>
      </c>
    </row>
    <row r="319" s="1" customFormat="1" spans="1:12">
      <c r="A319" s="3" t="s">
        <v>508</v>
      </c>
      <c r="B319" s="3" t="s">
        <v>518</v>
      </c>
      <c r="C319" s="3" t="s">
        <v>1263</v>
      </c>
      <c r="D319" s="3" t="s">
        <v>1264</v>
      </c>
      <c r="E319" s="3" t="s">
        <v>1259</v>
      </c>
      <c r="F319" s="3" t="s">
        <v>1260</v>
      </c>
      <c r="G319" s="3" t="s">
        <v>525</v>
      </c>
      <c r="H319" s="3" t="s">
        <v>1265</v>
      </c>
      <c r="I319" s="3" t="s">
        <v>527</v>
      </c>
      <c r="J319" s="5">
        <v>45291</v>
      </c>
      <c r="K319" s="5">
        <v>45289</v>
      </c>
      <c r="L319" s="6">
        <v>-2338960.36</v>
      </c>
    </row>
    <row r="320" s="1" customFormat="1" spans="1:12">
      <c r="A320" s="3" t="s">
        <v>508</v>
      </c>
      <c r="B320" s="3" t="s">
        <v>518</v>
      </c>
      <c r="C320" s="3" t="s">
        <v>1266</v>
      </c>
      <c r="D320" s="3" t="s">
        <v>1267</v>
      </c>
      <c r="E320" s="3" t="s">
        <v>1259</v>
      </c>
      <c r="F320" s="3" t="s">
        <v>1260</v>
      </c>
      <c r="G320" s="3" t="s">
        <v>525</v>
      </c>
      <c r="H320" s="3" t="s">
        <v>1265</v>
      </c>
      <c r="I320" s="3" t="s">
        <v>527</v>
      </c>
      <c r="J320" s="5">
        <v>45291</v>
      </c>
      <c r="K320" s="5">
        <v>45288</v>
      </c>
      <c r="L320" s="6">
        <v>-731132.07</v>
      </c>
    </row>
    <row r="321" s="1" customFormat="1" spans="1:12">
      <c r="A321" s="3" t="s">
        <v>508</v>
      </c>
      <c r="B321" s="3" t="s">
        <v>542</v>
      </c>
      <c r="C321" s="3" t="s">
        <v>1268</v>
      </c>
      <c r="D321" s="3" t="s">
        <v>1269</v>
      </c>
      <c r="E321" s="3" t="s">
        <v>1259</v>
      </c>
      <c r="F321" s="3" t="s">
        <v>1260</v>
      </c>
      <c r="G321" s="3" t="s">
        <v>161</v>
      </c>
      <c r="H321" s="3" t="s">
        <v>161</v>
      </c>
      <c r="I321" s="3" t="s">
        <v>647</v>
      </c>
      <c r="J321" s="5">
        <v>45244</v>
      </c>
      <c r="K321" s="5">
        <v>45244</v>
      </c>
      <c r="L321" s="6">
        <v>231067.96</v>
      </c>
    </row>
    <row r="322" s="1" customFormat="1" spans="1:12">
      <c r="A322" s="3" t="s">
        <v>508</v>
      </c>
      <c r="B322" s="3" t="s">
        <v>542</v>
      </c>
      <c r="C322" s="3" t="s">
        <v>1270</v>
      </c>
      <c r="D322" s="3" t="s">
        <v>1271</v>
      </c>
      <c r="E322" s="3" t="s">
        <v>1259</v>
      </c>
      <c r="F322" s="3" t="s">
        <v>1260</v>
      </c>
      <c r="G322" s="3" t="s">
        <v>141</v>
      </c>
      <c r="H322" s="3" t="s">
        <v>141</v>
      </c>
      <c r="I322" s="3" t="s">
        <v>647</v>
      </c>
      <c r="J322" s="5">
        <v>45239</v>
      </c>
      <c r="K322" s="5">
        <v>45239</v>
      </c>
      <c r="L322" s="6">
        <v>424528.3</v>
      </c>
    </row>
    <row r="323" s="1" customFormat="1" spans="1:12">
      <c r="A323" s="3" t="s">
        <v>508</v>
      </c>
      <c r="B323" s="3" t="s">
        <v>542</v>
      </c>
      <c r="C323" s="3" t="s">
        <v>1272</v>
      </c>
      <c r="D323" s="3" t="s">
        <v>1273</v>
      </c>
      <c r="E323" s="3" t="s">
        <v>1259</v>
      </c>
      <c r="F323" s="3" t="s">
        <v>1260</v>
      </c>
      <c r="G323" s="3" t="s">
        <v>525</v>
      </c>
      <c r="H323" s="3" t="s">
        <v>1265</v>
      </c>
      <c r="I323" s="3" t="s">
        <v>527</v>
      </c>
      <c r="J323" s="5">
        <v>45260</v>
      </c>
      <c r="K323" s="5">
        <v>45254</v>
      </c>
      <c r="L323" s="6">
        <v>-830353.54</v>
      </c>
    </row>
    <row r="324" s="1" customFormat="1" spans="1:12">
      <c r="A324" s="3" t="s">
        <v>521</v>
      </c>
      <c r="B324" s="3" t="s">
        <v>562</v>
      </c>
      <c r="C324" s="3" t="s">
        <v>1274</v>
      </c>
      <c r="D324" s="3" t="s">
        <v>1275</v>
      </c>
      <c r="E324" s="3" t="s">
        <v>1259</v>
      </c>
      <c r="F324" s="3" t="s">
        <v>1260</v>
      </c>
      <c r="G324" s="3" t="s">
        <v>525</v>
      </c>
      <c r="H324" s="3" t="s">
        <v>1265</v>
      </c>
      <c r="I324" s="3" t="s">
        <v>527</v>
      </c>
      <c r="J324" s="5">
        <v>45443</v>
      </c>
      <c r="K324" s="5">
        <v>45436</v>
      </c>
      <c r="L324" s="6">
        <v>-4117077.53</v>
      </c>
    </row>
    <row r="325" s="1" customFormat="1" spans="1:12">
      <c r="A325" s="3" t="s">
        <v>521</v>
      </c>
      <c r="B325" s="3" t="s">
        <v>530</v>
      </c>
      <c r="C325" s="3" t="s">
        <v>479</v>
      </c>
      <c r="D325" s="3" t="s">
        <v>1276</v>
      </c>
      <c r="E325" s="3" t="s">
        <v>1259</v>
      </c>
      <c r="F325" s="3" t="s">
        <v>1260</v>
      </c>
      <c r="G325" s="3" t="s">
        <v>480</v>
      </c>
      <c r="H325" s="3" t="s">
        <v>480</v>
      </c>
      <c r="I325" s="3" t="s">
        <v>533</v>
      </c>
      <c r="J325" s="5">
        <v>45444</v>
      </c>
      <c r="K325" s="5">
        <v>45436</v>
      </c>
      <c r="L325" s="6">
        <v>-4117077.53</v>
      </c>
    </row>
    <row r="326" s="1" customFormat="1" spans="1:12">
      <c r="A326" s="3" t="s">
        <v>521</v>
      </c>
      <c r="B326" s="3" t="s">
        <v>530</v>
      </c>
      <c r="C326" s="3" t="s">
        <v>481</v>
      </c>
      <c r="D326" s="3" t="s">
        <v>1277</v>
      </c>
      <c r="E326" s="3" t="s">
        <v>1259</v>
      </c>
      <c r="F326" s="3" t="s">
        <v>1260</v>
      </c>
      <c r="G326" s="3" t="s">
        <v>482</v>
      </c>
      <c r="H326" s="3" t="s">
        <v>482</v>
      </c>
      <c r="I326" s="3" t="s">
        <v>574</v>
      </c>
      <c r="J326" s="5">
        <v>45450</v>
      </c>
      <c r="K326" s="5">
        <v>45450</v>
      </c>
      <c r="L326" s="6">
        <v>4294080.42</v>
      </c>
    </row>
    <row r="327" s="1" customFormat="1" spans="1:12">
      <c r="A327" s="3" t="s">
        <v>508</v>
      </c>
      <c r="B327" s="3" t="s">
        <v>518</v>
      </c>
      <c r="C327" s="3" t="s">
        <v>1278</v>
      </c>
      <c r="D327" s="3" t="s">
        <v>1279</v>
      </c>
      <c r="E327" s="3" t="s">
        <v>1259</v>
      </c>
      <c r="F327" s="3" t="s">
        <v>1260</v>
      </c>
      <c r="G327" s="3" t="s">
        <v>146</v>
      </c>
      <c r="H327" s="3" t="s">
        <v>146</v>
      </c>
      <c r="I327" s="3" t="s">
        <v>647</v>
      </c>
      <c r="J327" s="5">
        <v>45279</v>
      </c>
      <c r="K327" s="5">
        <v>45279</v>
      </c>
      <c r="L327" s="6">
        <v>89622.64</v>
      </c>
    </row>
    <row r="328" s="1" customFormat="1" spans="1:12">
      <c r="A328" s="3" t="s">
        <v>508</v>
      </c>
      <c r="B328" s="3" t="s">
        <v>518</v>
      </c>
      <c r="C328" s="3" t="s">
        <v>1280</v>
      </c>
      <c r="D328" s="3" t="s">
        <v>1281</v>
      </c>
      <c r="E328" s="3" t="s">
        <v>1259</v>
      </c>
      <c r="F328" s="3" t="s">
        <v>1260</v>
      </c>
      <c r="G328" s="3" t="s">
        <v>151</v>
      </c>
      <c r="H328" s="3" t="s">
        <v>151</v>
      </c>
      <c r="I328" s="3" t="s">
        <v>647</v>
      </c>
      <c r="J328" s="5">
        <v>45272</v>
      </c>
      <c r="K328" s="5">
        <v>45272</v>
      </c>
      <c r="L328" s="6">
        <v>641509.43</v>
      </c>
    </row>
    <row r="329" s="1" customFormat="1" spans="1:12">
      <c r="A329" s="3" t="s">
        <v>508</v>
      </c>
      <c r="B329" s="3" t="s">
        <v>518</v>
      </c>
      <c r="C329" s="3" t="s">
        <v>413</v>
      </c>
      <c r="D329" s="3" t="s">
        <v>1282</v>
      </c>
      <c r="E329" s="3" t="s">
        <v>1259</v>
      </c>
      <c r="F329" s="3" t="s">
        <v>1260</v>
      </c>
      <c r="G329" s="3" t="s">
        <v>194</v>
      </c>
      <c r="H329" s="3" t="s">
        <v>194</v>
      </c>
      <c r="I329" s="3" t="s">
        <v>647</v>
      </c>
      <c r="J329" s="5">
        <v>45289</v>
      </c>
      <c r="K329" s="5">
        <v>45289</v>
      </c>
      <c r="L329" s="6">
        <v>1878069.73</v>
      </c>
    </row>
    <row r="330" s="1" customFormat="1" spans="1:12">
      <c r="A330" s="3" t="s">
        <v>508</v>
      </c>
      <c r="B330" s="3" t="s">
        <v>518</v>
      </c>
      <c r="C330" s="3" t="s">
        <v>412</v>
      </c>
      <c r="D330" s="3" t="s">
        <v>1283</v>
      </c>
      <c r="E330" s="3" t="s">
        <v>1259</v>
      </c>
      <c r="F330" s="3" t="s">
        <v>1260</v>
      </c>
      <c r="G330" s="3" t="s">
        <v>194</v>
      </c>
      <c r="H330" s="3" t="s">
        <v>194</v>
      </c>
      <c r="I330" s="3" t="s">
        <v>647</v>
      </c>
      <c r="J330" s="5">
        <v>45289</v>
      </c>
      <c r="K330" s="5">
        <v>45289</v>
      </c>
      <c r="L330" s="6">
        <v>460890.63</v>
      </c>
    </row>
    <row r="331" s="1" customFormat="1" spans="1:12">
      <c r="A331" s="3" t="s">
        <v>508</v>
      </c>
      <c r="B331" s="3" t="s">
        <v>509</v>
      </c>
      <c r="C331" s="3" t="s">
        <v>1284</v>
      </c>
      <c r="D331" s="3" t="s">
        <v>1285</v>
      </c>
      <c r="E331" s="3" t="s">
        <v>1259</v>
      </c>
      <c r="F331" s="3" t="s">
        <v>1260</v>
      </c>
      <c r="G331" s="3" t="s">
        <v>525</v>
      </c>
      <c r="H331" s="3" t="s">
        <v>1265</v>
      </c>
      <c r="I331" s="3" t="s">
        <v>527</v>
      </c>
      <c r="J331" s="5">
        <v>45230</v>
      </c>
      <c r="K331" s="5">
        <v>45226</v>
      </c>
      <c r="L331" s="6">
        <v>-350943.4</v>
      </c>
    </row>
    <row r="332" s="1" customFormat="1" spans="1:12">
      <c r="A332" s="3" t="s">
        <v>521</v>
      </c>
      <c r="B332" s="3" t="s">
        <v>562</v>
      </c>
      <c r="C332" s="3" t="s">
        <v>421</v>
      </c>
      <c r="D332" s="3" t="s">
        <v>1286</v>
      </c>
      <c r="E332" s="3" t="s">
        <v>1259</v>
      </c>
      <c r="F332" s="3" t="s">
        <v>1260</v>
      </c>
      <c r="G332" s="3" t="s">
        <v>420</v>
      </c>
      <c r="H332" s="3" t="s">
        <v>420</v>
      </c>
      <c r="I332" s="3" t="s">
        <v>533</v>
      </c>
      <c r="J332" s="5">
        <v>45436</v>
      </c>
      <c r="K332" s="5">
        <v>45436</v>
      </c>
      <c r="L332" s="6">
        <v>4117077.53</v>
      </c>
    </row>
    <row r="333" s="1" customFormat="1" spans="1:12">
      <c r="A333" s="3" t="s">
        <v>508</v>
      </c>
      <c r="B333" s="3" t="s">
        <v>509</v>
      </c>
      <c r="C333" s="3" t="s">
        <v>1287</v>
      </c>
      <c r="D333" s="3" t="s">
        <v>1288</v>
      </c>
      <c r="E333" s="3" t="s">
        <v>1289</v>
      </c>
      <c r="F333" s="3" t="s">
        <v>1290</v>
      </c>
      <c r="G333" s="3" t="s">
        <v>115</v>
      </c>
      <c r="H333" s="3" t="s">
        <v>115</v>
      </c>
      <c r="I333" s="3" t="s">
        <v>647</v>
      </c>
      <c r="J333" s="5">
        <v>45222</v>
      </c>
      <c r="K333" s="5">
        <v>45222</v>
      </c>
      <c r="L333" s="6">
        <v>165094.34</v>
      </c>
    </row>
    <row r="334" s="1" customFormat="1" spans="1:12">
      <c r="A334" s="3" t="s">
        <v>508</v>
      </c>
      <c r="B334" s="3" t="s">
        <v>509</v>
      </c>
      <c r="C334" s="3" t="s">
        <v>1291</v>
      </c>
      <c r="D334" s="3" t="s">
        <v>1292</v>
      </c>
      <c r="E334" s="3" t="s">
        <v>1289</v>
      </c>
      <c r="F334" s="3" t="s">
        <v>1290</v>
      </c>
      <c r="G334" s="3" t="s">
        <v>525</v>
      </c>
      <c r="H334" s="3" t="s">
        <v>1293</v>
      </c>
      <c r="I334" s="3" t="s">
        <v>527</v>
      </c>
      <c r="J334" s="5">
        <v>45230</v>
      </c>
      <c r="K334" s="5">
        <v>45226</v>
      </c>
      <c r="L334" s="6">
        <v>-165094.34</v>
      </c>
    </row>
    <row r="335" s="1" customFormat="1" spans="1:12">
      <c r="A335" s="3" t="s">
        <v>508</v>
      </c>
      <c r="B335" s="3" t="s">
        <v>509</v>
      </c>
      <c r="C335" s="3" t="s">
        <v>1294</v>
      </c>
      <c r="D335" s="3" t="s">
        <v>1295</v>
      </c>
      <c r="E335" s="3" t="s">
        <v>1296</v>
      </c>
      <c r="F335" s="3" t="s">
        <v>1297</v>
      </c>
      <c r="G335" s="3" t="s">
        <v>100</v>
      </c>
      <c r="H335" s="3" t="s">
        <v>100</v>
      </c>
      <c r="I335" s="3" t="s">
        <v>647</v>
      </c>
      <c r="J335" s="5">
        <v>45222</v>
      </c>
      <c r="K335" s="5">
        <v>45222</v>
      </c>
      <c r="L335" s="6">
        <v>35754.72</v>
      </c>
    </row>
    <row r="336" s="1" customFormat="1" spans="1:12">
      <c r="A336" s="3" t="s">
        <v>508</v>
      </c>
      <c r="B336" s="3" t="s">
        <v>509</v>
      </c>
      <c r="C336" s="3" t="s">
        <v>1298</v>
      </c>
      <c r="D336" s="3" t="s">
        <v>1299</v>
      </c>
      <c r="E336" s="3" t="s">
        <v>1296</v>
      </c>
      <c r="F336" s="3" t="s">
        <v>1297</v>
      </c>
      <c r="G336" s="3" t="s">
        <v>525</v>
      </c>
      <c r="H336" s="3" t="s">
        <v>1300</v>
      </c>
      <c r="I336" s="3" t="s">
        <v>527</v>
      </c>
      <c r="J336" s="5">
        <v>45230</v>
      </c>
      <c r="K336" s="5">
        <v>45226</v>
      </c>
      <c r="L336" s="6">
        <v>-35754.72</v>
      </c>
    </row>
    <row r="337" s="1" customFormat="1" spans="1:12">
      <c r="A337" s="3" t="s">
        <v>508</v>
      </c>
      <c r="B337" s="3" t="s">
        <v>509</v>
      </c>
      <c r="C337" s="3" t="s">
        <v>1301</v>
      </c>
      <c r="D337" s="3" t="s">
        <v>1302</v>
      </c>
      <c r="E337" s="3" t="s">
        <v>1303</v>
      </c>
      <c r="F337" s="3" t="s">
        <v>1304</v>
      </c>
      <c r="G337" s="3" t="s">
        <v>95</v>
      </c>
      <c r="H337" s="3" t="s">
        <v>95</v>
      </c>
      <c r="I337" s="3" t="s">
        <v>1247</v>
      </c>
      <c r="J337" s="5">
        <v>45223</v>
      </c>
      <c r="K337" s="5">
        <v>45223</v>
      </c>
      <c r="L337" s="6">
        <v>197452.83</v>
      </c>
    </row>
    <row r="338" s="1" customFormat="1" spans="1:12">
      <c r="A338" s="3" t="s">
        <v>508</v>
      </c>
      <c r="B338" s="3" t="s">
        <v>509</v>
      </c>
      <c r="C338" s="3" t="s">
        <v>1305</v>
      </c>
      <c r="D338" s="3" t="s">
        <v>1306</v>
      </c>
      <c r="E338" s="3" t="s">
        <v>1303</v>
      </c>
      <c r="F338" s="3" t="s">
        <v>1304</v>
      </c>
      <c r="G338" s="3" t="s">
        <v>525</v>
      </c>
      <c r="H338" s="3" t="s">
        <v>1307</v>
      </c>
      <c r="I338" s="3" t="s">
        <v>527</v>
      </c>
      <c r="J338" s="5">
        <v>45230</v>
      </c>
      <c r="K338" s="5">
        <v>45226</v>
      </c>
      <c r="L338" s="6">
        <v>-197452.83</v>
      </c>
    </row>
    <row r="339" s="1" customFormat="1" spans="1:12">
      <c r="A339" s="3" t="s">
        <v>508</v>
      </c>
      <c r="B339" s="3" t="s">
        <v>509</v>
      </c>
      <c r="C339" s="3" t="s">
        <v>1308</v>
      </c>
      <c r="D339" s="3" t="s">
        <v>1309</v>
      </c>
      <c r="E339" s="3" t="s">
        <v>1310</v>
      </c>
      <c r="F339" s="3" t="s">
        <v>1311</v>
      </c>
      <c r="G339" s="3" t="s">
        <v>90</v>
      </c>
      <c r="H339" s="3" t="s">
        <v>90</v>
      </c>
      <c r="I339" s="3" t="s">
        <v>647</v>
      </c>
      <c r="J339" s="5">
        <v>45223</v>
      </c>
      <c r="K339" s="5">
        <v>45223</v>
      </c>
      <c r="L339" s="6">
        <v>627358.49</v>
      </c>
    </row>
    <row r="340" s="1" customFormat="1" spans="1:12">
      <c r="A340" s="3" t="s">
        <v>508</v>
      </c>
      <c r="B340" s="3" t="s">
        <v>542</v>
      </c>
      <c r="C340" s="3" t="s">
        <v>1312</v>
      </c>
      <c r="D340" s="3" t="s">
        <v>1313</v>
      </c>
      <c r="E340" s="3" t="s">
        <v>1310</v>
      </c>
      <c r="F340" s="3" t="s">
        <v>1311</v>
      </c>
      <c r="G340" s="3" t="s">
        <v>1314</v>
      </c>
      <c r="H340" s="3" t="s">
        <v>1315</v>
      </c>
      <c r="I340" s="3" t="s">
        <v>647</v>
      </c>
      <c r="J340" s="5">
        <v>45246</v>
      </c>
      <c r="K340" s="5">
        <v>45246</v>
      </c>
      <c r="L340" s="6">
        <v>141509.43</v>
      </c>
    </row>
    <row r="341" s="1" customFormat="1" spans="1:12">
      <c r="A341" s="3" t="s">
        <v>508</v>
      </c>
      <c r="B341" s="3" t="s">
        <v>509</v>
      </c>
      <c r="C341" s="3" t="s">
        <v>1316</v>
      </c>
      <c r="D341" s="3" t="s">
        <v>1317</v>
      </c>
      <c r="E341" s="3" t="s">
        <v>1310</v>
      </c>
      <c r="F341" s="3" t="s">
        <v>1311</v>
      </c>
      <c r="G341" s="3" t="s">
        <v>525</v>
      </c>
      <c r="H341" s="3" t="s">
        <v>1318</v>
      </c>
      <c r="I341" s="3" t="s">
        <v>527</v>
      </c>
      <c r="J341" s="5">
        <v>45230</v>
      </c>
      <c r="K341" s="5">
        <v>45226</v>
      </c>
      <c r="L341" s="6">
        <v>-627358.49</v>
      </c>
    </row>
    <row r="342" s="1" customFormat="1" spans="1:12">
      <c r="A342" s="3" t="s">
        <v>508</v>
      </c>
      <c r="B342" s="3" t="s">
        <v>542</v>
      </c>
      <c r="C342" s="3" t="s">
        <v>1319</v>
      </c>
      <c r="D342" s="3" t="s">
        <v>1320</v>
      </c>
      <c r="E342" s="3" t="s">
        <v>1310</v>
      </c>
      <c r="F342" s="3" t="s">
        <v>1311</v>
      </c>
      <c r="G342" s="3" t="s">
        <v>525</v>
      </c>
      <c r="H342" s="3" t="s">
        <v>1318</v>
      </c>
      <c r="I342" s="3" t="s">
        <v>527</v>
      </c>
      <c r="J342" s="5">
        <v>45260</v>
      </c>
      <c r="K342" s="5">
        <v>45254</v>
      </c>
      <c r="L342" s="6">
        <v>-141509.43</v>
      </c>
    </row>
    <row r="343" s="1" customFormat="1" spans="1:12">
      <c r="A343" s="3" t="s">
        <v>521</v>
      </c>
      <c r="B343" s="3" t="s">
        <v>597</v>
      </c>
      <c r="C343" s="3" t="s">
        <v>360</v>
      </c>
      <c r="D343" s="3" t="s">
        <v>1321</v>
      </c>
      <c r="E343" s="3" t="s">
        <v>1322</v>
      </c>
      <c r="F343" s="3" t="s">
        <v>1323</v>
      </c>
      <c r="G343" s="3" t="s">
        <v>361</v>
      </c>
      <c r="H343" s="3" t="s">
        <v>361</v>
      </c>
      <c r="I343" s="3" t="s">
        <v>647</v>
      </c>
      <c r="J343" s="5">
        <v>45362</v>
      </c>
      <c r="K343" s="5">
        <v>45362</v>
      </c>
      <c r="L343" s="6">
        <v>94339.62</v>
      </c>
    </row>
    <row r="344" s="1" customFormat="1" spans="1:12">
      <c r="A344" s="3" t="s">
        <v>521</v>
      </c>
      <c r="B344" s="3" t="s">
        <v>562</v>
      </c>
      <c r="C344" s="3" t="s">
        <v>414</v>
      </c>
      <c r="D344" s="3" t="s">
        <v>1324</v>
      </c>
      <c r="E344" s="3" t="s">
        <v>1322</v>
      </c>
      <c r="F344" s="3" t="s">
        <v>1323</v>
      </c>
      <c r="G344" s="3" t="s">
        <v>415</v>
      </c>
      <c r="H344" s="3" t="s">
        <v>415</v>
      </c>
      <c r="I344" s="3" t="s">
        <v>647</v>
      </c>
      <c r="J344" s="5">
        <v>45429</v>
      </c>
      <c r="K344" s="5">
        <v>45429</v>
      </c>
      <c r="L344" s="6">
        <v>229950.5</v>
      </c>
    </row>
    <row r="345" s="1" customFormat="1" spans="1:12">
      <c r="A345" s="3" t="s">
        <v>521</v>
      </c>
      <c r="B345" s="3" t="s">
        <v>562</v>
      </c>
      <c r="C345" s="3" t="s">
        <v>1325</v>
      </c>
      <c r="D345" s="3" t="s">
        <v>1326</v>
      </c>
      <c r="E345" s="3" t="s">
        <v>1322</v>
      </c>
      <c r="F345" s="3" t="s">
        <v>1323</v>
      </c>
      <c r="G345" s="3" t="s">
        <v>525</v>
      </c>
      <c r="H345" s="3" t="s">
        <v>1327</v>
      </c>
      <c r="I345" s="3" t="s">
        <v>527</v>
      </c>
      <c r="J345" s="5">
        <v>45443</v>
      </c>
      <c r="K345" s="5">
        <v>45435</v>
      </c>
      <c r="L345" s="6">
        <v>-229950.5</v>
      </c>
    </row>
    <row r="346" s="1" customFormat="1" spans="1:12">
      <c r="A346" s="3" t="s">
        <v>521</v>
      </c>
      <c r="B346" s="3" t="s">
        <v>597</v>
      </c>
      <c r="C346" s="3" t="s">
        <v>1328</v>
      </c>
      <c r="D346" s="3" t="s">
        <v>1329</v>
      </c>
      <c r="E346" s="3" t="s">
        <v>1322</v>
      </c>
      <c r="F346" s="3" t="s">
        <v>1323</v>
      </c>
      <c r="G346" s="3" t="s">
        <v>525</v>
      </c>
      <c r="H346" s="3" t="s">
        <v>1327</v>
      </c>
      <c r="I346" s="3" t="s">
        <v>527</v>
      </c>
      <c r="J346" s="5">
        <v>45382</v>
      </c>
      <c r="K346" s="5">
        <v>45377</v>
      </c>
      <c r="L346" s="6">
        <v>-94339.62</v>
      </c>
    </row>
    <row r="347" s="1" customFormat="1" spans="1:12">
      <c r="A347" s="3" t="s">
        <v>508</v>
      </c>
      <c r="B347" s="3" t="s">
        <v>509</v>
      </c>
      <c r="C347" s="3" t="s">
        <v>1330</v>
      </c>
      <c r="D347" s="3" t="s">
        <v>1331</v>
      </c>
      <c r="E347" s="3" t="s">
        <v>1332</v>
      </c>
      <c r="F347" s="3" t="s">
        <v>1333</v>
      </c>
      <c r="G347" s="3" t="s">
        <v>110</v>
      </c>
      <c r="H347" s="3" t="s">
        <v>110</v>
      </c>
      <c r="I347" s="3" t="s">
        <v>647</v>
      </c>
      <c r="J347" s="5">
        <v>45223</v>
      </c>
      <c r="K347" s="5">
        <v>45223</v>
      </c>
      <c r="L347" s="6">
        <v>83207.55</v>
      </c>
    </row>
    <row r="348" s="1" customFormat="1" spans="1:12">
      <c r="A348" s="3" t="s">
        <v>508</v>
      </c>
      <c r="B348" s="3" t="s">
        <v>509</v>
      </c>
      <c r="C348" s="3" t="s">
        <v>1334</v>
      </c>
      <c r="D348" s="3" t="s">
        <v>1335</v>
      </c>
      <c r="E348" s="3" t="s">
        <v>1332</v>
      </c>
      <c r="F348" s="3" t="s">
        <v>1333</v>
      </c>
      <c r="G348" s="3" t="s">
        <v>525</v>
      </c>
      <c r="H348" s="3" t="s">
        <v>1336</v>
      </c>
      <c r="I348" s="3" t="s">
        <v>527</v>
      </c>
      <c r="J348" s="5">
        <v>45230</v>
      </c>
      <c r="K348" s="5">
        <v>45226</v>
      </c>
      <c r="L348" s="6">
        <v>-83207.55</v>
      </c>
    </row>
    <row r="349" s="1" customFormat="1" spans="1:12">
      <c r="A349" s="3" t="s">
        <v>508</v>
      </c>
      <c r="B349" s="3" t="s">
        <v>509</v>
      </c>
      <c r="C349" s="3" t="s">
        <v>1337</v>
      </c>
      <c r="D349" s="3" t="s">
        <v>1338</v>
      </c>
      <c r="E349" s="3" t="s">
        <v>1339</v>
      </c>
      <c r="F349" s="3" t="s">
        <v>1340</v>
      </c>
      <c r="G349" s="3" t="s">
        <v>105</v>
      </c>
      <c r="H349" s="3" t="s">
        <v>105</v>
      </c>
      <c r="I349" s="3" t="s">
        <v>647</v>
      </c>
      <c r="J349" s="5">
        <v>45222</v>
      </c>
      <c r="K349" s="5">
        <v>45222</v>
      </c>
      <c r="L349" s="6">
        <v>131132.08</v>
      </c>
    </row>
    <row r="350" s="1" customFormat="1" spans="1:12">
      <c r="A350" s="3" t="s">
        <v>508</v>
      </c>
      <c r="B350" s="3" t="s">
        <v>509</v>
      </c>
      <c r="C350" s="3" t="s">
        <v>1341</v>
      </c>
      <c r="D350" s="3" t="s">
        <v>1342</v>
      </c>
      <c r="E350" s="3" t="s">
        <v>1339</v>
      </c>
      <c r="F350" s="3" t="s">
        <v>1340</v>
      </c>
      <c r="G350" s="3" t="s">
        <v>525</v>
      </c>
      <c r="H350" s="3" t="s">
        <v>1343</v>
      </c>
      <c r="I350" s="3" t="s">
        <v>527</v>
      </c>
      <c r="J350" s="5">
        <v>45230</v>
      </c>
      <c r="K350" s="5">
        <v>45226</v>
      </c>
      <c r="L350" s="6">
        <v>-131132.08</v>
      </c>
    </row>
    <row r="351" s="1" customFormat="1" spans="1:12">
      <c r="A351" s="3" t="s">
        <v>521</v>
      </c>
      <c r="B351" s="3" t="s">
        <v>530</v>
      </c>
      <c r="C351" s="3" t="s">
        <v>1344</v>
      </c>
      <c r="D351" s="3" t="s">
        <v>1345</v>
      </c>
      <c r="E351" s="3" t="s">
        <v>1346</v>
      </c>
      <c r="F351" s="3" t="s">
        <v>1347</v>
      </c>
      <c r="G351" s="3" t="s">
        <v>1348</v>
      </c>
      <c r="H351" s="3" t="s">
        <v>1348</v>
      </c>
      <c r="I351" s="3" t="s">
        <v>1247</v>
      </c>
      <c r="J351" s="5">
        <v>45455</v>
      </c>
      <c r="K351" s="5">
        <v>45455</v>
      </c>
      <c r="L351" s="6">
        <v>376226.42</v>
      </c>
    </row>
    <row r="352" s="1" customFormat="1" spans="1:12">
      <c r="A352" s="3" t="s">
        <v>521</v>
      </c>
      <c r="B352" s="3" t="s">
        <v>562</v>
      </c>
      <c r="C352" s="3" t="s">
        <v>424</v>
      </c>
      <c r="D352" s="3" t="s">
        <v>1349</v>
      </c>
      <c r="E352" s="3" t="s">
        <v>1346</v>
      </c>
      <c r="F352" s="3" t="s">
        <v>1347</v>
      </c>
      <c r="G352" s="3" t="s">
        <v>425</v>
      </c>
      <c r="H352" s="3" t="s">
        <v>425</v>
      </c>
      <c r="I352" s="3" t="s">
        <v>574</v>
      </c>
      <c r="J352" s="5">
        <v>45427</v>
      </c>
      <c r="K352" s="5">
        <v>45427</v>
      </c>
      <c r="L352" s="6">
        <v>13396.23</v>
      </c>
    </row>
    <row r="353" s="1" customFormat="1" spans="1:12">
      <c r="A353" s="3" t="s">
        <v>521</v>
      </c>
      <c r="B353" s="3" t="s">
        <v>562</v>
      </c>
      <c r="C353" s="3" t="s">
        <v>1350</v>
      </c>
      <c r="D353" s="3" t="s">
        <v>1351</v>
      </c>
      <c r="E353" s="3" t="s">
        <v>1346</v>
      </c>
      <c r="F353" s="3" t="s">
        <v>1347</v>
      </c>
      <c r="G353" s="3" t="s">
        <v>525</v>
      </c>
      <c r="H353" s="3" t="s">
        <v>1352</v>
      </c>
      <c r="I353" s="3" t="s">
        <v>527</v>
      </c>
      <c r="J353" s="5">
        <v>45443</v>
      </c>
      <c r="K353" s="5">
        <v>45435</v>
      </c>
      <c r="L353" s="6">
        <v>-13396.23</v>
      </c>
    </row>
    <row r="354" s="1" customFormat="1" spans="1:12">
      <c r="A354" s="3" t="s">
        <v>508</v>
      </c>
      <c r="B354" s="3" t="s">
        <v>518</v>
      </c>
      <c r="C354" s="3" t="s">
        <v>1353</v>
      </c>
      <c r="D354" s="3" t="s">
        <v>1354</v>
      </c>
      <c r="E354" s="3" t="s">
        <v>1355</v>
      </c>
      <c r="F354" s="3" t="s">
        <v>1356</v>
      </c>
      <c r="G354" s="3" t="s">
        <v>1357</v>
      </c>
      <c r="H354" s="3" t="s">
        <v>1357</v>
      </c>
      <c r="I354" s="3" t="s">
        <v>670</v>
      </c>
      <c r="J354" s="5">
        <v>45278</v>
      </c>
      <c r="K354" s="5">
        <v>45278</v>
      </c>
      <c r="L354" s="6">
        <v>3171.16</v>
      </c>
    </row>
    <row r="355" s="1" customFormat="1" spans="1:12">
      <c r="A355" s="3" t="s">
        <v>508</v>
      </c>
      <c r="B355" s="3" t="s">
        <v>518</v>
      </c>
      <c r="C355" s="3" t="s">
        <v>1358</v>
      </c>
      <c r="D355" s="3" t="s">
        <v>1359</v>
      </c>
      <c r="E355" s="3" t="s">
        <v>1355</v>
      </c>
      <c r="F355" s="3" t="s">
        <v>1356</v>
      </c>
      <c r="G355" s="3" t="s">
        <v>1360</v>
      </c>
      <c r="H355" s="3" t="s">
        <v>1360</v>
      </c>
      <c r="I355" s="3" t="s">
        <v>670</v>
      </c>
      <c r="J355" s="5">
        <v>45278</v>
      </c>
      <c r="K355" s="5">
        <v>45278</v>
      </c>
      <c r="L355" s="6">
        <v>3408.78</v>
      </c>
    </row>
    <row r="356" s="1" customFormat="1" spans="1:12">
      <c r="A356" s="3" t="s">
        <v>508</v>
      </c>
      <c r="B356" s="3" t="s">
        <v>518</v>
      </c>
      <c r="C356" s="3" t="s">
        <v>1361</v>
      </c>
      <c r="D356" s="3" t="s">
        <v>1362</v>
      </c>
      <c r="E356" s="3" t="s">
        <v>1355</v>
      </c>
      <c r="F356" s="3" t="s">
        <v>1356</v>
      </c>
      <c r="G356" s="3" t="s">
        <v>525</v>
      </c>
      <c r="H356" s="3" t="s">
        <v>1363</v>
      </c>
      <c r="I356" s="3" t="s">
        <v>527</v>
      </c>
      <c r="J356" s="5">
        <v>45291</v>
      </c>
      <c r="K356" s="5">
        <v>45288</v>
      </c>
      <c r="L356" s="6">
        <v>-6579.94</v>
      </c>
    </row>
    <row r="357" s="1" customFormat="1" spans="1:12">
      <c r="A357" s="3" t="s">
        <v>521</v>
      </c>
      <c r="B357" s="3" t="s">
        <v>562</v>
      </c>
      <c r="C357" s="3" t="s">
        <v>1364</v>
      </c>
      <c r="D357" s="3" t="s">
        <v>1365</v>
      </c>
      <c r="E357" s="3" t="s">
        <v>1355</v>
      </c>
      <c r="F357" s="3" t="s">
        <v>1356</v>
      </c>
      <c r="G357" s="3" t="s">
        <v>525</v>
      </c>
      <c r="H357" s="3" t="s">
        <v>1363</v>
      </c>
      <c r="I357" s="3" t="s">
        <v>527</v>
      </c>
      <c r="J357" s="5">
        <v>45443</v>
      </c>
      <c r="K357" s="5">
        <v>45435</v>
      </c>
      <c r="L357" s="6">
        <v>-8324.54</v>
      </c>
    </row>
    <row r="358" s="1" customFormat="1" spans="1:12">
      <c r="A358" s="3" t="s">
        <v>521</v>
      </c>
      <c r="B358" s="3" t="s">
        <v>895</v>
      </c>
      <c r="C358" s="3" t="s">
        <v>1366</v>
      </c>
      <c r="D358" s="3" t="s">
        <v>1367</v>
      </c>
      <c r="E358" s="3" t="s">
        <v>1355</v>
      </c>
      <c r="F358" s="3" t="s">
        <v>1356</v>
      </c>
      <c r="G358" s="3" t="s">
        <v>1368</v>
      </c>
      <c r="H358" s="3" t="s">
        <v>1368</v>
      </c>
      <c r="I358" s="3" t="s">
        <v>670</v>
      </c>
      <c r="J358" s="5">
        <v>45394</v>
      </c>
      <c r="K358" s="5">
        <v>45394</v>
      </c>
      <c r="L358" s="6">
        <v>688.77</v>
      </c>
    </row>
    <row r="359" s="1" customFormat="1" spans="1:12">
      <c r="A359" s="3" t="s">
        <v>521</v>
      </c>
      <c r="B359" s="3" t="s">
        <v>562</v>
      </c>
      <c r="C359" s="3" t="s">
        <v>1369</v>
      </c>
      <c r="D359" s="3" t="s">
        <v>1370</v>
      </c>
      <c r="E359" s="3" t="s">
        <v>1355</v>
      </c>
      <c r="F359" s="3" t="s">
        <v>1356</v>
      </c>
      <c r="G359" s="3" t="s">
        <v>1371</v>
      </c>
      <c r="H359" s="3" t="s">
        <v>1371</v>
      </c>
      <c r="I359" s="3" t="s">
        <v>670</v>
      </c>
      <c r="J359" s="5">
        <v>45423</v>
      </c>
      <c r="K359" s="5">
        <v>45423</v>
      </c>
      <c r="L359" s="6">
        <v>690.54</v>
      </c>
    </row>
    <row r="360" s="1" customFormat="1" spans="1:12">
      <c r="A360" s="3" t="s">
        <v>521</v>
      </c>
      <c r="B360" s="3" t="s">
        <v>562</v>
      </c>
      <c r="C360" s="3" t="s">
        <v>1372</v>
      </c>
      <c r="D360" s="3" t="s">
        <v>1373</v>
      </c>
      <c r="E360" s="3" t="s">
        <v>1355</v>
      </c>
      <c r="F360" s="3" t="s">
        <v>1356</v>
      </c>
      <c r="G360" s="3" t="s">
        <v>1374</v>
      </c>
      <c r="H360" s="3" t="s">
        <v>1374</v>
      </c>
      <c r="I360" s="3" t="s">
        <v>670</v>
      </c>
      <c r="J360" s="5">
        <v>45423</v>
      </c>
      <c r="K360" s="5">
        <v>45423</v>
      </c>
      <c r="L360" s="6">
        <v>7634</v>
      </c>
    </row>
    <row r="361" s="1" customFormat="1" spans="1:12">
      <c r="A361" s="3" t="s">
        <v>521</v>
      </c>
      <c r="B361" s="3" t="s">
        <v>530</v>
      </c>
      <c r="C361" s="3" t="s">
        <v>1375</v>
      </c>
      <c r="D361" s="3" t="s">
        <v>1376</v>
      </c>
      <c r="E361" s="3" t="s">
        <v>1355</v>
      </c>
      <c r="F361" s="3" t="s">
        <v>1356</v>
      </c>
      <c r="G361" s="3" t="s">
        <v>922</v>
      </c>
      <c r="H361" s="3" t="s">
        <v>922</v>
      </c>
      <c r="I361" s="3" t="s">
        <v>670</v>
      </c>
      <c r="J361" s="5">
        <v>45450</v>
      </c>
      <c r="K361" s="5">
        <v>45450</v>
      </c>
      <c r="L361" s="6">
        <v>800</v>
      </c>
    </row>
    <row r="362" s="1" customFormat="1" spans="1:12">
      <c r="A362" s="3" t="s">
        <v>521</v>
      </c>
      <c r="B362" s="3" t="s">
        <v>895</v>
      </c>
      <c r="C362" s="3" t="s">
        <v>1377</v>
      </c>
      <c r="D362" s="3" t="s">
        <v>1378</v>
      </c>
      <c r="E362" s="3" t="s">
        <v>1355</v>
      </c>
      <c r="F362" s="3" t="s">
        <v>1356</v>
      </c>
      <c r="G362" s="3" t="s">
        <v>525</v>
      </c>
      <c r="H362" s="3" t="s">
        <v>1363</v>
      </c>
      <c r="I362" s="3" t="s">
        <v>527</v>
      </c>
      <c r="J362" s="5">
        <v>45412</v>
      </c>
      <c r="K362" s="5">
        <v>45407</v>
      </c>
      <c r="L362" s="6">
        <v>-688.77</v>
      </c>
    </row>
    <row r="363" s="1" customFormat="1" spans="1:12">
      <c r="A363" s="3" t="s">
        <v>521</v>
      </c>
      <c r="B363" s="3" t="s">
        <v>522</v>
      </c>
      <c r="C363" s="3" t="s">
        <v>1379</v>
      </c>
      <c r="D363" s="3" t="s">
        <v>1380</v>
      </c>
      <c r="E363" s="3" t="s">
        <v>1381</v>
      </c>
      <c r="F363" s="3" t="s">
        <v>1382</v>
      </c>
      <c r="G363" s="3" t="s">
        <v>970</v>
      </c>
      <c r="H363" s="3" t="s">
        <v>970</v>
      </c>
      <c r="I363" s="3" t="s">
        <v>1383</v>
      </c>
      <c r="J363" s="5">
        <v>45345</v>
      </c>
      <c r="K363" s="5">
        <v>45345</v>
      </c>
      <c r="L363" s="6">
        <v>31416.34</v>
      </c>
    </row>
    <row r="364" s="1" customFormat="1" spans="1:12">
      <c r="A364" s="3" t="s">
        <v>521</v>
      </c>
      <c r="B364" s="3" t="s">
        <v>522</v>
      </c>
      <c r="C364" s="3" t="s">
        <v>1384</v>
      </c>
      <c r="D364" s="3" t="s">
        <v>1385</v>
      </c>
      <c r="E364" s="3" t="s">
        <v>1381</v>
      </c>
      <c r="F364" s="3" t="s">
        <v>1382</v>
      </c>
      <c r="G364" s="3" t="s">
        <v>525</v>
      </c>
      <c r="H364" s="3" t="s">
        <v>1386</v>
      </c>
      <c r="I364" s="3" t="s">
        <v>527</v>
      </c>
      <c r="J364" s="5">
        <v>45351</v>
      </c>
      <c r="K364" s="5">
        <v>45345</v>
      </c>
      <c r="L364" s="6">
        <v>-31416.34</v>
      </c>
    </row>
    <row r="365" s="1" customFormat="1" spans="1:12">
      <c r="A365" s="3" t="s">
        <v>521</v>
      </c>
      <c r="B365" s="3" t="s">
        <v>562</v>
      </c>
      <c r="C365" s="3" t="s">
        <v>1387</v>
      </c>
      <c r="D365" s="3" t="s">
        <v>1388</v>
      </c>
      <c r="E365" s="3" t="s">
        <v>1389</v>
      </c>
      <c r="F365" s="3" t="s">
        <v>1390</v>
      </c>
      <c r="G365" s="3" t="s">
        <v>427</v>
      </c>
      <c r="H365" s="3" t="s">
        <v>427</v>
      </c>
      <c r="I365" s="3" t="s">
        <v>985</v>
      </c>
      <c r="J365" s="5">
        <v>45429</v>
      </c>
      <c r="K365" s="5">
        <v>45429</v>
      </c>
      <c r="L365" s="6">
        <v>5299.15</v>
      </c>
    </row>
    <row r="366" s="1" customFormat="1" spans="1:12">
      <c r="A366" s="3" t="s">
        <v>521</v>
      </c>
      <c r="B366" s="3" t="s">
        <v>562</v>
      </c>
      <c r="C366" s="3" t="s">
        <v>428</v>
      </c>
      <c r="D366" s="3" t="s">
        <v>1391</v>
      </c>
      <c r="E366" s="3" t="s">
        <v>1389</v>
      </c>
      <c r="F366" s="3" t="s">
        <v>1390</v>
      </c>
      <c r="G366" s="3" t="s">
        <v>429</v>
      </c>
      <c r="H366" s="3" t="s">
        <v>429</v>
      </c>
      <c r="I366" s="3" t="s">
        <v>985</v>
      </c>
      <c r="J366" s="5">
        <v>45429</v>
      </c>
      <c r="K366" s="5">
        <v>45429</v>
      </c>
      <c r="L366" s="6">
        <v>1196.7</v>
      </c>
    </row>
    <row r="367" s="1" customFormat="1" spans="1:12">
      <c r="A367" s="3" t="s">
        <v>521</v>
      </c>
      <c r="B367" s="3" t="s">
        <v>562</v>
      </c>
      <c r="C367" s="3" t="s">
        <v>430</v>
      </c>
      <c r="D367" s="3" t="s">
        <v>1392</v>
      </c>
      <c r="E367" s="3" t="s">
        <v>1389</v>
      </c>
      <c r="F367" s="3" t="s">
        <v>1390</v>
      </c>
      <c r="G367" s="3" t="s">
        <v>1393</v>
      </c>
      <c r="H367" s="3" t="s">
        <v>431</v>
      </c>
      <c r="I367" s="3" t="s">
        <v>985</v>
      </c>
      <c r="J367" s="5">
        <v>45429</v>
      </c>
      <c r="K367" s="5">
        <v>45429</v>
      </c>
      <c r="L367" s="6">
        <v>10045.06</v>
      </c>
    </row>
    <row r="368" s="1" customFormat="1" spans="1:12">
      <c r="A368" s="3" t="s">
        <v>521</v>
      </c>
      <c r="B368" s="3" t="s">
        <v>562</v>
      </c>
      <c r="C368" s="3" t="s">
        <v>432</v>
      </c>
      <c r="D368" s="3" t="s">
        <v>1394</v>
      </c>
      <c r="E368" s="3" t="s">
        <v>1389</v>
      </c>
      <c r="F368" s="3" t="s">
        <v>1390</v>
      </c>
      <c r="G368" s="3" t="s">
        <v>433</v>
      </c>
      <c r="H368" s="3" t="s">
        <v>433</v>
      </c>
      <c r="I368" s="3" t="s">
        <v>985</v>
      </c>
      <c r="J368" s="5">
        <v>45429</v>
      </c>
      <c r="K368" s="5">
        <v>45429</v>
      </c>
      <c r="L368" s="6">
        <v>2654.87</v>
      </c>
    </row>
    <row r="369" s="1" customFormat="1" spans="1:12">
      <c r="A369" s="3" t="s">
        <v>521</v>
      </c>
      <c r="B369" s="3" t="s">
        <v>562</v>
      </c>
      <c r="C369" s="3" t="s">
        <v>434</v>
      </c>
      <c r="D369" s="3" t="s">
        <v>1395</v>
      </c>
      <c r="E369" s="3" t="s">
        <v>1389</v>
      </c>
      <c r="F369" s="3" t="s">
        <v>1390</v>
      </c>
      <c r="G369" s="3" t="s">
        <v>435</v>
      </c>
      <c r="H369" s="3" t="s">
        <v>435</v>
      </c>
      <c r="I369" s="3" t="s">
        <v>985</v>
      </c>
      <c r="J369" s="5">
        <v>45429</v>
      </c>
      <c r="K369" s="5">
        <v>45429</v>
      </c>
      <c r="L369" s="6">
        <v>9551.14</v>
      </c>
    </row>
    <row r="370" s="1" customFormat="1" spans="1:12">
      <c r="A370" s="3" t="s">
        <v>521</v>
      </c>
      <c r="B370" s="3" t="s">
        <v>562</v>
      </c>
      <c r="C370" s="3" t="s">
        <v>436</v>
      </c>
      <c r="D370" s="3" t="s">
        <v>1396</v>
      </c>
      <c r="E370" s="3" t="s">
        <v>1389</v>
      </c>
      <c r="F370" s="3" t="s">
        <v>1390</v>
      </c>
      <c r="G370" s="3" t="s">
        <v>1397</v>
      </c>
      <c r="H370" s="3" t="s">
        <v>437</v>
      </c>
      <c r="I370" s="3" t="s">
        <v>985</v>
      </c>
      <c r="J370" s="5">
        <v>45429</v>
      </c>
      <c r="K370" s="5">
        <v>45429</v>
      </c>
      <c r="L370" s="6">
        <v>19400.34</v>
      </c>
    </row>
    <row r="371" s="1" customFormat="1" spans="1:12">
      <c r="A371" s="3" t="s">
        <v>521</v>
      </c>
      <c r="B371" s="3" t="s">
        <v>562</v>
      </c>
      <c r="C371" s="3" t="s">
        <v>441</v>
      </c>
      <c r="D371" s="3" t="s">
        <v>1398</v>
      </c>
      <c r="E371" s="3" t="s">
        <v>1389</v>
      </c>
      <c r="F371" s="3" t="s">
        <v>1390</v>
      </c>
      <c r="G371" s="3" t="s">
        <v>442</v>
      </c>
      <c r="H371" s="3" t="s">
        <v>442</v>
      </c>
      <c r="I371" s="3" t="s">
        <v>985</v>
      </c>
      <c r="J371" s="5">
        <v>45429</v>
      </c>
      <c r="K371" s="5">
        <v>45429</v>
      </c>
      <c r="L371" s="6">
        <v>8264.3</v>
      </c>
    </row>
    <row r="372" s="1" customFormat="1" spans="1:12">
      <c r="A372" s="3" t="s">
        <v>521</v>
      </c>
      <c r="B372" s="3" t="s">
        <v>562</v>
      </c>
      <c r="C372" s="3" t="s">
        <v>447</v>
      </c>
      <c r="D372" s="3" t="s">
        <v>1399</v>
      </c>
      <c r="E372" s="3" t="s">
        <v>1389</v>
      </c>
      <c r="F372" s="3" t="s">
        <v>1390</v>
      </c>
      <c r="G372" s="3" t="s">
        <v>448</v>
      </c>
      <c r="H372" s="3" t="s">
        <v>448</v>
      </c>
      <c r="I372" s="3" t="s">
        <v>985</v>
      </c>
      <c r="J372" s="5">
        <v>45429</v>
      </c>
      <c r="K372" s="5">
        <v>45429</v>
      </c>
      <c r="L372" s="6">
        <v>546.9</v>
      </c>
    </row>
    <row r="373" s="1" customFormat="1" spans="1:12">
      <c r="A373" s="3" t="s">
        <v>521</v>
      </c>
      <c r="B373" s="3" t="s">
        <v>562</v>
      </c>
      <c r="C373" s="3" t="s">
        <v>1400</v>
      </c>
      <c r="D373" s="3" t="s">
        <v>1401</v>
      </c>
      <c r="E373" s="3" t="s">
        <v>1389</v>
      </c>
      <c r="F373" s="3" t="s">
        <v>1390</v>
      </c>
      <c r="G373" s="3" t="s">
        <v>525</v>
      </c>
      <c r="H373" s="3" t="s">
        <v>1402</v>
      </c>
      <c r="I373" s="3" t="s">
        <v>527</v>
      </c>
      <c r="J373" s="5">
        <v>45443</v>
      </c>
      <c r="K373" s="5">
        <v>45436</v>
      </c>
      <c r="L373" s="6">
        <v>-1078587.67</v>
      </c>
    </row>
    <row r="374" s="1" customFormat="1" spans="1:12">
      <c r="A374" s="3" t="s">
        <v>521</v>
      </c>
      <c r="B374" s="3" t="s">
        <v>562</v>
      </c>
      <c r="C374" s="3" t="s">
        <v>1403</v>
      </c>
      <c r="D374" s="3" t="s">
        <v>1404</v>
      </c>
      <c r="E374" s="3" t="s">
        <v>1389</v>
      </c>
      <c r="F374" s="3" t="s">
        <v>1390</v>
      </c>
      <c r="G374" s="3" t="s">
        <v>525</v>
      </c>
      <c r="H374" s="3" t="s">
        <v>1402</v>
      </c>
      <c r="I374" s="3" t="s">
        <v>527</v>
      </c>
      <c r="J374" s="5">
        <v>45443</v>
      </c>
      <c r="K374" s="5">
        <v>45435</v>
      </c>
      <c r="L374" s="6">
        <v>-108738.98</v>
      </c>
    </row>
    <row r="375" s="1" customFormat="1" spans="1:12">
      <c r="A375" s="3" t="s">
        <v>521</v>
      </c>
      <c r="B375" s="3" t="s">
        <v>562</v>
      </c>
      <c r="C375" s="3" t="s">
        <v>438</v>
      </c>
      <c r="D375" s="3" t="s">
        <v>1405</v>
      </c>
      <c r="E375" s="3" t="s">
        <v>1389</v>
      </c>
      <c r="F375" s="3" t="s">
        <v>1390</v>
      </c>
      <c r="G375" s="3" t="s">
        <v>439</v>
      </c>
      <c r="H375" s="3" t="s">
        <v>439</v>
      </c>
      <c r="I375" s="3" t="s">
        <v>985</v>
      </c>
      <c r="J375" s="5">
        <v>45435</v>
      </c>
      <c r="K375" s="5">
        <v>45435</v>
      </c>
      <c r="L375" s="6">
        <v>1078587.67</v>
      </c>
    </row>
    <row r="376" s="1" customFormat="1" spans="1:12">
      <c r="A376" s="3" t="s">
        <v>521</v>
      </c>
      <c r="B376" s="3" t="s">
        <v>562</v>
      </c>
      <c r="C376" s="3" t="s">
        <v>440</v>
      </c>
      <c r="D376" s="3" t="s">
        <v>1406</v>
      </c>
      <c r="E376" s="3" t="s">
        <v>1389</v>
      </c>
      <c r="F376" s="3" t="s">
        <v>1390</v>
      </c>
      <c r="G376" s="3" t="s">
        <v>429</v>
      </c>
      <c r="H376" s="3" t="s">
        <v>429</v>
      </c>
      <c r="I376" s="3" t="s">
        <v>985</v>
      </c>
      <c r="J376" s="5">
        <v>45429</v>
      </c>
      <c r="K376" s="5">
        <v>45429</v>
      </c>
      <c r="L376" s="6">
        <v>756.79</v>
      </c>
    </row>
    <row r="377" s="1" customFormat="1" spans="1:12">
      <c r="A377" s="3" t="s">
        <v>521</v>
      </c>
      <c r="B377" s="3" t="s">
        <v>562</v>
      </c>
      <c r="C377" s="3" t="s">
        <v>440</v>
      </c>
      <c r="D377" s="3" t="s">
        <v>1406</v>
      </c>
      <c r="E377" s="3" t="s">
        <v>1389</v>
      </c>
      <c r="F377" s="3" t="s">
        <v>1390</v>
      </c>
      <c r="G377" s="3" t="s">
        <v>429</v>
      </c>
      <c r="H377" s="3" t="s">
        <v>429</v>
      </c>
      <c r="I377" s="3" t="s">
        <v>985</v>
      </c>
      <c r="J377" s="5">
        <v>45429</v>
      </c>
      <c r="K377" s="5">
        <v>45429</v>
      </c>
      <c r="L377" s="6">
        <v>20121.04</v>
      </c>
    </row>
    <row r="378" s="1" customFormat="1" spans="1:12">
      <c r="A378" s="3" t="s">
        <v>521</v>
      </c>
      <c r="B378" s="3" t="s">
        <v>562</v>
      </c>
      <c r="C378" s="3" t="s">
        <v>443</v>
      </c>
      <c r="D378" s="3" t="s">
        <v>1407</v>
      </c>
      <c r="E378" s="3" t="s">
        <v>1389</v>
      </c>
      <c r="F378" s="3" t="s">
        <v>1390</v>
      </c>
      <c r="G378" s="3" t="s">
        <v>444</v>
      </c>
      <c r="H378" s="3" t="s">
        <v>444</v>
      </c>
      <c r="I378" s="3" t="s">
        <v>985</v>
      </c>
      <c r="J378" s="5">
        <v>45429</v>
      </c>
      <c r="K378" s="5">
        <v>45429</v>
      </c>
      <c r="L378" s="6">
        <v>9327.44</v>
      </c>
    </row>
    <row r="379" s="1" customFormat="1" spans="1:12">
      <c r="A379" s="3" t="s">
        <v>521</v>
      </c>
      <c r="B379" s="3" t="s">
        <v>562</v>
      </c>
      <c r="C379" s="3" t="s">
        <v>445</v>
      </c>
      <c r="D379" s="3" t="s">
        <v>1408</v>
      </c>
      <c r="E379" s="3" t="s">
        <v>1389</v>
      </c>
      <c r="F379" s="3" t="s">
        <v>1390</v>
      </c>
      <c r="G379" s="3" t="s">
        <v>446</v>
      </c>
      <c r="H379" s="3" t="s">
        <v>446</v>
      </c>
      <c r="I379" s="3" t="s">
        <v>985</v>
      </c>
      <c r="J379" s="5">
        <v>45429</v>
      </c>
      <c r="K379" s="5">
        <v>45429</v>
      </c>
      <c r="L379" s="6">
        <v>18304.91</v>
      </c>
    </row>
    <row r="380" s="1" customFormat="1" spans="1:12">
      <c r="A380" s="3" t="s">
        <v>521</v>
      </c>
      <c r="B380" s="3" t="s">
        <v>562</v>
      </c>
      <c r="C380" s="3" t="s">
        <v>449</v>
      </c>
      <c r="D380" s="3" t="s">
        <v>1409</v>
      </c>
      <c r="E380" s="3" t="s">
        <v>1389</v>
      </c>
      <c r="F380" s="3" t="s">
        <v>1390</v>
      </c>
      <c r="G380" s="3" t="s">
        <v>1410</v>
      </c>
      <c r="H380" s="3" t="s">
        <v>450</v>
      </c>
      <c r="I380" s="3" t="s">
        <v>985</v>
      </c>
      <c r="J380" s="5">
        <v>45429</v>
      </c>
      <c r="K380" s="5">
        <v>45429</v>
      </c>
      <c r="L380" s="6">
        <v>1191.13</v>
      </c>
    </row>
    <row r="381" s="1" customFormat="1" spans="1:12">
      <c r="A381" s="3" t="s">
        <v>521</v>
      </c>
      <c r="B381" s="3" t="s">
        <v>562</v>
      </c>
      <c r="C381" s="3" t="s">
        <v>451</v>
      </c>
      <c r="D381" s="3" t="s">
        <v>1411</v>
      </c>
      <c r="E381" s="3" t="s">
        <v>1389</v>
      </c>
      <c r="F381" s="3" t="s">
        <v>1390</v>
      </c>
      <c r="G381" s="3" t="s">
        <v>452</v>
      </c>
      <c r="H381" s="3" t="s">
        <v>452</v>
      </c>
      <c r="I381" s="3" t="s">
        <v>574</v>
      </c>
      <c r="J381" s="5">
        <v>45421</v>
      </c>
      <c r="K381" s="5">
        <v>45421</v>
      </c>
      <c r="L381" s="6">
        <v>2079.21</v>
      </c>
    </row>
    <row r="382" s="1" customFormat="1" spans="1:12">
      <c r="A382" s="3" t="s">
        <v>521</v>
      </c>
      <c r="B382" s="3" t="s">
        <v>597</v>
      </c>
      <c r="C382" s="3" t="s">
        <v>1412</v>
      </c>
      <c r="D382" s="3" t="s">
        <v>1413</v>
      </c>
      <c r="E382" s="3" t="s">
        <v>1414</v>
      </c>
      <c r="F382" s="3" t="s">
        <v>1415</v>
      </c>
      <c r="G382" s="3" t="s">
        <v>1416</v>
      </c>
      <c r="H382" s="3" t="s">
        <v>1416</v>
      </c>
      <c r="I382" s="3" t="s">
        <v>647</v>
      </c>
      <c r="J382" s="5">
        <v>45371</v>
      </c>
      <c r="K382" s="5">
        <v>45371</v>
      </c>
      <c r="L382" s="6">
        <v>2442.48</v>
      </c>
    </row>
    <row r="383" s="1" customFormat="1" spans="1:12">
      <c r="A383" s="3" t="s">
        <v>521</v>
      </c>
      <c r="B383" s="3" t="s">
        <v>597</v>
      </c>
      <c r="C383" s="3" t="s">
        <v>1417</v>
      </c>
      <c r="D383" s="3" t="s">
        <v>1418</v>
      </c>
      <c r="E383" s="3" t="s">
        <v>1414</v>
      </c>
      <c r="F383" s="3" t="s">
        <v>1415</v>
      </c>
      <c r="G383" s="3" t="s">
        <v>1419</v>
      </c>
      <c r="H383" s="3" t="s">
        <v>1419</v>
      </c>
      <c r="I383" s="3" t="s">
        <v>647</v>
      </c>
      <c r="J383" s="5">
        <v>45371</v>
      </c>
      <c r="K383" s="5">
        <v>45371</v>
      </c>
      <c r="L383" s="6">
        <v>41592.92</v>
      </c>
    </row>
    <row r="384" s="1" customFormat="1" spans="1:12">
      <c r="A384" s="3" t="s">
        <v>521</v>
      </c>
      <c r="B384" s="3" t="s">
        <v>562</v>
      </c>
      <c r="C384" s="3" t="s">
        <v>453</v>
      </c>
      <c r="D384" s="3" t="s">
        <v>1420</v>
      </c>
      <c r="E384" s="3" t="s">
        <v>1414</v>
      </c>
      <c r="F384" s="3" t="s">
        <v>1415</v>
      </c>
      <c r="G384" s="3" t="s">
        <v>454</v>
      </c>
      <c r="H384" s="3" t="s">
        <v>454</v>
      </c>
      <c r="I384" s="3" t="s">
        <v>985</v>
      </c>
      <c r="J384" s="5">
        <v>45429</v>
      </c>
      <c r="K384" s="5">
        <v>45429</v>
      </c>
      <c r="L384" s="6">
        <v>154.15</v>
      </c>
    </row>
    <row r="385" s="1" customFormat="1" spans="1:12">
      <c r="A385" s="3" t="s">
        <v>521</v>
      </c>
      <c r="B385" s="3" t="s">
        <v>562</v>
      </c>
      <c r="C385" s="3" t="s">
        <v>455</v>
      </c>
      <c r="D385" s="3" t="s">
        <v>1421</v>
      </c>
      <c r="E385" s="3" t="s">
        <v>1414</v>
      </c>
      <c r="F385" s="3" t="s">
        <v>1415</v>
      </c>
      <c r="G385" s="3" t="s">
        <v>456</v>
      </c>
      <c r="H385" s="3" t="s">
        <v>456</v>
      </c>
      <c r="I385" s="3" t="s">
        <v>985</v>
      </c>
      <c r="J385" s="5">
        <v>45429</v>
      </c>
      <c r="K385" s="5">
        <v>45429</v>
      </c>
      <c r="L385" s="6">
        <v>784.07</v>
      </c>
    </row>
    <row r="386" s="1" customFormat="1" spans="1:12">
      <c r="A386" s="3" t="s">
        <v>521</v>
      </c>
      <c r="B386" s="3" t="s">
        <v>597</v>
      </c>
      <c r="C386" s="3" t="s">
        <v>1422</v>
      </c>
      <c r="D386" s="3" t="s">
        <v>1423</v>
      </c>
      <c r="E386" s="3" t="s">
        <v>1414</v>
      </c>
      <c r="F386" s="3" t="s">
        <v>1415</v>
      </c>
      <c r="G386" s="3" t="s">
        <v>525</v>
      </c>
      <c r="H386" s="3" t="s">
        <v>1424</v>
      </c>
      <c r="I386" s="3" t="s">
        <v>527</v>
      </c>
      <c r="J386" s="5">
        <v>45382</v>
      </c>
      <c r="K386" s="5">
        <v>45377</v>
      </c>
      <c r="L386" s="6">
        <v>-53185.84</v>
      </c>
    </row>
    <row r="387" s="1" customFormat="1" spans="1:12">
      <c r="A387" s="3" t="s">
        <v>521</v>
      </c>
      <c r="B387" s="3" t="s">
        <v>597</v>
      </c>
      <c r="C387" s="3" t="s">
        <v>1425</v>
      </c>
      <c r="D387" s="3" t="s">
        <v>1426</v>
      </c>
      <c r="E387" s="3" t="s">
        <v>1414</v>
      </c>
      <c r="F387" s="3" t="s">
        <v>1415</v>
      </c>
      <c r="G387" s="3" t="s">
        <v>1427</v>
      </c>
      <c r="H387" s="3" t="s">
        <v>1427</v>
      </c>
      <c r="I387" s="3" t="s">
        <v>647</v>
      </c>
      <c r="J387" s="5">
        <v>45371</v>
      </c>
      <c r="K387" s="5">
        <v>45371</v>
      </c>
      <c r="L387" s="6">
        <v>9150.44</v>
      </c>
    </row>
    <row r="388" s="1" customFormat="1" spans="1:12">
      <c r="A388" s="3" t="s">
        <v>521</v>
      </c>
      <c r="B388" s="3" t="s">
        <v>823</v>
      </c>
      <c r="C388" s="3" t="s">
        <v>1428</v>
      </c>
      <c r="D388" s="3" t="s">
        <v>1429</v>
      </c>
      <c r="E388" s="3" t="s">
        <v>1414</v>
      </c>
      <c r="F388" s="3" t="s">
        <v>1415</v>
      </c>
      <c r="G388" s="3" t="s">
        <v>525</v>
      </c>
      <c r="H388" s="3" t="s">
        <v>1424</v>
      </c>
      <c r="I388" s="3" t="s">
        <v>527</v>
      </c>
      <c r="J388" s="5">
        <v>45322</v>
      </c>
      <c r="K388" s="5">
        <v>45316</v>
      </c>
      <c r="L388" s="6">
        <v>-84328.41</v>
      </c>
    </row>
    <row r="389" s="1" customFormat="1" spans="1:12">
      <c r="A389" s="3" t="s">
        <v>521</v>
      </c>
      <c r="B389" s="3" t="s">
        <v>597</v>
      </c>
      <c r="C389" s="3" t="s">
        <v>1430</v>
      </c>
      <c r="D389" s="3" t="s">
        <v>1431</v>
      </c>
      <c r="E389" s="3" t="s">
        <v>1414</v>
      </c>
      <c r="F389" s="3" t="s">
        <v>1415</v>
      </c>
      <c r="G389" s="3" t="s">
        <v>525</v>
      </c>
      <c r="H389" s="3" t="s">
        <v>1424</v>
      </c>
      <c r="I389" s="3" t="s">
        <v>527</v>
      </c>
      <c r="J389" s="5">
        <v>45382</v>
      </c>
      <c r="K389" s="5">
        <v>45380</v>
      </c>
      <c r="L389" s="6">
        <v>-220361.54</v>
      </c>
    </row>
    <row r="390" s="1" customFormat="1" spans="1:12">
      <c r="A390" s="3" t="s">
        <v>521</v>
      </c>
      <c r="B390" s="3" t="s">
        <v>562</v>
      </c>
      <c r="C390" s="3" t="s">
        <v>1432</v>
      </c>
      <c r="D390" s="3" t="s">
        <v>1433</v>
      </c>
      <c r="E390" s="3" t="s">
        <v>1414</v>
      </c>
      <c r="F390" s="3" t="s">
        <v>1415</v>
      </c>
      <c r="G390" s="3" t="s">
        <v>525</v>
      </c>
      <c r="H390" s="3" t="s">
        <v>1424</v>
      </c>
      <c r="I390" s="3" t="s">
        <v>527</v>
      </c>
      <c r="J390" s="5">
        <v>45443</v>
      </c>
      <c r="K390" s="5">
        <v>45435</v>
      </c>
      <c r="L390" s="6">
        <v>-938.22</v>
      </c>
    </row>
    <row r="391" s="1" customFormat="1" spans="1:12">
      <c r="A391" s="3" t="s">
        <v>521</v>
      </c>
      <c r="B391" s="3" t="s">
        <v>823</v>
      </c>
      <c r="C391" s="3" t="s">
        <v>1434</v>
      </c>
      <c r="D391" s="3" t="s">
        <v>1435</v>
      </c>
      <c r="E391" s="3" t="s">
        <v>1414</v>
      </c>
      <c r="F391" s="3" t="s">
        <v>1415</v>
      </c>
      <c r="G391" s="3" t="s">
        <v>1436</v>
      </c>
      <c r="H391" s="3" t="s">
        <v>1436</v>
      </c>
      <c r="I391" s="3" t="s">
        <v>985</v>
      </c>
      <c r="J391" s="5">
        <v>45316</v>
      </c>
      <c r="K391" s="5">
        <v>45316</v>
      </c>
      <c r="L391" s="6">
        <v>864.44</v>
      </c>
    </row>
    <row r="392" s="1" customFormat="1" spans="1:12">
      <c r="A392" s="3" t="s">
        <v>521</v>
      </c>
      <c r="B392" s="3" t="s">
        <v>597</v>
      </c>
      <c r="C392" s="3" t="s">
        <v>1437</v>
      </c>
      <c r="D392" s="3" t="s">
        <v>1438</v>
      </c>
      <c r="E392" s="3" t="s">
        <v>1414</v>
      </c>
      <c r="F392" s="3" t="s">
        <v>1415</v>
      </c>
      <c r="G392" s="3" t="s">
        <v>1439</v>
      </c>
      <c r="H392" s="3" t="s">
        <v>1439</v>
      </c>
      <c r="I392" s="3" t="s">
        <v>985</v>
      </c>
      <c r="J392" s="5">
        <v>45380</v>
      </c>
      <c r="K392" s="5">
        <v>45380</v>
      </c>
      <c r="L392" s="6">
        <v>220361.54</v>
      </c>
    </row>
    <row r="393" s="1" customFormat="1" spans="1:12">
      <c r="A393" s="3" t="s">
        <v>521</v>
      </c>
      <c r="B393" s="3" t="s">
        <v>823</v>
      </c>
      <c r="C393" s="3" t="s">
        <v>1434</v>
      </c>
      <c r="D393" s="3" t="s">
        <v>1435</v>
      </c>
      <c r="E393" s="3" t="s">
        <v>1414</v>
      </c>
      <c r="F393" s="3" t="s">
        <v>1415</v>
      </c>
      <c r="G393" s="3" t="s">
        <v>1436</v>
      </c>
      <c r="H393" s="3" t="s">
        <v>1436</v>
      </c>
      <c r="I393" s="3" t="s">
        <v>985</v>
      </c>
      <c r="J393" s="5">
        <v>45316</v>
      </c>
      <c r="K393" s="5">
        <v>45316</v>
      </c>
      <c r="L393" s="6">
        <v>81109.69</v>
      </c>
    </row>
    <row r="394" s="1" customFormat="1" spans="1:12">
      <c r="A394" s="3" t="s">
        <v>521</v>
      </c>
      <c r="B394" s="3" t="s">
        <v>823</v>
      </c>
      <c r="C394" s="3" t="s">
        <v>1434</v>
      </c>
      <c r="D394" s="3" t="s">
        <v>1435</v>
      </c>
      <c r="E394" s="3" t="s">
        <v>1414</v>
      </c>
      <c r="F394" s="3" t="s">
        <v>1415</v>
      </c>
      <c r="G394" s="3" t="s">
        <v>1436</v>
      </c>
      <c r="H394" s="3" t="s">
        <v>1436</v>
      </c>
      <c r="I394" s="3" t="s">
        <v>985</v>
      </c>
      <c r="J394" s="5">
        <v>45316</v>
      </c>
      <c r="K394" s="5">
        <v>45316</v>
      </c>
      <c r="L394" s="6">
        <v>2195.56</v>
      </c>
    </row>
    <row r="395" s="1" customFormat="1" spans="1:12">
      <c r="A395" s="3" t="s">
        <v>521</v>
      </c>
      <c r="B395" s="3" t="s">
        <v>823</v>
      </c>
      <c r="C395" s="3" t="s">
        <v>1434</v>
      </c>
      <c r="D395" s="3" t="s">
        <v>1435</v>
      </c>
      <c r="E395" s="3" t="s">
        <v>1414</v>
      </c>
      <c r="F395" s="3" t="s">
        <v>1415</v>
      </c>
      <c r="G395" s="3" t="s">
        <v>1436</v>
      </c>
      <c r="H395" s="3" t="s">
        <v>1436</v>
      </c>
      <c r="I395" s="3" t="s">
        <v>985</v>
      </c>
      <c r="J395" s="5">
        <v>45316</v>
      </c>
      <c r="K395" s="5">
        <v>45316</v>
      </c>
      <c r="L395" s="6">
        <v>158.72</v>
      </c>
    </row>
    <row r="396" s="1" customFormat="1" spans="1:12">
      <c r="A396" s="3" t="s">
        <v>521</v>
      </c>
      <c r="B396" s="3" t="s">
        <v>530</v>
      </c>
      <c r="C396" s="3" t="s">
        <v>474</v>
      </c>
      <c r="D396" s="3" t="s">
        <v>532</v>
      </c>
      <c r="E396" s="3" t="s">
        <v>1440</v>
      </c>
      <c r="F396" s="3" t="s">
        <v>1441</v>
      </c>
      <c r="G396" s="3" t="s">
        <v>475</v>
      </c>
      <c r="H396" s="3" t="s">
        <v>475</v>
      </c>
      <c r="I396" s="3" t="s">
        <v>533</v>
      </c>
      <c r="J396" s="5">
        <v>45460</v>
      </c>
      <c r="K396" s="5">
        <v>45460</v>
      </c>
      <c r="L396" s="6">
        <v>2839362.78</v>
      </c>
    </row>
    <row r="397" s="1" customFormat="1" spans="1:12">
      <c r="A397" s="3" t="s">
        <v>521</v>
      </c>
      <c r="B397" s="3" t="s">
        <v>530</v>
      </c>
      <c r="C397" s="3" t="s">
        <v>470</v>
      </c>
      <c r="D397" s="3" t="s">
        <v>534</v>
      </c>
      <c r="E397" s="3" t="s">
        <v>1440</v>
      </c>
      <c r="F397" s="3" t="s">
        <v>1441</v>
      </c>
      <c r="G397" s="3" t="s">
        <v>471</v>
      </c>
      <c r="H397" s="3" t="s">
        <v>471</v>
      </c>
      <c r="I397" s="3" t="s">
        <v>533</v>
      </c>
      <c r="J397" s="5">
        <v>45461</v>
      </c>
      <c r="K397" s="5">
        <v>45461</v>
      </c>
      <c r="L397" s="6">
        <v>2806453.33</v>
      </c>
    </row>
    <row r="398" s="1" customFormat="1" spans="1:12">
      <c r="A398" s="3" t="s">
        <v>508</v>
      </c>
      <c r="B398" s="3" t="s">
        <v>509</v>
      </c>
      <c r="C398" s="3" t="s">
        <v>1442</v>
      </c>
      <c r="D398" s="3" t="s">
        <v>1443</v>
      </c>
      <c r="E398" s="3" t="s">
        <v>1444</v>
      </c>
      <c r="F398" s="3" t="s">
        <v>1445</v>
      </c>
      <c r="G398" s="3" t="s">
        <v>53</v>
      </c>
      <c r="H398" s="3" t="s">
        <v>53</v>
      </c>
      <c r="I398" s="3" t="s">
        <v>1247</v>
      </c>
      <c r="J398" s="5">
        <v>45223</v>
      </c>
      <c r="K398" s="5">
        <v>45223</v>
      </c>
      <c r="L398" s="6">
        <v>320754.72</v>
      </c>
    </row>
    <row r="399" s="1" customFormat="1" spans="1:12">
      <c r="A399" s="3" t="s">
        <v>508</v>
      </c>
      <c r="B399" s="3" t="s">
        <v>509</v>
      </c>
      <c r="C399" s="3" t="s">
        <v>1446</v>
      </c>
      <c r="D399" s="3" t="s">
        <v>1447</v>
      </c>
      <c r="E399" s="3" t="s">
        <v>1444</v>
      </c>
      <c r="F399" s="3" t="s">
        <v>1445</v>
      </c>
      <c r="G399" s="3" t="s">
        <v>525</v>
      </c>
      <c r="H399" s="3" t="s">
        <v>1448</v>
      </c>
      <c r="I399" s="3" t="s">
        <v>527</v>
      </c>
      <c r="J399" s="5">
        <v>45230</v>
      </c>
      <c r="K399" s="5">
        <v>45226</v>
      </c>
      <c r="L399" s="6">
        <v>-320754.72</v>
      </c>
    </row>
    <row r="400" s="1" customFormat="1" spans="1:12">
      <c r="A400" s="3" t="s">
        <v>521</v>
      </c>
      <c r="B400" s="3" t="s">
        <v>597</v>
      </c>
      <c r="C400" s="3" t="s">
        <v>352</v>
      </c>
      <c r="D400" s="3" t="s">
        <v>1449</v>
      </c>
      <c r="E400" s="3" t="s">
        <v>1444</v>
      </c>
      <c r="F400" s="3" t="s">
        <v>1445</v>
      </c>
      <c r="G400" s="3" t="s">
        <v>353</v>
      </c>
      <c r="H400" s="3" t="s">
        <v>353</v>
      </c>
      <c r="I400" s="3" t="s">
        <v>1247</v>
      </c>
      <c r="J400" s="5">
        <v>45362</v>
      </c>
      <c r="K400" s="5">
        <v>45362</v>
      </c>
      <c r="L400" s="6">
        <v>914728.77</v>
      </c>
    </row>
    <row r="401" s="1" customFormat="1" spans="1:12">
      <c r="A401" s="3" t="s">
        <v>521</v>
      </c>
      <c r="B401" s="3" t="s">
        <v>895</v>
      </c>
      <c r="C401" s="3" t="s">
        <v>371</v>
      </c>
      <c r="D401" s="3" t="s">
        <v>1450</v>
      </c>
      <c r="E401" s="3" t="s">
        <v>1444</v>
      </c>
      <c r="F401" s="3" t="s">
        <v>1445</v>
      </c>
      <c r="G401" s="3" t="s">
        <v>372</v>
      </c>
      <c r="H401" s="3" t="s">
        <v>372</v>
      </c>
      <c r="I401" s="3" t="s">
        <v>1247</v>
      </c>
      <c r="J401" s="5">
        <v>45405</v>
      </c>
      <c r="K401" s="5">
        <v>45405</v>
      </c>
      <c r="L401" s="6">
        <v>241813.68</v>
      </c>
    </row>
    <row r="402" s="1" customFormat="1" spans="1:12">
      <c r="A402" s="3" t="s">
        <v>521</v>
      </c>
      <c r="B402" s="3" t="s">
        <v>895</v>
      </c>
      <c r="C402" s="3" t="s">
        <v>1451</v>
      </c>
      <c r="D402" s="3" t="s">
        <v>1452</v>
      </c>
      <c r="E402" s="3" t="s">
        <v>1444</v>
      </c>
      <c r="F402" s="3" t="s">
        <v>1445</v>
      </c>
      <c r="G402" s="3" t="s">
        <v>525</v>
      </c>
      <c r="H402" s="3" t="s">
        <v>1448</v>
      </c>
      <c r="I402" s="3" t="s">
        <v>527</v>
      </c>
      <c r="J402" s="5">
        <v>45412</v>
      </c>
      <c r="K402" s="5">
        <v>45407</v>
      </c>
      <c r="L402" s="6">
        <v>-241813.68</v>
      </c>
    </row>
    <row r="403" s="1" customFormat="1" spans="1:12">
      <c r="A403" s="3" t="s">
        <v>521</v>
      </c>
      <c r="B403" s="3" t="s">
        <v>597</v>
      </c>
      <c r="C403" s="3" t="s">
        <v>1453</v>
      </c>
      <c r="D403" s="3" t="s">
        <v>1454</v>
      </c>
      <c r="E403" s="3" t="s">
        <v>1444</v>
      </c>
      <c r="F403" s="3" t="s">
        <v>1445</v>
      </c>
      <c r="G403" s="3" t="s">
        <v>525</v>
      </c>
      <c r="H403" s="3" t="s">
        <v>1448</v>
      </c>
      <c r="I403" s="3" t="s">
        <v>527</v>
      </c>
      <c r="J403" s="5">
        <v>45382</v>
      </c>
      <c r="K403" s="5">
        <v>45377</v>
      </c>
      <c r="L403" s="6">
        <v>-914728.77</v>
      </c>
    </row>
    <row r="404" s="1" customFormat="1" spans="1:12">
      <c r="A404" s="3" t="s">
        <v>508</v>
      </c>
      <c r="B404" s="3" t="s">
        <v>509</v>
      </c>
      <c r="C404" s="3" t="s">
        <v>510</v>
      </c>
      <c r="D404" s="3" t="s">
        <v>511</v>
      </c>
      <c r="E404" s="3" t="s">
        <v>1455</v>
      </c>
      <c r="F404" s="3" t="s">
        <v>1456</v>
      </c>
      <c r="G404" s="3" t="s">
        <v>514</v>
      </c>
      <c r="H404" s="3" t="s">
        <v>514</v>
      </c>
      <c r="I404" s="3" t="s">
        <v>647</v>
      </c>
      <c r="J404" s="5">
        <v>45207</v>
      </c>
      <c r="K404" s="5">
        <v>45207</v>
      </c>
      <c r="L404" s="6">
        <v>764150.94</v>
      </c>
    </row>
    <row r="405" s="1" customFormat="1" spans="1:12">
      <c r="A405" s="3" t="s">
        <v>508</v>
      </c>
      <c r="B405" s="3" t="s">
        <v>509</v>
      </c>
      <c r="C405" s="3" t="s">
        <v>1457</v>
      </c>
      <c r="D405" s="3" t="s">
        <v>1458</v>
      </c>
      <c r="E405" s="3" t="s">
        <v>1455</v>
      </c>
      <c r="F405" s="3" t="s">
        <v>1456</v>
      </c>
      <c r="G405" s="3" t="s">
        <v>525</v>
      </c>
      <c r="H405" s="3" t="s">
        <v>1459</v>
      </c>
      <c r="I405" s="3" t="s">
        <v>527</v>
      </c>
      <c r="J405" s="5">
        <v>45230</v>
      </c>
      <c r="K405" s="5">
        <v>45226</v>
      </c>
      <c r="L405" s="6">
        <v>-764150.94</v>
      </c>
    </row>
    <row r="406" s="1" customFormat="1" spans="1:12">
      <c r="A406" s="3" t="s">
        <v>521</v>
      </c>
      <c r="B406" s="3" t="s">
        <v>562</v>
      </c>
      <c r="C406" s="3" t="s">
        <v>406</v>
      </c>
      <c r="D406" s="3" t="s">
        <v>563</v>
      </c>
      <c r="E406" s="3" t="s">
        <v>1455</v>
      </c>
      <c r="F406" s="3" t="s">
        <v>1456</v>
      </c>
      <c r="G406" s="3" t="s">
        <v>407</v>
      </c>
      <c r="H406" s="3" t="s">
        <v>407</v>
      </c>
      <c r="I406" s="3" t="s">
        <v>1247</v>
      </c>
      <c r="J406" s="5">
        <v>45433</v>
      </c>
      <c r="K406" s="5">
        <v>45433</v>
      </c>
      <c r="L406" s="6">
        <v>198113.21</v>
      </c>
    </row>
    <row r="407" s="1" customFormat="1" spans="1:12">
      <c r="A407" s="3" t="s">
        <v>521</v>
      </c>
      <c r="B407" s="3" t="s">
        <v>562</v>
      </c>
      <c r="C407" s="3" t="s">
        <v>1460</v>
      </c>
      <c r="D407" s="3" t="s">
        <v>1461</v>
      </c>
      <c r="E407" s="3" t="s">
        <v>1455</v>
      </c>
      <c r="F407" s="3" t="s">
        <v>1456</v>
      </c>
      <c r="G407" s="3" t="s">
        <v>525</v>
      </c>
      <c r="H407" s="3" t="s">
        <v>1459</v>
      </c>
      <c r="I407" s="3" t="s">
        <v>527</v>
      </c>
      <c r="J407" s="5">
        <v>45443</v>
      </c>
      <c r="K407" s="5">
        <v>45435</v>
      </c>
      <c r="L407" s="6">
        <v>-198113.21</v>
      </c>
    </row>
    <row r="408" s="1" customFormat="1" spans="1:12">
      <c r="A408" s="3" t="s">
        <v>521</v>
      </c>
      <c r="B408" s="3" t="s">
        <v>895</v>
      </c>
      <c r="C408" s="3" t="s">
        <v>1462</v>
      </c>
      <c r="D408" s="3" t="s">
        <v>1463</v>
      </c>
      <c r="E408" s="3" t="s">
        <v>1464</v>
      </c>
      <c r="F408" s="3" t="s">
        <v>1465</v>
      </c>
      <c r="G408" s="3" t="s">
        <v>382</v>
      </c>
      <c r="H408" s="3" t="s">
        <v>382</v>
      </c>
      <c r="I408" s="3" t="s">
        <v>1247</v>
      </c>
      <c r="J408" s="5">
        <v>45405</v>
      </c>
      <c r="K408" s="5">
        <v>45405</v>
      </c>
      <c r="L408" s="6">
        <v>149900.94</v>
      </c>
    </row>
    <row r="409" s="1" customFormat="1" spans="1:12">
      <c r="A409" s="3" t="s">
        <v>521</v>
      </c>
      <c r="B409" s="3" t="s">
        <v>895</v>
      </c>
      <c r="C409" s="3" t="s">
        <v>1466</v>
      </c>
      <c r="D409" s="3" t="s">
        <v>1467</v>
      </c>
      <c r="E409" s="3" t="s">
        <v>1464</v>
      </c>
      <c r="F409" s="3" t="s">
        <v>1465</v>
      </c>
      <c r="G409" s="3" t="s">
        <v>525</v>
      </c>
      <c r="H409" s="3" t="s">
        <v>1468</v>
      </c>
      <c r="I409" s="3" t="s">
        <v>527</v>
      </c>
      <c r="J409" s="5">
        <v>45412</v>
      </c>
      <c r="K409" s="5">
        <v>45407</v>
      </c>
      <c r="L409" s="6">
        <v>-149900.94</v>
      </c>
    </row>
    <row r="410" s="1" customFormat="1" spans="1:12">
      <c r="A410" s="3" t="s">
        <v>508</v>
      </c>
      <c r="B410" s="3" t="s">
        <v>509</v>
      </c>
      <c r="C410" s="3" t="s">
        <v>1469</v>
      </c>
      <c r="D410" s="3" t="s">
        <v>1470</v>
      </c>
      <c r="E410" s="3" t="s">
        <v>1471</v>
      </c>
      <c r="F410" s="3" t="s">
        <v>1472</v>
      </c>
      <c r="G410" s="3" t="s">
        <v>124</v>
      </c>
      <c r="H410" s="3" t="s">
        <v>124</v>
      </c>
      <c r="I410" s="3" t="s">
        <v>647</v>
      </c>
      <c r="J410" s="5">
        <v>45223</v>
      </c>
      <c r="K410" s="5">
        <v>45223</v>
      </c>
      <c r="L410" s="6">
        <v>472680</v>
      </c>
    </row>
    <row r="411" s="1" customFormat="1" spans="1:12">
      <c r="A411" s="3" t="s">
        <v>508</v>
      </c>
      <c r="B411" s="3" t="s">
        <v>518</v>
      </c>
      <c r="C411" s="3" t="s">
        <v>1473</v>
      </c>
      <c r="D411" s="3" t="s">
        <v>1474</v>
      </c>
      <c r="E411" s="3" t="s">
        <v>1471</v>
      </c>
      <c r="F411" s="3" t="s">
        <v>1472</v>
      </c>
      <c r="G411" s="3" t="s">
        <v>1475</v>
      </c>
      <c r="H411" s="3" t="s">
        <v>1475</v>
      </c>
      <c r="I411" s="3" t="s">
        <v>647</v>
      </c>
      <c r="J411" s="5">
        <v>45279</v>
      </c>
      <c r="K411" s="5">
        <v>45279</v>
      </c>
      <c r="L411" s="6">
        <v>48750</v>
      </c>
    </row>
    <row r="412" s="1" customFormat="1" spans="1:12">
      <c r="A412" s="3" t="s">
        <v>508</v>
      </c>
      <c r="B412" s="3" t="s">
        <v>509</v>
      </c>
      <c r="C412" s="3" t="s">
        <v>1476</v>
      </c>
      <c r="D412" s="3" t="s">
        <v>1477</v>
      </c>
      <c r="E412" s="3" t="s">
        <v>1471</v>
      </c>
      <c r="F412" s="3" t="s">
        <v>1472</v>
      </c>
      <c r="G412" s="3" t="s">
        <v>525</v>
      </c>
      <c r="H412" s="3" t="s">
        <v>1478</v>
      </c>
      <c r="I412" s="3" t="s">
        <v>527</v>
      </c>
      <c r="J412" s="5">
        <v>45230</v>
      </c>
      <c r="K412" s="5">
        <v>45226</v>
      </c>
      <c r="L412" s="6">
        <v>-472680</v>
      </c>
    </row>
    <row r="413" s="1" customFormat="1" spans="1:12">
      <c r="A413" s="3" t="s">
        <v>508</v>
      </c>
      <c r="B413" s="3" t="s">
        <v>518</v>
      </c>
      <c r="C413" s="3" t="s">
        <v>1479</v>
      </c>
      <c r="D413" s="3" t="s">
        <v>1480</v>
      </c>
      <c r="E413" s="3" t="s">
        <v>1471</v>
      </c>
      <c r="F413" s="3" t="s">
        <v>1472</v>
      </c>
      <c r="G413" s="3" t="s">
        <v>525</v>
      </c>
      <c r="H413" s="3" t="s">
        <v>1478</v>
      </c>
      <c r="I413" s="3" t="s">
        <v>527</v>
      </c>
      <c r="J413" s="5">
        <v>45291</v>
      </c>
      <c r="K413" s="5">
        <v>45288</v>
      </c>
      <c r="L413" s="6">
        <v>-48750</v>
      </c>
    </row>
    <row r="414" s="1" customFormat="1" spans="1:12">
      <c r="A414" s="3" t="s">
        <v>508</v>
      </c>
      <c r="B414" s="3" t="s">
        <v>542</v>
      </c>
      <c r="C414" s="3" t="s">
        <v>1481</v>
      </c>
      <c r="D414" s="3" t="s">
        <v>1482</v>
      </c>
      <c r="E414" s="3" t="s">
        <v>1483</v>
      </c>
      <c r="F414" s="3" t="s">
        <v>1484</v>
      </c>
      <c r="G414" s="3" t="s">
        <v>1485</v>
      </c>
      <c r="H414" s="3" t="s">
        <v>1485</v>
      </c>
      <c r="I414" s="3" t="s">
        <v>1486</v>
      </c>
      <c r="J414" s="5">
        <v>45260</v>
      </c>
      <c r="K414" s="5">
        <v>45260</v>
      </c>
      <c r="L414" s="6">
        <v>81083.33</v>
      </c>
    </row>
    <row r="415" s="1" customFormat="1" spans="1:12">
      <c r="A415" s="3" t="s">
        <v>508</v>
      </c>
      <c r="B415" s="3" t="s">
        <v>518</v>
      </c>
      <c r="C415" s="3" t="s">
        <v>1487</v>
      </c>
      <c r="D415" s="3" t="s">
        <v>1488</v>
      </c>
      <c r="E415" s="3" t="s">
        <v>1483</v>
      </c>
      <c r="F415" s="3" t="s">
        <v>1484</v>
      </c>
      <c r="G415" s="3" t="s">
        <v>1489</v>
      </c>
      <c r="H415" s="3" t="s">
        <v>1489</v>
      </c>
      <c r="I415" s="3" t="s">
        <v>1486</v>
      </c>
      <c r="J415" s="5">
        <v>45261</v>
      </c>
      <c r="K415" s="5">
        <v>45261</v>
      </c>
      <c r="L415" s="6">
        <v>-81083.33</v>
      </c>
    </row>
    <row r="416" s="1" customFormat="1" spans="1:12">
      <c r="A416" s="3" t="s">
        <v>508</v>
      </c>
      <c r="B416" s="3" t="s">
        <v>518</v>
      </c>
      <c r="C416" s="3" t="s">
        <v>1490</v>
      </c>
      <c r="D416" s="3" t="s">
        <v>1491</v>
      </c>
      <c r="E416" s="3" t="s">
        <v>1483</v>
      </c>
      <c r="F416" s="3" t="s">
        <v>1484</v>
      </c>
      <c r="G416" s="3" t="s">
        <v>1492</v>
      </c>
      <c r="H416" s="3" t="s">
        <v>1492</v>
      </c>
      <c r="I416" s="3" t="s">
        <v>1486</v>
      </c>
      <c r="J416" s="5">
        <v>45281</v>
      </c>
      <c r="K416" s="5">
        <v>45281</v>
      </c>
      <c r="L416" s="6">
        <v>158305.56</v>
      </c>
    </row>
    <row r="417" s="1" customFormat="1" spans="1:12">
      <c r="A417" s="3" t="s">
        <v>508</v>
      </c>
      <c r="B417" s="3" t="s">
        <v>518</v>
      </c>
      <c r="C417" s="3" t="s">
        <v>1493</v>
      </c>
      <c r="D417" s="3" t="s">
        <v>1494</v>
      </c>
      <c r="E417" s="3" t="s">
        <v>1483</v>
      </c>
      <c r="F417" s="3" t="s">
        <v>1484</v>
      </c>
      <c r="G417" s="3" t="s">
        <v>525</v>
      </c>
      <c r="H417" s="3" t="s">
        <v>1495</v>
      </c>
      <c r="I417" s="3" t="s">
        <v>527</v>
      </c>
      <c r="J417" s="5">
        <v>45291</v>
      </c>
      <c r="K417" s="5">
        <v>45288</v>
      </c>
      <c r="L417" s="6">
        <v>-228244.44</v>
      </c>
    </row>
    <row r="418" s="1" customFormat="1" spans="1:12">
      <c r="A418" s="3" t="s">
        <v>508</v>
      </c>
      <c r="B418" s="3" t="s">
        <v>518</v>
      </c>
      <c r="C418" s="3" t="s">
        <v>1490</v>
      </c>
      <c r="D418" s="3" t="s">
        <v>1496</v>
      </c>
      <c r="E418" s="3" t="s">
        <v>1483</v>
      </c>
      <c r="F418" s="3" t="s">
        <v>1484</v>
      </c>
      <c r="G418" s="3" t="s">
        <v>1492</v>
      </c>
      <c r="H418" s="3" t="s">
        <v>1492</v>
      </c>
      <c r="I418" s="3" t="s">
        <v>1486</v>
      </c>
      <c r="J418" s="5">
        <v>45281</v>
      </c>
      <c r="K418" s="5">
        <v>45281</v>
      </c>
      <c r="L418" s="6">
        <v>7722.22</v>
      </c>
    </row>
    <row r="419" s="1" customFormat="1" spans="1:12">
      <c r="A419" s="3" t="s">
        <v>508</v>
      </c>
      <c r="B419" s="3" t="s">
        <v>518</v>
      </c>
      <c r="C419" s="3" t="s">
        <v>1497</v>
      </c>
      <c r="D419" s="3" t="s">
        <v>1498</v>
      </c>
      <c r="E419" s="3" t="s">
        <v>1483</v>
      </c>
      <c r="F419" s="3" t="s">
        <v>1484</v>
      </c>
      <c r="G419" s="3" t="s">
        <v>1499</v>
      </c>
      <c r="H419" s="3" t="s">
        <v>1499</v>
      </c>
      <c r="I419" s="3" t="s">
        <v>1486</v>
      </c>
      <c r="J419" s="5">
        <v>45287</v>
      </c>
      <c r="K419" s="5">
        <v>45287</v>
      </c>
      <c r="L419" s="6">
        <v>92333.33</v>
      </c>
    </row>
    <row r="420" s="1" customFormat="1" spans="1:12">
      <c r="A420" s="3" t="s">
        <v>521</v>
      </c>
      <c r="B420" s="3" t="s">
        <v>823</v>
      </c>
      <c r="C420" s="3" t="s">
        <v>1500</v>
      </c>
      <c r="D420" s="3" t="s">
        <v>1501</v>
      </c>
      <c r="E420" s="3" t="s">
        <v>1483</v>
      </c>
      <c r="F420" s="3" t="s">
        <v>1484</v>
      </c>
      <c r="G420" s="3" t="s">
        <v>1502</v>
      </c>
      <c r="H420" s="3" t="s">
        <v>1502</v>
      </c>
      <c r="I420" s="3" t="s">
        <v>1486</v>
      </c>
      <c r="J420" s="5">
        <v>45292</v>
      </c>
      <c r="K420" s="5">
        <v>45292</v>
      </c>
      <c r="L420" s="6">
        <v>-92333.33</v>
      </c>
    </row>
    <row r="421" s="1" customFormat="1" spans="1:12">
      <c r="A421" s="3" t="s">
        <v>508</v>
      </c>
      <c r="B421" s="3" t="s">
        <v>518</v>
      </c>
      <c r="C421" s="3" t="s">
        <v>1497</v>
      </c>
      <c r="D421" s="3" t="s">
        <v>1503</v>
      </c>
      <c r="E421" s="3" t="s">
        <v>1483</v>
      </c>
      <c r="F421" s="3" t="s">
        <v>1484</v>
      </c>
      <c r="G421" s="3" t="s">
        <v>1499</v>
      </c>
      <c r="H421" s="3" t="s">
        <v>1499</v>
      </c>
      <c r="I421" s="3" t="s">
        <v>1486</v>
      </c>
      <c r="J421" s="5">
        <v>45287</v>
      </c>
      <c r="K421" s="5">
        <v>45287</v>
      </c>
      <c r="L421" s="6">
        <v>42472.22</v>
      </c>
    </row>
    <row r="422" s="1" customFormat="1" spans="1:12">
      <c r="A422" s="3" t="s">
        <v>508</v>
      </c>
      <c r="B422" s="3" t="s">
        <v>518</v>
      </c>
      <c r="C422" s="3" t="s">
        <v>1497</v>
      </c>
      <c r="D422" s="3" t="s">
        <v>1504</v>
      </c>
      <c r="E422" s="3" t="s">
        <v>1483</v>
      </c>
      <c r="F422" s="3" t="s">
        <v>1484</v>
      </c>
      <c r="G422" s="3" t="s">
        <v>1499</v>
      </c>
      <c r="H422" s="3" t="s">
        <v>1499</v>
      </c>
      <c r="I422" s="3" t="s">
        <v>1486</v>
      </c>
      <c r="J422" s="5">
        <v>45287</v>
      </c>
      <c r="K422" s="5">
        <v>45287</v>
      </c>
      <c r="L422" s="6">
        <v>8494.44</v>
      </c>
    </row>
    <row r="423" s="1" customFormat="1" spans="1:12">
      <c r="A423" s="3" t="s">
        <v>521</v>
      </c>
      <c r="B423" s="3" t="s">
        <v>823</v>
      </c>
      <c r="C423" s="3" t="s">
        <v>1500</v>
      </c>
      <c r="D423" s="3" t="s">
        <v>1505</v>
      </c>
      <c r="E423" s="3" t="s">
        <v>1483</v>
      </c>
      <c r="F423" s="3" t="s">
        <v>1484</v>
      </c>
      <c r="G423" s="3" t="s">
        <v>1502</v>
      </c>
      <c r="H423" s="3" t="s">
        <v>1502</v>
      </c>
      <c r="I423" s="3" t="s">
        <v>1486</v>
      </c>
      <c r="J423" s="5">
        <v>45292</v>
      </c>
      <c r="K423" s="5">
        <v>45292</v>
      </c>
      <c r="L423" s="6">
        <v>-42472.22</v>
      </c>
    </row>
    <row r="424" s="1" customFormat="1" spans="1:12">
      <c r="A424" s="3" t="s">
        <v>521</v>
      </c>
      <c r="B424" s="3" t="s">
        <v>823</v>
      </c>
      <c r="C424" s="3" t="s">
        <v>1500</v>
      </c>
      <c r="D424" s="3" t="s">
        <v>1506</v>
      </c>
      <c r="E424" s="3" t="s">
        <v>1483</v>
      </c>
      <c r="F424" s="3" t="s">
        <v>1484</v>
      </c>
      <c r="G424" s="3" t="s">
        <v>1502</v>
      </c>
      <c r="H424" s="3" t="s">
        <v>1502</v>
      </c>
      <c r="I424" s="3" t="s">
        <v>1486</v>
      </c>
      <c r="J424" s="5">
        <v>45292</v>
      </c>
      <c r="K424" s="5">
        <v>45292</v>
      </c>
      <c r="L424" s="6">
        <v>-8494.44</v>
      </c>
    </row>
    <row r="425" s="1" customFormat="1" spans="1:12">
      <c r="A425" s="3" t="s">
        <v>508</v>
      </c>
      <c r="B425" s="3" t="s">
        <v>542</v>
      </c>
      <c r="C425" s="3" t="s">
        <v>1507</v>
      </c>
      <c r="D425" s="3" t="s">
        <v>1508</v>
      </c>
      <c r="E425" s="3" t="s">
        <v>1483</v>
      </c>
      <c r="F425" s="3" t="s">
        <v>1484</v>
      </c>
      <c r="G425" s="3" t="s">
        <v>525</v>
      </c>
      <c r="H425" s="3" t="s">
        <v>1495</v>
      </c>
      <c r="I425" s="3" t="s">
        <v>527</v>
      </c>
      <c r="J425" s="5">
        <v>45260</v>
      </c>
      <c r="K425" s="5">
        <v>45254</v>
      </c>
      <c r="L425" s="6">
        <v>-81083.33</v>
      </c>
    </row>
    <row r="426" s="1" customFormat="1" spans="1:12">
      <c r="A426" s="3" t="s">
        <v>521</v>
      </c>
      <c r="B426" s="3" t="s">
        <v>823</v>
      </c>
      <c r="C426" s="3" t="s">
        <v>1509</v>
      </c>
      <c r="D426" s="3" t="s">
        <v>1510</v>
      </c>
      <c r="E426" s="3" t="s">
        <v>1483</v>
      </c>
      <c r="F426" s="3" t="s">
        <v>1484</v>
      </c>
      <c r="G426" s="3" t="s">
        <v>1511</v>
      </c>
      <c r="H426" s="3" t="s">
        <v>1511</v>
      </c>
      <c r="I426" s="3" t="s">
        <v>1486</v>
      </c>
      <c r="J426" s="5">
        <v>45322</v>
      </c>
      <c r="K426" s="5">
        <v>45322</v>
      </c>
      <c r="L426" s="6">
        <v>32433.33</v>
      </c>
    </row>
    <row r="427" s="1" customFormat="1" spans="1:12">
      <c r="A427" s="3" t="s">
        <v>521</v>
      </c>
      <c r="B427" s="3" t="s">
        <v>823</v>
      </c>
      <c r="C427" s="3" t="s">
        <v>1509</v>
      </c>
      <c r="D427" s="3" t="s">
        <v>1512</v>
      </c>
      <c r="E427" s="3" t="s">
        <v>1483</v>
      </c>
      <c r="F427" s="3" t="s">
        <v>1484</v>
      </c>
      <c r="G427" s="3" t="s">
        <v>1511</v>
      </c>
      <c r="H427" s="3" t="s">
        <v>1511</v>
      </c>
      <c r="I427" s="3" t="s">
        <v>1486</v>
      </c>
      <c r="J427" s="5">
        <v>45322</v>
      </c>
      <c r="K427" s="5">
        <v>45322</v>
      </c>
      <c r="L427" s="6">
        <v>162166.67</v>
      </c>
    </row>
    <row r="428" s="1" customFormat="1" spans="1:12">
      <c r="A428" s="3" t="s">
        <v>521</v>
      </c>
      <c r="B428" s="3" t="s">
        <v>522</v>
      </c>
      <c r="C428" s="3" t="s">
        <v>1513</v>
      </c>
      <c r="D428" s="3" t="s">
        <v>1514</v>
      </c>
      <c r="E428" s="3" t="s">
        <v>1483</v>
      </c>
      <c r="F428" s="3" t="s">
        <v>1484</v>
      </c>
      <c r="G428" s="3" t="s">
        <v>1515</v>
      </c>
      <c r="H428" s="3" t="s">
        <v>1515</v>
      </c>
      <c r="I428" s="3" t="s">
        <v>1486</v>
      </c>
      <c r="J428" s="5">
        <v>45323</v>
      </c>
      <c r="K428" s="5">
        <v>45323</v>
      </c>
      <c r="L428" s="6">
        <v>-162166.67</v>
      </c>
    </row>
    <row r="429" s="1" customFormat="1" spans="1:12">
      <c r="A429" s="3" t="s">
        <v>521</v>
      </c>
      <c r="B429" s="3" t="s">
        <v>823</v>
      </c>
      <c r="C429" s="3" t="s">
        <v>1509</v>
      </c>
      <c r="D429" s="3" t="s">
        <v>1516</v>
      </c>
      <c r="E429" s="3" t="s">
        <v>1483</v>
      </c>
      <c r="F429" s="3" t="s">
        <v>1484</v>
      </c>
      <c r="G429" s="3" t="s">
        <v>1511</v>
      </c>
      <c r="H429" s="3" t="s">
        <v>1511</v>
      </c>
      <c r="I429" s="3" t="s">
        <v>1486</v>
      </c>
      <c r="J429" s="5">
        <v>45322</v>
      </c>
      <c r="K429" s="5">
        <v>45322</v>
      </c>
      <c r="L429" s="6">
        <v>46333.33</v>
      </c>
    </row>
    <row r="430" s="1" customFormat="1" spans="1:12">
      <c r="A430" s="3" t="s">
        <v>521</v>
      </c>
      <c r="B430" s="3" t="s">
        <v>522</v>
      </c>
      <c r="C430" s="3" t="s">
        <v>1513</v>
      </c>
      <c r="D430" s="3" t="s">
        <v>1517</v>
      </c>
      <c r="E430" s="3" t="s">
        <v>1483</v>
      </c>
      <c r="F430" s="3" t="s">
        <v>1484</v>
      </c>
      <c r="G430" s="3" t="s">
        <v>1515</v>
      </c>
      <c r="H430" s="3" t="s">
        <v>1515</v>
      </c>
      <c r="I430" s="3" t="s">
        <v>1486</v>
      </c>
      <c r="J430" s="5">
        <v>45323</v>
      </c>
      <c r="K430" s="5">
        <v>45323</v>
      </c>
      <c r="L430" s="6">
        <v>-46333.33</v>
      </c>
    </row>
    <row r="431" s="1" customFormat="1" spans="1:12">
      <c r="A431" s="3" t="s">
        <v>521</v>
      </c>
      <c r="B431" s="3" t="s">
        <v>823</v>
      </c>
      <c r="C431" s="3" t="s">
        <v>1509</v>
      </c>
      <c r="D431" s="3" t="s">
        <v>1518</v>
      </c>
      <c r="E431" s="3" t="s">
        <v>1483</v>
      </c>
      <c r="F431" s="3" t="s">
        <v>1484</v>
      </c>
      <c r="G431" s="3" t="s">
        <v>1511</v>
      </c>
      <c r="H431" s="3" t="s">
        <v>1511</v>
      </c>
      <c r="I431" s="3" t="s">
        <v>1486</v>
      </c>
      <c r="J431" s="5">
        <v>45322</v>
      </c>
      <c r="K431" s="5">
        <v>45322</v>
      </c>
      <c r="L431" s="6">
        <v>378566.67</v>
      </c>
    </row>
    <row r="432" s="1" customFormat="1" spans="1:12">
      <c r="A432" s="3" t="s">
        <v>521</v>
      </c>
      <c r="B432" s="3" t="s">
        <v>522</v>
      </c>
      <c r="C432" s="3" t="s">
        <v>1513</v>
      </c>
      <c r="D432" s="3" t="s">
        <v>1519</v>
      </c>
      <c r="E432" s="3" t="s">
        <v>1483</v>
      </c>
      <c r="F432" s="3" t="s">
        <v>1484</v>
      </c>
      <c r="G432" s="3" t="s">
        <v>1515</v>
      </c>
      <c r="H432" s="3" t="s">
        <v>1515</v>
      </c>
      <c r="I432" s="3" t="s">
        <v>1486</v>
      </c>
      <c r="J432" s="5">
        <v>45323</v>
      </c>
      <c r="K432" s="5">
        <v>45323</v>
      </c>
      <c r="L432" s="6">
        <v>-378566.67</v>
      </c>
    </row>
    <row r="433" s="1" customFormat="1" spans="1:12">
      <c r="A433" s="3" t="s">
        <v>521</v>
      </c>
      <c r="B433" s="3" t="s">
        <v>522</v>
      </c>
      <c r="C433" s="3" t="s">
        <v>1513</v>
      </c>
      <c r="D433" s="3" t="s">
        <v>1520</v>
      </c>
      <c r="E433" s="3" t="s">
        <v>1483</v>
      </c>
      <c r="F433" s="3" t="s">
        <v>1484</v>
      </c>
      <c r="G433" s="3" t="s">
        <v>1515</v>
      </c>
      <c r="H433" s="3" t="s">
        <v>1515</v>
      </c>
      <c r="I433" s="3" t="s">
        <v>1486</v>
      </c>
      <c r="J433" s="5">
        <v>45323</v>
      </c>
      <c r="K433" s="5">
        <v>45323</v>
      </c>
      <c r="L433" s="6">
        <v>-32433.33</v>
      </c>
    </row>
    <row r="434" s="1" customFormat="1" spans="1:12">
      <c r="A434" s="3" t="s">
        <v>521</v>
      </c>
      <c r="B434" s="3" t="s">
        <v>597</v>
      </c>
      <c r="C434" s="3" t="s">
        <v>1521</v>
      </c>
      <c r="D434" s="3" t="s">
        <v>1522</v>
      </c>
      <c r="E434" s="3" t="s">
        <v>1483</v>
      </c>
      <c r="F434" s="3" t="s">
        <v>1484</v>
      </c>
      <c r="G434" s="3" t="s">
        <v>1523</v>
      </c>
      <c r="H434" s="3" t="s">
        <v>1523</v>
      </c>
      <c r="I434" s="3" t="s">
        <v>1486</v>
      </c>
      <c r="J434" s="5">
        <v>45352</v>
      </c>
      <c r="K434" s="5">
        <v>45352</v>
      </c>
      <c r="L434" s="6">
        <v>-54827.78</v>
      </c>
    </row>
    <row r="435" s="1" customFormat="1" spans="1:12">
      <c r="A435" s="3" t="s">
        <v>521</v>
      </c>
      <c r="B435" s="3" t="s">
        <v>522</v>
      </c>
      <c r="C435" s="3" t="s">
        <v>1524</v>
      </c>
      <c r="D435" s="3" t="s">
        <v>1525</v>
      </c>
      <c r="E435" s="3" t="s">
        <v>1483</v>
      </c>
      <c r="F435" s="3" t="s">
        <v>1484</v>
      </c>
      <c r="G435" s="3" t="s">
        <v>1526</v>
      </c>
      <c r="H435" s="3" t="s">
        <v>1526</v>
      </c>
      <c r="I435" s="3" t="s">
        <v>1486</v>
      </c>
      <c r="J435" s="5">
        <v>45351</v>
      </c>
      <c r="K435" s="5">
        <v>45351</v>
      </c>
      <c r="L435" s="6">
        <v>54827.78</v>
      </c>
    </row>
    <row r="436" s="1" customFormat="1" spans="1:12">
      <c r="A436" s="3" t="s">
        <v>521</v>
      </c>
      <c r="B436" s="3" t="s">
        <v>522</v>
      </c>
      <c r="C436" s="3" t="s">
        <v>1524</v>
      </c>
      <c r="D436" s="3" t="s">
        <v>1527</v>
      </c>
      <c r="E436" s="3" t="s">
        <v>1483</v>
      </c>
      <c r="F436" s="3" t="s">
        <v>1484</v>
      </c>
      <c r="G436" s="3" t="s">
        <v>1526</v>
      </c>
      <c r="H436" s="3" t="s">
        <v>1526</v>
      </c>
      <c r="I436" s="3" t="s">
        <v>1486</v>
      </c>
      <c r="J436" s="5">
        <v>45351</v>
      </c>
      <c r="K436" s="5">
        <v>45351</v>
      </c>
      <c r="L436" s="6">
        <v>91122.22</v>
      </c>
    </row>
    <row r="437" s="1" customFormat="1" spans="1:12">
      <c r="A437" s="3" t="s">
        <v>521</v>
      </c>
      <c r="B437" s="3" t="s">
        <v>597</v>
      </c>
      <c r="C437" s="3" t="s">
        <v>1521</v>
      </c>
      <c r="D437" s="3" t="s">
        <v>1528</v>
      </c>
      <c r="E437" s="3" t="s">
        <v>1483</v>
      </c>
      <c r="F437" s="3" t="s">
        <v>1484</v>
      </c>
      <c r="G437" s="3" t="s">
        <v>1523</v>
      </c>
      <c r="H437" s="3" t="s">
        <v>1523</v>
      </c>
      <c r="I437" s="3" t="s">
        <v>1486</v>
      </c>
      <c r="J437" s="5">
        <v>45352</v>
      </c>
      <c r="K437" s="5">
        <v>45352</v>
      </c>
      <c r="L437" s="6">
        <v>-91122.22</v>
      </c>
    </row>
    <row r="438" s="1" customFormat="1" spans="1:12">
      <c r="A438" s="3" t="s">
        <v>521</v>
      </c>
      <c r="B438" s="3" t="s">
        <v>522</v>
      </c>
      <c r="C438" s="3" t="s">
        <v>1524</v>
      </c>
      <c r="D438" s="3" t="s">
        <v>1529</v>
      </c>
      <c r="E438" s="3" t="s">
        <v>1483</v>
      </c>
      <c r="F438" s="3" t="s">
        <v>1484</v>
      </c>
      <c r="G438" s="3" t="s">
        <v>1526</v>
      </c>
      <c r="H438" s="3" t="s">
        <v>1526</v>
      </c>
      <c r="I438" s="3" t="s">
        <v>1486</v>
      </c>
      <c r="J438" s="5">
        <v>45351</v>
      </c>
      <c r="K438" s="5">
        <v>45351</v>
      </c>
      <c r="L438" s="6">
        <v>274138.89</v>
      </c>
    </row>
    <row r="439" s="1" customFormat="1" spans="1:12">
      <c r="A439" s="3" t="s">
        <v>521</v>
      </c>
      <c r="B439" s="3" t="s">
        <v>597</v>
      </c>
      <c r="C439" s="3" t="s">
        <v>1521</v>
      </c>
      <c r="D439" s="3" t="s">
        <v>1530</v>
      </c>
      <c r="E439" s="3" t="s">
        <v>1483</v>
      </c>
      <c r="F439" s="3" t="s">
        <v>1484</v>
      </c>
      <c r="G439" s="3" t="s">
        <v>1523</v>
      </c>
      <c r="H439" s="3" t="s">
        <v>1523</v>
      </c>
      <c r="I439" s="3" t="s">
        <v>1486</v>
      </c>
      <c r="J439" s="5">
        <v>45352</v>
      </c>
      <c r="K439" s="5">
        <v>45352</v>
      </c>
      <c r="L439" s="6">
        <v>-274138.89</v>
      </c>
    </row>
    <row r="440" s="1" customFormat="1" spans="1:12">
      <c r="A440" s="3" t="s">
        <v>521</v>
      </c>
      <c r="B440" s="3" t="s">
        <v>522</v>
      </c>
      <c r="C440" s="3" t="s">
        <v>1524</v>
      </c>
      <c r="D440" s="3" t="s">
        <v>1531</v>
      </c>
      <c r="E440" s="3" t="s">
        <v>1483</v>
      </c>
      <c r="F440" s="3" t="s">
        <v>1484</v>
      </c>
      <c r="G440" s="3" t="s">
        <v>1526</v>
      </c>
      <c r="H440" s="3" t="s">
        <v>1526</v>
      </c>
      <c r="I440" s="3" t="s">
        <v>1486</v>
      </c>
      <c r="J440" s="5">
        <v>45351</v>
      </c>
      <c r="K440" s="5">
        <v>45351</v>
      </c>
      <c r="L440" s="6">
        <v>646333.33</v>
      </c>
    </row>
    <row r="441" s="1" customFormat="1" spans="1:12">
      <c r="A441" s="3" t="s">
        <v>521</v>
      </c>
      <c r="B441" s="3" t="s">
        <v>597</v>
      </c>
      <c r="C441" s="3" t="s">
        <v>1521</v>
      </c>
      <c r="D441" s="3" t="s">
        <v>1532</v>
      </c>
      <c r="E441" s="3" t="s">
        <v>1483</v>
      </c>
      <c r="F441" s="3" t="s">
        <v>1484</v>
      </c>
      <c r="G441" s="3" t="s">
        <v>1523</v>
      </c>
      <c r="H441" s="3" t="s">
        <v>1523</v>
      </c>
      <c r="I441" s="3" t="s">
        <v>1486</v>
      </c>
      <c r="J441" s="5">
        <v>45352</v>
      </c>
      <c r="K441" s="5">
        <v>45352</v>
      </c>
      <c r="L441" s="6">
        <v>-646333.33</v>
      </c>
    </row>
    <row r="442" s="1" customFormat="1" spans="1:12">
      <c r="A442" s="3" t="s">
        <v>521</v>
      </c>
      <c r="B442" s="3" t="s">
        <v>597</v>
      </c>
      <c r="C442" s="3" t="s">
        <v>1533</v>
      </c>
      <c r="D442" s="3" t="s">
        <v>1534</v>
      </c>
      <c r="E442" s="3" t="s">
        <v>1483</v>
      </c>
      <c r="F442" s="3" t="s">
        <v>1484</v>
      </c>
      <c r="G442" s="3" t="s">
        <v>1535</v>
      </c>
      <c r="H442" s="3" t="s">
        <v>1535</v>
      </c>
      <c r="I442" s="3" t="s">
        <v>1486</v>
      </c>
      <c r="J442" s="5">
        <v>45382</v>
      </c>
      <c r="K442" s="5">
        <v>45382</v>
      </c>
      <c r="L442" s="6">
        <v>351361.11</v>
      </c>
    </row>
    <row r="443" s="1" customFormat="1" spans="1:12">
      <c r="A443" s="3" t="s">
        <v>521</v>
      </c>
      <c r="B443" s="3" t="s">
        <v>895</v>
      </c>
      <c r="C443" s="3" t="s">
        <v>1536</v>
      </c>
      <c r="D443" s="3" t="s">
        <v>1537</v>
      </c>
      <c r="E443" s="3" t="s">
        <v>1483</v>
      </c>
      <c r="F443" s="3" t="s">
        <v>1484</v>
      </c>
      <c r="G443" s="3" t="s">
        <v>1538</v>
      </c>
      <c r="H443" s="3" t="s">
        <v>1538</v>
      </c>
      <c r="I443" s="3" t="s">
        <v>1486</v>
      </c>
      <c r="J443" s="5">
        <v>45383</v>
      </c>
      <c r="K443" s="5">
        <v>45383</v>
      </c>
      <c r="L443" s="6">
        <v>-42472.22</v>
      </c>
    </row>
    <row r="444" s="1" customFormat="1" spans="1:12">
      <c r="A444" s="3" t="s">
        <v>521</v>
      </c>
      <c r="B444" s="3" t="s">
        <v>597</v>
      </c>
      <c r="C444" s="3" t="s">
        <v>1533</v>
      </c>
      <c r="D444" s="3" t="s">
        <v>1539</v>
      </c>
      <c r="E444" s="3" t="s">
        <v>1483</v>
      </c>
      <c r="F444" s="3" t="s">
        <v>1484</v>
      </c>
      <c r="G444" s="3" t="s">
        <v>1540</v>
      </c>
      <c r="H444" s="3" t="s">
        <v>1540</v>
      </c>
      <c r="I444" s="3" t="s">
        <v>1486</v>
      </c>
      <c r="J444" s="5">
        <v>45382</v>
      </c>
      <c r="K444" s="5">
        <v>45382</v>
      </c>
      <c r="L444" s="6">
        <v>42472.22</v>
      </c>
    </row>
    <row r="445" s="1" customFormat="1" spans="1:12">
      <c r="A445" s="3" t="s">
        <v>521</v>
      </c>
      <c r="B445" s="3" t="s">
        <v>597</v>
      </c>
      <c r="C445" s="3" t="s">
        <v>1533</v>
      </c>
      <c r="D445" s="3" t="s">
        <v>1541</v>
      </c>
      <c r="E445" s="3" t="s">
        <v>1483</v>
      </c>
      <c r="F445" s="3" t="s">
        <v>1484</v>
      </c>
      <c r="G445" s="3" t="s">
        <v>1542</v>
      </c>
      <c r="H445" s="3" t="s">
        <v>1542</v>
      </c>
      <c r="I445" s="3" t="s">
        <v>1486</v>
      </c>
      <c r="J445" s="5">
        <v>45382</v>
      </c>
      <c r="K445" s="5">
        <v>45372</v>
      </c>
      <c r="L445" s="6">
        <v>-122011.13</v>
      </c>
    </row>
    <row r="446" s="1" customFormat="1" spans="1:12">
      <c r="A446" s="3" t="s">
        <v>521</v>
      </c>
      <c r="B446" s="3" t="s">
        <v>597</v>
      </c>
      <c r="C446" s="3" t="s">
        <v>1533</v>
      </c>
      <c r="D446" s="3" t="s">
        <v>1543</v>
      </c>
      <c r="E446" s="3" t="s">
        <v>1483</v>
      </c>
      <c r="F446" s="3" t="s">
        <v>1484</v>
      </c>
      <c r="G446" s="3" t="s">
        <v>1544</v>
      </c>
      <c r="H446" s="3" t="s">
        <v>1544</v>
      </c>
      <c r="I446" s="3" t="s">
        <v>1486</v>
      </c>
      <c r="J446" s="5">
        <v>45382</v>
      </c>
      <c r="K446" s="5">
        <v>45372</v>
      </c>
      <c r="L446" s="6">
        <v>-122011.11</v>
      </c>
    </row>
    <row r="447" s="1" customFormat="1" spans="1:12">
      <c r="A447" s="3" t="s">
        <v>521</v>
      </c>
      <c r="B447" s="3" t="s">
        <v>597</v>
      </c>
      <c r="C447" s="3" t="s">
        <v>1533</v>
      </c>
      <c r="D447" s="3" t="s">
        <v>1545</v>
      </c>
      <c r="E447" s="3" t="s">
        <v>1483</v>
      </c>
      <c r="F447" s="3" t="s">
        <v>1484</v>
      </c>
      <c r="G447" s="3" t="s">
        <v>1535</v>
      </c>
      <c r="H447" s="3" t="s">
        <v>1535</v>
      </c>
      <c r="I447" s="3" t="s">
        <v>1486</v>
      </c>
      <c r="J447" s="5">
        <v>45382</v>
      </c>
      <c r="K447" s="5">
        <v>45382</v>
      </c>
      <c r="L447" s="6">
        <v>122011.13</v>
      </c>
    </row>
    <row r="448" s="1" customFormat="1" spans="1:12">
      <c r="A448" s="3" t="s">
        <v>521</v>
      </c>
      <c r="B448" s="3" t="s">
        <v>597</v>
      </c>
      <c r="C448" s="3" t="s">
        <v>1533</v>
      </c>
      <c r="D448" s="3" t="s">
        <v>1546</v>
      </c>
      <c r="E448" s="3" t="s">
        <v>1483</v>
      </c>
      <c r="F448" s="3" t="s">
        <v>1484</v>
      </c>
      <c r="G448" s="3" t="s">
        <v>1535</v>
      </c>
      <c r="H448" s="3" t="s">
        <v>1535</v>
      </c>
      <c r="I448" s="3" t="s">
        <v>1486</v>
      </c>
      <c r="J448" s="5">
        <v>45382</v>
      </c>
      <c r="K448" s="5">
        <v>45382</v>
      </c>
      <c r="L448" s="6">
        <v>70272.22</v>
      </c>
    </row>
    <row r="449" s="1" customFormat="1" spans="1:12">
      <c r="A449" s="3" t="s">
        <v>521</v>
      </c>
      <c r="B449" s="3" t="s">
        <v>597</v>
      </c>
      <c r="C449" s="3" t="s">
        <v>1533</v>
      </c>
      <c r="D449" s="3" t="s">
        <v>1546</v>
      </c>
      <c r="E449" s="3" t="s">
        <v>1483</v>
      </c>
      <c r="F449" s="3" t="s">
        <v>1484</v>
      </c>
      <c r="G449" s="3" t="s">
        <v>1535</v>
      </c>
      <c r="H449" s="3" t="s">
        <v>1535</v>
      </c>
      <c r="I449" s="3" t="s">
        <v>1486</v>
      </c>
      <c r="J449" s="5">
        <v>45382</v>
      </c>
      <c r="K449" s="5">
        <v>45382</v>
      </c>
      <c r="L449" s="6">
        <v>122011.11</v>
      </c>
    </row>
    <row r="450" s="1" customFormat="1" spans="1:12">
      <c r="A450" s="3" t="s">
        <v>521</v>
      </c>
      <c r="B450" s="3" t="s">
        <v>597</v>
      </c>
      <c r="C450" s="3" t="s">
        <v>1533</v>
      </c>
      <c r="D450" s="3" t="s">
        <v>1547</v>
      </c>
      <c r="E450" s="3" t="s">
        <v>1483</v>
      </c>
      <c r="F450" s="3" t="s">
        <v>1484</v>
      </c>
      <c r="G450" s="3" t="s">
        <v>1540</v>
      </c>
      <c r="H450" s="3" t="s">
        <v>1540</v>
      </c>
      <c r="I450" s="3" t="s">
        <v>1486</v>
      </c>
      <c r="J450" s="5">
        <v>45382</v>
      </c>
      <c r="K450" s="5">
        <v>45382</v>
      </c>
      <c r="L450" s="6">
        <v>3077.78</v>
      </c>
    </row>
    <row r="451" s="1" customFormat="1" spans="1:12">
      <c r="A451" s="3" t="s">
        <v>521</v>
      </c>
      <c r="B451" s="3" t="s">
        <v>895</v>
      </c>
      <c r="C451" s="3" t="s">
        <v>1536</v>
      </c>
      <c r="D451" s="3" t="s">
        <v>1548</v>
      </c>
      <c r="E451" s="3" t="s">
        <v>1483</v>
      </c>
      <c r="F451" s="3" t="s">
        <v>1484</v>
      </c>
      <c r="G451" s="3" t="s">
        <v>1538</v>
      </c>
      <c r="H451" s="3" t="s">
        <v>1538</v>
      </c>
      <c r="I451" s="3" t="s">
        <v>1486</v>
      </c>
      <c r="J451" s="5">
        <v>45383</v>
      </c>
      <c r="K451" s="5">
        <v>45383</v>
      </c>
      <c r="L451" s="6">
        <v>-3077.78</v>
      </c>
    </row>
    <row r="452" s="1" customFormat="1" spans="1:12">
      <c r="A452" s="3" t="s">
        <v>521</v>
      </c>
      <c r="B452" s="3" t="s">
        <v>597</v>
      </c>
      <c r="C452" s="3" t="s">
        <v>1533</v>
      </c>
      <c r="D452" s="3" t="s">
        <v>1549</v>
      </c>
      <c r="E452" s="3" t="s">
        <v>1483</v>
      </c>
      <c r="F452" s="3" t="s">
        <v>1484</v>
      </c>
      <c r="G452" s="3" t="s">
        <v>1540</v>
      </c>
      <c r="H452" s="3" t="s">
        <v>1540</v>
      </c>
      <c r="I452" s="3" t="s">
        <v>1486</v>
      </c>
      <c r="J452" s="5">
        <v>45382</v>
      </c>
      <c r="K452" s="5">
        <v>45382</v>
      </c>
      <c r="L452" s="6">
        <v>101566.67</v>
      </c>
    </row>
    <row r="453" s="1" customFormat="1" spans="1:12">
      <c r="A453" s="3" t="s">
        <v>521</v>
      </c>
      <c r="B453" s="3" t="s">
        <v>895</v>
      </c>
      <c r="C453" s="3" t="s">
        <v>1536</v>
      </c>
      <c r="D453" s="3" t="s">
        <v>1550</v>
      </c>
      <c r="E453" s="3" t="s">
        <v>1483</v>
      </c>
      <c r="F453" s="3" t="s">
        <v>1484</v>
      </c>
      <c r="G453" s="3" t="s">
        <v>1538</v>
      </c>
      <c r="H453" s="3" t="s">
        <v>1538</v>
      </c>
      <c r="I453" s="3" t="s">
        <v>1486</v>
      </c>
      <c r="J453" s="5">
        <v>45383</v>
      </c>
      <c r="K453" s="5">
        <v>45383</v>
      </c>
      <c r="L453" s="6">
        <v>-101566.67</v>
      </c>
    </row>
    <row r="454" s="1" customFormat="1" spans="1:12">
      <c r="A454" s="3" t="s">
        <v>521</v>
      </c>
      <c r="B454" s="3" t="s">
        <v>597</v>
      </c>
      <c r="C454" s="3" t="s">
        <v>1533</v>
      </c>
      <c r="D454" s="3" t="s">
        <v>1551</v>
      </c>
      <c r="E454" s="3" t="s">
        <v>1483</v>
      </c>
      <c r="F454" s="3" t="s">
        <v>1484</v>
      </c>
      <c r="G454" s="3" t="s">
        <v>1540</v>
      </c>
      <c r="H454" s="3" t="s">
        <v>1540</v>
      </c>
      <c r="I454" s="3" t="s">
        <v>1486</v>
      </c>
      <c r="J454" s="5">
        <v>45382</v>
      </c>
      <c r="K454" s="5">
        <v>45382</v>
      </c>
      <c r="L454" s="6">
        <v>16988.89</v>
      </c>
    </row>
    <row r="455" s="1" customFormat="1" spans="1:12">
      <c r="A455" s="3" t="s">
        <v>521</v>
      </c>
      <c r="B455" s="3" t="s">
        <v>597</v>
      </c>
      <c r="C455" s="3" t="s">
        <v>1533</v>
      </c>
      <c r="D455" s="3" t="s">
        <v>1552</v>
      </c>
      <c r="E455" s="3" t="s">
        <v>1483</v>
      </c>
      <c r="F455" s="3" t="s">
        <v>1484</v>
      </c>
      <c r="G455" s="3" t="s">
        <v>1540</v>
      </c>
      <c r="H455" s="3" t="s">
        <v>1540</v>
      </c>
      <c r="I455" s="3" t="s">
        <v>1486</v>
      </c>
      <c r="J455" s="5">
        <v>45382</v>
      </c>
      <c r="K455" s="5">
        <v>45382</v>
      </c>
      <c r="L455" s="6">
        <v>8494.44</v>
      </c>
    </row>
    <row r="456" s="1" customFormat="1" spans="1:12">
      <c r="A456" s="3" t="s">
        <v>521</v>
      </c>
      <c r="B456" s="3" t="s">
        <v>895</v>
      </c>
      <c r="C456" s="3" t="s">
        <v>1536</v>
      </c>
      <c r="D456" s="3" t="s">
        <v>1553</v>
      </c>
      <c r="E456" s="3" t="s">
        <v>1483</v>
      </c>
      <c r="F456" s="3" t="s">
        <v>1484</v>
      </c>
      <c r="G456" s="3" t="s">
        <v>1538</v>
      </c>
      <c r="H456" s="3" t="s">
        <v>1538</v>
      </c>
      <c r="I456" s="3" t="s">
        <v>1486</v>
      </c>
      <c r="J456" s="5">
        <v>45383</v>
      </c>
      <c r="K456" s="5">
        <v>45383</v>
      </c>
      <c r="L456" s="6">
        <v>-16988.89</v>
      </c>
    </row>
    <row r="457" s="1" customFormat="1" spans="1:12">
      <c r="A457" s="3" t="s">
        <v>521</v>
      </c>
      <c r="B457" s="3" t="s">
        <v>895</v>
      </c>
      <c r="C457" s="3" t="s">
        <v>1536</v>
      </c>
      <c r="D457" s="3" t="s">
        <v>1554</v>
      </c>
      <c r="E457" s="3" t="s">
        <v>1483</v>
      </c>
      <c r="F457" s="3" t="s">
        <v>1484</v>
      </c>
      <c r="G457" s="3" t="s">
        <v>1538</v>
      </c>
      <c r="H457" s="3" t="s">
        <v>1538</v>
      </c>
      <c r="I457" s="3" t="s">
        <v>1486</v>
      </c>
      <c r="J457" s="5">
        <v>45383</v>
      </c>
      <c r="K457" s="5">
        <v>45383</v>
      </c>
      <c r="L457" s="6">
        <v>-8494.44</v>
      </c>
    </row>
    <row r="458" s="1" customFormat="1" spans="1:12">
      <c r="A458" s="3" t="s">
        <v>521</v>
      </c>
      <c r="B458" s="3" t="s">
        <v>597</v>
      </c>
      <c r="C458" s="3" t="s">
        <v>1555</v>
      </c>
      <c r="D458" s="3" t="s">
        <v>1556</v>
      </c>
      <c r="E458" s="3" t="s">
        <v>1483</v>
      </c>
      <c r="F458" s="3" t="s">
        <v>1484</v>
      </c>
      <c r="G458" s="3" t="s">
        <v>1535</v>
      </c>
      <c r="H458" s="3" t="s">
        <v>1535</v>
      </c>
      <c r="I458" s="3" t="s">
        <v>1486</v>
      </c>
      <c r="J458" s="5">
        <v>45372</v>
      </c>
      <c r="K458" s="5">
        <v>45372</v>
      </c>
      <c r="L458" s="6">
        <v>122011.11</v>
      </c>
    </row>
    <row r="459" s="1" customFormat="1" spans="1:12">
      <c r="A459" s="3" t="s">
        <v>521</v>
      </c>
      <c r="B459" s="3" t="s">
        <v>597</v>
      </c>
      <c r="C459" s="3" t="s">
        <v>1555</v>
      </c>
      <c r="D459" s="3" t="s">
        <v>1557</v>
      </c>
      <c r="E459" s="3" t="s">
        <v>1483</v>
      </c>
      <c r="F459" s="3" t="s">
        <v>1484</v>
      </c>
      <c r="G459" s="3" t="s">
        <v>1558</v>
      </c>
      <c r="H459" s="3" t="s">
        <v>1558</v>
      </c>
      <c r="I459" s="3" t="s">
        <v>1486</v>
      </c>
      <c r="J459" s="5">
        <v>45372</v>
      </c>
      <c r="K459" s="5">
        <v>45372</v>
      </c>
      <c r="L459" s="6">
        <v>831000</v>
      </c>
    </row>
    <row r="460" s="1" customFormat="1" spans="1:12">
      <c r="A460" s="3" t="s">
        <v>521</v>
      </c>
      <c r="B460" s="3" t="s">
        <v>530</v>
      </c>
      <c r="C460" s="3" t="s">
        <v>1559</v>
      </c>
      <c r="D460" s="3" t="s">
        <v>1560</v>
      </c>
      <c r="E460" s="3" t="s">
        <v>1483</v>
      </c>
      <c r="F460" s="3" t="s">
        <v>1484</v>
      </c>
      <c r="G460" s="3" t="s">
        <v>1561</v>
      </c>
      <c r="H460" s="3" t="s">
        <v>1561</v>
      </c>
      <c r="I460" s="3" t="s">
        <v>1486</v>
      </c>
      <c r="J460" s="5">
        <v>45463</v>
      </c>
      <c r="K460" s="5">
        <v>45463</v>
      </c>
      <c r="L460" s="6">
        <v>142088.89</v>
      </c>
    </row>
    <row r="461" s="1" customFormat="1" spans="1:12">
      <c r="A461" s="3" t="s">
        <v>521</v>
      </c>
      <c r="B461" s="3" t="s">
        <v>562</v>
      </c>
      <c r="C461" s="3" t="s">
        <v>1562</v>
      </c>
      <c r="D461" s="3" t="s">
        <v>1563</v>
      </c>
      <c r="E461" s="3" t="s">
        <v>1483</v>
      </c>
      <c r="F461" s="3" t="s">
        <v>1484</v>
      </c>
      <c r="G461" s="3" t="s">
        <v>1564</v>
      </c>
      <c r="H461" s="3" t="s">
        <v>1564</v>
      </c>
      <c r="I461" s="3" t="s">
        <v>1486</v>
      </c>
      <c r="J461" s="5">
        <v>45413</v>
      </c>
      <c r="K461" s="5">
        <v>45413</v>
      </c>
      <c r="L461" s="6">
        <v>-63322.22</v>
      </c>
    </row>
    <row r="462" s="1" customFormat="1" spans="1:12">
      <c r="A462" s="3" t="s">
        <v>521</v>
      </c>
      <c r="B462" s="3" t="s">
        <v>895</v>
      </c>
      <c r="C462" s="3" t="s">
        <v>1565</v>
      </c>
      <c r="D462" s="3" t="s">
        <v>1566</v>
      </c>
      <c r="E462" s="3" t="s">
        <v>1483</v>
      </c>
      <c r="F462" s="3" t="s">
        <v>1484</v>
      </c>
      <c r="G462" s="3" t="s">
        <v>1564</v>
      </c>
      <c r="H462" s="3" t="s">
        <v>1564</v>
      </c>
      <c r="I462" s="3" t="s">
        <v>1486</v>
      </c>
      <c r="J462" s="5">
        <v>45412</v>
      </c>
      <c r="K462" s="5">
        <v>45412</v>
      </c>
      <c r="L462" s="6">
        <v>63322.22</v>
      </c>
    </row>
    <row r="463" s="1" customFormat="1" spans="1:12">
      <c r="A463" s="3" t="s">
        <v>521</v>
      </c>
      <c r="B463" s="3" t="s">
        <v>895</v>
      </c>
      <c r="C463" s="3" t="s">
        <v>1567</v>
      </c>
      <c r="D463" s="3" t="s">
        <v>1568</v>
      </c>
      <c r="E463" s="3" t="s">
        <v>1483</v>
      </c>
      <c r="F463" s="3" t="s">
        <v>1484</v>
      </c>
      <c r="G463" s="3" t="s">
        <v>1569</v>
      </c>
      <c r="H463" s="3" t="s">
        <v>1569</v>
      </c>
      <c r="I463" s="3" t="s">
        <v>1486</v>
      </c>
      <c r="J463" s="5">
        <v>45404</v>
      </c>
      <c r="K463" s="5">
        <v>45404</v>
      </c>
      <c r="L463" s="6">
        <v>-119706.41</v>
      </c>
    </row>
    <row r="464" s="1" customFormat="1" spans="1:12">
      <c r="A464" s="3" t="s">
        <v>521</v>
      </c>
      <c r="B464" s="3" t="s">
        <v>895</v>
      </c>
      <c r="C464" s="3" t="s">
        <v>1565</v>
      </c>
      <c r="D464" s="3" t="s">
        <v>1570</v>
      </c>
      <c r="E464" s="3" t="s">
        <v>1483</v>
      </c>
      <c r="F464" s="3" t="s">
        <v>1484</v>
      </c>
      <c r="G464" s="3" t="s">
        <v>1564</v>
      </c>
      <c r="H464" s="3" t="s">
        <v>1564</v>
      </c>
      <c r="I464" s="3" t="s">
        <v>1486</v>
      </c>
      <c r="J464" s="5">
        <v>45412</v>
      </c>
      <c r="K464" s="5">
        <v>45412</v>
      </c>
      <c r="L464" s="6">
        <v>158305.55</v>
      </c>
    </row>
    <row r="465" s="1" customFormat="1" spans="1:12">
      <c r="A465" s="3" t="s">
        <v>521</v>
      </c>
      <c r="B465" s="3" t="s">
        <v>562</v>
      </c>
      <c r="C465" s="3" t="s">
        <v>1562</v>
      </c>
      <c r="D465" s="3" t="s">
        <v>1571</v>
      </c>
      <c r="E465" s="3" t="s">
        <v>1483</v>
      </c>
      <c r="F465" s="3" t="s">
        <v>1484</v>
      </c>
      <c r="G465" s="3" t="s">
        <v>1564</v>
      </c>
      <c r="H465" s="3" t="s">
        <v>1564</v>
      </c>
      <c r="I465" s="3" t="s">
        <v>1486</v>
      </c>
      <c r="J465" s="5">
        <v>45413</v>
      </c>
      <c r="K465" s="5">
        <v>45413</v>
      </c>
      <c r="L465" s="6">
        <v>-158305.55</v>
      </c>
    </row>
    <row r="466" s="1" customFormat="1" spans="1:12">
      <c r="A466" s="3" t="s">
        <v>521</v>
      </c>
      <c r="B466" s="3" t="s">
        <v>895</v>
      </c>
      <c r="C466" s="3" t="s">
        <v>1565</v>
      </c>
      <c r="D466" s="3" t="s">
        <v>1572</v>
      </c>
      <c r="E466" s="3" t="s">
        <v>1483</v>
      </c>
      <c r="F466" s="3" t="s">
        <v>1484</v>
      </c>
      <c r="G466" s="3" t="s">
        <v>1564</v>
      </c>
      <c r="H466" s="3" t="s">
        <v>1564</v>
      </c>
      <c r="I466" s="3" t="s">
        <v>1486</v>
      </c>
      <c r="J466" s="5">
        <v>45412</v>
      </c>
      <c r="K466" s="5">
        <v>45412</v>
      </c>
      <c r="L466" s="6">
        <v>31661.11</v>
      </c>
    </row>
    <row r="467" s="1" customFormat="1" spans="1:12">
      <c r="A467" s="3" t="s">
        <v>521</v>
      </c>
      <c r="B467" s="3" t="s">
        <v>562</v>
      </c>
      <c r="C467" s="3" t="s">
        <v>1562</v>
      </c>
      <c r="D467" s="3" t="s">
        <v>1573</v>
      </c>
      <c r="E467" s="3" t="s">
        <v>1483</v>
      </c>
      <c r="F467" s="3" t="s">
        <v>1484</v>
      </c>
      <c r="G467" s="3" t="s">
        <v>1564</v>
      </c>
      <c r="H467" s="3" t="s">
        <v>1564</v>
      </c>
      <c r="I467" s="3" t="s">
        <v>1486</v>
      </c>
      <c r="J467" s="5">
        <v>45413</v>
      </c>
      <c r="K467" s="5">
        <v>45413</v>
      </c>
      <c r="L467" s="6">
        <v>-31661.11</v>
      </c>
    </row>
    <row r="468" s="1" customFormat="1" spans="1:12">
      <c r="A468" s="3" t="s">
        <v>521</v>
      </c>
      <c r="B468" s="3" t="s">
        <v>895</v>
      </c>
      <c r="C468" s="3" t="s">
        <v>1565</v>
      </c>
      <c r="D468" s="3" t="s">
        <v>1574</v>
      </c>
      <c r="E468" s="3" t="s">
        <v>1483</v>
      </c>
      <c r="F468" s="3" t="s">
        <v>1484</v>
      </c>
      <c r="G468" s="3" t="s">
        <v>1564</v>
      </c>
      <c r="H468" s="3" t="s">
        <v>1564</v>
      </c>
      <c r="I468" s="3" t="s">
        <v>1486</v>
      </c>
      <c r="J468" s="5">
        <v>45412</v>
      </c>
      <c r="K468" s="5">
        <v>45412</v>
      </c>
      <c r="L468" s="6">
        <v>378566.67</v>
      </c>
    </row>
    <row r="469" s="1" customFormat="1" spans="1:12">
      <c r="A469" s="3" t="s">
        <v>521</v>
      </c>
      <c r="B469" s="3" t="s">
        <v>562</v>
      </c>
      <c r="C469" s="3" t="s">
        <v>1562</v>
      </c>
      <c r="D469" s="3" t="s">
        <v>1575</v>
      </c>
      <c r="E469" s="3" t="s">
        <v>1483</v>
      </c>
      <c r="F469" s="3" t="s">
        <v>1484</v>
      </c>
      <c r="G469" s="3" t="s">
        <v>1564</v>
      </c>
      <c r="H469" s="3" t="s">
        <v>1564</v>
      </c>
      <c r="I469" s="3" t="s">
        <v>1486</v>
      </c>
      <c r="J469" s="5">
        <v>45413</v>
      </c>
      <c r="K469" s="5">
        <v>45413</v>
      </c>
      <c r="L469" s="6">
        <v>-378566.67</v>
      </c>
    </row>
    <row r="470" s="1" customFormat="1" spans="1:12">
      <c r="A470" s="3" t="s">
        <v>521</v>
      </c>
      <c r="B470" s="3" t="s">
        <v>895</v>
      </c>
      <c r="C470" s="3" t="s">
        <v>1565</v>
      </c>
      <c r="D470" s="3" t="s">
        <v>1576</v>
      </c>
      <c r="E470" s="3" t="s">
        <v>1483</v>
      </c>
      <c r="F470" s="3" t="s">
        <v>1484</v>
      </c>
      <c r="G470" s="3" t="s">
        <v>1564</v>
      </c>
      <c r="H470" s="3" t="s">
        <v>1564</v>
      </c>
      <c r="I470" s="3" t="s">
        <v>1486</v>
      </c>
      <c r="J470" s="5">
        <v>45412</v>
      </c>
      <c r="K470" s="5">
        <v>45412</v>
      </c>
      <c r="L470" s="6">
        <v>12311.11</v>
      </c>
    </row>
    <row r="471" s="1" customFormat="1" spans="1:12">
      <c r="A471" s="3" t="s">
        <v>521</v>
      </c>
      <c r="B471" s="3" t="s">
        <v>562</v>
      </c>
      <c r="C471" s="3" t="s">
        <v>1562</v>
      </c>
      <c r="D471" s="3" t="s">
        <v>1577</v>
      </c>
      <c r="E471" s="3" t="s">
        <v>1483</v>
      </c>
      <c r="F471" s="3" t="s">
        <v>1484</v>
      </c>
      <c r="G471" s="3" t="s">
        <v>1564</v>
      </c>
      <c r="H471" s="3" t="s">
        <v>1564</v>
      </c>
      <c r="I471" s="3" t="s">
        <v>1486</v>
      </c>
      <c r="J471" s="5">
        <v>45413</v>
      </c>
      <c r="K471" s="5">
        <v>45413</v>
      </c>
      <c r="L471" s="6">
        <v>-12311.11</v>
      </c>
    </row>
    <row r="472" s="1" customFormat="1" spans="1:12">
      <c r="A472" s="3" t="s">
        <v>521</v>
      </c>
      <c r="B472" s="3" t="s">
        <v>530</v>
      </c>
      <c r="C472" s="3"/>
      <c r="D472" s="3" t="s">
        <v>1578</v>
      </c>
      <c r="E472" s="3" t="s">
        <v>1483</v>
      </c>
      <c r="F472" s="3" t="s">
        <v>1484</v>
      </c>
      <c r="G472" s="3" t="s">
        <v>1579</v>
      </c>
      <c r="H472" s="3" t="s">
        <v>1579</v>
      </c>
      <c r="I472" s="3" t="s">
        <v>1486</v>
      </c>
      <c r="J472" s="5">
        <v>45444</v>
      </c>
      <c r="K472" s="5">
        <v>45443</v>
      </c>
      <c r="L472" s="6">
        <v>-27084.45</v>
      </c>
    </row>
    <row r="473" s="1" customFormat="1" spans="1:12">
      <c r="A473" s="3" t="s">
        <v>521</v>
      </c>
      <c r="B473" s="3" t="s">
        <v>530</v>
      </c>
      <c r="C473" s="3"/>
      <c r="D473" s="3" t="s">
        <v>1578</v>
      </c>
      <c r="E473" s="3" t="s">
        <v>1483</v>
      </c>
      <c r="F473" s="3" t="s">
        <v>1484</v>
      </c>
      <c r="G473" s="3" t="s">
        <v>1579</v>
      </c>
      <c r="H473" s="3" t="s">
        <v>1579</v>
      </c>
      <c r="I473" s="3" t="s">
        <v>1486</v>
      </c>
      <c r="J473" s="5">
        <v>45444</v>
      </c>
      <c r="K473" s="5">
        <v>45443</v>
      </c>
      <c r="L473" s="6">
        <v>27084.45</v>
      </c>
    </row>
    <row r="474" s="1" customFormat="1" spans="1:12">
      <c r="A474" s="3" t="s">
        <v>521</v>
      </c>
      <c r="B474" s="3" t="s">
        <v>530</v>
      </c>
      <c r="C474" s="3" t="s">
        <v>1559</v>
      </c>
      <c r="D474" s="3" t="s">
        <v>1560</v>
      </c>
      <c r="E474" s="3" t="s">
        <v>1483</v>
      </c>
      <c r="F474" s="3" t="s">
        <v>1484</v>
      </c>
      <c r="G474" s="3" t="s">
        <v>1561</v>
      </c>
      <c r="H474" s="3" t="s">
        <v>1561</v>
      </c>
      <c r="I474" s="3" t="s">
        <v>1486</v>
      </c>
      <c r="J474" s="5">
        <v>45463</v>
      </c>
      <c r="K474" s="5">
        <v>45463</v>
      </c>
      <c r="L474" s="6">
        <v>71044.44</v>
      </c>
    </row>
    <row r="475" s="1" customFormat="1" spans="1:12">
      <c r="A475" s="3" t="s">
        <v>521</v>
      </c>
      <c r="B475" s="3" t="s">
        <v>562</v>
      </c>
      <c r="C475" s="3" t="s">
        <v>1580</v>
      </c>
      <c r="D475" s="3" t="s">
        <v>1581</v>
      </c>
      <c r="E475" s="3" t="s">
        <v>1483</v>
      </c>
      <c r="F475" s="3" t="s">
        <v>1484</v>
      </c>
      <c r="G475" s="3" t="s">
        <v>1582</v>
      </c>
      <c r="H475" s="3" t="s">
        <v>1583</v>
      </c>
      <c r="I475" s="3" t="s">
        <v>1486</v>
      </c>
      <c r="J475" s="5">
        <v>45433</v>
      </c>
      <c r="K475" s="5">
        <v>45433</v>
      </c>
      <c r="L475" s="6">
        <v>-30668.58</v>
      </c>
    </row>
    <row r="476" s="1" customFormat="1" spans="1:12">
      <c r="A476" s="3" t="s">
        <v>521</v>
      </c>
      <c r="B476" s="3" t="s">
        <v>562</v>
      </c>
      <c r="C476" s="3" t="s">
        <v>1584</v>
      </c>
      <c r="D476" s="3" t="s">
        <v>1585</v>
      </c>
      <c r="E476" s="3" t="s">
        <v>1483</v>
      </c>
      <c r="F476" s="3" t="s">
        <v>1484</v>
      </c>
      <c r="G476" s="3" t="s">
        <v>1586</v>
      </c>
      <c r="H476" s="3" t="s">
        <v>1586</v>
      </c>
      <c r="I476" s="3" t="s">
        <v>1486</v>
      </c>
      <c r="J476" s="5">
        <v>45433</v>
      </c>
      <c r="K476" s="5">
        <v>45433</v>
      </c>
      <c r="L476" s="6">
        <v>-958852.22</v>
      </c>
    </row>
    <row r="477" s="1" customFormat="1" spans="1:12">
      <c r="A477" s="3" t="s">
        <v>521</v>
      </c>
      <c r="B477" s="3" t="s">
        <v>562</v>
      </c>
      <c r="C477" s="3" t="s">
        <v>1587</v>
      </c>
      <c r="D477" s="3" t="s">
        <v>1588</v>
      </c>
      <c r="E477" s="3" t="s">
        <v>1483</v>
      </c>
      <c r="F477" s="3" t="s">
        <v>1484</v>
      </c>
      <c r="G477" s="3" t="s">
        <v>1589</v>
      </c>
      <c r="H477" s="3" t="s">
        <v>1589</v>
      </c>
      <c r="I477" s="3" t="s">
        <v>1486</v>
      </c>
      <c r="J477" s="5">
        <v>45443</v>
      </c>
      <c r="K477" s="5">
        <v>45443</v>
      </c>
      <c r="L477" s="6">
        <v>55600</v>
      </c>
    </row>
    <row r="478" s="1" customFormat="1" spans="1:12">
      <c r="A478" s="3" t="s">
        <v>521</v>
      </c>
      <c r="B478" s="3" t="s">
        <v>530</v>
      </c>
      <c r="C478" s="3"/>
      <c r="D478" s="3" t="s">
        <v>1590</v>
      </c>
      <c r="E478" s="3" t="s">
        <v>1483</v>
      </c>
      <c r="F478" s="3" t="s">
        <v>1484</v>
      </c>
      <c r="G478" s="3" t="s">
        <v>1538</v>
      </c>
      <c r="H478" s="3" t="s">
        <v>1538</v>
      </c>
      <c r="I478" s="3" t="s">
        <v>1486</v>
      </c>
      <c r="J478" s="5">
        <v>45444</v>
      </c>
      <c r="K478" s="5">
        <v>45444</v>
      </c>
      <c r="L478" s="6">
        <v>-55600</v>
      </c>
    </row>
    <row r="479" s="1" customFormat="1" spans="1:12">
      <c r="A479" s="3" t="s">
        <v>521</v>
      </c>
      <c r="B479" s="3" t="s">
        <v>562</v>
      </c>
      <c r="C479" s="3" t="s">
        <v>1587</v>
      </c>
      <c r="D479" s="3" t="s">
        <v>1591</v>
      </c>
      <c r="E479" s="3" t="s">
        <v>1483</v>
      </c>
      <c r="F479" s="3" t="s">
        <v>1484</v>
      </c>
      <c r="G479" s="3" t="s">
        <v>1589</v>
      </c>
      <c r="H479" s="3" t="s">
        <v>1589</v>
      </c>
      <c r="I479" s="3" t="s">
        <v>1486</v>
      </c>
      <c r="J479" s="5">
        <v>45443</v>
      </c>
      <c r="K479" s="5">
        <v>45443</v>
      </c>
      <c r="L479" s="6">
        <v>278000</v>
      </c>
    </row>
    <row r="480" s="1" customFormat="1" spans="1:12">
      <c r="A480" s="3" t="s">
        <v>521</v>
      </c>
      <c r="B480" s="3" t="s">
        <v>530</v>
      </c>
      <c r="C480" s="3"/>
      <c r="D480" s="3" t="s">
        <v>1592</v>
      </c>
      <c r="E480" s="3" t="s">
        <v>1483</v>
      </c>
      <c r="F480" s="3" t="s">
        <v>1484</v>
      </c>
      <c r="G480" s="3" t="s">
        <v>1538</v>
      </c>
      <c r="H480" s="3" t="s">
        <v>1538</v>
      </c>
      <c r="I480" s="3" t="s">
        <v>1486</v>
      </c>
      <c r="J480" s="5">
        <v>45444</v>
      </c>
      <c r="K480" s="5">
        <v>45444</v>
      </c>
      <c r="L480" s="6">
        <v>-278000</v>
      </c>
    </row>
    <row r="481" s="1" customFormat="1" spans="1:12">
      <c r="A481" s="3" t="s">
        <v>521</v>
      </c>
      <c r="B481" s="3" t="s">
        <v>562</v>
      </c>
      <c r="C481" s="3" t="s">
        <v>1593</v>
      </c>
      <c r="D481" s="3" t="s">
        <v>1594</v>
      </c>
      <c r="E481" s="3" t="s">
        <v>1483</v>
      </c>
      <c r="F481" s="3" t="s">
        <v>1484</v>
      </c>
      <c r="G481" s="3" t="s">
        <v>1595</v>
      </c>
      <c r="H481" s="3" t="s">
        <v>1595</v>
      </c>
      <c r="I481" s="3" t="s">
        <v>1486</v>
      </c>
      <c r="J481" s="5">
        <v>45437</v>
      </c>
      <c r="K481" s="5">
        <v>45433</v>
      </c>
      <c r="L481" s="6">
        <v>958852.22</v>
      </c>
    </row>
    <row r="482" s="1" customFormat="1" spans="1:12">
      <c r="A482" s="3" t="s">
        <v>521</v>
      </c>
      <c r="B482" s="3" t="s">
        <v>562</v>
      </c>
      <c r="C482" s="3" t="s">
        <v>1587</v>
      </c>
      <c r="D482" s="3" t="s">
        <v>1596</v>
      </c>
      <c r="E482" s="3" t="s">
        <v>1483</v>
      </c>
      <c r="F482" s="3" t="s">
        <v>1484</v>
      </c>
      <c r="G482" s="3" t="s">
        <v>1589</v>
      </c>
      <c r="H482" s="3" t="s">
        <v>1589</v>
      </c>
      <c r="I482" s="3" t="s">
        <v>1486</v>
      </c>
      <c r="J482" s="5">
        <v>45443</v>
      </c>
      <c r="K482" s="5">
        <v>45443</v>
      </c>
      <c r="L482" s="6">
        <v>664800</v>
      </c>
    </row>
    <row r="483" s="1" customFormat="1" spans="1:12">
      <c r="A483" s="3" t="s">
        <v>521</v>
      </c>
      <c r="B483" s="3" t="s">
        <v>530</v>
      </c>
      <c r="C483" s="3"/>
      <c r="D483" s="3" t="s">
        <v>1597</v>
      </c>
      <c r="E483" s="3" t="s">
        <v>1483</v>
      </c>
      <c r="F483" s="3" t="s">
        <v>1484</v>
      </c>
      <c r="G483" s="3" t="s">
        <v>1538</v>
      </c>
      <c r="H483" s="3" t="s">
        <v>1538</v>
      </c>
      <c r="I483" s="3" t="s">
        <v>1486</v>
      </c>
      <c r="J483" s="5">
        <v>45444</v>
      </c>
      <c r="K483" s="5">
        <v>45444</v>
      </c>
      <c r="L483" s="6">
        <v>-664800</v>
      </c>
    </row>
    <row r="484" s="1" customFormat="1" spans="1:12">
      <c r="A484" s="3" t="s">
        <v>521</v>
      </c>
      <c r="B484" s="3" t="s">
        <v>562</v>
      </c>
      <c r="C484" s="3" t="s">
        <v>1587</v>
      </c>
      <c r="D484" s="3" t="s">
        <v>1598</v>
      </c>
      <c r="E484" s="3" t="s">
        <v>1483</v>
      </c>
      <c r="F484" s="3" t="s">
        <v>1484</v>
      </c>
      <c r="G484" s="3" t="s">
        <v>1589</v>
      </c>
      <c r="H484" s="3" t="s">
        <v>1589</v>
      </c>
      <c r="I484" s="3" t="s">
        <v>1486</v>
      </c>
      <c r="J484" s="5">
        <v>45443</v>
      </c>
      <c r="K484" s="5">
        <v>45443</v>
      </c>
      <c r="L484" s="6">
        <v>111200</v>
      </c>
    </row>
    <row r="485" s="1" customFormat="1" spans="1:12">
      <c r="A485" s="3" t="s">
        <v>521</v>
      </c>
      <c r="B485" s="3" t="s">
        <v>530</v>
      </c>
      <c r="C485" s="3"/>
      <c r="D485" s="3" t="s">
        <v>1599</v>
      </c>
      <c r="E485" s="3" t="s">
        <v>1483</v>
      </c>
      <c r="F485" s="3" t="s">
        <v>1484</v>
      </c>
      <c r="G485" s="3" t="s">
        <v>1538</v>
      </c>
      <c r="H485" s="3" t="s">
        <v>1538</v>
      </c>
      <c r="I485" s="3" t="s">
        <v>1486</v>
      </c>
      <c r="J485" s="5">
        <v>45444</v>
      </c>
      <c r="K485" s="5">
        <v>45444</v>
      </c>
      <c r="L485" s="6">
        <v>-111200</v>
      </c>
    </row>
    <row r="486" s="1" customFormat="1" spans="1:12">
      <c r="A486" s="3" t="s">
        <v>521</v>
      </c>
      <c r="B486" s="3" t="s">
        <v>562</v>
      </c>
      <c r="C486" s="3" t="s">
        <v>1587</v>
      </c>
      <c r="D486" s="3" t="s">
        <v>1600</v>
      </c>
      <c r="E486" s="3" t="s">
        <v>1483</v>
      </c>
      <c r="F486" s="3" t="s">
        <v>1484</v>
      </c>
      <c r="G486" s="3" t="s">
        <v>1589</v>
      </c>
      <c r="H486" s="3" t="s">
        <v>1589</v>
      </c>
      <c r="I486" s="3" t="s">
        <v>1486</v>
      </c>
      <c r="J486" s="5">
        <v>45443</v>
      </c>
      <c r="K486" s="5">
        <v>45443</v>
      </c>
      <c r="L486" s="6">
        <v>21852.22</v>
      </c>
    </row>
    <row r="487" s="1" customFormat="1" spans="1:12">
      <c r="A487" s="3" t="s">
        <v>521</v>
      </c>
      <c r="B487" s="3" t="s">
        <v>530</v>
      </c>
      <c r="C487" s="3"/>
      <c r="D487" s="3" t="s">
        <v>1601</v>
      </c>
      <c r="E487" s="3" t="s">
        <v>1483</v>
      </c>
      <c r="F487" s="3" t="s">
        <v>1484</v>
      </c>
      <c r="G487" s="3" t="s">
        <v>1538</v>
      </c>
      <c r="H487" s="3" t="s">
        <v>1538</v>
      </c>
      <c r="I487" s="3" t="s">
        <v>1486</v>
      </c>
      <c r="J487" s="5">
        <v>45444</v>
      </c>
      <c r="K487" s="5">
        <v>45444</v>
      </c>
      <c r="L487" s="6">
        <v>-21852.22</v>
      </c>
    </row>
    <row r="488" s="1" customFormat="1" spans="1:12">
      <c r="A488" s="3" t="s">
        <v>521</v>
      </c>
      <c r="B488" s="3" t="s">
        <v>562</v>
      </c>
      <c r="C488" s="3" t="s">
        <v>1602</v>
      </c>
      <c r="D488" s="3" t="s">
        <v>1603</v>
      </c>
      <c r="E488" s="3" t="s">
        <v>1483</v>
      </c>
      <c r="F488" s="3" t="s">
        <v>1484</v>
      </c>
      <c r="G488" s="3" t="s">
        <v>1604</v>
      </c>
      <c r="H488" s="3" t="s">
        <v>1604</v>
      </c>
      <c r="I488" s="3" t="s">
        <v>1486</v>
      </c>
      <c r="J488" s="5">
        <v>45437</v>
      </c>
      <c r="K488" s="5">
        <v>45437</v>
      </c>
      <c r="L488" s="6">
        <v>27084.45</v>
      </c>
    </row>
    <row r="489" s="1" customFormat="1" spans="1:12">
      <c r="A489" s="3" t="s">
        <v>521</v>
      </c>
      <c r="B489" s="3" t="s">
        <v>530</v>
      </c>
      <c r="C489" s="3" t="s">
        <v>1559</v>
      </c>
      <c r="D489" s="3" t="s">
        <v>1605</v>
      </c>
      <c r="E489" s="3" t="s">
        <v>1483</v>
      </c>
      <c r="F489" s="3" t="s">
        <v>1484</v>
      </c>
      <c r="G489" s="3" t="s">
        <v>1606</v>
      </c>
      <c r="H489" s="3" t="s">
        <v>1606</v>
      </c>
      <c r="I489" s="3" t="s">
        <v>1486</v>
      </c>
      <c r="J489" s="5">
        <v>45464</v>
      </c>
      <c r="K489" s="5">
        <v>45464</v>
      </c>
      <c r="L489" s="6">
        <v>28007.78</v>
      </c>
    </row>
    <row r="490" s="1" customFormat="1" spans="1:12">
      <c r="A490" s="3" t="s">
        <v>521</v>
      </c>
      <c r="B490" s="3" t="s">
        <v>530</v>
      </c>
      <c r="C490" s="3" t="s">
        <v>1559</v>
      </c>
      <c r="D490" s="3" t="s">
        <v>1607</v>
      </c>
      <c r="E490" s="3" t="s">
        <v>1483</v>
      </c>
      <c r="F490" s="3" t="s">
        <v>1484</v>
      </c>
      <c r="G490" s="3" t="s">
        <v>1561</v>
      </c>
      <c r="H490" s="3" t="s">
        <v>1561</v>
      </c>
      <c r="I490" s="3" t="s">
        <v>1486</v>
      </c>
      <c r="J490" s="5">
        <v>45463</v>
      </c>
      <c r="K490" s="5">
        <v>45463</v>
      </c>
      <c r="L490" s="6">
        <v>355222.22</v>
      </c>
    </row>
    <row r="491" s="1" customFormat="1" spans="1:12">
      <c r="A491" s="3" t="s">
        <v>521</v>
      </c>
      <c r="B491" s="3" t="s">
        <v>530</v>
      </c>
      <c r="C491" s="3" t="s">
        <v>1559</v>
      </c>
      <c r="D491" s="3" t="s">
        <v>1608</v>
      </c>
      <c r="E491" s="3" t="s">
        <v>1483</v>
      </c>
      <c r="F491" s="3" t="s">
        <v>1484</v>
      </c>
      <c r="G491" s="3" t="s">
        <v>1606</v>
      </c>
      <c r="H491" s="3" t="s">
        <v>1606</v>
      </c>
      <c r="I491" s="3" t="s">
        <v>1486</v>
      </c>
      <c r="J491" s="5">
        <v>45464</v>
      </c>
      <c r="K491" s="5">
        <v>45464</v>
      </c>
      <c r="L491" s="6">
        <v>849466.67</v>
      </c>
    </row>
    <row r="492" s="1" customFormat="1" spans="1:12">
      <c r="A492" s="3" t="s">
        <v>521</v>
      </c>
      <c r="B492" s="3" t="s">
        <v>530</v>
      </c>
      <c r="C492" s="3" t="s">
        <v>1559</v>
      </c>
      <c r="D492" s="3" t="s">
        <v>1609</v>
      </c>
      <c r="E492" s="3" t="s">
        <v>1483</v>
      </c>
      <c r="F492" s="3" t="s">
        <v>1484</v>
      </c>
      <c r="G492" s="3" t="s">
        <v>1606</v>
      </c>
      <c r="H492" s="3" t="s">
        <v>1606</v>
      </c>
      <c r="I492" s="3" t="s">
        <v>1486</v>
      </c>
      <c r="J492" s="5">
        <v>45464</v>
      </c>
      <c r="K492" s="5">
        <v>45464</v>
      </c>
      <c r="L492" s="6">
        <v>51706.67</v>
      </c>
    </row>
    <row r="493" s="1" customFormat="1" spans="1:12">
      <c r="A493" s="3" t="s">
        <v>521</v>
      </c>
      <c r="B493" s="3" t="s">
        <v>823</v>
      </c>
      <c r="C493" s="3" t="s">
        <v>1610</v>
      </c>
      <c r="D493" s="3" t="s">
        <v>1611</v>
      </c>
      <c r="E493" s="3" t="s">
        <v>1483</v>
      </c>
      <c r="F493" s="3" t="s">
        <v>1484</v>
      </c>
      <c r="G493" s="3" t="s">
        <v>525</v>
      </c>
      <c r="H493" s="3" t="s">
        <v>1495</v>
      </c>
      <c r="I493" s="3" t="s">
        <v>527</v>
      </c>
      <c r="J493" s="5">
        <v>45322</v>
      </c>
      <c r="K493" s="5">
        <v>45316</v>
      </c>
      <c r="L493" s="6">
        <v>-476200.01</v>
      </c>
    </row>
    <row r="494" s="1" customFormat="1" spans="1:12">
      <c r="A494" s="3" t="s">
        <v>521</v>
      </c>
      <c r="B494" s="3" t="s">
        <v>597</v>
      </c>
      <c r="C494" s="3" t="s">
        <v>1612</v>
      </c>
      <c r="D494" s="3" t="s">
        <v>1613</v>
      </c>
      <c r="E494" s="3" t="s">
        <v>1483</v>
      </c>
      <c r="F494" s="3" t="s">
        <v>1484</v>
      </c>
      <c r="G494" s="3" t="s">
        <v>525</v>
      </c>
      <c r="H494" s="3" t="s">
        <v>1495</v>
      </c>
      <c r="I494" s="3" t="s">
        <v>527</v>
      </c>
      <c r="J494" s="5">
        <v>45382</v>
      </c>
      <c r="K494" s="5">
        <v>45380</v>
      </c>
      <c r="L494" s="6">
        <v>-172600</v>
      </c>
    </row>
    <row r="495" s="1" customFormat="1" spans="1:12">
      <c r="A495" s="3" t="s">
        <v>521</v>
      </c>
      <c r="B495" s="3" t="s">
        <v>597</v>
      </c>
      <c r="C495" s="3" t="s">
        <v>1614</v>
      </c>
      <c r="D495" s="3" t="s">
        <v>1615</v>
      </c>
      <c r="E495" s="3" t="s">
        <v>1483</v>
      </c>
      <c r="F495" s="3" t="s">
        <v>1484</v>
      </c>
      <c r="G495" s="3" t="s">
        <v>525</v>
      </c>
      <c r="H495" s="3" t="s">
        <v>1495</v>
      </c>
      <c r="I495" s="3" t="s">
        <v>527</v>
      </c>
      <c r="J495" s="5">
        <v>45382</v>
      </c>
      <c r="K495" s="5">
        <v>45377</v>
      </c>
      <c r="L495" s="6">
        <v>-308222.22</v>
      </c>
    </row>
    <row r="496" s="1" customFormat="1" spans="1:12">
      <c r="A496" s="3" t="s">
        <v>521</v>
      </c>
      <c r="B496" s="3" t="s">
        <v>530</v>
      </c>
      <c r="C496" s="3" t="s">
        <v>1616</v>
      </c>
      <c r="D496" s="3" t="s">
        <v>1617</v>
      </c>
      <c r="E496" s="3" t="s">
        <v>1483</v>
      </c>
      <c r="F496" s="3" t="s">
        <v>1484</v>
      </c>
      <c r="G496" s="3" t="s">
        <v>1618</v>
      </c>
      <c r="H496" s="3" t="s">
        <v>1618</v>
      </c>
      <c r="I496" s="3" t="s">
        <v>1486</v>
      </c>
      <c r="J496" s="5">
        <v>45473</v>
      </c>
      <c r="K496" s="5">
        <v>45473</v>
      </c>
      <c r="L496" s="6">
        <v>157533.33</v>
      </c>
    </row>
    <row r="497" s="1" customFormat="1" spans="1:12">
      <c r="A497" s="3" t="s">
        <v>521</v>
      </c>
      <c r="B497" s="3" t="s">
        <v>530</v>
      </c>
      <c r="C497" s="3" t="s">
        <v>1616</v>
      </c>
      <c r="D497" s="3" t="s">
        <v>1619</v>
      </c>
      <c r="E497" s="3" t="s">
        <v>1483</v>
      </c>
      <c r="F497" s="3" t="s">
        <v>1484</v>
      </c>
      <c r="G497" s="3" t="s">
        <v>1618</v>
      </c>
      <c r="H497" s="3" t="s">
        <v>1618</v>
      </c>
      <c r="I497" s="3" t="s">
        <v>1486</v>
      </c>
      <c r="J497" s="5">
        <v>45473</v>
      </c>
      <c r="K497" s="5">
        <v>45473</v>
      </c>
      <c r="L497" s="6">
        <v>78766.66</v>
      </c>
    </row>
    <row r="498" s="1" customFormat="1" spans="1:12">
      <c r="A498" s="3" t="s">
        <v>521</v>
      </c>
      <c r="B498" s="3" t="s">
        <v>530</v>
      </c>
      <c r="C498" s="3" t="s">
        <v>1616</v>
      </c>
      <c r="D498" s="3" t="s">
        <v>1620</v>
      </c>
      <c r="E498" s="3" t="s">
        <v>1483</v>
      </c>
      <c r="F498" s="3" t="s">
        <v>1484</v>
      </c>
      <c r="G498" s="3" t="s">
        <v>1618</v>
      </c>
      <c r="H498" s="3" t="s">
        <v>1618</v>
      </c>
      <c r="I498" s="3" t="s">
        <v>1486</v>
      </c>
      <c r="J498" s="5">
        <v>45473</v>
      </c>
      <c r="K498" s="5">
        <v>45473</v>
      </c>
      <c r="L498" s="6">
        <v>393833.33</v>
      </c>
    </row>
    <row r="499" s="1" customFormat="1" spans="1:12">
      <c r="A499" s="3" t="s">
        <v>521</v>
      </c>
      <c r="B499" s="3" t="s">
        <v>530</v>
      </c>
      <c r="C499" s="3" t="s">
        <v>1616</v>
      </c>
      <c r="D499" s="3" t="s">
        <v>1621</v>
      </c>
      <c r="E499" s="3" t="s">
        <v>1483</v>
      </c>
      <c r="F499" s="3" t="s">
        <v>1484</v>
      </c>
      <c r="G499" s="3" t="s">
        <v>1618</v>
      </c>
      <c r="H499" s="3" t="s">
        <v>1618</v>
      </c>
      <c r="I499" s="3" t="s">
        <v>1486</v>
      </c>
      <c r="J499" s="5">
        <v>45473</v>
      </c>
      <c r="K499" s="5">
        <v>45473</v>
      </c>
      <c r="L499" s="6">
        <v>31085.56</v>
      </c>
    </row>
    <row r="500" s="1" customFormat="1" spans="1:12">
      <c r="A500" s="3" t="s">
        <v>521</v>
      </c>
      <c r="B500" s="3" t="s">
        <v>530</v>
      </c>
      <c r="C500" s="3" t="s">
        <v>1616</v>
      </c>
      <c r="D500" s="3" t="s">
        <v>1622</v>
      </c>
      <c r="E500" s="3" t="s">
        <v>1483</v>
      </c>
      <c r="F500" s="3" t="s">
        <v>1484</v>
      </c>
      <c r="G500" s="3" t="s">
        <v>1618</v>
      </c>
      <c r="H500" s="3" t="s">
        <v>1618</v>
      </c>
      <c r="I500" s="3" t="s">
        <v>1486</v>
      </c>
      <c r="J500" s="5">
        <v>45473</v>
      </c>
      <c r="K500" s="5">
        <v>45473</v>
      </c>
      <c r="L500" s="6">
        <v>941800</v>
      </c>
    </row>
    <row r="501" s="1" customFormat="1" spans="1:12">
      <c r="A501" s="3" t="s">
        <v>521</v>
      </c>
      <c r="B501" s="3" t="s">
        <v>530</v>
      </c>
      <c r="C501" s="3" t="s">
        <v>1616</v>
      </c>
      <c r="D501" s="3" t="s">
        <v>1623</v>
      </c>
      <c r="E501" s="3" t="s">
        <v>1483</v>
      </c>
      <c r="F501" s="3" t="s">
        <v>1484</v>
      </c>
      <c r="G501" s="3" t="s">
        <v>1618</v>
      </c>
      <c r="H501" s="3" t="s">
        <v>1618</v>
      </c>
      <c r="I501" s="3" t="s">
        <v>1486</v>
      </c>
      <c r="J501" s="5">
        <v>45473</v>
      </c>
      <c r="K501" s="5">
        <v>45473</v>
      </c>
      <c r="L501" s="6">
        <v>64017.78</v>
      </c>
    </row>
    <row r="502" s="1" customFormat="1" spans="1:12">
      <c r="A502" s="3" t="s">
        <v>521</v>
      </c>
      <c r="B502" s="3" t="s">
        <v>522</v>
      </c>
      <c r="C502" s="3" t="s">
        <v>1624</v>
      </c>
      <c r="D502" s="3" t="s">
        <v>1625</v>
      </c>
      <c r="E502" s="3" t="s">
        <v>1483</v>
      </c>
      <c r="F502" s="3" t="s">
        <v>1484</v>
      </c>
      <c r="G502" s="3" t="s">
        <v>525</v>
      </c>
      <c r="H502" s="3" t="s">
        <v>1495</v>
      </c>
      <c r="I502" s="3" t="s">
        <v>527</v>
      </c>
      <c r="J502" s="5">
        <v>45351</v>
      </c>
      <c r="K502" s="5">
        <v>45345</v>
      </c>
      <c r="L502" s="6">
        <v>-446922.22</v>
      </c>
    </row>
    <row r="503" s="1" customFormat="1" spans="1:12">
      <c r="A503" s="3" t="s">
        <v>521</v>
      </c>
      <c r="B503" s="3" t="s">
        <v>895</v>
      </c>
      <c r="C503" s="3" t="s">
        <v>1626</v>
      </c>
      <c r="D503" s="3" t="s">
        <v>1627</v>
      </c>
      <c r="E503" s="3" t="s">
        <v>1483</v>
      </c>
      <c r="F503" s="3" t="s">
        <v>1484</v>
      </c>
      <c r="G503" s="3" t="s">
        <v>525</v>
      </c>
      <c r="H503" s="3" t="s">
        <v>1495</v>
      </c>
      <c r="I503" s="3" t="s">
        <v>527</v>
      </c>
      <c r="J503" s="5">
        <v>45412</v>
      </c>
      <c r="K503" s="5">
        <v>45407</v>
      </c>
      <c r="L503" s="6">
        <v>-351860.25</v>
      </c>
    </row>
    <row r="504" s="1" customFormat="1" spans="1:12">
      <c r="A504" s="3" t="s">
        <v>521</v>
      </c>
      <c r="B504" s="3" t="s">
        <v>562</v>
      </c>
      <c r="C504" s="3" t="s">
        <v>1628</v>
      </c>
      <c r="D504" s="3" t="s">
        <v>1629</v>
      </c>
      <c r="E504" s="3" t="s">
        <v>1483</v>
      </c>
      <c r="F504" s="3" t="s">
        <v>1484</v>
      </c>
      <c r="G504" s="3" t="s">
        <v>525</v>
      </c>
      <c r="H504" s="3" t="s">
        <v>1495</v>
      </c>
      <c r="I504" s="3" t="s">
        <v>527</v>
      </c>
      <c r="J504" s="5">
        <v>45443</v>
      </c>
      <c r="K504" s="5">
        <v>45437</v>
      </c>
      <c r="L504" s="6">
        <v>-958852.22</v>
      </c>
    </row>
    <row r="505" s="1" customFormat="1" spans="1:12">
      <c r="A505" s="3" t="s">
        <v>521</v>
      </c>
      <c r="B505" s="3" t="s">
        <v>562</v>
      </c>
      <c r="C505" s="3" t="s">
        <v>1630</v>
      </c>
      <c r="D505" s="3" t="s">
        <v>1631</v>
      </c>
      <c r="E505" s="3" t="s">
        <v>1483</v>
      </c>
      <c r="F505" s="3" t="s">
        <v>1484</v>
      </c>
      <c r="G505" s="3" t="s">
        <v>525</v>
      </c>
      <c r="H505" s="3" t="s">
        <v>1495</v>
      </c>
      <c r="I505" s="3" t="s">
        <v>527</v>
      </c>
      <c r="J505" s="5">
        <v>45443</v>
      </c>
      <c r="K505" s="5">
        <v>45435</v>
      </c>
      <c r="L505" s="6">
        <v>502235.24</v>
      </c>
    </row>
    <row r="506" s="1" customFormat="1" spans="1:12">
      <c r="A506" s="3" t="s">
        <v>521</v>
      </c>
      <c r="B506" s="3" t="s">
        <v>562</v>
      </c>
      <c r="C506" s="3" t="s">
        <v>1632</v>
      </c>
      <c r="D506" s="3" t="s">
        <v>1633</v>
      </c>
      <c r="E506" s="3" t="s">
        <v>1483</v>
      </c>
      <c r="F506" s="3" t="s">
        <v>1484</v>
      </c>
      <c r="G506" s="3" t="s">
        <v>525</v>
      </c>
      <c r="H506" s="3" t="s">
        <v>1495</v>
      </c>
      <c r="I506" s="3" t="s">
        <v>527</v>
      </c>
      <c r="J506" s="5">
        <v>45443</v>
      </c>
      <c r="K506" s="5">
        <v>45437</v>
      </c>
      <c r="L506" s="6">
        <v>-27084.45</v>
      </c>
    </row>
    <row r="507" s="1" customFormat="1" spans="1:12">
      <c r="A507" s="3" t="s">
        <v>508</v>
      </c>
      <c r="B507" s="3" t="s">
        <v>644</v>
      </c>
      <c r="C507" s="3" t="s">
        <v>1634</v>
      </c>
      <c r="D507" s="3" t="s">
        <v>1635</v>
      </c>
      <c r="E507" s="3" t="s">
        <v>1636</v>
      </c>
      <c r="F507" s="3" t="s">
        <v>1637</v>
      </c>
      <c r="G507" s="3" t="s">
        <v>1638</v>
      </c>
      <c r="H507" s="3" t="s">
        <v>1638</v>
      </c>
      <c r="I507" s="3" t="s">
        <v>1486</v>
      </c>
      <c r="J507" s="5">
        <v>45199</v>
      </c>
      <c r="K507" s="5">
        <v>45199</v>
      </c>
      <c r="L507" s="6">
        <v>1937.5</v>
      </c>
    </row>
    <row r="508" s="1" customFormat="1" spans="1:12">
      <c r="A508" s="3" t="s">
        <v>508</v>
      </c>
      <c r="B508" s="3" t="s">
        <v>509</v>
      </c>
      <c r="C508" s="3" t="s">
        <v>1639</v>
      </c>
      <c r="D508" s="3" t="s">
        <v>1640</v>
      </c>
      <c r="E508" s="3" t="s">
        <v>1636</v>
      </c>
      <c r="F508" s="3" t="s">
        <v>1637</v>
      </c>
      <c r="G508" s="3" t="s">
        <v>1641</v>
      </c>
      <c r="H508" s="3" t="s">
        <v>1641</v>
      </c>
      <c r="I508" s="3" t="s">
        <v>1486</v>
      </c>
      <c r="J508" s="5">
        <v>45200</v>
      </c>
      <c r="K508" s="5">
        <v>45200</v>
      </c>
      <c r="L508" s="6">
        <v>-1937.5</v>
      </c>
    </row>
    <row r="509" s="1" customFormat="1" spans="1:12">
      <c r="A509" s="3" t="s">
        <v>508</v>
      </c>
      <c r="B509" s="3" t="s">
        <v>509</v>
      </c>
      <c r="C509" s="3" t="s">
        <v>1642</v>
      </c>
      <c r="D509" s="3" t="s">
        <v>1643</v>
      </c>
      <c r="E509" s="3" t="s">
        <v>1636</v>
      </c>
      <c r="F509" s="3" t="s">
        <v>1637</v>
      </c>
      <c r="G509" s="3" t="s">
        <v>1638</v>
      </c>
      <c r="H509" s="3" t="s">
        <v>1638</v>
      </c>
      <c r="I509" s="3" t="s">
        <v>1486</v>
      </c>
      <c r="J509" s="5">
        <v>45230</v>
      </c>
      <c r="K509" s="5">
        <v>45230</v>
      </c>
      <c r="L509" s="6">
        <v>70525</v>
      </c>
    </row>
    <row r="510" s="1" customFormat="1" spans="1:12">
      <c r="A510" s="3" t="s">
        <v>508</v>
      </c>
      <c r="B510" s="3" t="s">
        <v>542</v>
      </c>
      <c r="C510" s="3"/>
      <c r="D510" s="3" t="s">
        <v>1644</v>
      </c>
      <c r="E510" s="3" t="s">
        <v>1636</v>
      </c>
      <c r="F510" s="3" t="s">
        <v>1637</v>
      </c>
      <c r="G510" s="3" t="s">
        <v>1641</v>
      </c>
      <c r="H510" s="3" t="s">
        <v>1641</v>
      </c>
      <c r="I510" s="3" t="s">
        <v>1486</v>
      </c>
      <c r="J510" s="5">
        <v>45231</v>
      </c>
      <c r="K510" s="5">
        <v>45231</v>
      </c>
      <c r="L510" s="6">
        <v>-70525</v>
      </c>
    </row>
    <row r="511" s="1" customFormat="1" spans="1:12">
      <c r="A511" s="3" t="s">
        <v>508</v>
      </c>
      <c r="B511" s="3" t="s">
        <v>509</v>
      </c>
      <c r="C511" s="3" t="s">
        <v>1645</v>
      </c>
      <c r="D511" s="3" t="s">
        <v>1646</v>
      </c>
      <c r="E511" s="3" t="s">
        <v>1636</v>
      </c>
      <c r="F511" s="3" t="s">
        <v>1637</v>
      </c>
      <c r="G511" s="3" t="s">
        <v>525</v>
      </c>
      <c r="H511" s="3" t="s">
        <v>1647</v>
      </c>
      <c r="I511" s="3" t="s">
        <v>527</v>
      </c>
      <c r="J511" s="5">
        <v>45230</v>
      </c>
      <c r="K511" s="5">
        <v>45225</v>
      </c>
      <c r="L511" s="6">
        <v>-80535.42</v>
      </c>
    </row>
    <row r="512" s="1" customFormat="1" spans="1:12">
      <c r="A512" s="3" t="s">
        <v>508</v>
      </c>
      <c r="B512" s="3" t="s">
        <v>542</v>
      </c>
      <c r="C512" s="3" t="s">
        <v>1648</v>
      </c>
      <c r="D512" s="3" t="s">
        <v>1649</v>
      </c>
      <c r="E512" s="3" t="s">
        <v>1636</v>
      </c>
      <c r="F512" s="3" t="s">
        <v>1637</v>
      </c>
      <c r="G512" s="3" t="s">
        <v>525</v>
      </c>
      <c r="H512" s="3" t="s">
        <v>1647</v>
      </c>
      <c r="I512" s="3" t="s">
        <v>527</v>
      </c>
      <c r="J512" s="5">
        <v>45260</v>
      </c>
      <c r="K512" s="5">
        <v>45254</v>
      </c>
      <c r="L512" s="6">
        <v>-140659.71</v>
      </c>
    </row>
    <row r="513" s="1" customFormat="1" spans="1:12">
      <c r="A513" s="3" t="s">
        <v>508</v>
      </c>
      <c r="B513" s="3" t="s">
        <v>518</v>
      </c>
      <c r="C513" s="3" t="s">
        <v>1650</v>
      </c>
      <c r="D513" s="3" t="s">
        <v>1651</v>
      </c>
      <c r="E513" s="3" t="s">
        <v>1636</v>
      </c>
      <c r="F513" s="3" t="s">
        <v>1637</v>
      </c>
      <c r="G513" s="3" t="s">
        <v>525</v>
      </c>
      <c r="H513" s="3" t="s">
        <v>1647</v>
      </c>
      <c r="I513" s="3" t="s">
        <v>527</v>
      </c>
      <c r="J513" s="5">
        <v>45291</v>
      </c>
      <c r="K513" s="5">
        <v>45288</v>
      </c>
      <c r="L513" s="6">
        <v>-97826.39</v>
      </c>
    </row>
    <row r="514" s="1" customFormat="1" spans="1:12">
      <c r="A514" s="3" t="s">
        <v>508</v>
      </c>
      <c r="B514" s="3" t="s">
        <v>518</v>
      </c>
      <c r="C514" s="3" t="s">
        <v>1652</v>
      </c>
      <c r="D514" s="3" t="s">
        <v>1653</v>
      </c>
      <c r="E514" s="3" t="s">
        <v>1636</v>
      </c>
      <c r="F514" s="3" t="s">
        <v>1637</v>
      </c>
      <c r="G514" s="3" t="s">
        <v>525</v>
      </c>
      <c r="H514" s="3" t="s">
        <v>1647</v>
      </c>
      <c r="I514" s="3" t="s">
        <v>527</v>
      </c>
      <c r="J514" s="5">
        <v>45291</v>
      </c>
      <c r="K514" s="5">
        <v>45289</v>
      </c>
      <c r="L514" s="6">
        <v>-0.01</v>
      </c>
    </row>
    <row r="515" s="1" customFormat="1" spans="1:12">
      <c r="A515" s="3" t="s">
        <v>508</v>
      </c>
      <c r="B515" s="3" t="s">
        <v>509</v>
      </c>
      <c r="C515" s="3" t="s">
        <v>1642</v>
      </c>
      <c r="D515" s="3" t="s">
        <v>1654</v>
      </c>
      <c r="E515" s="3" t="s">
        <v>1636</v>
      </c>
      <c r="F515" s="3" t="s">
        <v>1637</v>
      </c>
      <c r="G515" s="3" t="s">
        <v>1638</v>
      </c>
      <c r="H515" s="3" t="s">
        <v>1638</v>
      </c>
      <c r="I515" s="3" t="s">
        <v>1486</v>
      </c>
      <c r="J515" s="5">
        <v>45230</v>
      </c>
      <c r="K515" s="5">
        <v>45230</v>
      </c>
      <c r="L515" s="6">
        <v>11947.92</v>
      </c>
    </row>
    <row r="516" s="1" customFormat="1" spans="1:12">
      <c r="A516" s="3" t="s">
        <v>508</v>
      </c>
      <c r="B516" s="3" t="s">
        <v>542</v>
      </c>
      <c r="C516" s="3"/>
      <c r="D516" s="3" t="s">
        <v>1655</v>
      </c>
      <c r="E516" s="3" t="s">
        <v>1636</v>
      </c>
      <c r="F516" s="3" t="s">
        <v>1637</v>
      </c>
      <c r="G516" s="3" t="s">
        <v>1641</v>
      </c>
      <c r="H516" s="3" t="s">
        <v>1641</v>
      </c>
      <c r="I516" s="3" t="s">
        <v>1486</v>
      </c>
      <c r="J516" s="5">
        <v>45231</v>
      </c>
      <c r="K516" s="5">
        <v>45231</v>
      </c>
      <c r="L516" s="6">
        <v>-11947.92</v>
      </c>
    </row>
    <row r="517" s="1" customFormat="1" spans="1:12">
      <c r="A517" s="3" t="s">
        <v>508</v>
      </c>
      <c r="B517" s="3" t="s">
        <v>542</v>
      </c>
      <c r="C517" s="3" t="s">
        <v>1656</v>
      </c>
      <c r="D517" s="3" t="s">
        <v>1657</v>
      </c>
      <c r="E517" s="3" t="s">
        <v>1636</v>
      </c>
      <c r="F517" s="3" t="s">
        <v>1637</v>
      </c>
      <c r="G517" s="3" t="s">
        <v>1658</v>
      </c>
      <c r="H517" s="3" t="s">
        <v>1658</v>
      </c>
      <c r="I517" s="3" t="s">
        <v>1486</v>
      </c>
      <c r="J517" s="5">
        <v>45253</v>
      </c>
      <c r="K517" s="5">
        <v>45253</v>
      </c>
      <c r="L517" s="6">
        <v>19052.08</v>
      </c>
    </row>
    <row r="518" s="1" customFormat="1" spans="1:12">
      <c r="A518" s="3" t="s">
        <v>508</v>
      </c>
      <c r="B518" s="3" t="s">
        <v>542</v>
      </c>
      <c r="C518" s="3" t="s">
        <v>1481</v>
      </c>
      <c r="D518" s="3" t="s">
        <v>1659</v>
      </c>
      <c r="E518" s="3" t="s">
        <v>1636</v>
      </c>
      <c r="F518" s="3" t="s">
        <v>1637</v>
      </c>
      <c r="G518" s="3" t="s">
        <v>1485</v>
      </c>
      <c r="H518" s="3" t="s">
        <v>1485</v>
      </c>
      <c r="I518" s="3" t="s">
        <v>1486</v>
      </c>
      <c r="J518" s="5">
        <v>45260</v>
      </c>
      <c r="K518" s="5">
        <v>45260</v>
      </c>
      <c r="L518" s="6">
        <v>144408.33</v>
      </c>
    </row>
    <row r="519" s="1" customFormat="1" spans="1:12">
      <c r="A519" s="3" t="s">
        <v>508</v>
      </c>
      <c r="B519" s="3" t="s">
        <v>542</v>
      </c>
      <c r="C519" s="3" t="s">
        <v>1481</v>
      </c>
      <c r="D519" s="3" t="s">
        <v>1659</v>
      </c>
      <c r="E519" s="3" t="s">
        <v>1636</v>
      </c>
      <c r="F519" s="3" t="s">
        <v>1637</v>
      </c>
      <c r="G519" s="3" t="s">
        <v>1485</v>
      </c>
      <c r="H519" s="3" t="s">
        <v>1485</v>
      </c>
      <c r="I519" s="3" t="s">
        <v>1486</v>
      </c>
      <c r="J519" s="5">
        <v>45260</v>
      </c>
      <c r="K519" s="5">
        <v>45260</v>
      </c>
      <c r="L519" s="6">
        <v>15672.22</v>
      </c>
    </row>
    <row r="520" s="1" customFormat="1" spans="1:12">
      <c r="A520" s="3" t="s">
        <v>508</v>
      </c>
      <c r="B520" s="3" t="s">
        <v>518</v>
      </c>
      <c r="C520" s="3" t="s">
        <v>1487</v>
      </c>
      <c r="D520" s="3" t="s">
        <v>1660</v>
      </c>
      <c r="E520" s="3" t="s">
        <v>1636</v>
      </c>
      <c r="F520" s="3" t="s">
        <v>1637</v>
      </c>
      <c r="G520" s="3" t="s">
        <v>1489</v>
      </c>
      <c r="H520" s="3" t="s">
        <v>1489</v>
      </c>
      <c r="I520" s="3" t="s">
        <v>1486</v>
      </c>
      <c r="J520" s="5">
        <v>45261</v>
      </c>
      <c r="K520" s="5">
        <v>45261</v>
      </c>
      <c r="L520" s="6">
        <v>-144408.33</v>
      </c>
    </row>
    <row r="521" s="1" customFormat="1" spans="1:12">
      <c r="A521" s="3" t="s">
        <v>508</v>
      </c>
      <c r="B521" s="3" t="s">
        <v>518</v>
      </c>
      <c r="C521" s="3" t="s">
        <v>1487</v>
      </c>
      <c r="D521" s="3" t="s">
        <v>1660</v>
      </c>
      <c r="E521" s="3" t="s">
        <v>1636</v>
      </c>
      <c r="F521" s="3" t="s">
        <v>1637</v>
      </c>
      <c r="G521" s="3" t="s">
        <v>1489</v>
      </c>
      <c r="H521" s="3" t="s">
        <v>1489</v>
      </c>
      <c r="I521" s="3" t="s">
        <v>1486</v>
      </c>
      <c r="J521" s="5">
        <v>45261</v>
      </c>
      <c r="K521" s="5">
        <v>45261</v>
      </c>
      <c r="L521" s="6">
        <v>-15672.22</v>
      </c>
    </row>
    <row r="522" s="1" customFormat="1" spans="1:12">
      <c r="A522" s="3" t="s">
        <v>508</v>
      </c>
      <c r="B522" s="3" t="s">
        <v>542</v>
      </c>
      <c r="C522" s="3" t="s">
        <v>1481</v>
      </c>
      <c r="D522" s="3" t="s">
        <v>1661</v>
      </c>
      <c r="E522" s="3" t="s">
        <v>1636</v>
      </c>
      <c r="F522" s="3" t="s">
        <v>1637</v>
      </c>
      <c r="G522" s="3" t="s">
        <v>1485</v>
      </c>
      <c r="H522" s="3" t="s">
        <v>1485</v>
      </c>
      <c r="I522" s="3" t="s">
        <v>1486</v>
      </c>
      <c r="J522" s="5">
        <v>45260</v>
      </c>
      <c r="K522" s="5">
        <v>45260</v>
      </c>
      <c r="L522" s="6">
        <v>44000</v>
      </c>
    </row>
    <row r="523" s="1" customFormat="1" spans="1:12">
      <c r="A523" s="3" t="s">
        <v>508</v>
      </c>
      <c r="B523" s="3" t="s">
        <v>518</v>
      </c>
      <c r="C523" s="3" t="s">
        <v>1487</v>
      </c>
      <c r="D523" s="3" t="s">
        <v>1662</v>
      </c>
      <c r="E523" s="3" t="s">
        <v>1636</v>
      </c>
      <c r="F523" s="3" t="s">
        <v>1637</v>
      </c>
      <c r="G523" s="3" t="s">
        <v>1489</v>
      </c>
      <c r="H523" s="3" t="s">
        <v>1489</v>
      </c>
      <c r="I523" s="3" t="s">
        <v>1486</v>
      </c>
      <c r="J523" s="5">
        <v>45261</v>
      </c>
      <c r="K523" s="5">
        <v>45261</v>
      </c>
      <c r="L523" s="6">
        <v>-44000</v>
      </c>
    </row>
    <row r="524" s="1" customFormat="1" spans="1:12">
      <c r="A524" s="3" t="s">
        <v>508</v>
      </c>
      <c r="B524" s="3" t="s">
        <v>518</v>
      </c>
      <c r="C524" s="3" t="s">
        <v>1663</v>
      </c>
      <c r="D524" s="3" t="s">
        <v>1664</v>
      </c>
      <c r="E524" s="3" t="s">
        <v>1636</v>
      </c>
      <c r="F524" s="3" t="s">
        <v>1637</v>
      </c>
      <c r="G524" s="3" t="s">
        <v>1665</v>
      </c>
      <c r="H524" s="3" t="s">
        <v>1665</v>
      </c>
      <c r="I524" s="3" t="s">
        <v>1486</v>
      </c>
      <c r="J524" s="5">
        <v>45291</v>
      </c>
      <c r="K524" s="5">
        <v>45275</v>
      </c>
      <c r="L524" s="6">
        <v>-43098.61</v>
      </c>
    </row>
    <row r="525" s="1" customFormat="1" spans="1:12">
      <c r="A525" s="3" t="s">
        <v>508</v>
      </c>
      <c r="B525" s="3" t="s">
        <v>518</v>
      </c>
      <c r="C525" s="3" t="s">
        <v>1666</v>
      </c>
      <c r="D525" s="3" t="s">
        <v>1667</v>
      </c>
      <c r="E525" s="3" t="s">
        <v>1636</v>
      </c>
      <c r="F525" s="3" t="s">
        <v>1637</v>
      </c>
      <c r="G525" s="3" t="s">
        <v>1668</v>
      </c>
      <c r="H525" s="3" t="s">
        <v>1668</v>
      </c>
      <c r="I525" s="3" t="s">
        <v>1486</v>
      </c>
      <c r="J525" s="5">
        <v>45275</v>
      </c>
      <c r="K525" s="5">
        <v>45275</v>
      </c>
      <c r="L525" s="6">
        <v>43098.62</v>
      </c>
    </row>
    <row r="526" s="1" customFormat="1" spans="1:12">
      <c r="A526" s="3" t="s">
        <v>508</v>
      </c>
      <c r="B526" s="3" t="s">
        <v>644</v>
      </c>
      <c r="C526" s="3" t="s">
        <v>1669</v>
      </c>
      <c r="D526" s="3" t="s">
        <v>1670</v>
      </c>
      <c r="E526" s="3" t="s">
        <v>1636</v>
      </c>
      <c r="F526" s="3" t="s">
        <v>1637</v>
      </c>
      <c r="G526" s="3" t="s">
        <v>525</v>
      </c>
      <c r="H526" s="3" t="s">
        <v>1647</v>
      </c>
      <c r="I526" s="3" t="s">
        <v>527</v>
      </c>
      <c r="J526" s="5">
        <v>45199</v>
      </c>
      <c r="K526" s="5">
        <v>45198</v>
      </c>
      <c r="L526" s="6">
        <v>-1937.5</v>
      </c>
    </row>
    <row r="527" s="1" customFormat="1" spans="1:12">
      <c r="A527" s="3" t="s">
        <v>508</v>
      </c>
      <c r="B527" s="3" t="s">
        <v>518</v>
      </c>
      <c r="C527" s="3" t="s">
        <v>1671</v>
      </c>
      <c r="D527" s="3" t="s">
        <v>1672</v>
      </c>
      <c r="E527" s="3" t="s">
        <v>1636</v>
      </c>
      <c r="F527" s="3" t="s">
        <v>1637</v>
      </c>
      <c r="G527" s="3" t="s">
        <v>1673</v>
      </c>
      <c r="H527" s="3" t="s">
        <v>1673</v>
      </c>
      <c r="I527" s="3" t="s">
        <v>1486</v>
      </c>
      <c r="J527" s="5">
        <v>45279</v>
      </c>
      <c r="K527" s="5">
        <v>45279</v>
      </c>
      <c r="L527" s="6">
        <v>96800</v>
      </c>
    </row>
    <row r="528" s="1" customFormat="1" spans="1:12">
      <c r="A528" s="3" t="s">
        <v>508</v>
      </c>
      <c r="B528" s="3" t="s">
        <v>518</v>
      </c>
      <c r="C528" s="3"/>
      <c r="D528" s="3" t="s">
        <v>1674</v>
      </c>
      <c r="E528" s="3" t="s">
        <v>1636</v>
      </c>
      <c r="F528" s="3" t="s">
        <v>1637</v>
      </c>
      <c r="G528" s="3" t="s">
        <v>1675</v>
      </c>
      <c r="H528" s="3" t="s">
        <v>1675</v>
      </c>
      <c r="I528" s="3" t="s">
        <v>1486</v>
      </c>
      <c r="J528" s="5">
        <v>45285</v>
      </c>
      <c r="K528" s="5">
        <v>45285</v>
      </c>
      <c r="L528" s="6">
        <v>17600</v>
      </c>
    </row>
    <row r="529" s="1" customFormat="1" spans="1:12">
      <c r="A529" s="3" t="s">
        <v>508</v>
      </c>
      <c r="B529" s="3" t="s">
        <v>518</v>
      </c>
      <c r="C529" s="3" t="s">
        <v>1663</v>
      </c>
      <c r="D529" s="3" t="s">
        <v>1676</v>
      </c>
      <c r="E529" s="3" t="s">
        <v>1636</v>
      </c>
      <c r="F529" s="3" t="s">
        <v>1637</v>
      </c>
      <c r="G529" s="3" t="s">
        <v>1658</v>
      </c>
      <c r="H529" s="3" t="s">
        <v>1658</v>
      </c>
      <c r="I529" s="3" t="s">
        <v>1486</v>
      </c>
      <c r="J529" s="5">
        <v>45291</v>
      </c>
      <c r="K529" s="5">
        <v>45291</v>
      </c>
      <c r="L529" s="6">
        <v>144408.33</v>
      </c>
    </row>
    <row r="530" s="1" customFormat="1" spans="1:12">
      <c r="A530" s="3" t="s">
        <v>508</v>
      </c>
      <c r="B530" s="3" t="s">
        <v>518</v>
      </c>
      <c r="C530" s="3" t="s">
        <v>1663</v>
      </c>
      <c r="D530" s="3" t="s">
        <v>1676</v>
      </c>
      <c r="E530" s="3" t="s">
        <v>1636</v>
      </c>
      <c r="F530" s="3" t="s">
        <v>1637</v>
      </c>
      <c r="G530" s="3" t="s">
        <v>1658</v>
      </c>
      <c r="H530" s="3" t="s">
        <v>1658</v>
      </c>
      <c r="I530" s="3" t="s">
        <v>1486</v>
      </c>
      <c r="J530" s="5">
        <v>45291</v>
      </c>
      <c r="K530" s="5">
        <v>45291</v>
      </c>
      <c r="L530" s="6">
        <v>43098.61</v>
      </c>
    </row>
    <row r="531" s="1" customFormat="1" spans="1:12">
      <c r="A531" s="3" t="s">
        <v>508</v>
      </c>
      <c r="B531" s="3" t="s">
        <v>644</v>
      </c>
      <c r="C531" s="3" t="s">
        <v>1677</v>
      </c>
      <c r="D531" s="3" t="s">
        <v>1678</v>
      </c>
      <c r="E531" s="3" t="s">
        <v>1679</v>
      </c>
      <c r="F531" s="3" t="s">
        <v>1680</v>
      </c>
      <c r="G531" s="3" t="s">
        <v>1681</v>
      </c>
      <c r="H531" s="3" t="s">
        <v>1681</v>
      </c>
      <c r="I531" s="3" t="s">
        <v>647</v>
      </c>
      <c r="J531" s="5">
        <v>45197</v>
      </c>
      <c r="K531" s="5">
        <v>45197</v>
      </c>
      <c r="L531" s="6">
        <v>150</v>
      </c>
    </row>
    <row r="532" s="1" customFormat="1" spans="1:12">
      <c r="A532" s="3" t="s">
        <v>508</v>
      </c>
      <c r="B532" s="3" t="s">
        <v>542</v>
      </c>
      <c r="C532" s="3" t="s">
        <v>1682</v>
      </c>
      <c r="D532" s="3" t="s">
        <v>1683</v>
      </c>
      <c r="E532" s="3" t="s">
        <v>1679</v>
      </c>
      <c r="F532" s="3" t="s">
        <v>1680</v>
      </c>
      <c r="G532" s="3" t="s">
        <v>1684</v>
      </c>
      <c r="H532" s="3" t="s">
        <v>1684</v>
      </c>
      <c r="I532" s="3" t="s">
        <v>1486</v>
      </c>
      <c r="J532" s="5">
        <v>45238</v>
      </c>
      <c r="K532" s="5">
        <v>45238</v>
      </c>
      <c r="L532" s="6">
        <v>20</v>
      </c>
    </row>
    <row r="533" s="1" customFormat="1" spans="1:12">
      <c r="A533" s="3" t="s">
        <v>508</v>
      </c>
      <c r="B533" s="3" t="s">
        <v>518</v>
      </c>
      <c r="C533" s="3" t="s">
        <v>1685</v>
      </c>
      <c r="D533" s="3" t="s">
        <v>1686</v>
      </c>
      <c r="E533" s="3" t="s">
        <v>1679</v>
      </c>
      <c r="F533" s="3" t="s">
        <v>1680</v>
      </c>
      <c r="G533" s="3" t="s">
        <v>525</v>
      </c>
      <c r="H533" s="3" t="s">
        <v>1687</v>
      </c>
      <c r="I533" s="3" t="s">
        <v>527</v>
      </c>
      <c r="J533" s="5">
        <v>45291</v>
      </c>
      <c r="K533" s="5">
        <v>45288</v>
      </c>
      <c r="L533" s="6">
        <v>6516.65</v>
      </c>
    </row>
    <row r="534" s="1" customFormat="1" spans="1:12">
      <c r="A534" s="3" t="s">
        <v>521</v>
      </c>
      <c r="B534" s="3" t="s">
        <v>823</v>
      </c>
      <c r="C534" s="3" t="s">
        <v>1688</v>
      </c>
      <c r="D534" s="3" t="s">
        <v>1689</v>
      </c>
      <c r="E534" s="3" t="s">
        <v>1679</v>
      </c>
      <c r="F534" s="3" t="s">
        <v>1680</v>
      </c>
      <c r="G534" s="3" t="s">
        <v>525</v>
      </c>
      <c r="H534" s="3" t="s">
        <v>1687</v>
      </c>
      <c r="I534" s="3" t="s">
        <v>527</v>
      </c>
      <c r="J534" s="5">
        <v>45322</v>
      </c>
      <c r="K534" s="5">
        <v>45316</v>
      </c>
      <c r="L534" s="6">
        <v>-632.96</v>
      </c>
    </row>
    <row r="535" s="1" customFormat="1" spans="1:12">
      <c r="A535" s="3" t="s">
        <v>508</v>
      </c>
      <c r="B535" s="3" t="s">
        <v>542</v>
      </c>
      <c r="C535" s="3" t="s">
        <v>1690</v>
      </c>
      <c r="D535" s="3" t="s">
        <v>1691</v>
      </c>
      <c r="E535" s="3" t="s">
        <v>1679</v>
      </c>
      <c r="F535" s="3" t="s">
        <v>1680</v>
      </c>
      <c r="G535" s="3" t="s">
        <v>1692</v>
      </c>
      <c r="H535" s="3" t="s">
        <v>1692</v>
      </c>
      <c r="I535" s="3" t="s">
        <v>1486</v>
      </c>
      <c r="J535" s="5">
        <v>45243</v>
      </c>
      <c r="K535" s="5">
        <v>45243</v>
      </c>
      <c r="L535" s="6">
        <v>200</v>
      </c>
    </row>
    <row r="536" s="1" customFormat="1" spans="1:12">
      <c r="A536" s="3" t="s">
        <v>508</v>
      </c>
      <c r="B536" s="3" t="s">
        <v>518</v>
      </c>
      <c r="C536" s="3" t="s">
        <v>1693</v>
      </c>
      <c r="D536" s="3" t="s">
        <v>1694</v>
      </c>
      <c r="E536" s="3" t="s">
        <v>1679</v>
      </c>
      <c r="F536" s="3" t="s">
        <v>1680</v>
      </c>
      <c r="G536" s="3" t="s">
        <v>1695</v>
      </c>
      <c r="H536" s="3" t="s">
        <v>1695</v>
      </c>
      <c r="I536" s="3" t="s">
        <v>1696</v>
      </c>
      <c r="J536" s="5">
        <v>45272</v>
      </c>
      <c r="K536" s="5">
        <v>45272</v>
      </c>
      <c r="L536" s="6">
        <v>15</v>
      </c>
    </row>
    <row r="537" s="1" customFormat="1" spans="1:12">
      <c r="A537" s="3" t="s">
        <v>508</v>
      </c>
      <c r="B537" s="3" t="s">
        <v>644</v>
      </c>
      <c r="C537" s="3" t="s">
        <v>1697</v>
      </c>
      <c r="D537" s="3" t="s">
        <v>1698</v>
      </c>
      <c r="E537" s="3" t="s">
        <v>1679</v>
      </c>
      <c r="F537" s="3" t="s">
        <v>1680</v>
      </c>
      <c r="G537" s="3" t="s">
        <v>525</v>
      </c>
      <c r="H537" s="3" t="s">
        <v>1687</v>
      </c>
      <c r="I537" s="3" t="s">
        <v>527</v>
      </c>
      <c r="J537" s="5">
        <v>45199</v>
      </c>
      <c r="K537" s="5">
        <v>45198</v>
      </c>
      <c r="L537" s="6">
        <v>-150</v>
      </c>
    </row>
    <row r="538" s="1" customFormat="1" spans="1:12">
      <c r="A538" s="3" t="s">
        <v>508</v>
      </c>
      <c r="B538" s="3" t="s">
        <v>542</v>
      </c>
      <c r="C538" s="3" t="s">
        <v>1699</v>
      </c>
      <c r="D538" s="3" t="s">
        <v>1700</v>
      </c>
      <c r="E538" s="3" t="s">
        <v>1679</v>
      </c>
      <c r="F538" s="3" t="s">
        <v>1680</v>
      </c>
      <c r="G538" s="3" t="s">
        <v>525</v>
      </c>
      <c r="H538" s="3" t="s">
        <v>1687</v>
      </c>
      <c r="I538" s="3" t="s">
        <v>527</v>
      </c>
      <c r="J538" s="5">
        <v>45260</v>
      </c>
      <c r="K538" s="5">
        <v>45254</v>
      </c>
      <c r="L538" s="6">
        <v>-240</v>
      </c>
    </row>
    <row r="539" s="1" customFormat="1" spans="1:12">
      <c r="A539" s="3" t="s">
        <v>508</v>
      </c>
      <c r="B539" s="3" t="s">
        <v>518</v>
      </c>
      <c r="C539" s="3" t="s">
        <v>1701</v>
      </c>
      <c r="D539" s="3" t="s">
        <v>1702</v>
      </c>
      <c r="E539" s="3" t="s">
        <v>1679</v>
      </c>
      <c r="F539" s="3" t="s">
        <v>1680</v>
      </c>
      <c r="G539" s="3" t="s">
        <v>525</v>
      </c>
      <c r="H539" s="3" t="s">
        <v>1687</v>
      </c>
      <c r="I539" s="3" t="s">
        <v>527</v>
      </c>
      <c r="J539" s="5">
        <v>45291</v>
      </c>
      <c r="K539" s="5">
        <v>45289</v>
      </c>
      <c r="L539" s="6">
        <v>-15</v>
      </c>
    </row>
    <row r="540" s="1" customFormat="1" spans="1:12">
      <c r="A540" s="3" t="s">
        <v>521</v>
      </c>
      <c r="B540" s="3" t="s">
        <v>522</v>
      </c>
      <c r="C540" s="3" t="s">
        <v>1703</v>
      </c>
      <c r="D540" s="3" t="s">
        <v>1704</v>
      </c>
      <c r="E540" s="3" t="s">
        <v>1679</v>
      </c>
      <c r="F540" s="3" t="s">
        <v>1680</v>
      </c>
      <c r="G540" s="3" t="s">
        <v>525</v>
      </c>
      <c r="H540" s="3" t="s">
        <v>1687</v>
      </c>
      <c r="I540" s="3" t="s">
        <v>527</v>
      </c>
      <c r="J540" s="5">
        <v>45351</v>
      </c>
      <c r="K540" s="5">
        <v>45345</v>
      </c>
      <c r="L540" s="6">
        <v>-200</v>
      </c>
    </row>
    <row r="541" s="1" customFormat="1" spans="1:12">
      <c r="A541" s="3" t="s">
        <v>521</v>
      </c>
      <c r="B541" s="3" t="s">
        <v>597</v>
      </c>
      <c r="C541" s="3" t="s">
        <v>1705</v>
      </c>
      <c r="D541" s="3" t="s">
        <v>1706</v>
      </c>
      <c r="E541" s="3" t="s">
        <v>1679</v>
      </c>
      <c r="F541" s="3" t="s">
        <v>1680</v>
      </c>
      <c r="G541" s="3" t="s">
        <v>525</v>
      </c>
      <c r="H541" s="3" t="s">
        <v>1687</v>
      </c>
      <c r="I541" s="3" t="s">
        <v>527</v>
      </c>
      <c r="J541" s="5">
        <v>45382</v>
      </c>
      <c r="K541" s="5">
        <v>45377</v>
      </c>
      <c r="L541" s="6">
        <v>4185.98</v>
      </c>
    </row>
    <row r="542" s="1" customFormat="1" spans="1:12">
      <c r="A542" s="3" t="s">
        <v>508</v>
      </c>
      <c r="B542" s="3" t="s">
        <v>518</v>
      </c>
      <c r="C542" s="3" t="s">
        <v>1707</v>
      </c>
      <c r="D542" s="3" t="s">
        <v>1708</v>
      </c>
      <c r="E542" s="3" t="s">
        <v>1679</v>
      </c>
      <c r="F542" s="3" t="s">
        <v>1680</v>
      </c>
      <c r="G542" s="3" t="s">
        <v>1709</v>
      </c>
      <c r="H542" s="3" t="s">
        <v>1709</v>
      </c>
      <c r="I542" s="3" t="s">
        <v>1696</v>
      </c>
      <c r="J542" s="5">
        <v>45289</v>
      </c>
      <c r="K542" s="5">
        <v>45289</v>
      </c>
      <c r="L542" s="6">
        <v>15</v>
      </c>
    </row>
    <row r="543" s="1" customFormat="1" spans="1:12">
      <c r="A543" s="3" t="s">
        <v>521</v>
      </c>
      <c r="B543" s="3" t="s">
        <v>597</v>
      </c>
      <c r="C543" s="3" t="s">
        <v>1710</v>
      </c>
      <c r="D543" s="3" t="s">
        <v>1711</v>
      </c>
      <c r="E543" s="3" t="s">
        <v>1679</v>
      </c>
      <c r="F543" s="3" t="s">
        <v>1680</v>
      </c>
      <c r="G543" s="3" t="s">
        <v>1712</v>
      </c>
      <c r="H543" s="3" t="s">
        <v>1712</v>
      </c>
      <c r="I543" s="3" t="s">
        <v>1713</v>
      </c>
      <c r="J543" s="5">
        <v>45373</v>
      </c>
      <c r="K543" s="5">
        <v>45373</v>
      </c>
      <c r="L543" s="6">
        <v>-3430.45</v>
      </c>
    </row>
    <row r="544" s="1" customFormat="1" spans="1:12">
      <c r="A544" s="3" t="s">
        <v>521</v>
      </c>
      <c r="B544" s="3" t="s">
        <v>522</v>
      </c>
      <c r="C544" s="3" t="s">
        <v>1714</v>
      </c>
      <c r="D544" s="3" t="s">
        <v>1715</v>
      </c>
      <c r="E544" s="3" t="s">
        <v>1679</v>
      </c>
      <c r="F544" s="3" t="s">
        <v>1680</v>
      </c>
      <c r="G544" s="3" t="s">
        <v>1692</v>
      </c>
      <c r="H544" s="3" t="s">
        <v>1692</v>
      </c>
      <c r="I544" s="3" t="s">
        <v>1696</v>
      </c>
      <c r="J544" s="5">
        <v>45326</v>
      </c>
      <c r="K544" s="5">
        <v>45326</v>
      </c>
      <c r="L544" s="6">
        <v>200</v>
      </c>
    </row>
    <row r="545" s="1" customFormat="1" spans="1:12">
      <c r="A545" s="3" t="s">
        <v>521</v>
      </c>
      <c r="B545" s="3" t="s">
        <v>823</v>
      </c>
      <c r="C545" s="3" t="s">
        <v>1716</v>
      </c>
      <c r="D545" s="3" t="s">
        <v>1717</v>
      </c>
      <c r="E545" s="3" t="s">
        <v>1679</v>
      </c>
      <c r="F545" s="3" t="s">
        <v>1680</v>
      </c>
      <c r="G545" s="3" t="s">
        <v>525</v>
      </c>
      <c r="H545" s="3" t="s">
        <v>1687</v>
      </c>
      <c r="I545" s="3" t="s">
        <v>527</v>
      </c>
      <c r="J545" s="5">
        <v>45322</v>
      </c>
      <c r="K545" s="5">
        <v>45317</v>
      </c>
      <c r="L545" s="6">
        <v>-200</v>
      </c>
    </row>
    <row r="546" s="1" customFormat="1" spans="1:12">
      <c r="A546" s="3" t="s">
        <v>508</v>
      </c>
      <c r="B546" s="3" t="s">
        <v>518</v>
      </c>
      <c r="C546" s="3" t="s">
        <v>1718</v>
      </c>
      <c r="D546" s="3" t="s">
        <v>1719</v>
      </c>
      <c r="E546" s="3" t="s">
        <v>1679</v>
      </c>
      <c r="F546" s="3" t="s">
        <v>1680</v>
      </c>
      <c r="G546" s="3" t="s">
        <v>1720</v>
      </c>
      <c r="H546" s="3" t="s">
        <v>1720</v>
      </c>
      <c r="I546" s="3" t="s">
        <v>1713</v>
      </c>
      <c r="J546" s="5">
        <v>45286</v>
      </c>
      <c r="K546" s="5">
        <v>45286</v>
      </c>
      <c r="L546" s="6">
        <v>-2708.04</v>
      </c>
    </row>
    <row r="547" s="1" customFormat="1" spans="1:12">
      <c r="A547" s="3" t="s">
        <v>508</v>
      </c>
      <c r="B547" s="3" t="s">
        <v>518</v>
      </c>
      <c r="C547" s="3" t="s">
        <v>1721</v>
      </c>
      <c r="D547" s="3" t="s">
        <v>1722</v>
      </c>
      <c r="E547" s="3" t="s">
        <v>1679</v>
      </c>
      <c r="F547" s="3" t="s">
        <v>1680</v>
      </c>
      <c r="G547" s="3" t="s">
        <v>1723</v>
      </c>
      <c r="H547" s="3" t="s">
        <v>1723</v>
      </c>
      <c r="I547" s="3" t="s">
        <v>1696</v>
      </c>
      <c r="J547" s="5">
        <v>45286</v>
      </c>
      <c r="K547" s="5">
        <v>45286</v>
      </c>
      <c r="L547" s="6">
        <v>15</v>
      </c>
    </row>
    <row r="548" s="1" customFormat="1" spans="1:12">
      <c r="A548" s="3" t="s">
        <v>508</v>
      </c>
      <c r="B548" s="3" t="s">
        <v>518</v>
      </c>
      <c r="C548" s="3" t="s">
        <v>1724</v>
      </c>
      <c r="D548" s="3" t="s">
        <v>1725</v>
      </c>
      <c r="E548" s="3" t="s">
        <v>1679</v>
      </c>
      <c r="F548" s="3" t="s">
        <v>1680</v>
      </c>
      <c r="G548" s="3" t="s">
        <v>1726</v>
      </c>
      <c r="H548" s="3" t="s">
        <v>1726</v>
      </c>
      <c r="I548" s="3" t="s">
        <v>1713</v>
      </c>
      <c r="J548" s="5">
        <v>45286</v>
      </c>
      <c r="K548" s="5">
        <v>45286</v>
      </c>
      <c r="L548" s="6">
        <v>-24.79</v>
      </c>
    </row>
    <row r="549" s="1" customFormat="1" spans="1:12">
      <c r="A549" s="3" t="s">
        <v>508</v>
      </c>
      <c r="B549" s="3" t="s">
        <v>518</v>
      </c>
      <c r="C549" s="3" t="s">
        <v>1727</v>
      </c>
      <c r="D549" s="3" t="s">
        <v>1728</v>
      </c>
      <c r="E549" s="3" t="s">
        <v>1679</v>
      </c>
      <c r="F549" s="3" t="s">
        <v>1680</v>
      </c>
      <c r="G549" s="3" t="s">
        <v>1729</v>
      </c>
      <c r="H549" s="3" t="s">
        <v>1729</v>
      </c>
      <c r="I549" s="3" t="s">
        <v>1713</v>
      </c>
      <c r="J549" s="5">
        <v>45286</v>
      </c>
      <c r="K549" s="5">
        <v>45286</v>
      </c>
      <c r="L549" s="6">
        <v>-4013.82</v>
      </c>
    </row>
    <row r="550" s="1" customFormat="1" spans="1:12">
      <c r="A550" s="3" t="s">
        <v>508</v>
      </c>
      <c r="B550" s="3" t="s">
        <v>509</v>
      </c>
      <c r="C550" s="3" t="s">
        <v>1730</v>
      </c>
      <c r="D550" s="3" t="s">
        <v>1731</v>
      </c>
      <c r="E550" s="3" t="s">
        <v>1679</v>
      </c>
      <c r="F550" s="3" t="s">
        <v>1680</v>
      </c>
      <c r="G550" s="3" t="s">
        <v>1732</v>
      </c>
      <c r="H550" s="3" t="s">
        <v>1732</v>
      </c>
      <c r="I550" s="3" t="s">
        <v>1696</v>
      </c>
      <c r="J550" s="5">
        <v>45226</v>
      </c>
      <c r="K550" s="5">
        <v>45226</v>
      </c>
      <c r="L550" s="6">
        <v>718</v>
      </c>
    </row>
    <row r="551" s="1" customFormat="1" spans="1:12">
      <c r="A551" s="3" t="s">
        <v>508</v>
      </c>
      <c r="B551" s="3" t="s">
        <v>509</v>
      </c>
      <c r="C551" s="3" t="s">
        <v>1733</v>
      </c>
      <c r="D551" s="3" t="s">
        <v>1734</v>
      </c>
      <c r="E551" s="3" t="s">
        <v>1679</v>
      </c>
      <c r="F551" s="3" t="s">
        <v>1680</v>
      </c>
      <c r="G551" s="3" t="s">
        <v>525</v>
      </c>
      <c r="H551" s="3" t="s">
        <v>1687</v>
      </c>
      <c r="I551" s="3" t="s">
        <v>527</v>
      </c>
      <c r="J551" s="5">
        <v>45230</v>
      </c>
      <c r="K551" s="5">
        <v>45226</v>
      </c>
      <c r="L551" s="6">
        <v>-718</v>
      </c>
    </row>
    <row r="552" s="1" customFormat="1" spans="1:12">
      <c r="A552" s="3" t="s">
        <v>508</v>
      </c>
      <c r="B552" s="3" t="s">
        <v>542</v>
      </c>
      <c r="C552" s="3" t="s">
        <v>1735</v>
      </c>
      <c r="D552" s="3" t="s">
        <v>1736</v>
      </c>
      <c r="E552" s="3" t="s">
        <v>1679</v>
      </c>
      <c r="F552" s="3" t="s">
        <v>1680</v>
      </c>
      <c r="G552" s="3" t="s">
        <v>1737</v>
      </c>
      <c r="H552" s="3" t="s">
        <v>1737</v>
      </c>
      <c r="I552" s="3" t="s">
        <v>1696</v>
      </c>
      <c r="J552" s="5">
        <v>45251</v>
      </c>
      <c r="K552" s="5">
        <v>45251</v>
      </c>
      <c r="L552" s="6">
        <v>20</v>
      </c>
    </row>
    <row r="553" s="1" customFormat="1" spans="1:12">
      <c r="A553" s="3" t="s">
        <v>508</v>
      </c>
      <c r="B553" s="3" t="s">
        <v>518</v>
      </c>
      <c r="C553" s="3" t="s">
        <v>1738</v>
      </c>
      <c r="D553" s="3" t="s">
        <v>1739</v>
      </c>
      <c r="E553" s="3" t="s">
        <v>1679</v>
      </c>
      <c r="F553" s="3" t="s">
        <v>1680</v>
      </c>
      <c r="G553" s="3" t="s">
        <v>1740</v>
      </c>
      <c r="H553" s="3" t="s">
        <v>1740</v>
      </c>
      <c r="I553" s="3" t="s">
        <v>1696</v>
      </c>
      <c r="J553" s="5">
        <v>45264</v>
      </c>
      <c r="K553" s="5">
        <v>45264</v>
      </c>
      <c r="L553" s="6">
        <v>150</v>
      </c>
    </row>
    <row r="554" s="1" customFormat="1" spans="1:12">
      <c r="A554" s="3" t="s">
        <v>508</v>
      </c>
      <c r="B554" s="3" t="s">
        <v>518</v>
      </c>
      <c r="C554" s="3" t="s">
        <v>1741</v>
      </c>
      <c r="D554" s="3" t="s">
        <v>1742</v>
      </c>
      <c r="E554" s="3" t="s">
        <v>1679</v>
      </c>
      <c r="F554" s="3" t="s">
        <v>1680</v>
      </c>
      <c r="G554" s="3" t="s">
        <v>1743</v>
      </c>
      <c r="H554" s="3" t="s">
        <v>1743</v>
      </c>
      <c r="I554" s="3" t="s">
        <v>1696</v>
      </c>
      <c r="J554" s="5">
        <v>45286</v>
      </c>
      <c r="K554" s="5">
        <v>45286</v>
      </c>
      <c r="L554" s="6">
        <v>50</v>
      </c>
    </row>
    <row r="555" s="1" customFormat="1" spans="1:12">
      <c r="A555" s="3" t="s">
        <v>521</v>
      </c>
      <c r="B555" s="3" t="s">
        <v>597</v>
      </c>
      <c r="C555" s="3" t="s">
        <v>1744</v>
      </c>
      <c r="D555" s="3" t="s">
        <v>1745</v>
      </c>
      <c r="E555" s="3" t="s">
        <v>1679</v>
      </c>
      <c r="F555" s="3" t="s">
        <v>1680</v>
      </c>
      <c r="G555" s="3" t="s">
        <v>1746</v>
      </c>
      <c r="H555" s="3" t="s">
        <v>1746</v>
      </c>
      <c r="I555" s="3" t="s">
        <v>1713</v>
      </c>
      <c r="J555" s="5">
        <v>45373</v>
      </c>
      <c r="K555" s="5">
        <v>45373</v>
      </c>
      <c r="L555" s="6">
        <v>-90.64</v>
      </c>
    </row>
    <row r="556" s="1" customFormat="1" spans="1:12">
      <c r="A556" s="3" t="s">
        <v>521</v>
      </c>
      <c r="B556" s="3" t="s">
        <v>597</v>
      </c>
      <c r="C556" s="3" t="s">
        <v>1747</v>
      </c>
      <c r="D556" s="3" t="s">
        <v>1748</v>
      </c>
      <c r="E556" s="3" t="s">
        <v>1679</v>
      </c>
      <c r="F556" s="3" t="s">
        <v>1680</v>
      </c>
      <c r="G556" s="3" t="s">
        <v>1749</v>
      </c>
      <c r="H556" s="3" t="s">
        <v>1749</v>
      </c>
      <c r="I556" s="3" t="s">
        <v>1713</v>
      </c>
      <c r="J556" s="5">
        <v>45373</v>
      </c>
      <c r="K556" s="5">
        <v>45373</v>
      </c>
      <c r="L556" s="6">
        <v>-596.07</v>
      </c>
    </row>
    <row r="557" s="1" customFormat="1" spans="1:12">
      <c r="A557" s="3" t="s">
        <v>521</v>
      </c>
      <c r="B557" s="3" t="s">
        <v>597</v>
      </c>
      <c r="C557" s="3" t="s">
        <v>1750</v>
      </c>
      <c r="D557" s="3" t="s">
        <v>1751</v>
      </c>
      <c r="E557" s="3" t="s">
        <v>1679</v>
      </c>
      <c r="F557" s="3" t="s">
        <v>1680</v>
      </c>
      <c r="G557" s="3" t="s">
        <v>1752</v>
      </c>
      <c r="H557" s="3" t="s">
        <v>1752</v>
      </c>
      <c r="I557" s="3" t="s">
        <v>1713</v>
      </c>
      <c r="J557" s="5">
        <v>45376</v>
      </c>
      <c r="K557" s="5">
        <v>45376</v>
      </c>
      <c r="L557" s="6">
        <v>-68.82</v>
      </c>
    </row>
    <row r="558" s="1" customFormat="1" spans="1:12">
      <c r="A558" s="3" t="s">
        <v>521</v>
      </c>
      <c r="B558" s="3" t="s">
        <v>823</v>
      </c>
      <c r="C558" s="3" t="s">
        <v>1753</v>
      </c>
      <c r="D558" s="3" t="s">
        <v>1754</v>
      </c>
      <c r="E558" s="3" t="s">
        <v>1679</v>
      </c>
      <c r="F558" s="3" t="s">
        <v>1680</v>
      </c>
      <c r="G558" s="3" t="s">
        <v>1755</v>
      </c>
      <c r="H558" s="3" t="s">
        <v>1755</v>
      </c>
      <c r="I558" s="3" t="s">
        <v>1696</v>
      </c>
      <c r="J558" s="5">
        <v>45307</v>
      </c>
      <c r="K558" s="5">
        <v>45307</v>
      </c>
      <c r="L558" s="6">
        <v>632.96</v>
      </c>
    </row>
    <row r="559" s="1" customFormat="1" spans="1:12">
      <c r="A559" s="3" t="s">
        <v>521</v>
      </c>
      <c r="B559" s="3" t="s">
        <v>823</v>
      </c>
      <c r="C559" s="3" t="s">
        <v>1756</v>
      </c>
      <c r="D559" s="3" t="s">
        <v>1757</v>
      </c>
      <c r="E559" s="3" t="s">
        <v>1679</v>
      </c>
      <c r="F559" s="3" t="s">
        <v>1680</v>
      </c>
      <c r="G559" s="3" t="s">
        <v>1692</v>
      </c>
      <c r="H559" s="3" t="s">
        <v>1692</v>
      </c>
      <c r="I559" s="3" t="s">
        <v>1696</v>
      </c>
      <c r="J559" s="5">
        <v>45317</v>
      </c>
      <c r="K559" s="5">
        <v>45317</v>
      </c>
      <c r="L559" s="6">
        <v>200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13</vt:i4>
      </vt:variant>
    </vt:vector>
  </HeadingPairs>
  <TitlesOfParts>
    <vt:vector size="13" baseType="lpstr">
      <vt:lpstr>投资支付台账-2023年度</vt:lpstr>
      <vt:lpstr>投资支付台账-202401</vt:lpstr>
      <vt:lpstr>投资支付台账-202402</vt:lpstr>
      <vt:lpstr>投资支付台账-202403</vt:lpstr>
      <vt:lpstr>投资支付台账-202404</vt:lpstr>
      <vt:lpstr>投资支付台账-202405</vt:lpstr>
      <vt:lpstr>投资支付台账-202406</vt:lpstr>
      <vt:lpstr>投资支付台账-202407</vt:lpstr>
      <vt:lpstr>Sheet1</vt:lpstr>
      <vt:lpstr>Sheet1 (2)</vt:lpstr>
      <vt:lpstr>Sheet2</vt:lpstr>
      <vt:lpstr>0619</vt:lpstr>
      <vt:lpstr>0629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甘文斌</dc:creator>
  <cp:lastModifiedBy>柳瑾</cp:lastModifiedBy>
  <dcterms:created xsi:type="dcterms:W3CDTF">2019-01-23T06:55:28Z</dcterms:created>
  <dcterms:modified xsi:type="dcterms:W3CDTF">2024-06-30T02:30:00Z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vt:lpwstr>14</vt:lpwstr>
  </property>
  <property fmtid="{D5CDD505-2E9C-101B-9397-08002B2CF9AE}" pid="3" name="KSOProductBuildVer">
    <vt:lpwstr>2052-11.8.2.12085</vt:lpwstr>
  </property>
  <property fmtid="{D5CDD505-2E9C-101B-9397-08002B2CF9AE}" pid="4" name="ICV">
    <vt:lpwstr>078FE87BBCB64DE2BCAFCA38E5E2287B</vt:lpwstr>
  </property>
</Properties>
</file>