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ZCareer\Excel\LEC#8\"/>
    </mc:Choice>
  </mc:AlternateContent>
  <xr:revisionPtr revIDLastSave="0" documentId="13_ncr:1_{1246D1C3-434B-4A87-B2B6-7AC3A36D6910}" xr6:coauthVersionLast="41" xr6:coauthVersionMax="43" xr10:uidLastSave="{00000000-0000-0000-0000-000000000000}"/>
  <bookViews>
    <workbookView xWindow="32160" yWindow="795" windowWidth="21600" windowHeight="12360" activeTab="4" xr2:uid="{0E5614AC-0301-47F2-9E3F-6173BBB0E7FA}"/>
  </bookViews>
  <sheets>
    <sheet name="Income Statement" sheetId="1" r:id="rId1"/>
    <sheet name="Balance Sheet" sheetId="2" r:id="rId2"/>
    <sheet name="Cash Flow Statement" sheetId="3" r:id="rId3"/>
    <sheet name="DCF Analysis" sheetId="5" r:id="rId4"/>
    <sheet name="Valuation Summ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6" l="1"/>
  <c r="D17" i="6"/>
  <c r="D18" i="6"/>
  <c r="D19" i="6"/>
  <c r="D20" i="6"/>
  <c r="D21" i="6"/>
  <c r="D22" i="6"/>
  <c r="D15" i="6"/>
  <c r="B13" i="5"/>
  <c r="B14" i="5" s="1"/>
  <c r="B11" i="5"/>
  <c r="C7" i="5"/>
  <c r="D7" i="5"/>
  <c r="E7" i="5"/>
  <c r="F7" i="5"/>
  <c r="B7" i="5"/>
  <c r="B8" i="5" s="1"/>
  <c r="C2" i="5"/>
  <c r="D2" i="5"/>
  <c r="D6" i="5" s="1"/>
  <c r="E2" i="5"/>
  <c r="F2" i="5"/>
  <c r="C3" i="5"/>
  <c r="D3" i="5"/>
  <c r="E3" i="5"/>
  <c r="E6" i="5" s="1"/>
  <c r="F3" i="5"/>
  <c r="C4" i="5"/>
  <c r="C6" i="5" s="1"/>
  <c r="D4" i="5"/>
  <c r="E4" i="5"/>
  <c r="F4" i="5"/>
  <c r="F6" i="5" s="1"/>
  <c r="C5" i="5"/>
  <c r="D5" i="5"/>
  <c r="E5" i="5"/>
  <c r="F5" i="5"/>
  <c r="B6" i="5"/>
  <c r="B5" i="5"/>
  <c r="B4" i="5"/>
  <c r="B3" i="5"/>
  <c r="B2" i="5"/>
  <c r="F18" i="3"/>
  <c r="F29" i="3" s="1"/>
  <c r="G18" i="3"/>
  <c r="G29" i="3" s="1"/>
  <c r="H18" i="3"/>
  <c r="H29" i="3" s="1"/>
  <c r="I18" i="3"/>
  <c r="I29" i="3" s="1"/>
  <c r="E18" i="3"/>
  <c r="E29" i="3"/>
  <c r="E5" i="2" s="1"/>
  <c r="F27" i="3"/>
  <c r="G27" i="3"/>
  <c r="H27" i="3"/>
  <c r="I27" i="3"/>
  <c r="E27" i="3"/>
  <c r="F23" i="3"/>
  <c r="G23" i="3"/>
  <c r="H23" i="3"/>
  <c r="I23" i="3"/>
  <c r="E23" i="3"/>
  <c r="F10" i="3"/>
  <c r="F14" i="3" s="1"/>
  <c r="G10" i="3"/>
  <c r="G14" i="3" s="1"/>
  <c r="H10" i="3"/>
  <c r="H14" i="3" s="1"/>
  <c r="I10" i="3"/>
  <c r="I14" i="3" s="1"/>
  <c r="F11" i="3"/>
  <c r="G11" i="3"/>
  <c r="H11" i="3"/>
  <c r="I11" i="3"/>
  <c r="F12" i="3"/>
  <c r="G12" i="3"/>
  <c r="H12" i="3"/>
  <c r="I12" i="3"/>
  <c r="F13" i="3"/>
  <c r="G13" i="3"/>
  <c r="H13" i="3"/>
  <c r="I13" i="3"/>
  <c r="E14" i="3"/>
  <c r="E13" i="3"/>
  <c r="E12" i="3"/>
  <c r="E11" i="3"/>
  <c r="E10" i="3"/>
  <c r="E5" i="3"/>
  <c r="F29" i="2"/>
  <c r="G29" i="2" s="1"/>
  <c r="H29" i="2" s="1"/>
  <c r="I29" i="2" s="1"/>
  <c r="F30" i="2"/>
  <c r="G30" i="2"/>
  <c r="H30" i="2" s="1"/>
  <c r="I30" i="2" s="1"/>
  <c r="E30" i="2"/>
  <c r="E29" i="2"/>
  <c r="F20" i="2"/>
  <c r="G20" i="2"/>
  <c r="H20" i="2"/>
  <c r="I20" i="2"/>
  <c r="F22" i="2"/>
  <c r="G22" i="2"/>
  <c r="H22" i="2"/>
  <c r="I22" i="2"/>
  <c r="E22" i="2"/>
  <c r="E20" i="2"/>
  <c r="E25" i="2"/>
  <c r="E21" i="1" s="1"/>
  <c r="C37" i="2"/>
  <c r="D37" i="2"/>
  <c r="E12" i="2"/>
  <c r="F19" i="1" s="1"/>
  <c r="F5" i="3" s="1"/>
  <c r="E19" i="1"/>
  <c r="D20" i="1"/>
  <c r="C20" i="1"/>
  <c r="E13" i="2"/>
  <c r="F13" i="2"/>
  <c r="G13" i="2" s="1"/>
  <c r="H13" i="2" s="1"/>
  <c r="I13" i="2" s="1"/>
  <c r="F6" i="2"/>
  <c r="G6" i="2"/>
  <c r="H6" i="2"/>
  <c r="I6" i="2"/>
  <c r="F8" i="2"/>
  <c r="G8" i="2"/>
  <c r="H8" i="2"/>
  <c r="I8" i="2"/>
  <c r="E8" i="2"/>
  <c r="E6" i="2"/>
  <c r="F10" i="1"/>
  <c r="F14" i="1" s="1"/>
  <c r="F16" i="1" s="1"/>
  <c r="F17" i="1" s="1"/>
  <c r="G10" i="1"/>
  <c r="H10" i="1"/>
  <c r="I10" i="1"/>
  <c r="F12" i="1"/>
  <c r="G12" i="1"/>
  <c r="H12" i="1"/>
  <c r="I12" i="1"/>
  <c r="G14" i="1"/>
  <c r="G16" i="1" s="1"/>
  <c r="G17" i="1" s="1"/>
  <c r="H14" i="1"/>
  <c r="H16" i="1" s="1"/>
  <c r="H17" i="1" s="1"/>
  <c r="I14" i="1"/>
  <c r="I16" i="1" s="1"/>
  <c r="I17" i="1" s="1"/>
  <c r="E17" i="1"/>
  <c r="E16" i="1"/>
  <c r="D16" i="1"/>
  <c r="E14" i="1"/>
  <c r="E12" i="1"/>
  <c r="E10" i="1"/>
  <c r="F6" i="1"/>
  <c r="G6" i="1"/>
  <c r="H6" i="1"/>
  <c r="I6" i="1"/>
  <c r="E6" i="1"/>
  <c r="F3" i="1"/>
  <c r="G3" i="1" s="1"/>
  <c r="H3" i="1" s="1"/>
  <c r="I3" i="1" s="1"/>
  <c r="E3" i="1"/>
  <c r="B37" i="2"/>
  <c r="C35" i="2"/>
  <c r="D35" i="2"/>
  <c r="B35" i="2"/>
  <c r="C33" i="2"/>
  <c r="D33" i="2"/>
  <c r="B33" i="2"/>
  <c r="C26" i="2"/>
  <c r="D26" i="2"/>
  <c r="B26" i="2"/>
  <c r="C23" i="2"/>
  <c r="D23" i="2"/>
  <c r="B23" i="2"/>
  <c r="C21" i="2"/>
  <c r="D21" i="2"/>
  <c r="B21" i="2"/>
  <c r="C16" i="2"/>
  <c r="D16" i="2"/>
  <c r="B16" i="2"/>
  <c r="C9" i="2"/>
  <c r="D9" i="2"/>
  <c r="B9" i="2"/>
  <c r="C7" i="2"/>
  <c r="D7" i="2"/>
  <c r="B7" i="2"/>
  <c r="C28" i="1"/>
  <c r="D28" i="1"/>
  <c r="B28" i="1"/>
  <c r="C25" i="1"/>
  <c r="D25" i="1"/>
  <c r="B25" i="1"/>
  <c r="C24" i="1"/>
  <c r="D24" i="1"/>
  <c r="B24" i="1"/>
  <c r="C22" i="1"/>
  <c r="D22" i="1"/>
  <c r="B22" i="1"/>
  <c r="C17" i="1"/>
  <c r="D17" i="1"/>
  <c r="B17" i="1"/>
  <c r="C16" i="1"/>
  <c r="B16" i="1"/>
  <c r="C13" i="1"/>
  <c r="D13" i="1"/>
  <c r="B13" i="1"/>
  <c r="C11" i="1"/>
  <c r="D11" i="1"/>
  <c r="B11" i="1"/>
  <c r="C7" i="1"/>
  <c r="D7" i="1"/>
  <c r="B7" i="1"/>
  <c r="D4" i="1"/>
  <c r="C4" i="1"/>
  <c r="B15" i="5" l="1"/>
  <c r="B16" i="5" s="1"/>
  <c r="B17" i="5" s="1"/>
  <c r="J10" i="5" s="1"/>
  <c r="F5" i="2"/>
  <c r="G5" i="2" s="1"/>
  <c r="H5" i="2" s="1"/>
  <c r="I5" i="2" s="1"/>
  <c r="F25" i="2"/>
  <c r="E26" i="2"/>
  <c r="F12" i="2"/>
  <c r="E16" i="2"/>
  <c r="E24" i="1"/>
  <c r="E27" i="1" s="1"/>
  <c r="E30" i="1" s="1"/>
  <c r="E4" i="3" s="1"/>
  <c r="E6" i="3" s="1"/>
  <c r="E25" i="1" l="1"/>
  <c r="F21" i="1"/>
  <c r="F24" i="1" s="1"/>
  <c r="F26" i="2"/>
  <c r="G25" i="2"/>
  <c r="G26" i="2" s="1"/>
  <c r="G19" i="1"/>
  <c r="G5" i="3" s="1"/>
  <c r="F16" i="2"/>
  <c r="E32" i="1"/>
  <c r="E31" i="2" s="1"/>
  <c r="E33" i="2" s="1"/>
  <c r="E35" i="2" s="1"/>
  <c r="E37" i="2" s="1"/>
  <c r="E35" i="1"/>
  <c r="H25" i="2" l="1"/>
  <c r="H26" i="2" s="1"/>
  <c r="G21" i="1"/>
  <c r="G24" i="1" s="1"/>
  <c r="F27" i="1"/>
  <c r="F30" i="1" s="1"/>
  <c r="F25" i="1"/>
  <c r="G12" i="2"/>
  <c r="G16" i="2" s="1"/>
  <c r="H19" i="1"/>
  <c r="H5" i="3" s="1"/>
  <c r="G25" i="1" l="1"/>
  <c r="G27" i="1"/>
  <c r="G30" i="1" s="1"/>
  <c r="G4" i="3" s="1"/>
  <c r="G6" i="3" s="1"/>
  <c r="I25" i="2"/>
  <c r="H21" i="1"/>
  <c r="H24" i="1" s="1"/>
  <c r="F4" i="3"/>
  <c r="F6" i="3" s="1"/>
  <c r="F35" i="1"/>
  <c r="F32" i="1"/>
  <c r="F31" i="2" s="1"/>
  <c r="F33" i="2" s="1"/>
  <c r="F35" i="2" s="1"/>
  <c r="F37" i="2" s="1"/>
  <c r="H12" i="2"/>
  <c r="H25" i="1"/>
  <c r="H27" i="1"/>
  <c r="H30" i="1" s="1"/>
  <c r="H4" i="3" s="1"/>
  <c r="H6" i="3" s="1"/>
  <c r="H35" i="1"/>
  <c r="G35" i="1" l="1"/>
  <c r="G32" i="1"/>
  <c r="G31" i="2" s="1"/>
  <c r="H31" i="2" s="1"/>
  <c r="I21" i="1"/>
  <c r="I26" i="2"/>
  <c r="H32" i="1"/>
  <c r="H16" i="2"/>
  <c r="I19" i="1"/>
  <c r="I12" i="2" s="1"/>
  <c r="I16" i="2" s="1"/>
  <c r="G33" i="2" l="1"/>
  <c r="G35" i="2" s="1"/>
  <c r="G37" i="2" s="1"/>
  <c r="I5" i="3"/>
  <c r="I24" i="1"/>
  <c r="H33" i="2"/>
  <c r="H35" i="2" s="1"/>
  <c r="H37" i="2" s="1"/>
  <c r="I25" i="1" l="1"/>
  <c r="I27" i="1"/>
  <c r="I30" i="1" s="1"/>
  <c r="I4" i="3" l="1"/>
  <c r="I6" i="3" s="1"/>
  <c r="I32" i="1"/>
  <c r="I31" i="2" s="1"/>
  <c r="I33" i="2" s="1"/>
  <c r="I35" i="2" s="1"/>
  <c r="I37" i="2" s="1"/>
  <c r="I35" i="1"/>
</calcChain>
</file>

<file path=xl/sharedStrings.xml><?xml version="1.0" encoding="utf-8"?>
<sst xmlns="http://schemas.openxmlformats.org/spreadsheetml/2006/main" count="119" uniqueCount="98">
  <si>
    <t>Year</t>
  </si>
  <si>
    <t>Total Revenue</t>
  </si>
  <si>
    <t xml:space="preserve">Growth </t>
  </si>
  <si>
    <t>Cost of Goods Sold</t>
  </si>
  <si>
    <t>% of Revenue</t>
  </si>
  <si>
    <t>Operating Expenses</t>
  </si>
  <si>
    <t>Research and Development</t>
  </si>
  <si>
    <t>Selling General and Administration</t>
  </si>
  <si>
    <t>Total Operating Expense</t>
  </si>
  <si>
    <t>EBITDA</t>
  </si>
  <si>
    <t>margin (%)</t>
  </si>
  <si>
    <t>Depreciation</t>
  </si>
  <si>
    <t>Interest expense</t>
  </si>
  <si>
    <t>Tax rate</t>
  </si>
  <si>
    <t>Tax Expense</t>
  </si>
  <si>
    <t>Net Income</t>
  </si>
  <si>
    <t>Asset</t>
  </si>
  <si>
    <t>Current Assets</t>
  </si>
  <si>
    <t>Cash</t>
  </si>
  <si>
    <t>Accounts Receivable</t>
  </si>
  <si>
    <t>Inventory</t>
  </si>
  <si>
    <t>Fixed Assets</t>
  </si>
  <si>
    <t>Goodwill &amp; Other Intangible Assets</t>
  </si>
  <si>
    <t>Total Assets</t>
  </si>
  <si>
    <t>Liability</t>
  </si>
  <si>
    <t>Current Liability</t>
  </si>
  <si>
    <t>Account Payable</t>
  </si>
  <si>
    <t>Accrued Expense</t>
  </si>
  <si>
    <t>Long Term Debt</t>
  </si>
  <si>
    <t>Total Liability</t>
  </si>
  <si>
    <t>Shareholder's Equity</t>
  </si>
  <si>
    <t>Common Shares</t>
  </si>
  <si>
    <t>Preferred Shares</t>
  </si>
  <si>
    <t>Retained Earnings</t>
  </si>
  <si>
    <t>Dividends</t>
  </si>
  <si>
    <t xml:space="preserve">Total Liability and Equity </t>
  </si>
  <si>
    <t>Total Equity</t>
  </si>
  <si>
    <t>Balance (?)</t>
  </si>
  <si>
    <t>Operating Cash Flow</t>
  </si>
  <si>
    <t>Working Capital Investment</t>
  </si>
  <si>
    <t>Change in inventory</t>
  </si>
  <si>
    <t>Change in accounts receivable</t>
  </si>
  <si>
    <t>Total NWC investment</t>
  </si>
  <si>
    <t>Capital Expenditure</t>
  </si>
  <si>
    <t xml:space="preserve">Depreciation </t>
  </si>
  <si>
    <t>Debt repayment</t>
  </si>
  <si>
    <t>Financing Cash Flow</t>
  </si>
  <si>
    <t>Stock repurchase</t>
  </si>
  <si>
    <t>Total Cash Flow</t>
  </si>
  <si>
    <t>% of revenue</t>
  </si>
  <si>
    <t>% of COGS</t>
  </si>
  <si>
    <t>% of Expense</t>
  </si>
  <si>
    <t>Accumulated Retained Earnings</t>
  </si>
  <si>
    <t>Net Plant Property and Equipment</t>
  </si>
  <si>
    <t>Interest rate (%)</t>
  </si>
  <si>
    <t>Depreciation rate (%)</t>
  </si>
  <si>
    <t>Less proceeds from new debt issue</t>
  </si>
  <si>
    <t>Less proceeds from new stocks</t>
  </si>
  <si>
    <t xml:space="preserve">Shares Outstanding </t>
  </si>
  <si>
    <t>Investment Cash Flow</t>
  </si>
  <si>
    <t>Total Investment Cash Flow</t>
  </si>
  <si>
    <t>Total Financing Cash Flow</t>
  </si>
  <si>
    <t>Total Operating Cash Flow</t>
  </si>
  <si>
    <t>Change in accounts payable</t>
  </si>
  <si>
    <t>Change in accrued Expense</t>
  </si>
  <si>
    <t>Equity Value</t>
  </si>
  <si>
    <t>Free Cash Flow</t>
  </si>
  <si>
    <t>CAPEX</t>
  </si>
  <si>
    <t>Taxes</t>
  </si>
  <si>
    <t>Total Free Cash Flow</t>
  </si>
  <si>
    <t>Discounted Free Cash Flow</t>
  </si>
  <si>
    <t>Terminal Value</t>
  </si>
  <si>
    <t>Present Value</t>
  </si>
  <si>
    <t>Total Enterprise Value</t>
  </si>
  <si>
    <t>Terminal Value - Perpetuity Method</t>
  </si>
  <si>
    <t>Valuation Method</t>
  </si>
  <si>
    <t>Expected Price</t>
  </si>
  <si>
    <t>Min Price</t>
  </si>
  <si>
    <t>Max Price</t>
  </si>
  <si>
    <t>DCF - Multiple</t>
  </si>
  <si>
    <t>DCF - Perpetuity</t>
  </si>
  <si>
    <t>COMP - EV/EBITDA</t>
  </si>
  <si>
    <t>COMP - P/E</t>
  </si>
  <si>
    <t>COMP - EV/Revenue</t>
  </si>
  <si>
    <t>PREC - EV/EBITDA</t>
  </si>
  <si>
    <t>PREC - P/E</t>
  </si>
  <si>
    <t>PREC- EV/Revenue</t>
  </si>
  <si>
    <t>Cost of Capital</t>
  </si>
  <si>
    <t>Total PV CF</t>
  </si>
  <si>
    <t>Exit Year Free Cash Flow</t>
  </si>
  <si>
    <t>Perpetual Growth Rate</t>
  </si>
  <si>
    <t>Stock Price</t>
  </si>
  <si>
    <t>Earnings Before Interest Tax Depreciaiton and Amortization</t>
  </si>
  <si>
    <t>EBT (Earnings Before Tax)</t>
  </si>
  <si>
    <t>EPS (Earnings Per Share)</t>
  </si>
  <si>
    <t>Net Working Capital = Current Asset = Current Liability</t>
  </si>
  <si>
    <t>FOOTBALL CHART</t>
  </si>
  <si>
    <t>diff between min and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</si>
</sst>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  <numFmt numFmtId="166" formatCode="_(&quot;$&quot;* #,##0.0_);_(&quot;$&quot;* \(#,##0.0\);_(&quot;$&quot;* &quot;-&quot;?_);_(@_)"/>
    <numFmt numFmtId="167" formatCode="0.0%"/>
    <numFmt numFmtId="168" formatCode="0.00000"/>
    <numFmt numFmtId="172" formatCode="_-&quot;$&quot;* #,##0.0_-;\-&quot;$&quot;* #,##0.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164" fontId="3" fillId="0" borderId="3" xfId="0" applyNumberFormat="1" applyFont="1" applyBorder="1"/>
    <xf numFmtId="165" fontId="3" fillId="0" borderId="3" xfId="0" applyNumberFormat="1" applyFont="1" applyBorder="1"/>
    <xf numFmtId="165" fontId="3" fillId="0" borderId="3" xfId="1" applyNumberFormat="1" applyFont="1" applyBorder="1"/>
    <xf numFmtId="0" fontId="3" fillId="3" borderId="2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0" fillId="0" borderId="6" xfId="0" applyBorder="1"/>
    <xf numFmtId="0" fontId="0" fillId="0" borderId="0" xfId="0" applyBorder="1"/>
    <xf numFmtId="0" fontId="0" fillId="0" borderId="8" xfId="0" applyBorder="1"/>
    <xf numFmtId="165" fontId="0" fillId="0" borderId="0" xfId="1" applyNumberFormat="1" applyFont="1" applyBorder="1"/>
    <xf numFmtId="165" fontId="0" fillId="0" borderId="8" xfId="1" applyNumberFormat="1" applyFont="1" applyBorder="1"/>
    <xf numFmtId="9" fontId="0" fillId="0" borderId="0" xfId="2" applyFont="1" applyBorder="1"/>
    <xf numFmtId="165" fontId="0" fillId="0" borderId="0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0" fontId="0" fillId="3" borderId="7" xfId="0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0" fillId="3" borderId="11" xfId="0" applyFill="1" applyBorder="1"/>
    <xf numFmtId="0" fontId="3" fillId="3" borderId="11" xfId="0" applyFont="1" applyFill="1" applyBorder="1"/>
    <xf numFmtId="0" fontId="0" fillId="3" borderId="11" xfId="0" applyFill="1" applyBorder="1" applyAlignment="1">
      <alignment horizontal="right"/>
    </xf>
    <xf numFmtId="0" fontId="0" fillId="3" borderId="11" xfId="0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right"/>
    </xf>
    <xf numFmtId="0" fontId="3" fillId="3" borderId="9" xfId="0" applyFont="1" applyFill="1" applyBorder="1"/>
    <xf numFmtId="0" fontId="3" fillId="3" borderId="9" xfId="0" applyFont="1" applyFill="1" applyBorder="1" applyAlignment="1">
      <alignment horizontal="right"/>
    </xf>
    <xf numFmtId="0" fontId="0" fillId="3" borderId="9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3" borderId="9" xfId="0" applyFill="1" applyBorder="1"/>
    <xf numFmtId="0" fontId="3" fillId="3" borderId="10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4" borderId="0" xfId="0" applyFill="1" applyBorder="1"/>
    <xf numFmtId="165" fontId="0" fillId="4" borderId="0" xfId="1" applyNumberFormat="1" applyFont="1" applyFill="1" applyBorder="1"/>
    <xf numFmtId="165" fontId="0" fillId="4" borderId="0" xfId="0" applyNumberFormat="1" applyFill="1" applyBorder="1"/>
    <xf numFmtId="164" fontId="0" fillId="4" borderId="0" xfId="0" applyNumberFormat="1" applyFill="1" applyBorder="1"/>
    <xf numFmtId="0" fontId="3" fillId="4" borderId="8" xfId="0" applyFont="1" applyFill="1" applyBorder="1" applyAlignment="1">
      <alignment horizontal="center"/>
    </xf>
    <xf numFmtId="0" fontId="0" fillId="5" borderId="0" xfId="0" applyFill="1" applyBorder="1"/>
    <xf numFmtId="0" fontId="0" fillId="3" borderId="13" xfId="0" applyFill="1" applyBorder="1"/>
    <xf numFmtId="0" fontId="0" fillId="4" borderId="6" xfId="0" applyFill="1" applyBorder="1"/>
    <xf numFmtId="0" fontId="0" fillId="3" borderId="12" xfId="0" applyFill="1" applyBorder="1"/>
    <xf numFmtId="0" fontId="0" fillId="4" borderId="8" xfId="0" applyFill="1" applyBorder="1"/>
    <xf numFmtId="166" fontId="0" fillId="0" borderId="8" xfId="0" applyNumberFormat="1" applyBorder="1"/>
    <xf numFmtId="166" fontId="0" fillId="4" borderId="8" xfId="0" applyNumberFormat="1" applyFill="1" applyBorder="1"/>
    <xf numFmtId="0" fontId="3" fillId="3" borderId="14" xfId="0" applyFont="1" applyFill="1" applyBorder="1"/>
    <xf numFmtId="0" fontId="3" fillId="3" borderId="10" xfId="0" applyFont="1" applyFill="1" applyBorder="1"/>
    <xf numFmtId="0" fontId="0" fillId="3" borderId="14" xfId="0" applyFont="1" applyFill="1" applyBorder="1" applyAlignment="1">
      <alignment horizontal="right"/>
    </xf>
    <xf numFmtId="9" fontId="0" fillId="0" borderId="6" xfId="2" applyFont="1" applyBorder="1"/>
    <xf numFmtId="0" fontId="3" fillId="3" borderId="14" xfId="0" applyFont="1" applyFill="1" applyBorder="1" applyAlignment="1">
      <alignment horizontal="right"/>
    </xf>
    <xf numFmtId="165" fontId="0" fillId="5" borderId="0" xfId="1" applyNumberFormat="1" applyFont="1" applyFill="1" applyBorder="1"/>
    <xf numFmtId="165" fontId="3" fillId="5" borderId="3" xfId="0" applyNumberFormat="1" applyFont="1" applyFill="1" applyBorder="1"/>
    <xf numFmtId="0" fontId="0" fillId="5" borderId="6" xfId="0" applyFill="1" applyBorder="1"/>
    <xf numFmtId="164" fontId="0" fillId="4" borderId="8" xfId="0" applyNumberFormat="1" applyFill="1" applyBorder="1"/>
    <xf numFmtId="0" fontId="3" fillId="3" borderId="2" xfId="0" applyFont="1" applyFill="1" applyBorder="1"/>
    <xf numFmtId="0" fontId="0" fillId="3" borderId="9" xfId="0" applyFill="1" applyBorder="1" applyAlignment="1">
      <alignment horizontal="right"/>
    </xf>
    <xf numFmtId="0" fontId="0" fillId="3" borderId="7" xfId="0" applyFont="1" applyFill="1" applyBorder="1" applyAlignment="1">
      <alignment horizontal="right"/>
    </xf>
    <xf numFmtId="165" fontId="3" fillId="0" borderId="1" xfId="1" applyNumberFormat="1" applyFont="1" applyBorder="1"/>
    <xf numFmtId="0" fontId="3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0" borderId="1" xfId="0" applyBorder="1"/>
    <xf numFmtId="165" fontId="0" fillId="0" borderId="9" xfId="0" applyNumberFormat="1" applyBorder="1"/>
    <xf numFmtId="165" fontId="0" fillId="0" borderId="9" xfId="1" applyNumberFormat="1" applyFont="1" applyBorder="1"/>
    <xf numFmtId="165" fontId="3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165" fontId="0" fillId="0" borderId="15" xfId="1" applyNumberFormat="1" applyFont="1" applyBorder="1"/>
    <xf numFmtId="165" fontId="0" fillId="0" borderId="0" xfId="1" applyNumberFormat="1" applyFont="1"/>
    <xf numFmtId="0" fontId="0" fillId="5" borderId="0" xfId="0" applyFill="1"/>
    <xf numFmtId="0" fontId="0" fillId="3" borderId="16" xfId="0" applyFill="1" applyBorder="1" applyAlignment="1">
      <alignment horizontal="right"/>
    </xf>
    <xf numFmtId="168" fontId="0" fillId="0" borderId="0" xfId="1" applyNumberFormat="1" applyFont="1"/>
    <xf numFmtId="0" fontId="4" fillId="0" borderId="0" xfId="0" applyFont="1" applyFill="1" applyBorder="1"/>
    <xf numFmtId="0" fontId="2" fillId="2" borderId="14" xfId="0" applyFont="1" applyFill="1" applyBorder="1"/>
    <xf numFmtId="167" fontId="0" fillId="0" borderId="10" xfId="0" applyNumberFormat="1" applyBorder="1"/>
    <xf numFmtId="9" fontId="0" fillId="0" borderId="9" xfId="2" applyNumberFormat="1" applyFont="1" applyBorder="1"/>
    <xf numFmtId="0" fontId="0" fillId="3" borderId="2" xfId="0" applyFill="1" applyBorder="1" applyAlignment="1">
      <alignment horizontal="right"/>
    </xf>
    <xf numFmtId="164" fontId="3" fillId="0" borderId="3" xfId="1" applyFont="1" applyBorder="1"/>
    <xf numFmtId="0" fontId="3" fillId="3" borderId="1" xfId="0" applyFont="1" applyFill="1" applyBorder="1" applyAlignment="1">
      <alignment horizontal="right" wrapText="1"/>
    </xf>
    <xf numFmtId="0" fontId="0" fillId="0" borderId="0" xfId="0" applyAlignment="1"/>
    <xf numFmtId="0" fontId="3" fillId="3" borderId="9" xfId="0" applyFont="1" applyFill="1" applyBorder="1" applyAlignment="1">
      <alignment horizontal="right" wrapText="1"/>
    </xf>
    <xf numFmtId="9" fontId="0" fillId="6" borderId="0" xfId="2" applyFont="1" applyFill="1" applyBorder="1"/>
    <xf numFmtId="164" fontId="0" fillId="6" borderId="0" xfId="0" applyNumberFormat="1" applyFill="1" applyBorder="1"/>
    <xf numFmtId="164" fontId="3" fillId="6" borderId="3" xfId="0" applyNumberFormat="1" applyFont="1" applyFill="1" applyBorder="1"/>
    <xf numFmtId="9" fontId="0" fillId="6" borderId="6" xfId="2" applyFont="1" applyFill="1" applyBorder="1"/>
    <xf numFmtId="9" fontId="0" fillId="6" borderId="0" xfId="0" applyNumberFormat="1" applyFill="1" applyBorder="1"/>
    <xf numFmtId="165" fontId="3" fillId="6" borderId="3" xfId="0" applyNumberFormat="1" applyFont="1" applyFill="1" applyBorder="1"/>
    <xf numFmtId="0" fontId="0" fillId="3" borderId="9" xfId="0" applyFill="1" applyBorder="1" applyAlignment="1">
      <alignment wrapText="1"/>
    </xf>
    <xf numFmtId="9" fontId="5" fillId="4" borderId="0" xfId="0" applyNumberFormat="1" applyFont="1" applyFill="1" applyBorder="1"/>
    <xf numFmtId="9" fontId="5" fillId="4" borderId="0" xfId="2" applyFont="1" applyFill="1" applyBorder="1"/>
    <xf numFmtId="165" fontId="4" fillId="4" borderId="0" xfId="1" applyNumberFormat="1" applyFont="1" applyFill="1" applyBorder="1"/>
    <xf numFmtId="165" fontId="5" fillId="0" borderId="6" xfId="1" applyNumberFormat="1" applyFont="1" applyBorder="1"/>
    <xf numFmtId="164" fontId="5" fillId="4" borderId="0" xfId="0" applyNumberFormat="1" applyFont="1" applyFill="1" applyBorder="1"/>
    <xf numFmtId="165" fontId="0" fillId="4" borderId="8" xfId="1" applyNumberFormat="1" applyFont="1" applyFill="1" applyBorder="1"/>
    <xf numFmtId="164" fontId="0" fillId="0" borderId="0" xfId="1" applyFont="1"/>
    <xf numFmtId="165" fontId="5" fillId="4" borderId="0" xfId="1" applyNumberFormat="1" applyFont="1" applyFill="1" applyBorder="1"/>
    <xf numFmtId="164" fontId="3" fillId="0" borderId="3" xfId="1" applyNumberFormat="1" applyFont="1" applyBorder="1"/>
    <xf numFmtId="164" fontId="0" fillId="0" borderId="7" xfId="1" applyFont="1" applyBorder="1"/>
    <xf numFmtId="172" fontId="0" fillId="0" borderId="1" xfId="0" applyNumberFormat="1" applyBorder="1"/>
    <xf numFmtId="44" fontId="0" fillId="0" borderId="4" xfId="0" applyNumberFormat="1" applyBorder="1"/>
    <xf numFmtId="9" fontId="0" fillId="0" borderId="0" xfId="0" applyNumberFormat="1"/>
    <xf numFmtId="167" fontId="0" fillId="0" borderId="0" xfId="0" applyNumberFormat="1"/>
    <xf numFmtId="168" fontId="0" fillId="0" borderId="0" xfId="0" applyNumberForma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FF6FB"/>
      <color rgb="FFE1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Min &amp; Max Price Comparison</a:t>
            </a:r>
            <a:r>
              <a:rPr lang="en-CA" baseline="0"/>
              <a:t> in various forecast methods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'Valuation Summary'!$B$15:$B$22</c:f>
              <c:strCache>
                <c:ptCount val="8"/>
                <c:pt idx="0">
                  <c:v>DCF - Multiple</c:v>
                </c:pt>
                <c:pt idx="1">
                  <c:v>DCF - Perpetuity</c:v>
                </c:pt>
                <c:pt idx="2">
                  <c:v>COMP - EV/EBITDA</c:v>
                </c:pt>
                <c:pt idx="3">
                  <c:v>COMP - P/E</c:v>
                </c:pt>
                <c:pt idx="4">
                  <c:v>COMP - EV/Revenue</c:v>
                </c:pt>
                <c:pt idx="5">
                  <c:v>PREC - EV/EBITDA</c:v>
                </c:pt>
                <c:pt idx="6">
                  <c:v>PREC - P/E</c:v>
                </c:pt>
                <c:pt idx="7">
                  <c:v>PREC- EV/Revenue</c:v>
                </c:pt>
              </c:strCache>
            </c:strRef>
          </c:cat>
          <c:val>
            <c:numRef>
              <c:f>'Valuation Summary'!$C$15:$C$22</c:f>
              <c:numCache>
                <c:formatCode>0.00000</c:formatCode>
                <c:ptCount val="8"/>
                <c:pt idx="0">
                  <c:v>52.47</c:v>
                </c:pt>
                <c:pt idx="1">
                  <c:v>44.58</c:v>
                </c:pt>
                <c:pt idx="2">
                  <c:v>41.405901562700947</c:v>
                </c:pt>
                <c:pt idx="3">
                  <c:v>26.201377772384859</c:v>
                </c:pt>
                <c:pt idx="4">
                  <c:v>45.454631017619882</c:v>
                </c:pt>
                <c:pt idx="5">
                  <c:v>48.534200341367885</c:v>
                </c:pt>
                <c:pt idx="6">
                  <c:v>38.99422375841349</c:v>
                </c:pt>
                <c:pt idx="7">
                  <c:v>38.95850860862101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D-423A-B99C-E65C482BAB8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Summary'!$B$15:$B$22</c:f>
              <c:strCache>
                <c:ptCount val="8"/>
                <c:pt idx="0">
                  <c:v>DCF - Multiple</c:v>
                </c:pt>
                <c:pt idx="1">
                  <c:v>DCF - Perpetuity</c:v>
                </c:pt>
                <c:pt idx="2">
                  <c:v>COMP - EV/EBITDA</c:v>
                </c:pt>
                <c:pt idx="3">
                  <c:v>COMP - P/E</c:v>
                </c:pt>
                <c:pt idx="4">
                  <c:v>COMP - EV/Revenue</c:v>
                </c:pt>
                <c:pt idx="5">
                  <c:v>PREC - EV/EBITDA</c:v>
                </c:pt>
                <c:pt idx="6">
                  <c:v>PREC - P/E</c:v>
                </c:pt>
                <c:pt idx="7">
                  <c:v>PREC- EV/Revenue</c:v>
                </c:pt>
              </c:strCache>
            </c:strRef>
          </c:cat>
          <c:val>
            <c:numRef>
              <c:f>'Valuation Summary'!$D$15:$D$22</c:f>
              <c:numCache>
                <c:formatCode>0.00000</c:formatCode>
                <c:ptCount val="8"/>
                <c:pt idx="0">
                  <c:v>17.420000000000002</c:v>
                </c:pt>
                <c:pt idx="1">
                  <c:v>13.54</c:v>
                </c:pt>
                <c:pt idx="2">
                  <c:v>14.256307946550109</c:v>
                </c:pt>
                <c:pt idx="3">
                  <c:v>21.304095402607651</c:v>
                </c:pt>
                <c:pt idx="4">
                  <c:v>7.2781319282344583</c:v>
                </c:pt>
                <c:pt idx="5">
                  <c:v>15.397994781258213</c:v>
                </c:pt>
                <c:pt idx="6">
                  <c:v>6.5037147468501857</c:v>
                </c:pt>
                <c:pt idx="7">
                  <c:v>31.797345635917345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8D-423A-B99C-E65C482BA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9321424"/>
        <c:axId val="665434016"/>
      </c:barChart>
      <c:catAx>
        <c:axId val="66932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434016"/>
        <c:crosses val="autoZero"/>
        <c:auto val="1"/>
        <c:lblAlgn val="ctr"/>
        <c:lblOffset val="100"/>
        <c:noMultiLvlLbl val="0"/>
      </c:catAx>
      <c:valAx>
        <c:axId val="665434016"/>
        <c:scaling>
          <c:orientation val="minMax"/>
          <c:max val="73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2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3</xdr:row>
      <xdr:rowOff>9525</xdr:rowOff>
    </xdr:from>
    <xdr:to>
      <xdr:col>20</xdr:col>
      <xdr:colOff>9524</xdr:colOff>
      <xdr:row>32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973622-B275-4E4D-8125-66D92AB95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63CD-8382-4066-86F5-9C9E0668E670}">
  <sheetPr codeName="Sheet1"/>
  <dimension ref="A1:P35"/>
  <sheetViews>
    <sheetView zoomScaleNormal="100" workbookViewId="0">
      <pane ySplit="1" topLeftCell="A14" activePane="bottomLeft" state="frozen"/>
      <selection pane="bottomLeft" activeCell="L25" sqref="L25"/>
    </sheetView>
  </sheetViews>
  <sheetFormatPr defaultRowHeight="15" x14ac:dyDescent="0.25"/>
  <cols>
    <col min="1" max="1" width="29.5703125" bestFit="1" customWidth="1"/>
    <col min="2" max="2" width="12.140625" bestFit="1" customWidth="1"/>
    <col min="3" max="3" width="16.42578125" customWidth="1"/>
    <col min="4" max="4" width="13.28515625" bestFit="1" customWidth="1"/>
    <col min="5" max="5" width="17.140625" customWidth="1"/>
    <col min="6" max="9" width="10.28515625" bestFit="1" customWidth="1"/>
    <col min="12" max="13" width="9.28515625" bestFit="1" customWidth="1"/>
    <col min="14" max="14" width="10.28515625" bestFit="1" customWidth="1"/>
    <col min="16" max="16" width="10.28515625" bestFit="1" customWidth="1"/>
  </cols>
  <sheetData>
    <row r="1" spans="1:16" ht="15.75" thickBot="1" x14ac:dyDescent="0.3">
      <c r="A1" s="33" t="s">
        <v>0</v>
      </c>
      <c r="B1" s="36">
        <v>2016</v>
      </c>
      <c r="C1" s="36">
        <v>2017</v>
      </c>
      <c r="D1" s="36">
        <v>2018</v>
      </c>
      <c r="E1" s="36">
        <v>2019</v>
      </c>
      <c r="F1" s="36">
        <v>2020</v>
      </c>
      <c r="G1" s="36">
        <v>2021</v>
      </c>
      <c r="H1" s="36">
        <v>2022</v>
      </c>
      <c r="I1" s="37">
        <v>2023</v>
      </c>
    </row>
    <row r="2" spans="1:16" x14ac:dyDescent="0.25">
      <c r="A2" s="50"/>
      <c r="B2" s="10"/>
      <c r="C2" s="10"/>
      <c r="D2" s="10"/>
      <c r="E2" s="45"/>
      <c r="F2" s="45"/>
      <c r="G2" s="45"/>
      <c r="H2" s="45"/>
      <c r="I2" s="45"/>
    </row>
    <row r="3" spans="1:16" x14ac:dyDescent="0.25">
      <c r="A3" s="30" t="s">
        <v>1</v>
      </c>
      <c r="B3" s="16">
        <v>8740.33</v>
      </c>
      <c r="C3" s="16">
        <v>9373.42</v>
      </c>
      <c r="D3" s="16">
        <v>10191.01</v>
      </c>
      <c r="E3" s="39">
        <f>D3*(1+E4)</f>
        <v>11006.290800000001</v>
      </c>
      <c r="F3" s="39">
        <f t="shared" ref="F3:I3" si="0">E3*(1+F4)</f>
        <v>11886.794064000002</v>
      </c>
      <c r="G3" s="39">
        <f t="shared" si="0"/>
        <v>12837.737589120003</v>
      </c>
      <c r="H3" s="39">
        <f t="shared" si="0"/>
        <v>13864.756596249605</v>
      </c>
      <c r="I3" s="39">
        <f t="shared" si="0"/>
        <v>14973.937123949574</v>
      </c>
      <c r="M3" s="1"/>
      <c r="P3" s="1"/>
    </row>
    <row r="4" spans="1:16" x14ac:dyDescent="0.25">
      <c r="A4" s="31" t="s">
        <v>2</v>
      </c>
      <c r="B4" s="85"/>
      <c r="C4" s="84">
        <f xml:space="preserve"> C3/B3 -1</f>
        <v>7.2433191881771108E-2</v>
      </c>
      <c r="D4" s="84">
        <f xml:space="preserve"> D3/C3 -1</f>
        <v>8.7224300202060734E-2</v>
      </c>
      <c r="E4" s="91">
        <v>0.08</v>
      </c>
      <c r="F4" s="91">
        <v>0.08</v>
      </c>
      <c r="G4" s="91">
        <v>0.08</v>
      </c>
      <c r="H4" s="91">
        <v>0.08</v>
      </c>
      <c r="I4" s="91">
        <v>0.08</v>
      </c>
    </row>
    <row r="5" spans="1:16" x14ac:dyDescent="0.25">
      <c r="A5" s="29"/>
      <c r="B5" s="11"/>
      <c r="C5" s="11"/>
      <c r="D5" s="11"/>
      <c r="E5" s="38"/>
      <c r="F5" s="38"/>
      <c r="G5" s="38"/>
      <c r="H5" s="38"/>
      <c r="I5" s="38"/>
    </row>
    <row r="6" spans="1:16" x14ac:dyDescent="0.25">
      <c r="A6" s="30" t="s">
        <v>3</v>
      </c>
      <c r="B6" s="13">
        <v>2630.8599999999997</v>
      </c>
      <c r="C6" s="13">
        <v>2803.54</v>
      </c>
      <c r="D6" s="13">
        <v>3157.58</v>
      </c>
      <c r="E6" s="39">
        <f>E7*E3</f>
        <v>3301.88724</v>
      </c>
      <c r="F6" s="39">
        <f t="shared" ref="F6:I6" si="1">F7*F3</f>
        <v>3566.0382192000002</v>
      </c>
      <c r="G6" s="39">
        <f t="shared" si="1"/>
        <v>3851.3212767360005</v>
      </c>
      <c r="H6" s="39">
        <f t="shared" si="1"/>
        <v>4159.4269788748816</v>
      </c>
      <c r="I6" s="39">
        <f t="shared" si="1"/>
        <v>4492.1811371848717</v>
      </c>
    </row>
    <row r="7" spans="1:16" x14ac:dyDescent="0.25">
      <c r="A7" s="31" t="s">
        <v>4</v>
      </c>
      <c r="B7" s="84">
        <f>B6/B3</f>
        <v>0.3010023648992658</v>
      </c>
      <c r="C7" s="84">
        <f t="shared" ref="C7:D7" si="2">C6/C3</f>
        <v>0.29909467408907314</v>
      </c>
      <c r="D7" s="84">
        <f t="shared" si="2"/>
        <v>0.30983975091772059</v>
      </c>
      <c r="E7" s="92">
        <v>0.3</v>
      </c>
      <c r="F7" s="92">
        <v>0.3</v>
      </c>
      <c r="G7" s="92">
        <v>0.3</v>
      </c>
      <c r="H7" s="92">
        <v>0.3</v>
      </c>
      <c r="I7" s="92">
        <v>0.3</v>
      </c>
    </row>
    <row r="8" spans="1:16" x14ac:dyDescent="0.25">
      <c r="A8" s="29"/>
      <c r="B8" s="15"/>
      <c r="C8" s="15"/>
      <c r="D8" s="15"/>
      <c r="E8" s="38"/>
      <c r="F8" s="38"/>
      <c r="G8" s="38"/>
      <c r="H8" s="38"/>
      <c r="I8" s="38"/>
    </row>
    <row r="9" spans="1:16" x14ac:dyDescent="0.25">
      <c r="A9" s="32" t="s">
        <v>5</v>
      </c>
      <c r="B9" s="11"/>
      <c r="C9" s="11"/>
      <c r="D9" s="11"/>
      <c r="E9" s="38"/>
      <c r="F9" s="38"/>
      <c r="G9" s="38"/>
      <c r="H9" s="38"/>
      <c r="I9" s="38"/>
    </row>
    <row r="10" spans="1:16" x14ac:dyDescent="0.25">
      <c r="A10" s="30" t="s">
        <v>6</v>
      </c>
      <c r="B10" s="13">
        <v>402.8</v>
      </c>
      <c r="C10" s="13">
        <v>439</v>
      </c>
      <c r="D10" s="13">
        <v>498</v>
      </c>
      <c r="E10" s="39">
        <f>E11*E3</f>
        <v>550.31454000000008</v>
      </c>
      <c r="F10" s="39">
        <f t="shared" ref="F10:I10" si="3">F11*F3</f>
        <v>594.33970320000014</v>
      </c>
      <c r="G10" s="39">
        <f t="shared" si="3"/>
        <v>641.8868794560002</v>
      </c>
      <c r="H10" s="39">
        <f t="shared" si="3"/>
        <v>693.2378298124803</v>
      </c>
      <c r="I10" s="39">
        <f t="shared" si="3"/>
        <v>748.69685619747872</v>
      </c>
    </row>
    <row r="11" spans="1:16" x14ac:dyDescent="0.25">
      <c r="A11" s="31" t="s">
        <v>4</v>
      </c>
      <c r="B11" s="84">
        <f>B10/B3</f>
        <v>4.6085216462078665E-2</v>
      </c>
      <c r="C11" s="84">
        <f t="shared" ref="C11:D11" si="4">C10/C3</f>
        <v>4.6834559851153583E-2</v>
      </c>
      <c r="D11" s="84">
        <f t="shared" si="4"/>
        <v>4.8866599090767252E-2</v>
      </c>
      <c r="E11" s="92">
        <v>0.05</v>
      </c>
      <c r="F11" s="92">
        <v>0.05</v>
      </c>
      <c r="G11" s="92">
        <v>0.05</v>
      </c>
      <c r="H11" s="92">
        <v>0.05</v>
      </c>
      <c r="I11" s="92">
        <v>0.05</v>
      </c>
    </row>
    <row r="12" spans="1:16" ht="30" x14ac:dyDescent="0.25">
      <c r="A12" s="83" t="s">
        <v>7</v>
      </c>
      <c r="B12" s="16">
        <v>882.5</v>
      </c>
      <c r="C12" s="16">
        <v>929</v>
      </c>
      <c r="D12" s="16">
        <v>1041.2</v>
      </c>
      <c r="E12" s="40">
        <f>E13*E3</f>
        <v>1100.6290800000002</v>
      </c>
      <c r="F12" s="40">
        <f t="shared" ref="F12:I12" si="5">F13*F3</f>
        <v>1188.6794064000003</v>
      </c>
      <c r="G12" s="40">
        <f t="shared" si="5"/>
        <v>1283.7737589120004</v>
      </c>
      <c r="H12" s="40">
        <f t="shared" si="5"/>
        <v>1386.4756596249606</v>
      </c>
      <c r="I12" s="40">
        <f t="shared" si="5"/>
        <v>1497.3937123949574</v>
      </c>
    </row>
    <row r="13" spans="1:16" x14ac:dyDescent="0.25">
      <c r="A13" s="31" t="s">
        <v>4</v>
      </c>
      <c r="B13" s="84">
        <f>B12/B3</f>
        <v>0.10096872772538337</v>
      </c>
      <c r="C13" s="84">
        <f t="shared" ref="C13:D13" si="6">C12/C3</f>
        <v>9.9110036678181496E-2</v>
      </c>
      <c r="D13" s="84">
        <f t="shared" si="6"/>
        <v>0.10216847986607805</v>
      </c>
      <c r="E13" s="92">
        <v>0.1</v>
      </c>
      <c r="F13" s="92">
        <v>0.1</v>
      </c>
      <c r="G13" s="92">
        <v>0.1</v>
      </c>
      <c r="H13" s="92">
        <v>0.1</v>
      </c>
      <c r="I13" s="92">
        <v>0.1</v>
      </c>
    </row>
    <row r="14" spans="1:16" x14ac:dyDescent="0.25">
      <c r="A14" s="30" t="s">
        <v>8</v>
      </c>
      <c r="B14" s="16">
        <v>1285.3</v>
      </c>
      <c r="C14" s="16">
        <v>1368</v>
      </c>
      <c r="D14" s="16">
        <v>1539.2</v>
      </c>
      <c r="E14" s="93">
        <f>E12+E10</f>
        <v>1650.9436200000002</v>
      </c>
      <c r="F14" s="93">
        <f t="shared" ref="F14:I14" si="7">F12+F10</f>
        <v>1783.0191096000003</v>
      </c>
      <c r="G14" s="93">
        <f t="shared" si="7"/>
        <v>1925.6606383680005</v>
      </c>
      <c r="H14" s="93">
        <f t="shared" si="7"/>
        <v>2079.7134894374408</v>
      </c>
      <c r="I14" s="93">
        <f t="shared" si="7"/>
        <v>2246.0905685924363</v>
      </c>
      <c r="L14" s="82"/>
    </row>
    <row r="15" spans="1:16" ht="15.75" thickBot="1" x14ac:dyDescent="0.3">
      <c r="A15" s="51"/>
      <c r="B15" s="12"/>
      <c r="C15" s="12"/>
      <c r="D15" s="12"/>
      <c r="E15" s="47"/>
      <c r="F15" s="47"/>
      <c r="G15" s="47"/>
      <c r="H15" s="47"/>
      <c r="I15" s="47"/>
    </row>
    <row r="16" spans="1:16" s="4" customFormat="1" ht="30.75" thickBot="1" x14ac:dyDescent="0.3">
      <c r="A16" s="81" t="s">
        <v>92</v>
      </c>
      <c r="B16" s="86">
        <f>B3-B6-B14</f>
        <v>4824.17</v>
      </c>
      <c r="C16" s="86">
        <f t="shared" ref="C16:D16" si="8">C3-C6-C14</f>
        <v>5201.88</v>
      </c>
      <c r="D16" s="86">
        <f>D3-D6-D14</f>
        <v>5494.2300000000005</v>
      </c>
      <c r="E16" s="6">
        <f>E3-E6-E14</f>
        <v>6053.4599400000006</v>
      </c>
      <c r="F16" s="6">
        <f t="shared" ref="F16:I16" si="9">F3-F6-F14</f>
        <v>6537.7367352000019</v>
      </c>
      <c r="G16" s="6">
        <f t="shared" si="9"/>
        <v>7060.7556740160016</v>
      </c>
      <c r="H16" s="6">
        <f t="shared" si="9"/>
        <v>7625.6161279372809</v>
      </c>
      <c r="I16" s="6">
        <f t="shared" si="9"/>
        <v>8235.6654181722661</v>
      </c>
    </row>
    <row r="17" spans="1:9" x14ac:dyDescent="0.25">
      <c r="A17" s="52" t="s">
        <v>10</v>
      </c>
      <c r="B17" s="87">
        <f>B16/B3</f>
        <v>0.55194369091327211</v>
      </c>
      <c r="C17" s="87">
        <f t="shared" ref="C17:D17" si="10">C16/C3</f>
        <v>0.5549607293815918</v>
      </c>
      <c r="D17" s="87">
        <f t="shared" si="10"/>
        <v>0.53912517012543415</v>
      </c>
      <c r="E17" s="53">
        <f>E16/E3</f>
        <v>0.55000000000000004</v>
      </c>
      <c r="F17" s="53">
        <f t="shared" ref="F17:I17" si="11">F16/F3</f>
        <v>0.55000000000000004</v>
      </c>
      <c r="G17" s="53">
        <f t="shared" si="11"/>
        <v>0.55000000000000004</v>
      </c>
      <c r="H17" s="53">
        <f t="shared" si="11"/>
        <v>0.54999999999999993</v>
      </c>
      <c r="I17" s="53">
        <f t="shared" si="11"/>
        <v>0.55000000000000004</v>
      </c>
    </row>
    <row r="18" spans="1:9" x14ac:dyDescent="0.25">
      <c r="A18" s="29"/>
      <c r="B18" s="11"/>
      <c r="C18" s="11"/>
      <c r="D18" s="11"/>
      <c r="E18" s="38"/>
      <c r="F18" s="38"/>
      <c r="G18" s="38"/>
      <c r="H18" s="38"/>
      <c r="I18" s="38"/>
    </row>
    <row r="19" spans="1:9" x14ac:dyDescent="0.25">
      <c r="A19" s="30" t="s">
        <v>11</v>
      </c>
      <c r="B19" s="13">
        <v>1265</v>
      </c>
      <c r="C19" s="13">
        <v>1270.992</v>
      </c>
      <c r="D19" s="13">
        <v>1235.6452173913001</v>
      </c>
      <c r="E19" s="39">
        <f>E20*'Balance Sheet'!D12</f>
        <v>1239.9964173913049</v>
      </c>
      <c r="F19" s="39">
        <f>F20*'Balance Sheet'!E12</f>
        <v>1241.4969547826092</v>
      </c>
      <c r="G19" s="39">
        <f>G20*'Balance Sheet'!F12</f>
        <v>1242.7724115652179</v>
      </c>
      <c r="H19" s="39">
        <f>H20*'Balance Sheet'!G12</f>
        <v>1243.8565498304351</v>
      </c>
      <c r="I19" s="39">
        <f>I20*'Balance Sheet'!H12</f>
        <v>1244.77806735587</v>
      </c>
    </row>
    <row r="20" spans="1:9" x14ac:dyDescent="0.25">
      <c r="A20" s="31" t="s">
        <v>55</v>
      </c>
      <c r="B20" s="84"/>
      <c r="C20" s="84">
        <f>C19/'Balance Sheet'!B12</f>
        <v>0.15</v>
      </c>
      <c r="D20" s="84">
        <f>D19/'Balance Sheet'!C12</f>
        <v>0.15064640712339045</v>
      </c>
      <c r="E20" s="92">
        <v>0.15</v>
      </c>
      <c r="F20" s="92">
        <v>0.15</v>
      </c>
      <c r="G20" s="92">
        <v>0.15</v>
      </c>
      <c r="H20" s="92">
        <v>0.15</v>
      </c>
      <c r="I20" s="92">
        <v>0.15</v>
      </c>
    </row>
    <row r="21" spans="1:9" x14ac:dyDescent="0.25">
      <c r="A21" s="30" t="s">
        <v>12</v>
      </c>
      <c r="B21" s="13">
        <v>400</v>
      </c>
      <c r="C21" s="13">
        <v>375</v>
      </c>
      <c r="D21" s="13">
        <v>415</v>
      </c>
      <c r="E21" s="39">
        <f>E22*'Balance Sheet'!E25</f>
        <v>415</v>
      </c>
      <c r="F21" s="39">
        <f>F22*'Balance Sheet'!F25</f>
        <v>415</v>
      </c>
      <c r="G21" s="39">
        <f>G22*'Balance Sheet'!G25</f>
        <v>415</v>
      </c>
      <c r="H21" s="39">
        <f>H22*'Balance Sheet'!H25</f>
        <v>415</v>
      </c>
      <c r="I21" s="39">
        <f>I22*'Balance Sheet'!I25</f>
        <v>415</v>
      </c>
    </row>
    <row r="22" spans="1:9" x14ac:dyDescent="0.25">
      <c r="A22" s="31" t="s">
        <v>54</v>
      </c>
      <c r="B22" s="88">
        <f>B21/'Balance Sheet'!B25</f>
        <v>0.05</v>
      </c>
      <c r="C22" s="88">
        <f>C21/'Balance Sheet'!C25</f>
        <v>0.05</v>
      </c>
      <c r="D22" s="88">
        <f>D21/'Balance Sheet'!D25</f>
        <v>0.05</v>
      </c>
      <c r="E22" s="91">
        <v>0.05</v>
      </c>
      <c r="F22" s="91">
        <v>0.05</v>
      </c>
      <c r="G22" s="91">
        <v>0.05</v>
      </c>
      <c r="H22" s="91">
        <v>0.05</v>
      </c>
      <c r="I22" s="91">
        <v>0.05</v>
      </c>
    </row>
    <row r="23" spans="1:9" ht="15.75" thickBot="1" x14ac:dyDescent="0.3">
      <c r="A23" s="51"/>
      <c r="B23" s="12"/>
      <c r="C23" s="12"/>
      <c r="D23" s="12"/>
      <c r="E23" s="47"/>
      <c r="F23" s="47"/>
      <c r="G23" s="47"/>
      <c r="H23" s="47"/>
      <c r="I23" s="47"/>
    </row>
    <row r="24" spans="1:9" s="4" customFormat="1" ht="15.75" thickBot="1" x14ac:dyDescent="0.3">
      <c r="A24" s="33" t="s">
        <v>93</v>
      </c>
      <c r="B24" s="89">
        <f>B16-B19-B21</f>
        <v>3159.17</v>
      </c>
      <c r="C24" s="89">
        <f t="shared" ref="C24:I24" si="12">C16-C19-C21</f>
        <v>3555.8879999999999</v>
      </c>
      <c r="D24" s="89">
        <f t="shared" si="12"/>
        <v>3843.5847826087002</v>
      </c>
      <c r="E24" s="89">
        <f t="shared" si="12"/>
        <v>4398.4635226086957</v>
      </c>
      <c r="F24" s="89">
        <f t="shared" si="12"/>
        <v>4881.2397804173925</v>
      </c>
      <c r="G24" s="89">
        <f t="shared" si="12"/>
        <v>5402.9832624507835</v>
      </c>
      <c r="H24" s="89">
        <f t="shared" si="12"/>
        <v>5966.7595781068458</v>
      </c>
      <c r="I24" s="89">
        <f t="shared" si="12"/>
        <v>6575.8873508163961</v>
      </c>
    </row>
    <row r="25" spans="1:9" x14ac:dyDescent="0.25">
      <c r="A25" s="52" t="s">
        <v>10</v>
      </c>
      <c r="B25" s="53">
        <f>B24/B3</f>
        <v>0.36144745106878118</v>
      </c>
      <c r="C25" s="53">
        <f t="shared" ref="C25:D25" si="13">C24/C3</f>
        <v>0.37935865457858498</v>
      </c>
      <c r="D25" s="53">
        <f t="shared" si="13"/>
        <v>0.37715445109058865</v>
      </c>
      <c r="E25" s="53">
        <f t="shared" ref="E25" si="14">E24/E3</f>
        <v>0.39963177445835751</v>
      </c>
      <c r="F25" s="53">
        <f t="shared" ref="F25" si="15">F24/F3</f>
        <v>0.41064392586732645</v>
      </c>
      <c r="G25" s="53">
        <f t="shared" ref="G25" si="16">G24/G3</f>
        <v>0.42086724587904167</v>
      </c>
      <c r="H25" s="53">
        <f t="shared" ref="H25" si="17">H24/H3</f>
        <v>0.43035444125437045</v>
      </c>
      <c r="I25" s="53">
        <f t="shared" ref="I25" si="18">I24/I3</f>
        <v>0.43915553380405264</v>
      </c>
    </row>
    <row r="26" spans="1:9" x14ac:dyDescent="0.25">
      <c r="A26" s="34"/>
      <c r="B26" s="11"/>
      <c r="C26" s="11"/>
      <c r="D26" s="11"/>
      <c r="E26" s="38"/>
      <c r="F26" s="38"/>
      <c r="G26" s="38"/>
      <c r="H26" s="38"/>
      <c r="I26" s="38"/>
    </row>
    <row r="27" spans="1:9" x14ac:dyDescent="0.25">
      <c r="A27" s="30" t="s">
        <v>14</v>
      </c>
      <c r="B27" s="16">
        <v>1103.6122999999998</v>
      </c>
      <c r="C27" s="16">
        <v>1256.9321739130401</v>
      </c>
      <c r="D27" s="16">
        <v>1342.3167381852552</v>
      </c>
      <c r="E27" s="40">
        <f>E28*E24</f>
        <v>1539.4622329130434</v>
      </c>
      <c r="F27" s="40">
        <f t="shared" ref="F27:I27" si="19">F28*F24</f>
        <v>1708.4339231460872</v>
      </c>
      <c r="G27" s="40">
        <f t="shared" si="19"/>
        <v>1891.0441418577741</v>
      </c>
      <c r="H27" s="40">
        <f t="shared" si="19"/>
        <v>2088.3658523373961</v>
      </c>
      <c r="I27" s="40">
        <f t="shared" si="19"/>
        <v>2301.5605727857383</v>
      </c>
    </row>
    <row r="28" spans="1:9" x14ac:dyDescent="0.25">
      <c r="A28" s="31" t="s">
        <v>13</v>
      </c>
      <c r="B28" s="88">
        <f>B27/B24</f>
        <v>0.34933615474950691</v>
      </c>
      <c r="C28" s="88">
        <f t="shared" ref="C28:D28" si="20">C27/C24</f>
        <v>0.35347912361498451</v>
      </c>
      <c r="D28" s="88">
        <f t="shared" si="20"/>
        <v>0.34923562614227133</v>
      </c>
      <c r="E28" s="92">
        <v>0.35</v>
      </c>
      <c r="F28" s="92">
        <v>0.35</v>
      </c>
      <c r="G28" s="92">
        <v>0.35</v>
      </c>
      <c r="H28" s="92">
        <v>0.35</v>
      </c>
      <c r="I28" s="92">
        <v>0.35</v>
      </c>
    </row>
    <row r="29" spans="1:9" ht="15.75" thickBot="1" x14ac:dyDescent="0.3">
      <c r="A29" s="51"/>
      <c r="B29" s="12"/>
      <c r="C29" s="12"/>
      <c r="D29" s="12"/>
      <c r="E29" s="47"/>
      <c r="F29" s="47"/>
      <c r="G29" s="47"/>
      <c r="H29" s="47"/>
      <c r="I29" s="47"/>
    </row>
    <row r="30" spans="1:9" s="4" customFormat="1" ht="15.75" thickBot="1" x14ac:dyDescent="0.3">
      <c r="A30" s="33" t="s">
        <v>15</v>
      </c>
      <c r="B30" s="6">
        <v>2055.5577000000003</v>
      </c>
      <c r="C30" s="6">
        <v>2298.9558260869599</v>
      </c>
      <c r="D30" s="6">
        <v>2501.2680444234447</v>
      </c>
      <c r="E30" s="56">
        <f>E24-E27</f>
        <v>2859.0012896956523</v>
      </c>
      <c r="F30" s="56">
        <f t="shared" ref="F30:I30" si="21">F24-F27</f>
        <v>3172.8058572713053</v>
      </c>
      <c r="G30" s="56">
        <f t="shared" si="21"/>
        <v>3511.9391205930096</v>
      </c>
      <c r="H30" s="56">
        <f t="shared" si="21"/>
        <v>3878.3937257694497</v>
      </c>
      <c r="I30" s="56">
        <f t="shared" si="21"/>
        <v>4274.3267780306578</v>
      </c>
    </row>
    <row r="31" spans="1:9" x14ac:dyDescent="0.25">
      <c r="A31" s="54" t="s">
        <v>34</v>
      </c>
      <c r="B31" s="19">
        <v>1250</v>
      </c>
      <c r="C31" s="19">
        <v>1250</v>
      </c>
      <c r="D31" s="94">
        <v>1250</v>
      </c>
      <c r="E31" s="94">
        <v>1250</v>
      </c>
      <c r="F31" s="94">
        <v>1250</v>
      </c>
      <c r="G31" s="94">
        <v>1250</v>
      </c>
      <c r="H31" s="94">
        <v>1250</v>
      </c>
      <c r="I31" s="94">
        <v>1250</v>
      </c>
    </row>
    <row r="32" spans="1:9" x14ac:dyDescent="0.25">
      <c r="A32" s="30" t="s">
        <v>33</v>
      </c>
      <c r="B32" s="13">
        <v>805.5577000000003</v>
      </c>
      <c r="C32" s="13">
        <v>1048.9558260869599</v>
      </c>
      <c r="D32" s="13">
        <v>1251.2680444234447</v>
      </c>
      <c r="E32" s="41">
        <f>E30-E31</f>
        <v>1609.0012896956523</v>
      </c>
      <c r="F32" s="41">
        <f t="shared" ref="F32:I32" si="22">F30-F31</f>
        <v>1922.8058572713053</v>
      </c>
      <c r="G32" s="41">
        <f t="shared" si="22"/>
        <v>2261.9391205930096</v>
      </c>
      <c r="H32" s="41">
        <f t="shared" si="22"/>
        <v>2628.3937257694497</v>
      </c>
      <c r="I32" s="41">
        <f t="shared" si="22"/>
        <v>3024.3267780306578</v>
      </c>
    </row>
    <row r="33" spans="1:9" x14ac:dyDescent="0.25">
      <c r="A33" s="29"/>
      <c r="B33" s="43"/>
      <c r="C33" s="43"/>
      <c r="D33" s="43"/>
      <c r="E33" s="43"/>
      <c r="F33" s="43"/>
      <c r="G33" s="43"/>
      <c r="H33" s="43"/>
      <c r="I33" s="43"/>
    </row>
    <row r="34" spans="1:9" x14ac:dyDescent="0.25">
      <c r="A34" s="30" t="s">
        <v>58</v>
      </c>
      <c r="B34" s="11">
        <v>1000000</v>
      </c>
      <c r="C34" s="11">
        <v>1000000</v>
      </c>
      <c r="D34" s="11">
        <v>1000000</v>
      </c>
      <c r="E34" s="11">
        <v>1000000</v>
      </c>
      <c r="F34" s="11">
        <v>1000000</v>
      </c>
      <c r="G34" s="11">
        <v>1000000</v>
      </c>
      <c r="H34" s="11">
        <v>1000000</v>
      </c>
      <c r="I34" s="11">
        <v>1000000</v>
      </c>
    </row>
    <row r="35" spans="1:9" ht="15.75" thickBot="1" x14ac:dyDescent="0.3">
      <c r="A35" s="35" t="s">
        <v>94</v>
      </c>
      <c r="B35" s="18">
        <v>2.0495657</v>
      </c>
      <c r="C35" s="18">
        <v>2.3343026086956522</v>
      </c>
      <c r="D35" s="18">
        <v>2.7698599359378284</v>
      </c>
      <c r="E35" s="58">
        <f>E30/E34*1000</f>
        <v>2.8590012896956525</v>
      </c>
      <c r="F35" s="58">
        <f t="shared" ref="F35:I35" si="23">F30/F34*1000</f>
        <v>3.1728058572713054</v>
      </c>
      <c r="G35" s="58">
        <f t="shared" si="23"/>
        <v>3.5119391205930093</v>
      </c>
      <c r="H35" s="58">
        <f t="shared" si="23"/>
        <v>3.8783937257694499</v>
      </c>
      <c r="I35" s="58">
        <f t="shared" si="23"/>
        <v>4.2743267780306571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34A6-A2D6-4A05-9F8D-5FDDBDB1BB77}">
  <sheetPr codeName="Sheet2"/>
  <dimension ref="A1:M41"/>
  <sheetViews>
    <sheetView zoomScale="110" zoomScaleNormal="11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4" width="11.140625" bestFit="1" customWidth="1"/>
    <col min="5" max="5" width="11.7109375" bestFit="1" customWidth="1"/>
    <col min="6" max="9" width="11.5703125" bestFit="1" customWidth="1"/>
    <col min="11" max="11" width="10.140625" bestFit="1" customWidth="1"/>
    <col min="12" max="13" width="11.140625" bestFit="1" customWidth="1"/>
  </cols>
  <sheetData>
    <row r="1" spans="1:13" ht="15.75" thickBot="1" x14ac:dyDescent="0.3">
      <c r="A1" s="9" t="s">
        <v>0</v>
      </c>
      <c r="B1" s="36">
        <v>2016</v>
      </c>
      <c r="C1" s="36">
        <v>2017</v>
      </c>
      <c r="D1" s="36">
        <v>2018</v>
      </c>
      <c r="E1" s="36">
        <v>2019</v>
      </c>
      <c r="F1" s="36">
        <v>2020</v>
      </c>
      <c r="G1" s="36">
        <v>2021</v>
      </c>
      <c r="H1" s="36">
        <v>2022</v>
      </c>
      <c r="I1" s="37">
        <v>2023</v>
      </c>
    </row>
    <row r="2" spans="1:13" x14ac:dyDescent="0.25">
      <c r="A2" s="44"/>
      <c r="B2" s="57"/>
      <c r="C2" s="57"/>
      <c r="D2" s="57"/>
      <c r="E2" s="57"/>
      <c r="F2" s="57"/>
      <c r="G2" s="57"/>
      <c r="H2" s="57"/>
      <c r="I2" s="57"/>
    </row>
    <row r="3" spans="1:13" x14ac:dyDescent="0.25">
      <c r="A3" s="24" t="s">
        <v>16</v>
      </c>
      <c r="B3" s="43"/>
      <c r="C3" s="43"/>
      <c r="D3" s="43"/>
      <c r="E3" s="43"/>
      <c r="F3" s="43"/>
      <c r="G3" s="43"/>
      <c r="H3" s="43"/>
      <c r="I3" s="43"/>
    </row>
    <row r="4" spans="1:13" x14ac:dyDescent="0.25">
      <c r="A4" s="23" t="s">
        <v>17</v>
      </c>
      <c r="B4" s="43"/>
      <c r="C4" s="43"/>
      <c r="D4" s="43"/>
      <c r="E4" s="43"/>
      <c r="F4" s="43"/>
      <c r="G4" s="43"/>
      <c r="H4" s="43"/>
      <c r="I4" s="43"/>
    </row>
    <row r="5" spans="1:13" x14ac:dyDescent="0.25">
      <c r="A5" s="25" t="s">
        <v>18</v>
      </c>
      <c r="B5" s="13">
        <v>9027.93</v>
      </c>
      <c r="C5" s="16">
        <v>9752.1178260869601</v>
      </c>
      <c r="D5" s="16">
        <v>11426.451087901705</v>
      </c>
      <c r="E5" s="40">
        <f>D5+'Cash Flow Statement'!E29</f>
        <v>13025.672415388663</v>
      </c>
      <c r="F5" s="40">
        <f>E5+'Cash Flow Statement'!F29</f>
        <v>14775.321117074578</v>
      </c>
      <c r="G5" s="40">
        <f>F5+'Cash Flow Statement'!G29</f>
        <v>16852.206210035365</v>
      </c>
      <c r="H5" s="40">
        <f>G5+'Cash Flow Statement'!H29</f>
        <v>19282.403931302015</v>
      </c>
      <c r="I5" s="40">
        <f>H5+'Cash Flow Statement'!I29</f>
        <v>22094.092018008647</v>
      </c>
    </row>
    <row r="6" spans="1:13" x14ac:dyDescent="0.25">
      <c r="A6" s="25" t="s">
        <v>19</v>
      </c>
      <c r="B6" s="13">
        <v>893.48</v>
      </c>
      <c r="C6" s="13">
        <v>835.3</v>
      </c>
      <c r="D6" s="13">
        <v>1158.5</v>
      </c>
      <c r="E6" s="39">
        <f>E7*'Income Statement'!E3</f>
        <v>1100.6290800000002</v>
      </c>
      <c r="F6" s="39">
        <f>F7*'Income Statement'!F3</f>
        <v>1188.6794064000003</v>
      </c>
      <c r="G6" s="39">
        <f>G7*'Income Statement'!G3</f>
        <v>1283.7737589120004</v>
      </c>
      <c r="H6" s="39">
        <f>H7*'Income Statement'!H3</f>
        <v>1386.4756596249606</v>
      </c>
      <c r="I6" s="39">
        <f>I7*'Income Statement'!I3</f>
        <v>1497.3937123949574</v>
      </c>
    </row>
    <row r="7" spans="1:13" x14ac:dyDescent="0.25">
      <c r="A7" s="25" t="s">
        <v>49</v>
      </c>
      <c r="B7" s="84">
        <f>B6/'Income Statement'!B3</f>
        <v>0.10222497319895245</v>
      </c>
      <c r="C7" s="84">
        <f>C6/'Income Statement'!C3</f>
        <v>8.9113685293094727E-2</v>
      </c>
      <c r="D7" s="84">
        <f>D6/'Income Statement'!D3</f>
        <v>0.11367862459167442</v>
      </c>
      <c r="E7" s="91">
        <v>0.1</v>
      </c>
      <c r="F7" s="91">
        <v>0.1</v>
      </c>
      <c r="G7" s="91">
        <v>0.1</v>
      </c>
      <c r="H7" s="91">
        <v>0.1</v>
      </c>
      <c r="I7" s="91">
        <v>0.1</v>
      </c>
    </row>
    <row r="8" spans="1:13" x14ac:dyDescent="0.25">
      <c r="A8" s="25" t="s">
        <v>20</v>
      </c>
      <c r="B8" s="13">
        <v>1309.3</v>
      </c>
      <c r="C8" s="16">
        <v>1508</v>
      </c>
      <c r="D8" s="16">
        <v>1512</v>
      </c>
      <c r="E8" s="39">
        <f>E9*'Income Statement'!E6</f>
        <v>1650.94362</v>
      </c>
      <c r="F8" s="39">
        <f>F9*'Income Statement'!F6</f>
        <v>1783.0191096000001</v>
      </c>
      <c r="G8" s="39">
        <f>G9*'Income Statement'!G6</f>
        <v>1925.6606383680003</v>
      </c>
      <c r="H8" s="39">
        <f>H9*'Income Statement'!H6</f>
        <v>2079.7134894374408</v>
      </c>
      <c r="I8" s="39">
        <f>I9*'Income Statement'!I6</f>
        <v>2246.0905685924358</v>
      </c>
    </row>
    <row r="9" spans="1:13" x14ac:dyDescent="0.25">
      <c r="A9" s="25" t="s">
        <v>50</v>
      </c>
      <c r="B9" s="84">
        <f>B8/'Income Statement'!B6</f>
        <v>0.49766996343401021</v>
      </c>
      <c r="C9" s="84">
        <f>C8/'Income Statement'!C6</f>
        <v>0.53789138018362503</v>
      </c>
      <c r="D9" s="84">
        <f>D8/'Income Statement'!D6</f>
        <v>0.47884772515660728</v>
      </c>
      <c r="E9" s="91">
        <v>0.5</v>
      </c>
      <c r="F9" s="91">
        <v>0.5</v>
      </c>
      <c r="G9" s="91">
        <v>0.5</v>
      </c>
      <c r="H9" s="91">
        <v>0.5</v>
      </c>
      <c r="I9" s="91">
        <v>0.5</v>
      </c>
    </row>
    <row r="10" spans="1:13" x14ac:dyDescent="0.25">
      <c r="A10" s="23"/>
      <c r="B10" s="11"/>
      <c r="C10" s="11"/>
      <c r="D10" s="11"/>
      <c r="E10" s="38"/>
      <c r="F10" s="38"/>
      <c r="G10" s="38"/>
      <c r="H10" s="38"/>
      <c r="I10" s="38"/>
      <c r="M10" s="2"/>
    </row>
    <row r="11" spans="1:13" x14ac:dyDescent="0.25">
      <c r="A11" s="26" t="s">
        <v>21</v>
      </c>
      <c r="B11" s="11"/>
      <c r="C11" s="17"/>
      <c r="D11" s="11"/>
      <c r="E11" s="38"/>
      <c r="F11" s="38"/>
      <c r="G11" s="38"/>
      <c r="H11" s="38"/>
      <c r="I11" s="38"/>
    </row>
    <row r="12" spans="1:13" x14ac:dyDescent="0.25">
      <c r="A12" s="25" t="s">
        <v>53</v>
      </c>
      <c r="B12" s="13">
        <v>8473.2800000000007</v>
      </c>
      <c r="C12" s="17">
        <v>8202.2880000000005</v>
      </c>
      <c r="D12" s="17">
        <v>8266.6427826087001</v>
      </c>
      <c r="E12" s="41">
        <f>D12+(-'Cash Flow Statement'!E16)-'Income Statement'!E19</f>
        <v>8276.6463652173952</v>
      </c>
      <c r="F12" s="41">
        <f>E12+(-'Cash Flow Statement'!F16)-'Income Statement'!F19</f>
        <v>8285.1494104347858</v>
      </c>
      <c r="G12" s="41">
        <f>F12+(-'Cash Flow Statement'!G16)-'Income Statement'!G19</f>
        <v>8292.3769988695676</v>
      </c>
      <c r="H12" s="41">
        <f>G12+(-'Cash Flow Statement'!H16)-'Income Statement'!H19</f>
        <v>8298.5204490391334</v>
      </c>
      <c r="I12" s="41">
        <f>H12+(-'Cash Flow Statement'!I16)-'Income Statement'!I19</f>
        <v>8303.7423816832634</v>
      </c>
      <c r="M12" s="1"/>
    </row>
    <row r="13" spans="1:13" x14ac:dyDescent="0.25">
      <c r="A13" s="25" t="s">
        <v>22</v>
      </c>
      <c r="B13" s="13">
        <v>4381</v>
      </c>
      <c r="C13" s="13">
        <v>4381</v>
      </c>
      <c r="D13" s="13">
        <v>4381</v>
      </c>
      <c r="E13" s="95">
        <f>D13</f>
        <v>4381</v>
      </c>
      <c r="F13" s="95">
        <f t="shared" ref="F13:I13" si="0">E13</f>
        <v>4381</v>
      </c>
      <c r="G13" s="95">
        <f t="shared" si="0"/>
        <v>4381</v>
      </c>
      <c r="H13" s="95">
        <f t="shared" si="0"/>
        <v>4381</v>
      </c>
      <c r="I13" s="95">
        <f t="shared" si="0"/>
        <v>4381</v>
      </c>
      <c r="M13" s="2"/>
    </row>
    <row r="14" spans="1:13" x14ac:dyDescent="0.25">
      <c r="A14" s="23"/>
      <c r="B14" s="11"/>
      <c r="C14" s="11"/>
      <c r="D14" s="11"/>
      <c r="E14" s="38"/>
      <c r="F14" s="38"/>
      <c r="G14" s="38"/>
      <c r="H14" s="38"/>
      <c r="I14" s="38"/>
      <c r="L14" s="2"/>
    </row>
    <row r="15" spans="1:13" ht="15.75" thickBot="1" x14ac:dyDescent="0.3">
      <c r="A15" s="46"/>
      <c r="B15" s="12"/>
      <c r="C15" s="12"/>
      <c r="D15" s="12"/>
      <c r="E15" s="47"/>
      <c r="F15" s="47"/>
      <c r="G15" s="47"/>
      <c r="H15" s="47"/>
      <c r="I15" s="47"/>
      <c r="L15" s="2"/>
    </row>
    <row r="16" spans="1:13" ht="15.75" thickBot="1" x14ac:dyDescent="0.3">
      <c r="A16" s="9" t="s">
        <v>23</v>
      </c>
      <c r="B16" s="89">
        <f>B5+B6+B8+B12+B13</f>
        <v>24084.989999999998</v>
      </c>
      <c r="C16" s="89">
        <f t="shared" ref="C16:D16" si="1">C5+C6+C8+C12+C13</f>
        <v>24678.70582608696</v>
      </c>
      <c r="D16" s="89">
        <f t="shared" si="1"/>
        <v>26744.593870510405</v>
      </c>
      <c r="E16" s="96">
        <f>SUM(E13,E12,E8,E6,E5)</f>
        <v>28434.891480606057</v>
      </c>
      <c r="F16" s="96">
        <f t="shared" ref="F16:I16" si="2">SUM(F13,F12,F8,F6,F5)</f>
        <v>30413.169043509362</v>
      </c>
      <c r="G16" s="96">
        <f t="shared" si="2"/>
        <v>32735.017606184934</v>
      </c>
      <c r="H16" s="96">
        <f t="shared" si="2"/>
        <v>35428.113529403548</v>
      </c>
      <c r="I16" s="96">
        <f t="shared" si="2"/>
        <v>38522.318680679302</v>
      </c>
      <c r="M16" s="2"/>
    </row>
    <row r="17" spans="1:13" x14ac:dyDescent="0.25">
      <c r="A17" s="44"/>
      <c r="B17" s="57"/>
      <c r="C17" s="57"/>
      <c r="D17" s="57"/>
      <c r="E17" s="57"/>
      <c r="F17" s="57"/>
      <c r="G17" s="57"/>
      <c r="H17" s="57"/>
      <c r="I17" s="57"/>
      <c r="L17" s="1"/>
      <c r="M17" s="2"/>
    </row>
    <row r="18" spans="1:13" x14ac:dyDescent="0.25">
      <c r="A18" s="27" t="s">
        <v>24</v>
      </c>
      <c r="B18" s="43"/>
      <c r="C18" s="43"/>
      <c r="D18" s="43"/>
      <c r="E18" s="43"/>
      <c r="F18" s="43"/>
      <c r="G18" s="43"/>
      <c r="H18" s="43"/>
      <c r="I18" s="43"/>
      <c r="M18" s="1"/>
    </row>
    <row r="19" spans="1:13" x14ac:dyDescent="0.25">
      <c r="A19" s="23" t="s">
        <v>25</v>
      </c>
      <c r="B19" s="43"/>
      <c r="C19" s="43"/>
      <c r="D19" s="43"/>
      <c r="E19" s="43"/>
      <c r="F19" s="43"/>
      <c r="G19" s="43"/>
      <c r="H19" s="43"/>
      <c r="I19" s="43"/>
      <c r="M19" s="1"/>
    </row>
    <row r="20" spans="1:13" x14ac:dyDescent="0.25">
      <c r="A20" s="25" t="s">
        <v>26</v>
      </c>
      <c r="B20" s="16">
        <v>312.39999999999998</v>
      </c>
      <c r="C20" s="16">
        <v>359.2</v>
      </c>
      <c r="D20" s="16">
        <v>334.8</v>
      </c>
      <c r="E20" s="39">
        <f>E21*'Income Statement'!E6</f>
        <v>396.22646879999996</v>
      </c>
      <c r="F20" s="39">
        <f>F21*'Income Statement'!F6</f>
        <v>427.924586304</v>
      </c>
      <c r="G20" s="39">
        <f>G21*'Income Statement'!G6</f>
        <v>462.15855320832003</v>
      </c>
      <c r="H20" s="39">
        <f>H21*'Income Statement'!H6</f>
        <v>499.13123746498576</v>
      </c>
      <c r="I20" s="39">
        <f>I21*'Income Statement'!I6</f>
        <v>539.06173646218463</v>
      </c>
    </row>
    <row r="21" spans="1:13" x14ac:dyDescent="0.25">
      <c r="A21" s="25" t="s">
        <v>50</v>
      </c>
      <c r="B21" s="88">
        <f>B20/'Income Statement'!B6</f>
        <v>0.11874444098127609</v>
      </c>
      <c r="C21" s="88">
        <f>C20/'Income Statement'!C6</f>
        <v>0.12812372928511809</v>
      </c>
      <c r="D21" s="88">
        <f>D20/'Income Statement'!D6</f>
        <v>0.10603056771324876</v>
      </c>
      <c r="E21" s="92">
        <v>0.12</v>
      </c>
      <c r="F21" s="92">
        <v>0.12</v>
      </c>
      <c r="G21" s="92">
        <v>0.12</v>
      </c>
      <c r="H21" s="92">
        <v>0.12</v>
      </c>
      <c r="I21" s="92">
        <v>0.12</v>
      </c>
    </row>
    <row r="22" spans="1:13" x14ac:dyDescent="0.25">
      <c r="A22" s="25" t="s">
        <v>27</v>
      </c>
      <c r="B22" s="17">
        <v>240.32</v>
      </c>
      <c r="C22" s="17">
        <v>238.28</v>
      </c>
      <c r="D22" s="17">
        <v>277.3</v>
      </c>
      <c r="E22" s="39">
        <f>E23*'Income Statement'!E14</f>
        <v>297.16985160000002</v>
      </c>
      <c r="F22" s="39">
        <f>F23*'Income Statement'!F14</f>
        <v>320.94343972800004</v>
      </c>
      <c r="G22" s="39">
        <f>G23*'Income Statement'!G14</f>
        <v>346.61891490624009</v>
      </c>
      <c r="H22" s="39">
        <f>H23*'Income Statement'!H14</f>
        <v>374.3484280987393</v>
      </c>
      <c r="I22" s="39">
        <f>I23*'Income Statement'!I14</f>
        <v>404.29630234663853</v>
      </c>
      <c r="K22" s="1"/>
    </row>
    <row r="23" spans="1:13" x14ac:dyDescent="0.25">
      <c r="A23" s="25" t="s">
        <v>51</v>
      </c>
      <c r="B23" s="88">
        <f>B22/'Income Statement'!B14</f>
        <v>0.18697580331440131</v>
      </c>
      <c r="C23" s="88">
        <f>C22/'Income Statement'!C14</f>
        <v>0.1741812865497076</v>
      </c>
      <c r="D23" s="88">
        <f>D22/'Income Statement'!D14</f>
        <v>0.18015852390852391</v>
      </c>
      <c r="E23" s="92">
        <v>0.18</v>
      </c>
      <c r="F23" s="92">
        <v>0.18</v>
      </c>
      <c r="G23" s="92">
        <v>0.18</v>
      </c>
      <c r="H23" s="92">
        <v>0.18</v>
      </c>
      <c r="I23" s="92">
        <v>0.18</v>
      </c>
      <c r="K23" s="1"/>
    </row>
    <row r="24" spans="1:13" x14ac:dyDescent="0.25">
      <c r="A24" s="25"/>
      <c r="B24" s="13"/>
      <c r="C24" s="13"/>
      <c r="D24" s="13"/>
      <c r="E24" s="39"/>
      <c r="F24" s="39"/>
      <c r="G24" s="39"/>
      <c r="H24" s="39"/>
      <c r="I24" s="39"/>
    </row>
    <row r="25" spans="1:13" ht="15.75" thickBot="1" x14ac:dyDescent="0.3">
      <c r="A25" s="28" t="s">
        <v>28</v>
      </c>
      <c r="B25" s="14">
        <v>8000</v>
      </c>
      <c r="C25" s="48">
        <v>7500</v>
      </c>
      <c r="D25" s="48">
        <v>8300</v>
      </c>
      <c r="E25" s="49">
        <f>D25+'Cash Flow Statement'!E22-'Cash Flow Statement'!E21</f>
        <v>8300</v>
      </c>
      <c r="F25" s="49">
        <f>E25+'Cash Flow Statement'!F22-'Cash Flow Statement'!F21</f>
        <v>8300</v>
      </c>
      <c r="G25" s="49">
        <f>F25+'Cash Flow Statement'!G22-'Cash Flow Statement'!G21</f>
        <v>8300</v>
      </c>
      <c r="H25" s="49">
        <f>G25+'Cash Flow Statement'!H22-'Cash Flow Statement'!H21</f>
        <v>8300</v>
      </c>
      <c r="I25" s="49">
        <f>H25+'Cash Flow Statement'!I22-'Cash Flow Statement'!I21</f>
        <v>8300</v>
      </c>
    </row>
    <row r="26" spans="1:13" ht="15.75" thickBot="1" x14ac:dyDescent="0.3">
      <c r="A26" s="9" t="s">
        <v>29</v>
      </c>
      <c r="B26" s="89">
        <f>B25+B22+B20</f>
        <v>8552.7199999999993</v>
      </c>
      <c r="C26" s="89">
        <f t="shared" ref="C26:D26" si="3">C25+C22+C20</f>
        <v>8097.48</v>
      </c>
      <c r="D26" s="89">
        <f t="shared" si="3"/>
        <v>8912.0999999999985</v>
      </c>
      <c r="E26" s="89">
        <f t="shared" ref="E26" si="4">E25+E22+E20</f>
        <v>8993.3963203999992</v>
      </c>
      <c r="F26" s="89">
        <f t="shared" ref="F26" si="5">F25+F22+F20</f>
        <v>9048.8680260319998</v>
      </c>
      <c r="G26" s="89">
        <f t="shared" ref="G26" si="6">G25+G22+G20</f>
        <v>9108.7774681145602</v>
      </c>
      <c r="H26" s="89">
        <f t="shared" ref="H26" si="7">H25+H22+H20</f>
        <v>9173.4796655637256</v>
      </c>
      <c r="I26" s="89">
        <f t="shared" ref="I26" si="8">I25+I22+I20</f>
        <v>9243.358038808823</v>
      </c>
    </row>
    <row r="27" spans="1:13" x14ac:dyDescent="0.25">
      <c r="A27" s="44"/>
      <c r="B27" s="57"/>
      <c r="C27" s="57"/>
      <c r="D27" s="57"/>
      <c r="E27" s="57"/>
      <c r="F27" s="57"/>
      <c r="G27" s="57"/>
      <c r="H27" s="57"/>
      <c r="I27" s="57"/>
    </row>
    <row r="28" spans="1:13" x14ac:dyDescent="0.25">
      <c r="A28" s="23" t="s">
        <v>30</v>
      </c>
      <c r="B28" s="43"/>
      <c r="C28" s="43"/>
      <c r="D28" s="43"/>
      <c r="E28" s="43"/>
      <c r="F28" s="43"/>
      <c r="G28" s="43"/>
      <c r="H28" s="43"/>
      <c r="I28" s="43"/>
    </row>
    <row r="29" spans="1:13" x14ac:dyDescent="0.25">
      <c r="A29" s="25" t="s">
        <v>31</v>
      </c>
      <c r="B29" s="13">
        <v>10000</v>
      </c>
      <c r="C29" s="13">
        <v>10000</v>
      </c>
      <c r="D29" s="13">
        <v>10000</v>
      </c>
      <c r="E29" s="39">
        <f>D29</f>
        <v>10000</v>
      </c>
      <c r="F29" s="39">
        <f t="shared" ref="F29:I29" si="9">E29</f>
        <v>10000</v>
      </c>
      <c r="G29" s="39">
        <f t="shared" si="9"/>
        <v>10000</v>
      </c>
      <c r="H29" s="39">
        <f t="shared" si="9"/>
        <v>10000</v>
      </c>
      <c r="I29" s="39">
        <f t="shared" si="9"/>
        <v>10000</v>
      </c>
    </row>
    <row r="30" spans="1:13" x14ac:dyDescent="0.25">
      <c r="A30" s="25" t="s">
        <v>32</v>
      </c>
      <c r="B30" s="13">
        <v>5000</v>
      </c>
      <c r="C30" s="13">
        <v>5000</v>
      </c>
      <c r="D30" s="13">
        <v>5000</v>
      </c>
      <c r="E30" s="41">
        <f>D30</f>
        <v>5000</v>
      </c>
      <c r="F30" s="41">
        <f t="shared" ref="F30:I30" si="10">E30</f>
        <v>5000</v>
      </c>
      <c r="G30" s="41">
        <f t="shared" si="10"/>
        <v>5000</v>
      </c>
      <c r="H30" s="41">
        <f t="shared" si="10"/>
        <v>5000</v>
      </c>
      <c r="I30" s="41">
        <f t="shared" si="10"/>
        <v>5000</v>
      </c>
    </row>
    <row r="31" spans="1:13" x14ac:dyDescent="0.25">
      <c r="A31" s="25" t="s">
        <v>52</v>
      </c>
      <c r="B31" s="71">
        <v>532.27</v>
      </c>
      <c r="C31" s="1">
        <v>1581.2258260869598</v>
      </c>
      <c r="D31" s="1">
        <v>2832.4938705104046</v>
      </c>
      <c r="E31" s="41">
        <f>D31+'Income Statement'!E32</f>
        <v>4441.4951602060573</v>
      </c>
      <c r="F31" s="41">
        <f>E31+'Income Statement'!F32</f>
        <v>6364.3010174773626</v>
      </c>
      <c r="G31" s="41">
        <f>F31+'Income Statement'!G32</f>
        <v>8626.2401380703723</v>
      </c>
      <c r="H31" s="41">
        <f>G31+'Income Statement'!H32</f>
        <v>11254.633863839823</v>
      </c>
      <c r="I31" s="41">
        <f>H31+'Income Statement'!I32</f>
        <v>14278.960641870481</v>
      </c>
    </row>
    <row r="32" spans="1:13" ht="15.75" thickBot="1" x14ac:dyDescent="0.3">
      <c r="A32" s="46"/>
      <c r="B32" s="12"/>
      <c r="C32" s="12"/>
      <c r="D32" s="12"/>
      <c r="E32" s="47"/>
      <c r="F32" s="47"/>
      <c r="G32" s="47"/>
      <c r="H32" s="47"/>
      <c r="I32" s="47"/>
    </row>
    <row r="33" spans="1:9" ht="15.75" thickBot="1" x14ac:dyDescent="0.3">
      <c r="A33" s="9" t="s">
        <v>36</v>
      </c>
      <c r="B33" s="89">
        <f>SUM(B29:B31)</f>
        <v>15532.27</v>
      </c>
      <c r="C33" s="89">
        <f t="shared" ref="C33:I33" si="11">SUM(C29:C31)</f>
        <v>16581.22582608696</v>
      </c>
      <c r="D33" s="89">
        <f t="shared" si="11"/>
        <v>17832.493870510403</v>
      </c>
      <c r="E33" s="89">
        <f t="shared" si="11"/>
        <v>19441.495160206057</v>
      </c>
      <c r="F33" s="89">
        <f t="shared" si="11"/>
        <v>21364.301017477363</v>
      </c>
      <c r="G33" s="89">
        <f t="shared" si="11"/>
        <v>23626.240138070374</v>
      </c>
      <c r="H33" s="89">
        <f t="shared" si="11"/>
        <v>26254.633863839823</v>
      </c>
      <c r="I33" s="89">
        <f t="shared" si="11"/>
        <v>29278.960641870479</v>
      </c>
    </row>
    <row r="34" spans="1:9" ht="15.75" thickBot="1" x14ac:dyDescent="0.3">
      <c r="A34" s="23"/>
      <c r="B34" s="43"/>
      <c r="C34" s="43"/>
      <c r="D34" s="43"/>
      <c r="E34" s="43"/>
      <c r="F34" s="43"/>
      <c r="G34" s="43"/>
      <c r="H34" s="43"/>
      <c r="I34" s="43"/>
    </row>
    <row r="35" spans="1:9" ht="15.75" thickBot="1" x14ac:dyDescent="0.3">
      <c r="A35" s="9" t="s">
        <v>35</v>
      </c>
      <c r="B35" s="89">
        <f>B33+B26</f>
        <v>24084.989999999998</v>
      </c>
      <c r="C35" s="89">
        <f t="shared" ref="C35:I35" si="12">C33+C26</f>
        <v>24678.70582608696</v>
      </c>
      <c r="D35" s="89">
        <f t="shared" si="12"/>
        <v>26744.593870510402</v>
      </c>
      <c r="E35" s="89">
        <f t="shared" si="12"/>
        <v>28434.891480606057</v>
      </c>
      <c r="F35" s="89">
        <f t="shared" si="12"/>
        <v>30413.169043509362</v>
      </c>
      <c r="G35" s="89">
        <f t="shared" si="12"/>
        <v>32735.017606184934</v>
      </c>
      <c r="H35" s="89">
        <f t="shared" si="12"/>
        <v>35428.113529403548</v>
      </c>
      <c r="I35" s="89">
        <f t="shared" si="12"/>
        <v>38522.318680679302</v>
      </c>
    </row>
    <row r="36" spans="1:9" x14ac:dyDescent="0.25">
      <c r="A36" s="23"/>
      <c r="B36" s="11"/>
      <c r="C36" s="11"/>
      <c r="D36" s="11"/>
      <c r="E36" s="38"/>
      <c r="F36" s="38"/>
      <c r="G36" s="38"/>
      <c r="H36" s="38"/>
      <c r="I36" s="38"/>
    </row>
    <row r="37" spans="1:9" ht="15.75" thickBot="1" x14ac:dyDescent="0.3">
      <c r="A37" s="28" t="s">
        <v>37</v>
      </c>
      <c r="B37" s="42" t="str">
        <f>IF(B35=B16,"Balanced","NO")</f>
        <v>Balanced</v>
      </c>
      <c r="C37" s="42" t="str">
        <f t="shared" ref="C37:I37" si="13">IF(C35=C16,"Balanced","NO")</f>
        <v>Balanced</v>
      </c>
      <c r="D37" s="42" t="str">
        <f t="shared" si="13"/>
        <v>Balanced</v>
      </c>
      <c r="E37" s="42" t="str">
        <f t="shared" si="13"/>
        <v>Balanced</v>
      </c>
      <c r="F37" s="42" t="str">
        <f t="shared" si="13"/>
        <v>Balanced</v>
      </c>
      <c r="G37" s="42" t="str">
        <f t="shared" si="13"/>
        <v>Balanced</v>
      </c>
      <c r="H37" s="42" t="str">
        <f t="shared" si="13"/>
        <v>Balanced</v>
      </c>
      <c r="I37" s="42" t="str">
        <f t="shared" si="13"/>
        <v>Balanced</v>
      </c>
    </row>
    <row r="38" spans="1:9" x14ac:dyDescent="0.25">
      <c r="A38" s="3"/>
      <c r="B38" s="3"/>
      <c r="C38" s="1"/>
      <c r="D38" s="1"/>
      <c r="E38" s="1"/>
      <c r="F38" s="1"/>
      <c r="G38" s="1"/>
      <c r="H38" s="1"/>
      <c r="I38" s="1"/>
    </row>
    <row r="39" spans="1:9" x14ac:dyDescent="0.25">
      <c r="A39" s="3"/>
    </row>
    <row r="40" spans="1:9" x14ac:dyDescent="0.25">
      <c r="B40" s="2"/>
      <c r="C40" s="2"/>
      <c r="D40" s="2"/>
    </row>
    <row r="41" spans="1:9" x14ac:dyDescent="0.25">
      <c r="B41" s="2"/>
      <c r="C41" s="2"/>
      <c r="D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6DEF-EC64-4082-A53F-C0E4122703BE}">
  <sheetPr codeName="Sheet3"/>
  <dimension ref="A1:Q29"/>
  <sheetViews>
    <sheetView zoomScale="118" zoomScaleNormal="118" workbookViewId="0">
      <pane ySplit="1" topLeftCell="A11" activePane="bottomLeft" state="frozen"/>
      <selection pane="bottomLeft" activeCell="F24" sqref="F24"/>
    </sheetView>
  </sheetViews>
  <sheetFormatPr defaultRowHeight="15" x14ac:dyDescent="0.25"/>
  <cols>
    <col min="1" max="1" width="34.5703125" customWidth="1"/>
    <col min="2" max="2" width="11.140625" bestFit="1" customWidth="1"/>
    <col min="3" max="4" width="12" bestFit="1" customWidth="1"/>
    <col min="5" max="9" width="11" bestFit="1" customWidth="1"/>
    <col min="10" max="11" width="9.85546875" bestFit="1" customWidth="1"/>
    <col min="12" max="12" width="11.7109375" bestFit="1" customWidth="1"/>
    <col min="15" max="17" width="9.5703125" bestFit="1" customWidth="1"/>
  </cols>
  <sheetData>
    <row r="1" spans="1:17" ht="15.75" thickBot="1" x14ac:dyDescent="0.3">
      <c r="A1" s="33" t="s">
        <v>0</v>
      </c>
      <c r="B1" s="36">
        <v>2016</v>
      </c>
      <c r="C1" s="36">
        <v>2017</v>
      </c>
      <c r="D1" s="36">
        <v>2018</v>
      </c>
      <c r="E1" s="36">
        <v>2019</v>
      </c>
      <c r="F1" s="36">
        <v>2020</v>
      </c>
      <c r="G1" s="36">
        <v>2021</v>
      </c>
      <c r="H1" s="36">
        <v>2022</v>
      </c>
      <c r="I1" s="37">
        <v>2023</v>
      </c>
    </row>
    <row r="2" spans="1:17" x14ac:dyDescent="0.25">
      <c r="A2" s="34"/>
      <c r="B2" s="57"/>
      <c r="C2" s="57"/>
      <c r="D2" s="57"/>
      <c r="E2" s="57"/>
      <c r="F2" s="57"/>
      <c r="G2" s="57"/>
      <c r="H2" s="57"/>
      <c r="I2" s="57"/>
    </row>
    <row r="3" spans="1:17" x14ac:dyDescent="0.25">
      <c r="A3" s="29" t="s">
        <v>38</v>
      </c>
      <c r="B3" s="43"/>
      <c r="C3" s="72"/>
      <c r="D3" s="72"/>
      <c r="E3" s="43"/>
      <c r="F3" s="43"/>
      <c r="G3" s="43"/>
      <c r="H3" s="43"/>
      <c r="I3" s="43"/>
    </row>
    <row r="4" spans="1:17" x14ac:dyDescent="0.25">
      <c r="A4" s="60" t="s">
        <v>15</v>
      </c>
      <c r="B4" s="13">
        <v>2055.5577000000003</v>
      </c>
      <c r="C4" s="13">
        <v>2298.9558260869599</v>
      </c>
      <c r="D4" s="13">
        <v>2501.2680444234447</v>
      </c>
      <c r="E4" s="71">
        <f>'Income Statement'!E30</f>
        <v>2859.0012896956523</v>
      </c>
      <c r="F4" s="71">
        <f>'Income Statement'!F30</f>
        <v>3172.8058572713053</v>
      </c>
      <c r="G4" s="71">
        <f>'Income Statement'!G30</f>
        <v>3511.9391205930096</v>
      </c>
      <c r="H4" s="71">
        <f>'Income Statement'!H30</f>
        <v>3878.3937257694497</v>
      </c>
      <c r="I4" s="71">
        <f>'Income Statement'!I30</f>
        <v>4274.3267780306578</v>
      </c>
    </row>
    <row r="5" spans="1:17" ht="15.75" thickBot="1" x14ac:dyDescent="0.3">
      <c r="A5" s="60" t="s">
        <v>44</v>
      </c>
      <c r="B5" s="14">
        <v>1265</v>
      </c>
      <c r="C5" s="14">
        <v>1270.992</v>
      </c>
      <c r="D5" s="14">
        <v>1235.6452173913001</v>
      </c>
      <c r="E5" s="71">
        <f>'Income Statement'!E19</f>
        <v>1239.9964173913049</v>
      </c>
      <c r="F5" s="71">
        <f>'Income Statement'!F19</f>
        <v>1241.4969547826092</v>
      </c>
      <c r="G5" s="71">
        <f>'Income Statement'!G19</f>
        <v>1242.7724115652179</v>
      </c>
      <c r="H5" s="71">
        <f>'Income Statement'!H19</f>
        <v>1243.8565498304351</v>
      </c>
      <c r="I5" s="71">
        <f>'Income Statement'!I19</f>
        <v>1244.77806735587</v>
      </c>
    </row>
    <row r="6" spans="1:17" ht="15.75" thickBot="1" x14ac:dyDescent="0.3">
      <c r="A6" s="33" t="s">
        <v>62</v>
      </c>
      <c r="B6" s="7">
        <v>3320.5577000000003</v>
      </c>
      <c r="C6" s="7">
        <v>3569.94782608696</v>
      </c>
      <c r="D6" s="7">
        <v>3736.9132618147451</v>
      </c>
      <c r="E6" s="7">
        <f>E5+E4</f>
        <v>4098.9977070869572</v>
      </c>
      <c r="F6" s="7">
        <f t="shared" ref="F6:I6" si="0">F5+F4</f>
        <v>4414.3028120539147</v>
      </c>
      <c r="G6" s="7">
        <f t="shared" si="0"/>
        <v>4754.7115321582278</v>
      </c>
      <c r="H6" s="7">
        <f t="shared" si="0"/>
        <v>5122.2502755998848</v>
      </c>
      <c r="I6" s="7">
        <f t="shared" si="0"/>
        <v>5519.1048453865278</v>
      </c>
    </row>
    <row r="7" spans="1:17" x14ac:dyDescent="0.25">
      <c r="A7" s="34"/>
      <c r="B7" s="43"/>
      <c r="C7" s="43"/>
      <c r="D7" s="43"/>
      <c r="E7" s="43"/>
      <c r="F7" s="43"/>
      <c r="G7" s="43"/>
      <c r="H7" s="43"/>
      <c r="I7" s="43"/>
      <c r="J7" s="2"/>
      <c r="K7" s="2"/>
      <c r="L7" s="2"/>
    </row>
    <row r="8" spans="1:17" x14ac:dyDescent="0.25">
      <c r="A8" s="32" t="s">
        <v>59</v>
      </c>
      <c r="B8" s="55"/>
      <c r="C8" s="55"/>
      <c r="D8" s="55"/>
      <c r="E8" s="43"/>
      <c r="F8" s="43"/>
      <c r="G8" s="43"/>
      <c r="H8" s="43"/>
      <c r="I8" s="43"/>
      <c r="J8" s="3"/>
      <c r="K8" s="3"/>
      <c r="L8" s="3"/>
    </row>
    <row r="9" spans="1:17" x14ac:dyDescent="0.25">
      <c r="A9" s="34" t="s">
        <v>39</v>
      </c>
      <c r="B9" s="55"/>
      <c r="C9" s="55"/>
      <c r="D9" s="55"/>
      <c r="E9" s="55"/>
      <c r="F9" s="55"/>
      <c r="G9" s="55"/>
      <c r="H9" s="55"/>
      <c r="I9" s="55"/>
    </row>
    <row r="10" spans="1:17" x14ac:dyDescent="0.25">
      <c r="A10" s="60" t="s">
        <v>41</v>
      </c>
      <c r="B10" s="3">
        <v>-32</v>
      </c>
      <c r="C10" s="3">
        <v>58.180000000000064</v>
      </c>
      <c r="D10" s="3">
        <v>-323.20000000000005</v>
      </c>
      <c r="E10" s="39">
        <f>'Balance Sheet'!D6-'Balance Sheet'!E6</f>
        <v>57.870919999999842</v>
      </c>
      <c r="F10" s="39">
        <f>'Balance Sheet'!E6-'Balance Sheet'!F6</f>
        <v>-88.050326400000131</v>
      </c>
      <c r="G10" s="39">
        <f>'Balance Sheet'!F6-'Balance Sheet'!G6</f>
        <v>-95.094352512000114</v>
      </c>
      <c r="H10" s="39">
        <f>'Balance Sheet'!G6-'Balance Sheet'!H6</f>
        <v>-102.7019007129602</v>
      </c>
      <c r="I10" s="39">
        <f>'Balance Sheet'!H6-'Balance Sheet'!I6</f>
        <v>-110.91805276999685</v>
      </c>
      <c r="J10" s="1"/>
      <c r="K10" s="1"/>
      <c r="L10" s="1"/>
      <c r="M10" s="13"/>
      <c r="Q10" s="3"/>
    </row>
    <row r="11" spans="1:17" x14ac:dyDescent="0.25">
      <c r="A11" s="60" t="s">
        <v>40</v>
      </c>
      <c r="B11" s="3">
        <v>-18</v>
      </c>
      <c r="C11" s="3">
        <v>-198.70000000000005</v>
      </c>
      <c r="D11" s="3">
        <v>-4</v>
      </c>
      <c r="E11" s="39">
        <f>'Balance Sheet'!D8-'Balance Sheet'!E8</f>
        <v>-138.94362000000001</v>
      </c>
      <c r="F11" s="39">
        <f>'Balance Sheet'!E8-'Balance Sheet'!F8</f>
        <v>-132.07548960000008</v>
      </c>
      <c r="G11" s="39">
        <f>'Balance Sheet'!F8-'Balance Sheet'!G8</f>
        <v>-142.64152876800017</v>
      </c>
      <c r="H11" s="39">
        <f>'Balance Sheet'!G8-'Balance Sheet'!H8</f>
        <v>-154.05285106944052</v>
      </c>
      <c r="I11" s="39">
        <f>'Balance Sheet'!H8-'Balance Sheet'!I8</f>
        <v>-166.37707915499504</v>
      </c>
      <c r="K11" s="13"/>
      <c r="L11" s="13"/>
      <c r="M11" s="13"/>
      <c r="Q11" s="3"/>
    </row>
    <row r="12" spans="1:17" x14ac:dyDescent="0.25">
      <c r="A12" s="60" t="s">
        <v>63</v>
      </c>
      <c r="B12" s="3">
        <v>17</v>
      </c>
      <c r="C12" s="3">
        <v>46.800000000000011</v>
      </c>
      <c r="D12" s="3">
        <v>-24.399999999999977</v>
      </c>
      <c r="E12" s="39">
        <f>'Balance Sheet'!E20-'Balance Sheet'!D20</f>
        <v>61.426468799999952</v>
      </c>
      <c r="F12" s="39">
        <f>'Balance Sheet'!F20-'Balance Sheet'!E20</f>
        <v>31.698117504000038</v>
      </c>
      <c r="G12" s="39">
        <f>'Balance Sheet'!G20-'Balance Sheet'!F20</f>
        <v>34.233966904320027</v>
      </c>
      <c r="H12" s="39">
        <f>'Balance Sheet'!H20-'Balance Sheet'!G20</f>
        <v>36.97268425666573</v>
      </c>
      <c r="I12" s="39">
        <f>'Balance Sheet'!I20-'Balance Sheet'!H20</f>
        <v>39.930498997198868</v>
      </c>
      <c r="K12" s="13"/>
      <c r="L12" s="13"/>
      <c r="M12" s="13"/>
      <c r="Q12" s="3"/>
    </row>
    <row r="13" spans="1:17" x14ac:dyDescent="0.25">
      <c r="A13" s="73" t="s">
        <v>64</v>
      </c>
      <c r="B13" s="3">
        <v>14</v>
      </c>
      <c r="C13" s="3">
        <v>-2.039999999999992</v>
      </c>
      <c r="D13" s="3">
        <v>39.02000000000001</v>
      </c>
      <c r="E13" s="39">
        <f>'Balance Sheet'!E22-'Balance Sheet'!D22</f>
        <v>19.869851600000004</v>
      </c>
      <c r="F13" s="39">
        <f>'Balance Sheet'!F22-'Balance Sheet'!E22</f>
        <v>23.773588128000029</v>
      </c>
      <c r="G13" s="39">
        <f>'Balance Sheet'!G22-'Balance Sheet'!F22</f>
        <v>25.675475178240049</v>
      </c>
      <c r="H13" s="39">
        <f>'Balance Sheet'!H22-'Balance Sheet'!G22</f>
        <v>27.729513192499212</v>
      </c>
      <c r="I13" s="39">
        <f>'Balance Sheet'!I22-'Balance Sheet'!H22</f>
        <v>29.947874247899222</v>
      </c>
      <c r="J13" s="1"/>
      <c r="K13" s="1"/>
      <c r="L13" s="1"/>
      <c r="M13" s="3"/>
      <c r="Q13" s="3"/>
    </row>
    <row r="14" spans="1:17" x14ac:dyDescent="0.25">
      <c r="A14" s="30" t="s">
        <v>42</v>
      </c>
      <c r="B14" s="3">
        <v>-19</v>
      </c>
      <c r="C14" s="3">
        <v>-95.759999999999962</v>
      </c>
      <c r="D14" s="3">
        <v>-312.58000000000004</v>
      </c>
      <c r="E14" s="40">
        <f>SUM(E10,E13,E12,E11)</f>
        <v>0.22362039999978833</v>
      </c>
      <c r="F14" s="40">
        <f t="shared" ref="F14:I14" si="1">SUM(F10,F13,F12,F11)</f>
        <v>-164.65411036800015</v>
      </c>
      <c r="G14" s="40">
        <f t="shared" si="1"/>
        <v>-177.82643919744021</v>
      </c>
      <c r="H14" s="40">
        <f t="shared" si="1"/>
        <v>-192.05255433323578</v>
      </c>
      <c r="I14" s="40">
        <f t="shared" si="1"/>
        <v>-207.4167586798938</v>
      </c>
      <c r="K14" s="3"/>
      <c r="L14" s="3"/>
      <c r="M14" s="3"/>
      <c r="Q14" s="3"/>
    </row>
    <row r="15" spans="1:17" ht="30" x14ac:dyDescent="0.25">
      <c r="A15" s="90" t="s">
        <v>95</v>
      </c>
      <c r="E15" s="39"/>
      <c r="F15" s="39"/>
      <c r="G15" s="39"/>
      <c r="H15" s="39"/>
      <c r="I15" s="39"/>
      <c r="K15" s="1"/>
      <c r="L15" s="1"/>
    </row>
    <row r="16" spans="1:17" x14ac:dyDescent="0.25">
      <c r="A16" s="60" t="s">
        <v>43</v>
      </c>
      <c r="B16" s="3">
        <v>-1200</v>
      </c>
      <c r="C16" s="3">
        <v>-1000</v>
      </c>
      <c r="D16" s="3">
        <v>-1300</v>
      </c>
      <c r="E16" s="98">
        <v>-1250</v>
      </c>
      <c r="F16" s="98">
        <v>-1250</v>
      </c>
      <c r="G16" s="98">
        <v>-1250</v>
      </c>
      <c r="H16" s="98">
        <v>-1250</v>
      </c>
      <c r="I16" s="98">
        <v>-1250</v>
      </c>
      <c r="K16" s="13"/>
      <c r="L16" s="13"/>
      <c r="M16" s="13"/>
      <c r="O16" s="3"/>
      <c r="P16" s="3"/>
      <c r="Q16" s="3"/>
    </row>
    <row r="17" spans="1:17" ht="15.75" thickBot="1" x14ac:dyDescent="0.3">
      <c r="A17" s="34"/>
      <c r="B17" s="55"/>
      <c r="C17" s="55"/>
      <c r="D17" s="55"/>
      <c r="E17" s="55"/>
      <c r="F17" s="55"/>
      <c r="G17" s="55"/>
      <c r="H17" s="55"/>
      <c r="I17" s="55"/>
    </row>
    <row r="18" spans="1:17" ht="15.75" thickBot="1" x14ac:dyDescent="0.3">
      <c r="A18" s="33" t="s">
        <v>60</v>
      </c>
      <c r="B18" s="7">
        <v>-1238</v>
      </c>
      <c r="C18" s="80">
        <v>-1095.76</v>
      </c>
      <c r="D18" s="80">
        <v>-1612.58</v>
      </c>
      <c r="E18" s="7">
        <f>SUM(E14:E16)</f>
        <v>-1249.7763796000002</v>
      </c>
      <c r="F18" s="7">
        <f t="shared" ref="F18:I18" si="2">SUM(F14:F16)</f>
        <v>-1414.6541103680001</v>
      </c>
      <c r="G18" s="7">
        <f t="shared" si="2"/>
        <v>-1427.8264391974403</v>
      </c>
      <c r="H18" s="7">
        <f t="shared" si="2"/>
        <v>-1442.0525543332358</v>
      </c>
      <c r="I18" s="7">
        <f t="shared" si="2"/>
        <v>-1457.4167586798937</v>
      </c>
    </row>
    <row r="19" spans="1:17" x14ac:dyDescent="0.25">
      <c r="A19" s="34"/>
      <c r="B19" s="43"/>
      <c r="C19" s="43"/>
      <c r="D19" s="43"/>
      <c r="E19" s="43"/>
      <c r="F19" s="43"/>
      <c r="G19" s="43"/>
      <c r="H19" s="43"/>
      <c r="I19" s="43"/>
    </row>
    <row r="20" spans="1:17" x14ac:dyDescent="0.25">
      <c r="A20" s="29" t="s">
        <v>46</v>
      </c>
      <c r="B20" s="43"/>
      <c r="C20" s="43"/>
      <c r="D20" s="43"/>
      <c r="E20" s="43"/>
      <c r="F20" s="43"/>
      <c r="G20" s="43"/>
      <c r="H20" s="43"/>
      <c r="I20" s="43"/>
    </row>
    <row r="21" spans="1:17" x14ac:dyDescent="0.25">
      <c r="A21" s="60" t="s">
        <v>45</v>
      </c>
      <c r="B21" s="3">
        <v>0</v>
      </c>
      <c r="C21" s="3">
        <v>-500</v>
      </c>
      <c r="D21" s="3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K21" s="13"/>
      <c r="L21" s="13"/>
      <c r="M21" s="13"/>
      <c r="O21" s="3"/>
      <c r="P21" s="3"/>
      <c r="Q21" s="3"/>
    </row>
    <row r="22" spans="1:17" x14ac:dyDescent="0.25">
      <c r="A22" s="60" t="s">
        <v>56</v>
      </c>
      <c r="B22" s="3">
        <v>0</v>
      </c>
      <c r="C22" s="3">
        <v>0</v>
      </c>
      <c r="D22" s="3">
        <v>800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K22" s="13"/>
      <c r="L22" s="13"/>
      <c r="M22" s="13"/>
      <c r="O22" s="3"/>
      <c r="P22" s="3"/>
      <c r="Q22" s="3"/>
    </row>
    <row r="23" spans="1:17" x14ac:dyDescent="0.25">
      <c r="A23" s="60" t="s">
        <v>34</v>
      </c>
      <c r="B23" s="3">
        <v>-1250</v>
      </c>
      <c r="C23" s="3">
        <v>-1250</v>
      </c>
      <c r="D23" s="3">
        <v>-1250</v>
      </c>
      <c r="E23" s="39">
        <f>-'Income Statement'!E31</f>
        <v>-1250</v>
      </c>
      <c r="F23" s="39">
        <f>-'Income Statement'!F31</f>
        <v>-1250</v>
      </c>
      <c r="G23" s="39">
        <f>-'Income Statement'!G31</f>
        <v>-1250</v>
      </c>
      <c r="H23" s="39">
        <f>-'Income Statement'!H31</f>
        <v>-1250</v>
      </c>
      <c r="I23" s="39">
        <f>-'Income Statement'!I31</f>
        <v>-1250</v>
      </c>
      <c r="K23" s="13"/>
      <c r="L23" s="13"/>
      <c r="M23" s="13"/>
      <c r="O23" s="3"/>
      <c r="P23" s="3"/>
      <c r="Q23" s="3"/>
    </row>
    <row r="24" spans="1:17" x14ac:dyDescent="0.25">
      <c r="A24" s="60" t="s">
        <v>47</v>
      </c>
      <c r="B24" s="3">
        <v>0</v>
      </c>
      <c r="C24" s="3">
        <v>0</v>
      </c>
      <c r="D24" s="3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K24" s="13"/>
      <c r="L24" s="13"/>
      <c r="M24" s="13"/>
      <c r="O24" s="3"/>
      <c r="P24" s="3"/>
      <c r="Q24" s="3"/>
    </row>
    <row r="25" spans="1:17" x14ac:dyDescent="0.25">
      <c r="A25" s="60" t="s">
        <v>57</v>
      </c>
      <c r="B25" s="3">
        <v>0</v>
      </c>
      <c r="C25" s="3">
        <v>0</v>
      </c>
      <c r="D25" s="3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K25" s="13"/>
      <c r="L25" s="13"/>
      <c r="M25" s="13"/>
      <c r="O25" s="3"/>
      <c r="P25" s="3"/>
      <c r="Q25" s="3"/>
    </row>
    <row r="26" spans="1:17" ht="15.75" thickBot="1" x14ac:dyDescent="0.3">
      <c r="A26" s="34"/>
      <c r="B26" s="43"/>
      <c r="C26" s="43"/>
      <c r="D26" s="43"/>
      <c r="E26" s="43"/>
      <c r="F26" s="43"/>
      <c r="G26" s="43"/>
      <c r="H26" s="43"/>
      <c r="I26" s="43"/>
    </row>
    <row r="27" spans="1:17" ht="15.75" thickBot="1" x14ac:dyDescent="0.3">
      <c r="A27" s="33" t="s">
        <v>61</v>
      </c>
      <c r="B27" s="6">
        <v>-1250</v>
      </c>
      <c r="C27" s="6">
        <v>-1750</v>
      </c>
      <c r="D27" s="6">
        <v>-450</v>
      </c>
      <c r="E27" s="6">
        <f>SUM(E21:E25)</f>
        <v>-1250</v>
      </c>
      <c r="F27" s="6">
        <f t="shared" ref="F27:I27" si="3">SUM(F21:F25)</f>
        <v>-1250</v>
      </c>
      <c r="G27" s="6">
        <f t="shared" si="3"/>
        <v>-1250</v>
      </c>
      <c r="H27" s="6">
        <f t="shared" si="3"/>
        <v>-1250</v>
      </c>
      <c r="I27" s="6">
        <f t="shared" si="3"/>
        <v>-1250</v>
      </c>
    </row>
    <row r="28" spans="1:17" ht="15.75" thickBot="1" x14ac:dyDescent="0.3">
      <c r="A28" s="34"/>
      <c r="B28" s="11"/>
      <c r="C28" s="11"/>
      <c r="D28" s="11"/>
      <c r="E28" s="38"/>
      <c r="F28" s="38"/>
    </row>
    <row r="29" spans="1:17" ht="15.75" thickBot="1" x14ac:dyDescent="0.3">
      <c r="A29" s="33" t="s">
        <v>48</v>
      </c>
      <c r="B29" s="5">
        <v>832.5577000000003</v>
      </c>
      <c r="C29" s="5">
        <v>724.18782608695983</v>
      </c>
      <c r="D29" s="5">
        <v>1674.3332618147451</v>
      </c>
      <c r="E29" s="99">
        <f>E27+E18+E6</f>
        <v>1599.2213274869573</v>
      </c>
      <c r="F29" s="99">
        <f t="shared" ref="F29:I29" si="4">F27+F18+F6</f>
        <v>1749.6487016859146</v>
      </c>
      <c r="G29" s="99">
        <f t="shared" si="4"/>
        <v>2076.8850929607875</v>
      </c>
      <c r="H29" s="99">
        <f t="shared" si="4"/>
        <v>2430.1977212666488</v>
      </c>
      <c r="I29" s="99">
        <f t="shared" si="4"/>
        <v>2811.6880867066338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0188-1E11-4A60-A73E-C54F45646C73}">
  <sheetPr codeName="Sheet4"/>
  <dimension ref="A1:O17"/>
  <sheetViews>
    <sheetView workbookViewId="0">
      <selection activeCell="I7" sqref="I7"/>
    </sheetView>
  </sheetViews>
  <sheetFormatPr defaultRowHeight="15" x14ac:dyDescent="0.25"/>
  <cols>
    <col min="1" max="1" width="30.28515625" bestFit="1" customWidth="1"/>
    <col min="2" max="2" width="12" bestFit="1" customWidth="1"/>
    <col min="3" max="6" width="10.5703125" bestFit="1" customWidth="1"/>
    <col min="8" max="8" width="13.85546875" bestFit="1" customWidth="1"/>
    <col min="9" max="9" width="21.5703125" bestFit="1" customWidth="1"/>
    <col min="13" max="13" width="9.5703125" customWidth="1"/>
  </cols>
  <sheetData>
    <row r="1" spans="1:15" ht="15.75" thickBot="1" x14ac:dyDescent="0.3">
      <c r="A1" s="59" t="s">
        <v>66</v>
      </c>
      <c r="B1" s="69">
        <v>2019</v>
      </c>
      <c r="C1" s="36">
        <v>2020</v>
      </c>
      <c r="D1" s="36">
        <v>2021</v>
      </c>
      <c r="E1" s="36">
        <v>2022</v>
      </c>
      <c r="F1" s="37">
        <v>2023</v>
      </c>
    </row>
    <row r="2" spans="1:15" x14ac:dyDescent="0.25">
      <c r="A2" s="21" t="s">
        <v>9</v>
      </c>
      <c r="B2" s="20">
        <f>'Income Statement'!E16</f>
        <v>6053.4599400000006</v>
      </c>
      <c r="C2" s="20">
        <f>'Income Statement'!F16</f>
        <v>6537.7367352000019</v>
      </c>
      <c r="D2" s="20">
        <f>'Income Statement'!G16</f>
        <v>7060.7556740160016</v>
      </c>
      <c r="E2" s="20">
        <f>'Income Statement'!H16</f>
        <v>7625.6161279372809</v>
      </c>
      <c r="F2" s="20">
        <f>'Income Statement'!I16</f>
        <v>8235.6654181722661</v>
      </c>
      <c r="H2" s="76" t="s">
        <v>87</v>
      </c>
    </row>
    <row r="3" spans="1:15" ht="15.75" thickBot="1" x14ac:dyDescent="0.3">
      <c r="A3" s="21" t="s">
        <v>39</v>
      </c>
      <c r="B3" s="20">
        <f>'Cash Flow Statement'!E14</f>
        <v>0.22362039999978833</v>
      </c>
      <c r="C3" s="20">
        <f>'Cash Flow Statement'!F14</f>
        <v>-164.65411036800015</v>
      </c>
      <c r="D3" s="20">
        <f>'Cash Flow Statement'!G14</f>
        <v>-177.82643919744021</v>
      </c>
      <c r="E3" s="20">
        <f>'Cash Flow Statement'!H14</f>
        <v>-192.05255433323578</v>
      </c>
      <c r="F3" s="20">
        <f>'Cash Flow Statement'!I14</f>
        <v>-207.4167586798938</v>
      </c>
      <c r="H3" s="77">
        <v>0.108</v>
      </c>
    </row>
    <row r="4" spans="1:15" x14ac:dyDescent="0.25">
      <c r="A4" s="21" t="s">
        <v>67</v>
      </c>
      <c r="B4" s="20">
        <f>'Cash Flow Statement'!E16</f>
        <v>-1250</v>
      </c>
      <c r="C4" s="20">
        <f>'Cash Flow Statement'!F16</f>
        <v>-1250</v>
      </c>
      <c r="D4" s="20">
        <f>'Cash Flow Statement'!G16</f>
        <v>-1250</v>
      </c>
      <c r="E4" s="20">
        <f>'Cash Flow Statement'!H16</f>
        <v>-1250</v>
      </c>
      <c r="F4" s="20">
        <f>'Cash Flow Statement'!I16</f>
        <v>-1250</v>
      </c>
    </row>
    <row r="5" spans="1:15" x14ac:dyDescent="0.25">
      <c r="A5" s="21" t="s">
        <v>68</v>
      </c>
      <c r="B5" s="20">
        <f>-'Income Statement'!E27</f>
        <v>-1539.4622329130434</v>
      </c>
      <c r="C5" s="20">
        <f>-'Income Statement'!F27</f>
        <v>-1708.4339231460872</v>
      </c>
      <c r="D5" s="20">
        <f>-'Income Statement'!G27</f>
        <v>-1891.0441418577741</v>
      </c>
      <c r="E5" s="20">
        <f>-'Income Statement'!H27</f>
        <v>-2088.3658523373961</v>
      </c>
      <c r="F5" s="20">
        <f>-'Income Statement'!I27</f>
        <v>-2301.5605727857383</v>
      </c>
    </row>
    <row r="6" spans="1:15" x14ac:dyDescent="0.25">
      <c r="A6" s="22" t="s">
        <v>69</v>
      </c>
      <c r="B6" s="20">
        <f>SUM(B2:B5)</f>
        <v>3264.2213274869573</v>
      </c>
      <c r="C6" s="20">
        <f t="shared" ref="C6:F6" si="0">SUM(C2:C5)</f>
        <v>3414.6487016859146</v>
      </c>
      <c r="D6" s="20">
        <f t="shared" si="0"/>
        <v>3741.8850929607879</v>
      </c>
      <c r="E6" s="20">
        <f t="shared" si="0"/>
        <v>4095.1977212666488</v>
      </c>
      <c r="F6" s="20">
        <f t="shared" si="0"/>
        <v>4476.6880867066338</v>
      </c>
    </row>
    <row r="7" spans="1:15" ht="15.75" thickBot="1" x14ac:dyDescent="0.3">
      <c r="A7" s="61" t="s">
        <v>70</v>
      </c>
      <c r="B7" s="100">
        <f>B6/(1+$H$3)^(B1-2018)</f>
        <v>2946.0481295008635</v>
      </c>
      <c r="C7" s="100">
        <f t="shared" ref="C7:F7" si="1">C6/(1+$H$3)^(C1-2018)</f>
        <v>2781.4195917497896</v>
      </c>
      <c r="D7" s="100">
        <f t="shared" si="1"/>
        <v>2750.876958985064</v>
      </c>
      <c r="E7" s="100">
        <f t="shared" si="1"/>
        <v>2717.1638834503274</v>
      </c>
      <c r="F7" s="100">
        <f t="shared" si="1"/>
        <v>2680.76061292546</v>
      </c>
    </row>
    <row r="8" spans="1:15" ht="15.75" thickBot="1" x14ac:dyDescent="0.3">
      <c r="A8" s="8" t="s">
        <v>88</v>
      </c>
      <c r="B8" s="62">
        <f>SUM(B7:F7)</f>
        <v>13876.269176611506</v>
      </c>
      <c r="C8" s="14"/>
      <c r="D8" s="14"/>
      <c r="E8" s="14"/>
      <c r="F8" s="70"/>
    </row>
    <row r="9" spans="1:15" ht="15.75" thickBot="1" x14ac:dyDescent="0.3">
      <c r="M9" t="s">
        <v>87</v>
      </c>
    </row>
    <row r="10" spans="1:15" ht="15.75" thickBot="1" x14ac:dyDescent="0.3">
      <c r="A10" s="63" t="s">
        <v>74</v>
      </c>
      <c r="B10" s="65"/>
      <c r="J10" s="106">
        <f>B17</f>
        <v>46.853809047757075</v>
      </c>
      <c r="K10" s="103">
        <v>0.09</v>
      </c>
      <c r="L10" s="103">
        <v>0.1</v>
      </c>
      <c r="M10" s="103">
        <v>0.11</v>
      </c>
      <c r="N10" s="103">
        <v>0.12</v>
      </c>
      <c r="O10" s="103">
        <v>0.13</v>
      </c>
    </row>
    <row r="11" spans="1:15" x14ac:dyDescent="0.25">
      <c r="A11" s="60" t="s">
        <v>89</v>
      </c>
      <c r="B11" s="66">
        <f>F6</f>
        <v>4476.6880867066338</v>
      </c>
      <c r="J11" s="103">
        <v>0.01</v>
      </c>
      <c r="K11" s="97">
        <f t="dataTable" ref="K11:O15" dt2D="1" dtr="1" r1="H3" r2="B12"/>
        <v>53.452445484792008</v>
      </c>
      <c r="L11" s="97">
        <v>47.577162961957072</v>
      </c>
      <c r="M11" s="97">
        <v>42.883825618508183</v>
      </c>
      <c r="N11" s="97">
        <v>39.049800631440512</v>
      </c>
      <c r="O11" s="97">
        <v>35.860013628688264</v>
      </c>
    </row>
    <row r="12" spans="1:15" x14ac:dyDescent="0.25">
      <c r="A12" s="60" t="s">
        <v>90</v>
      </c>
      <c r="B12" s="78">
        <v>0.02</v>
      </c>
      <c r="J12" s="104">
        <v>1.4999999999999999E-2</v>
      </c>
      <c r="K12" s="97">
        <v>55.877062229974115</v>
      </c>
      <c r="L12" s="97">
        <v>49.393941451970818</v>
      </c>
      <c r="M12" s="97">
        <v>44.282086929223965</v>
      </c>
      <c r="N12" s="97">
        <v>40.149451300303227</v>
      </c>
      <c r="O12" s="97">
        <v>36.740363969061583</v>
      </c>
    </row>
    <row r="13" spans="1:15" x14ac:dyDescent="0.25">
      <c r="A13" s="60" t="s">
        <v>71</v>
      </c>
      <c r="B13" s="66">
        <f>B11/(H3-B12)</f>
        <v>50871.455530757208</v>
      </c>
      <c r="I13" t="s">
        <v>90</v>
      </c>
      <c r="J13" s="103">
        <v>0.02</v>
      </c>
      <c r="K13" s="97">
        <v>58.648052795896511</v>
      </c>
      <c r="L13" s="97">
        <v>51.437817253236297</v>
      </c>
      <c r="M13" s="97">
        <v>45.835710607797054</v>
      </c>
      <c r="N13" s="97">
        <v>41.359067036052203</v>
      </c>
      <c r="O13" s="97">
        <v>37.700746158559767</v>
      </c>
    </row>
    <row r="14" spans="1:15" ht="15.75" thickBot="1" x14ac:dyDescent="0.3">
      <c r="A14" s="60" t="s">
        <v>72</v>
      </c>
      <c r="B14" s="67">
        <f>B13/(1+H3)^5</f>
        <v>30463.188783243866</v>
      </c>
      <c r="I14" s="103"/>
      <c r="J14" s="104">
        <v>2.5000000000000001E-2</v>
      </c>
      <c r="K14" s="97">
        <v>61.84534960273006</v>
      </c>
      <c r="L14" s="97">
        <v>53.754209828003816</v>
      </c>
      <c r="M14" s="97">
        <v>47.572113542672867</v>
      </c>
      <c r="N14" s="97">
        <v>42.696010743985283</v>
      </c>
      <c r="O14" s="97">
        <v>38.752593318486333</v>
      </c>
    </row>
    <row r="15" spans="1:15" ht="15.75" thickBot="1" x14ac:dyDescent="0.3">
      <c r="A15" s="64" t="s">
        <v>73</v>
      </c>
      <c r="B15" s="68">
        <f>B14+B8</f>
        <v>44339.457959855368</v>
      </c>
      <c r="J15" s="103">
        <v>0.03</v>
      </c>
      <c r="K15" s="97">
        <v>65.575529210702541</v>
      </c>
      <c r="L15" s="97">
        <v>56.401515627738142</v>
      </c>
      <c r="M15" s="97">
        <v>49.525566844408139</v>
      </c>
      <c r="N15" s="97">
        <v>44.181503752799827</v>
      </c>
      <c r="O15" s="97">
        <v>39.909625194405571</v>
      </c>
    </row>
    <row r="16" spans="1:15" ht="15.75" thickBot="1" x14ac:dyDescent="0.3">
      <c r="A16" s="64" t="s">
        <v>65</v>
      </c>
      <c r="B16" s="101">
        <f>B15-'Balance Sheet'!D26+'Balance Sheet'!D5</f>
        <v>46853.809047757073</v>
      </c>
    </row>
    <row r="17" spans="1:2" ht="15.75" thickBot="1" x14ac:dyDescent="0.3">
      <c r="A17" s="79" t="s">
        <v>91</v>
      </c>
      <c r="B17" s="102">
        <f>B16/'Income Statement'!D34*1000</f>
        <v>46.853809047757075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0281-A633-4731-A73D-3B2FA576ADF7}">
  <sheetPr codeName="Sheet5"/>
  <dimension ref="B2:M22"/>
  <sheetViews>
    <sheetView tabSelected="1" workbookViewId="0">
      <selection activeCell="G4" sqref="G4"/>
    </sheetView>
  </sheetViews>
  <sheetFormatPr defaultRowHeight="15" x14ac:dyDescent="0.25"/>
  <cols>
    <col min="2" max="2" width="17.7109375" bestFit="1" customWidth="1"/>
    <col min="3" max="3" width="13.140625" bestFit="1" customWidth="1"/>
    <col min="4" max="5" width="12.42578125" bestFit="1" customWidth="1"/>
  </cols>
  <sheetData>
    <row r="2" spans="2:13" x14ac:dyDescent="0.25">
      <c r="B2" s="75" t="s">
        <v>75</v>
      </c>
      <c r="C2" s="75" t="s">
        <v>76</v>
      </c>
      <c r="D2" s="75" t="s">
        <v>77</v>
      </c>
      <c r="E2" s="75" t="s">
        <v>78</v>
      </c>
      <c r="M2" t="s">
        <v>96</v>
      </c>
    </row>
    <row r="3" spans="2:13" x14ac:dyDescent="0.25">
      <c r="B3" t="s">
        <v>79</v>
      </c>
      <c r="C3" s="74">
        <v>61.014392052313589</v>
      </c>
      <c r="D3" s="74">
        <v>52.47</v>
      </c>
      <c r="E3" s="74">
        <v>69.89</v>
      </c>
    </row>
    <row r="4" spans="2:13" x14ac:dyDescent="0.25">
      <c r="B4" t="s">
        <v>80</v>
      </c>
      <c r="C4" s="74">
        <v>51.268355476052974</v>
      </c>
      <c r="D4" s="74">
        <v>44.58</v>
      </c>
      <c r="E4" s="74">
        <v>58.12</v>
      </c>
    </row>
    <row r="5" spans="2:13" x14ac:dyDescent="0.25">
      <c r="B5" t="s">
        <v>81</v>
      </c>
      <c r="C5" s="74">
        <v>50.315237133294346</v>
      </c>
      <c r="D5" s="74">
        <v>41.405901562700947</v>
      </c>
      <c r="E5" s="74">
        <v>55.662209509251056</v>
      </c>
    </row>
    <row r="6" spans="2:13" x14ac:dyDescent="0.25">
      <c r="B6" t="s">
        <v>82</v>
      </c>
      <c r="C6" s="74">
        <v>38.743995708098261</v>
      </c>
      <c r="D6" s="74">
        <v>26.201377772384859</v>
      </c>
      <c r="E6" s="74">
        <v>47.50547317499251</v>
      </c>
    </row>
    <row r="7" spans="2:13" x14ac:dyDescent="0.25">
      <c r="B7" t="s">
        <v>83</v>
      </c>
      <c r="C7" s="74">
        <v>47.889164602008023</v>
      </c>
      <c r="D7" s="74">
        <v>45.454631017619882</v>
      </c>
      <c r="E7" s="74">
        <v>52.73276294585434</v>
      </c>
    </row>
    <row r="8" spans="2:13" x14ac:dyDescent="0.25">
      <c r="B8" t="s">
        <v>84</v>
      </c>
      <c r="C8" s="74">
        <v>56.604011370501247</v>
      </c>
      <c r="D8" s="74">
        <v>48.534200341367885</v>
      </c>
      <c r="E8" s="74">
        <v>63.932195122626098</v>
      </c>
    </row>
    <row r="9" spans="2:13" x14ac:dyDescent="0.25">
      <c r="B9" t="s">
        <v>85</v>
      </c>
      <c r="C9" s="74">
        <v>42.44883169576503</v>
      </c>
      <c r="D9" s="74">
        <v>38.99422375841349</v>
      </c>
      <c r="E9" s="74">
        <v>45.497938505263676</v>
      </c>
    </row>
    <row r="10" spans="2:13" x14ac:dyDescent="0.25">
      <c r="B10" t="s">
        <v>86</v>
      </c>
      <c r="C10" s="74">
        <v>59.391411160924484</v>
      </c>
      <c r="D10" s="74">
        <v>38.95850860862101</v>
      </c>
      <c r="E10" s="74">
        <v>70.755854244538355</v>
      </c>
    </row>
    <row r="14" spans="2:13" x14ac:dyDescent="0.25">
      <c r="B14" s="75" t="s">
        <v>75</v>
      </c>
      <c r="C14" s="75" t="s">
        <v>77</v>
      </c>
      <c r="D14" t="s">
        <v>97</v>
      </c>
    </row>
    <row r="15" spans="2:13" x14ac:dyDescent="0.25">
      <c r="B15" t="s">
        <v>79</v>
      </c>
      <c r="C15" s="74">
        <v>52.47</v>
      </c>
      <c r="D15" s="105">
        <f>E3-C15</f>
        <v>17.420000000000002</v>
      </c>
    </row>
    <row r="16" spans="2:13" x14ac:dyDescent="0.25">
      <c r="B16" t="s">
        <v>80</v>
      </c>
      <c r="C16" s="74">
        <v>44.58</v>
      </c>
      <c r="D16" s="105">
        <f t="shared" ref="D16:D22" si="0">E4-C16</f>
        <v>13.54</v>
      </c>
    </row>
    <row r="17" spans="2:4" x14ac:dyDescent="0.25">
      <c r="B17" t="s">
        <v>81</v>
      </c>
      <c r="C17" s="74">
        <v>41.405901562700947</v>
      </c>
      <c r="D17" s="105">
        <f t="shared" si="0"/>
        <v>14.256307946550109</v>
      </c>
    </row>
    <row r="18" spans="2:4" x14ac:dyDescent="0.25">
      <c r="B18" t="s">
        <v>82</v>
      </c>
      <c r="C18" s="74">
        <v>26.201377772384859</v>
      </c>
      <c r="D18" s="105">
        <f t="shared" si="0"/>
        <v>21.304095402607651</v>
      </c>
    </row>
    <row r="19" spans="2:4" x14ac:dyDescent="0.25">
      <c r="B19" t="s">
        <v>83</v>
      </c>
      <c r="C19" s="74">
        <v>45.454631017619882</v>
      </c>
      <c r="D19" s="105">
        <f t="shared" si="0"/>
        <v>7.2781319282344583</v>
      </c>
    </row>
    <row r="20" spans="2:4" x14ac:dyDescent="0.25">
      <c r="B20" t="s">
        <v>84</v>
      </c>
      <c r="C20" s="74">
        <v>48.534200341367885</v>
      </c>
      <c r="D20" s="105">
        <f t="shared" si="0"/>
        <v>15.397994781258213</v>
      </c>
    </row>
    <row r="21" spans="2:4" x14ac:dyDescent="0.25">
      <c r="B21" t="s">
        <v>85</v>
      </c>
      <c r="C21" s="74">
        <v>38.99422375841349</v>
      </c>
      <c r="D21" s="105">
        <f t="shared" si="0"/>
        <v>6.5037147468501857</v>
      </c>
    </row>
    <row r="22" spans="2:4" x14ac:dyDescent="0.25">
      <c r="B22" t="s">
        <v>86</v>
      </c>
      <c r="C22" s="74">
        <v>38.95850860862101</v>
      </c>
      <c r="D22" s="105">
        <f t="shared" si="0"/>
        <v>31.797345635917345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Statement</vt:lpstr>
      <vt:lpstr>Balance Sheet</vt:lpstr>
      <vt:lpstr>Cash Flow Statement</vt:lpstr>
      <vt:lpstr>DCF Analysis</vt:lpstr>
      <vt:lpstr>Valuation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Eamon Zhao</cp:lastModifiedBy>
  <dcterms:created xsi:type="dcterms:W3CDTF">2018-06-10T00:37:49Z</dcterms:created>
  <dcterms:modified xsi:type="dcterms:W3CDTF">2019-11-18T14:48:56Z</dcterms:modified>
</cp:coreProperties>
</file>