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ava\Desktop\Учеба\Бухучет\"/>
    </mc:Choice>
  </mc:AlternateContent>
  <xr:revisionPtr revIDLastSave="0" documentId="13_ncr:1_{0B6AE3B4-B1BC-4641-99FA-F0BC601422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6" i="1" l="1"/>
  <c r="D100" i="1" l="1"/>
  <c r="D98" i="1"/>
  <c r="D99" i="1" l="1"/>
  <c r="D108" i="1"/>
  <c r="D97" i="1" l="1"/>
  <c r="D114" i="1" s="1"/>
  <c r="D95" i="1"/>
  <c r="G55" i="1" l="1"/>
  <c r="G56" i="1"/>
  <c r="G57" i="1"/>
  <c r="G58" i="1"/>
  <c r="G61" i="1"/>
  <c r="G62" i="1"/>
  <c r="G63" i="1"/>
  <c r="G64" i="1"/>
  <c r="G67" i="1"/>
  <c r="G73" i="1"/>
  <c r="G74" i="1"/>
  <c r="G76" i="1"/>
  <c r="G54" i="1"/>
  <c r="F55" i="1"/>
  <c r="F56" i="1"/>
  <c r="F57" i="1"/>
  <c r="F58" i="1"/>
  <c r="F61" i="1"/>
  <c r="F62" i="1"/>
  <c r="F63" i="1"/>
  <c r="F64" i="1"/>
  <c r="F67" i="1"/>
  <c r="F73" i="1"/>
  <c r="F74" i="1"/>
  <c r="F75" i="1"/>
  <c r="F76" i="1"/>
  <c r="F54" i="1"/>
  <c r="I64" i="1" l="1"/>
  <c r="H54" i="1"/>
  <c r="I54" i="1" s="1"/>
  <c r="H55" i="1"/>
  <c r="I55" i="1" s="1"/>
  <c r="H56" i="1"/>
  <c r="I56" i="1" s="1"/>
  <c r="H57" i="1"/>
  <c r="I57" i="1" s="1"/>
  <c r="H58" i="1"/>
  <c r="I58" i="1" s="1"/>
  <c r="H61" i="1"/>
  <c r="I61" i="1" s="1"/>
  <c r="H62" i="1"/>
  <c r="I62" i="1" s="1"/>
  <c r="H63" i="1"/>
  <c r="I63" i="1" s="1"/>
  <c r="H64" i="1"/>
  <c r="H67" i="1"/>
  <c r="I67" i="1" s="1"/>
  <c r="H73" i="1"/>
  <c r="I73" i="1" s="1"/>
  <c r="H74" i="1"/>
  <c r="I74" i="1" s="1"/>
  <c r="H76" i="1"/>
  <c r="I76" i="1" s="1"/>
  <c r="H79" i="1"/>
  <c r="I79" i="1" s="1"/>
  <c r="H53" i="1"/>
  <c r="I53" i="1" s="1"/>
  <c r="E75" i="1"/>
  <c r="G75" i="1" s="1"/>
  <c r="E59" i="1"/>
  <c r="G59" i="1" s="1"/>
  <c r="D59" i="1"/>
  <c r="H9" i="1"/>
  <c r="I9" i="1" s="1"/>
  <c r="H10" i="1"/>
  <c r="I10" i="1" s="1"/>
  <c r="H11" i="1"/>
  <c r="I11" i="1" s="1"/>
  <c r="H12" i="1"/>
  <c r="I12" i="1" s="1"/>
  <c r="H16" i="1"/>
  <c r="I16" i="1" s="1"/>
  <c r="H17" i="1"/>
  <c r="I17" i="1" s="1"/>
  <c r="H18" i="1"/>
  <c r="I18" i="1" s="1"/>
  <c r="H19" i="1"/>
  <c r="I19" i="1" s="1"/>
  <c r="H20" i="1"/>
  <c r="I20" i="1" s="1"/>
  <c r="H26" i="1"/>
  <c r="I26" i="1" s="1"/>
  <c r="H27" i="1"/>
  <c r="I27" i="1" s="1"/>
  <c r="H28" i="1"/>
  <c r="I28" i="1" s="1"/>
  <c r="H29" i="1"/>
  <c r="I29" i="1" s="1"/>
  <c r="H33" i="1"/>
  <c r="I33" i="1" s="1"/>
  <c r="H34" i="1"/>
  <c r="I34" i="1" s="1"/>
  <c r="H35" i="1"/>
  <c r="I35" i="1" s="1"/>
  <c r="H36" i="1"/>
  <c r="I36" i="1" s="1"/>
  <c r="H40" i="1"/>
  <c r="I40" i="1" s="1"/>
  <c r="H41" i="1"/>
  <c r="I41" i="1" s="1"/>
  <c r="H42" i="1"/>
  <c r="I42" i="1" s="1"/>
  <c r="H43" i="1"/>
  <c r="I43" i="1" s="1"/>
  <c r="H44" i="1"/>
  <c r="I44" i="1" s="1"/>
  <c r="H8" i="1"/>
  <c r="I8" i="1" s="1"/>
  <c r="E45" i="1"/>
  <c r="E37" i="1"/>
  <c r="E30" i="1"/>
  <c r="E21" i="1"/>
  <c r="E13" i="1"/>
  <c r="D45" i="1"/>
  <c r="D37" i="1"/>
  <c r="D30" i="1"/>
  <c r="D101" i="1" s="1"/>
  <c r="D21" i="1"/>
  <c r="D13" i="1"/>
  <c r="D89" i="1" l="1"/>
  <c r="D105" i="1"/>
  <c r="H37" i="1"/>
  <c r="I37" i="1" s="1"/>
  <c r="D22" i="1"/>
  <c r="D104" i="1"/>
  <c r="D103" i="1"/>
  <c r="H75" i="1"/>
  <c r="I75" i="1" s="1"/>
  <c r="F59" i="1"/>
  <c r="D65" i="1"/>
  <c r="D68" i="1" s="1"/>
  <c r="E65" i="1"/>
  <c r="E68" i="1" s="1"/>
  <c r="H30" i="1"/>
  <c r="I30" i="1" s="1"/>
  <c r="D86" i="1"/>
  <c r="G37" i="1"/>
  <c r="H45" i="1"/>
  <c r="I45" i="1" s="1"/>
  <c r="F20" i="1"/>
  <c r="F9" i="1"/>
  <c r="F10" i="1"/>
  <c r="F8" i="1"/>
  <c r="F12" i="1"/>
  <c r="F11" i="1"/>
  <c r="F18" i="1"/>
  <c r="F13" i="1"/>
  <c r="H59" i="1"/>
  <c r="I59" i="1" s="1"/>
  <c r="D84" i="1"/>
  <c r="H21" i="1"/>
  <c r="I21" i="1" s="1"/>
  <c r="D92" i="1"/>
  <c r="D91" i="1"/>
  <c r="D96" i="1"/>
  <c r="F21" i="1"/>
  <c r="H13" i="1"/>
  <c r="I13" i="1" s="1"/>
  <c r="D46" i="1"/>
  <c r="D87" i="1" s="1"/>
  <c r="E46" i="1"/>
  <c r="G30" i="1" s="1"/>
  <c r="E22" i="1"/>
  <c r="G13" i="1" s="1"/>
  <c r="G21" i="1" l="1"/>
  <c r="F30" i="1"/>
  <c r="D94" i="1"/>
  <c r="D107" i="1"/>
  <c r="D90" i="1"/>
  <c r="F45" i="1"/>
  <c r="F19" i="1"/>
  <c r="F17" i="1"/>
  <c r="F16" i="1"/>
  <c r="D88" i="1"/>
  <c r="H65" i="1"/>
  <c r="I65" i="1" s="1"/>
  <c r="D112" i="1"/>
  <c r="D110" i="1"/>
  <c r="D111" i="1"/>
  <c r="F65" i="1"/>
  <c r="D109" i="1"/>
  <c r="H22" i="1"/>
  <c r="I22" i="1" s="1"/>
  <c r="G10" i="1"/>
  <c r="G19" i="1"/>
  <c r="G11" i="1"/>
  <c r="G12" i="1"/>
  <c r="G17" i="1"/>
  <c r="G8" i="1"/>
  <c r="G16" i="1"/>
  <c r="G9" i="1"/>
  <c r="G18" i="1"/>
  <c r="G20" i="1"/>
  <c r="F35" i="1"/>
  <c r="F36" i="1"/>
  <c r="F33" i="1"/>
  <c r="F41" i="1"/>
  <c r="F28" i="1"/>
  <c r="F42" i="1"/>
  <c r="F44" i="1"/>
  <c r="F26" i="1"/>
  <c r="F27" i="1"/>
  <c r="F29" i="1"/>
  <c r="F34" i="1"/>
  <c r="F43" i="1"/>
  <c r="F40" i="1"/>
  <c r="D85" i="1"/>
  <c r="F68" i="1"/>
  <c r="D77" i="1"/>
  <c r="G27" i="1"/>
  <c r="G43" i="1"/>
  <c r="G44" i="1"/>
  <c r="G28" i="1"/>
  <c r="G29" i="1"/>
  <c r="G26" i="1"/>
  <c r="G34" i="1"/>
  <c r="G33" i="1"/>
  <c r="G35" i="1"/>
  <c r="G36" i="1"/>
  <c r="G42" i="1"/>
  <c r="G40" i="1"/>
  <c r="G41" i="1"/>
  <c r="F37" i="1"/>
  <c r="G45" i="1"/>
  <c r="G65" i="1"/>
  <c r="H46" i="1"/>
  <c r="I46" i="1" s="1"/>
  <c r="G68" i="1" l="1"/>
  <c r="E77" i="1"/>
  <c r="G77" i="1" s="1"/>
  <c r="F77" i="1"/>
  <c r="H68" i="1"/>
  <c r="I68" i="1" s="1"/>
  <c r="H77" i="1" l="1"/>
  <c r="I77" i="1" s="1"/>
</calcChain>
</file>

<file path=xl/sharedStrings.xml><?xml version="1.0" encoding="utf-8"?>
<sst xmlns="http://schemas.openxmlformats.org/spreadsheetml/2006/main" count="101" uniqueCount="90">
  <si>
    <t>Товарно-материальные запасы</t>
  </si>
  <si>
    <t xml:space="preserve">Уставной капитал </t>
  </si>
  <si>
    <t>Нераспределенная прибыль</t>
  </si>
  <si>
    <t>Итого активов</t>
  </si>
  <si>
    <t>Активы</t>
  </si>
  <si>
    <t>Прочие краткосрочные активы</t>
  </si>
  <si>
    <t>Пассивы</t>
  </si>
  <si>
    <t>Прочие долгосрочные активы</t>
  </si>
  <si>
    <t>Актив по отсроченному налогу</t>
  </si>
  <si>
    <t>Долгосрочные активы</t>
  </si>
  <si>
    <t>Текущие активы</t>
  </si>
  <si>
    <t>Капитал</t>
  </si>
  <si>
    <t>Долгосрочные обязательства</t>
  </si>
  <si>
    <t>Долгосрочные займы</t>
  </si>
  <si>
    <t>Обязательства по восстановлению участка и ликвидации скважин</t>
  </si>
  <si>
    <t>Обязательства по вознаграждениям работникам</t>
  </si>
  <si>
    <t>Экологический резерв</t>
  </si>
  <si>
    <t>Краткосрочные обязательства</t>
  </si>
  <si>
    <t>Торговая кредиторская задолжность</t>
  </si>
  <si>
    <t>Текущая часть долгосрочных займов</t>
  </si>
  <si>
    <t>Налог на сверзприбыль к уплате</t>
  </si>
  <si>
    <t>Прочие налоги к уплате</t>
  </si>
  <si>
    <t>Начисленные обязательства и прочая кредиторская задолжность</t>
  </si>
  <si>
    <t>2018 год</t>
  </si>
  <si>
    <t>2017 год</t>
  </si>
  <si>
    <t>В тысячах тенге</t>
  </si>
  <si>
    <t>Итого пассивов</t>
  </si>
  <si>
    <t>Абсолютное изменение</t>
  </si>
  <si>
    <t>Относительное изменение, %</t>
  </si>
  <si>
    <t>Горизонтальный анализ</t>
  </si>
  <si>
    <t>Вертикальный анализ</t>
  </si>
  <si>
    <t>Производственные расходы</t>
  </si>
  <si>
    <t>Убыток от выбытия основных средств, нетто</t>
  </si>
  <si>
    <t>Прибыль от операционной деятельности</t>
  </si>
  <si>
    <t>Прочие доходы, нетто</t>
  </si>
  <si>
    <t>Прибыль до подоходного налога</t>
  </si>
  <si>
    <t>Расходы по подоходному налогу</t>
  </si>
  <si>
    <t>Актуарные доходы/(убытки) от переоценки по планам с установленными выплатами</t>
  </si>
  <si>
    <t>Влияние подоходного налога</t>
  </si>
  <si>
    <t>Итого прочий совокупный убыток, не подлежащий переклассификации в состав прибыли или убытка в последующих периодах, за вычетом налогов</t>
  </si>
  <si>
    <t>Итого прочий совокупный убыток, за вычетом налогов</t>
  </si>
  <si>
    <t>Итого совокупный доход за год</t>
  </si>
  <si>
    <t>Чистая прибыль на акцию</t>
  </si>
  <si>
    <t>Основные средства</t>
  </si>
  <si>
    <t>Нематериальные активы</t>
  </si>
  <si>
    <t>Авансы, уплаченные за основные средства</t>
  </si>
  <si>
    <t>Предоплата по корпоротивному подоходному налогу</t>
  </si>
  <si>
    <t>Торговая дебиторская задолжность</t>
  </si>
  <si>
    <t>Денежные средства и их эквиволенты</t>
  </si>
  <si>
    <t>Дополнительный оплаченный капитал</t>
  </si>
  <si>
    <t>Прочие резервы капитала</t>
  </si>
  <si>
    <t>Доходы от основной деятельности</t>
  </si>
  <si>
    <t>Расходы по реализации и административные расходы</t>
  </si>
  <si>
    <t>Износ, истощение и амортизация</t>
  </si>
  <si>
    <t>Налоги, кроме подоходного налога</t>
  </si>
  <si>
    <t>Финансовые доходы</t>
  </si>
  <si>
    <t>Финансовые затраты</t>
  </si>
  <si>
    <t>Отрицательная курсовая разница, нетто</t>
  </si>
  <si>
    <t>Чистая прибыль за год</t>
  </si>
  <si>
    <t>Прочий совокупный убыток</t>
  </si>
  <si>
    <t>Прочий совокупный убыток, не подлежащий</t>
  </si>
  <si>
    <t>Переклассификации в состав прибыли или убытка в последующих периодах</t>
  </si>
  <si>
    <t>Коэффициент финансовой независимости</t>
  </si>
  <si>
    <t>Коэффициент финансирования</t>
  </si>
  <si>
    <t>Коэффициент устойчивого финансирования</t>
  </si>
  <si>
    <t>Коэффициент задолжности</t>
  </si>
  <si>
    <t>Коэффициент маневренности</t>
  </si>
  <si>
    <t>Коэффициент  автономии источников формирования запасов</t>
  </si>
  <si>
    <t>Коэффициент обеспеченности запасов собственными источниками</t>
  </si>
  <si>
    <t>Коэффициент соотношения заемных и собственных средств</t>
  </si>
  <si>
    <t>Коэффициент обеспеченности собственными оборотными средствами</t>
  </si>
  <si>
    <t>Коэффициент оборачиваемости</t>
  </si>
  <si>
    <t>Коэффициент фондоотдачи</t>
  </si>
  <si>
    <t>Коэффициент оборачиваемости мобильных средств</t>
  </si>
  <si>
    <t>Коэффициент оборачиваемости запасов</t>
  </si>
  <si>
    <t>Коэффициент оборачиваемости дебиторской задолженности</t>
  </si>
  <si>
    <t>Коэффициент оборачиваемости денежных средств</t>
  </si>
  <si>
    <t>Коэффициент оборачиваемости кредиторской задолженности</t>
  </si>
  <si>
    <t>Коэффициент отдачи собственного капитала</t>
  </si>
  <si>
    <t>Коэффициент абсолютной ликвидности</t>
  </si>
  <si>
    <t>Коэффициент срочной ликвидности</t>
  </si>
  <si>
    <t>Коэффициент текущей ликвидности</t>
  </si>
  <si>
    <t>Коэффициент соотношения дебиторской и кредиторской задолженности</t>
  </si>
  <si>
    <t>Доля оборотных средств в активах</t>
  </si>
  <si>
    <t>Рентабельность продаж</t>
  </si>
  <si>
    <t>Бухгалтерская рентабельность</t>
  </si>
  <si>
    <t>Рентабельность активов</t>
  </si>
  <si>
    <t>Рентабельность собственного капитала</t>
  </si>
  <si>
    <t>Чистая рентабельность</t>
  </si>
  <si>
    <t>CCC (цикл оборотного капитала)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</si>
</sst>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р_.;\(#,##0\)_р_."/>
    <numFmt numFmtId="165" formatCode="#,##0.00_р_.;\(#,##0.00\)_р_."/>
  </numFmts>
  <fonts count="6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7" xfId="0" applyFont="1" applyBorder="1"/>
    <xf numFmtId="0" fontId="2" fillId="0" borderId="6" xfId="0" applyFont="1" applyBorder="1"/>
    <xf numFmtId="0" fontId="1" fillId="0" borderId="11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164" fontId="2" fillId="0" borderId="10" xfId="0" applyNumberFormat="1" applyFont="1" applyBorder="1"/>
    <xf numFmtId="164" fontId="1" fillId="0" borderId="0" xfId="0" applyNumberFormat="1" applyFont="1"/>
    <xf numFmtId="164" fontId="2" fillId="0" borderId="0" xfId="0" applyNumberFormat="1" applyFont="1"/>
    <xf numFmtId="164" fontId="2" fillId="0" borderId="6" xfId="0" applyNumberFormat="1" applyFont="1" applyBorder="1"/>
    <xf numFmtId="164" fontId="1" fillId="0" borderId="2" xfId="0" applyNumberFormat="1" applyFont="1" applyBorder="1"/>
    <xf numFmtId="164" fontId="2" fillId="0" borderId="2" xfId="0" applyNumberFormat="1" applyFont="1" applyBorder="1"/>
    <xf numFmtId="164" fontId="2" fillId="0" borderId="12" xfId="0" applyNumberFormat="1" applyFont="1" applyBorder="1"/>
    <xf numFmtId="164" fontId="1" fillId="0" borderId="3" xfId="0" applyNumberFormat="1" applyFont="1" applyBorder="1"/>
    <xf numFmtId="164" fontId="2" fillId="0" borderId="3" xfId="0" applyNumberFormat="1" applyFont="1" applyBorder="1"/>
    <xf numFmtId="164" fontId="1" fillId="0" borderId="4" xfId="0" applyNumberFormat="1" applyFont="1" applyBorder="1"/>
    <xf numFmtId="164" fontId="2" fillId="0" borderId="4" xfId="0" applyNumberFormat="1" applyFont="1" applyBorder="1"/>
    <xf numFmtId="164" fontId="2" fillId="0" borderId="13" xfId="0" applyNumberFormat="1" applyFont="1" applyBorder="1"/>
    <xf numFmtId="164" fontId="1" fillId="0" borderId="5" xfId="0" applyNumberFormat="1" applyFont="1" applyBorder="1"/>
    <xf numFmtId="164" fontId="2" fillId="0" borderId="5" xfId="0" applyNumberFormat="1" applyFont="1" applyBorder="1"/>
    <xf numFmtId="164" fontId="1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5" fontId="2" fillId="0" borderId="10" xfId="0" applyNumberFormat="1" applyFont="1" applyBorder="1"/>
    <xf numFmtId="165" fontId="2" fillId="0" borderId="6" xfId="0" applyNumberFormat="1" applyFont="1" applyBorder="1"/>
    <xf numFmtId="165" fontId="2" fillId="0" borderId="12" xfId="0" applyNumberFormat="1" applyFont="1" applyBorder="1"/>
    <xf numFmtId="165" fontId="2" fillId="0" borderId="8" xfId="0" applyNumberFormat="1" applyFont="1" applyBorder="1"/>
    <xf numFmtId="165" fontId="2" fillId="0" borderId="13" xfId="0" applyNumberFormat="1" applyFont="1" applyBorder="1"/>
    <xf numFmtId="165" fontId="2" fillId="0" borderId="9" xfId="0" applyNumberFormat="1" applyFont="1" applyBorder="1"/>
    <xf numFmtId="165" fontId="2" fillId="0" borderId="0" xfId="0" applyNumberFormat="1" applyFont="1"/>
    <xf numFmtId="165" fontId="1" fillId="0" borderId="11" xfId="0" applyNumberFormat="1" applyFont="1" applyBorder="1"/>
    <xf numFmtId="165" fontId="2" fillId="0" borderId="7" xfId="0" applyNumberFormat="1" applyFont="1" applyBorder="1"/>
    <xf numFmtId="165" fontId="2" fillId="0" borderId="15" xfId="0" applyNumberFormat="1" applyFont="1" applyBorder="1"/>
    <xf numFmtId="165" fontId="2" fillId="0" borderId="14" xfId="0" applyNumberFormat="1" applyFont="1" applyBorder="1"/>
    <xf numFmtId="165" fontId="2" fillId="0" borderId="17" xfId="0" applyNumberFormat="1" applyFont="1" applyBorder="1"/>
    <xf numFmtId="165" fontId="2" fillId="0" borderId="16" xfId="0" applyNumberFormat="1" applyFont="1" applyBorder="1"/>
    <xf numFmtId="0" fontId="2" fillId="0" borderId="19" xfId="0" applyFont="1" applyBorder="1"/>
    <xf numFmtId="0" fontId="2" fillId="0" borderId="22" xfId="0" applyFont="1" applyBorder="1"/>
    <xf numFmtId="2" fontId="2" fillId="0" borderId="25" xfId="0" applyNumberFormat="1" applyFont="1" applyBorder="1"/>
    <xf numFmtId="0" fontId="2" fillId="0" borderId="20" xfId="0" applyFont="1" applyBorder="1"/>
    <xf numFmtId="0" fontId="2" fillId="0" borderId="23" xfId="0" applyFont="1" applyBorder="1"/>
    <xf numFmtId="2" fontId="2" fillId="0" borderId="26" xfId="0" applyNumberFormat="1" applyFont="1" applyBorder="1"/>
    <xf numFmtId="0" fontId="2" fillId="0" borderId="21" xfId="0" applyFont="1" applyBorder="1"/>
    <xf numFmtId="0" fontId="2" fillId="0" borderId="24" xfId="0" applyFont="1" applyBorder="1" applyAlignment="1">
      <alignment wrapText="1"/>
    </xf>
    <xf numFmtId="2" fontId="2" fillId="0" borderId="27" xfId="0" applyNumberFormat="1" applyFont="1" applyBorder="1"/>
    <xf numFmtId="2" fontId="2" fillId="0" borderId="0" xfId="0" applyNumberFormat="1" applyFont="1"/>
    <xf numFmtId="0" fontId="2" fillId="0" borderId="24" xfId="0" applyFont="1" applyBorder="1"/>
    <xf numFmtId="2" fontId="2" fillId="0" borderId="22" xfId="0" applyNumberFormat="1" applyFont="1" applyBorder="1"/>
    <xf numFmtId="2" fontId="2" fillId="0" borderId="23" xfId="0" applyNumberFormat="1" applyFont="1" applyBorder="1"/>
    <xf numFmtId="0" fontId="2" fillId="0" borderId="20" xfId="0" applyFont="1" applyBorder="1" applyAlignment="1">
      <alignment wrapText="1"/>
    </xf>
    <xf numFmtId="2" fontId="2" fillId="0" borderId="24" xfId="0" applyNumberFormat="1" applyFont="1" applyBorder="1"/>
    <xf numFmtId="2" fontId="2" fillId="0" borderId="25" xfId="0" applyNumberFormat="1" applyFont="1" applyFill="1" applyBorder="1"/>
    <xf numFmtId="2" fontId="2" fillId="0" borderId="26" xfId="0" applyNumberFormat="1" applyFont="1" applyFill="1" applyBorder="1"/>
    <xf numFmtId="2" fontId="2" fillId="0" borderId="27" xfId="0" applyNumberFormat="1" applyFont="1" applyFill="1" applyBorder="1"/>
    <xf numFmtId="0" fontId="2" fillId="0" borderId="23" xfId="0" applyFont="1" applyBorder="1" applyAlignment="1">
      <alignment wrapText="1"/>
    </xf>
    <xf numFmtId="0" fontId="2" fillId="0" borderId="18" xfId="0" applyFont="1" applyFill="1" applyBorder="1"/>
    <xf numFmtId="2" fontId="2" fillId="0" borderId="18" xfId="0" applyNumberFormat="1" applyFont="1" applyBorder="1"/>
    <xf numFmtId="165" fontId="2" fillId="0" borderId="6" xfId="1" applyNumberFormat="1" applyFont="1" applyBorder="1"/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</cellXfs>
  <cellStyles count="2">
    <cellStyle name="Normal" xfId="0" builtinId="0"/>
    <cellStyle name="Обычный 2" xfId="1" xr:uid="{FD0FCAF4-E2C2-46CD-A69F-A38488AE39A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Выручка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(Лист1!$E$51,Лист1!$D$51)</c:f>
              <c:strCache>
                <c:ptCount val="2"/>
                <c:pt idx="0">
                  <c:v>2017 год</c:v>
                </c:pt>
                <c:pt idx="1">
                  <c:v>2018 год</c:v>
                </c:pt>
              </c:strCache>
            </c:strRef>
          </c:cat>
          <c:val>
            <c:numRef>
              <c:f>(Лист1!$E$53,Лист1!$D$53)</c:f>
              <c:numCache>
                <c:formatCode>#\ ##0_р_.;\(#\ ##0\)_р_.</c:formatCode>
                <c:ptCount val="2"/>
                <c:pt idx="0">
                  <c:v>236810138</c:v>
                </c:pt>
                <c:pt idx="1">
                  <c:v>308197555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C-4172-93D2-61A536F028FF}"/>
            </c:ext>
          </c:extLst>
        </c:ser>
        <c:ser>
          <c:idx val="1"/>
          <c:order val="1"/>
          <c:tx>
            <c:v>Себестоимость</c:v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(Лист1!$E$54,Лист1!$D$54)</c:f>
              <c:numCache>
                <c:formatCode>#\ ##0_р_.;\(#\ ##0\)_р_.</c:formatCode>
                <c:ptCount val="2"/>
                <c:pt idx="0">
                  <c:v>74573976</c:v>
                </c:pt>
                <c:pt idx="1">
                  <c:v>81171614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C-4172-93D2-61A536F02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59480"/>
        <c:axId val="517557840"/>
      </c:areaChart>
      <c:catAx>
        <c:axId val="51755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557840"/>
        <c:crosses val="autoZero"/>
        <c:auto val="1"/>
        <c:lblAlgn val="ctr"/>
        <c:lblOffset val="100"/>
        <c:noMultiLvlLbl val="0"/>
      </c:catAx>
      <c:valAx>
        <c:axId val="517557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р_.;\(#\ ##0\)_р_." sourceLinked="1"/>
        <c:majorTickMark val="none"/>
        <c:minorTickMark val="none"/>
        <c:tickLblPos val="nextTo"/>
        <c:crossAx val="517559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Административные расходы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(Лист1!$E$51,Лист1!$D$51)</c:f>
              <c:strCache>
                <c:ptCount val="2"/>
                <c:pt idx="0">
                  <c:v>2017 год</c:v>
                </c:pt>
                <c:pt idx="1">
                  <c:v>2018 год</c:v>
                </c:pt>
              </c:strCache>
            </c:strRef>
          </c:cat>
          <c:val>
            <c:numRef>
              <c:f>(Лист1!$E$55,Лист1!$D$55)</c:f>
              <c:numCache>
                <c:formatCode>#\ ##0_р_.;\(#\ ##0\)_р_.</c:formatCode>
                <c:ptCount val="2"/>
                <c:pt idx="0">
                  <c:v>33017459</c:v>
                </c:pt>
                <c:pt idx="1">
                  <c:v>40540698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B-4DA6-8C7B-2B53821AB6CF}"/>
            </c:ext>
          </c:extLst>
        </c:ser>
        <c:ser>
          <c:idx val="1"/>
          <c:order val="1"/>
          <c:tx>
            <c:v>Амортизация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(Лист1!$E$51,Лист1!$D$51)</c:f>
              <c:strCache>
                <c:ptCount val="2"/>
                <c:pt idx="0">
                  <c:v>2017 год</c:v>
                </c:pt>
                <c:pt idx="1">
                  <c:v>2018 год</c:v>
                </c:pt>
              </c:strCache>
            </c:strRef>
          </c:cat>
          <c:val>
            <c:numRef>
              <c:f>(Лист1!$E$56,Лист1!$D$56)</c:f>
              <c:numCache>
                <c:formatCode>#\ ##0_р_.;\(#\ ##0\)_р_.</c:formatCode>
                <c:ptCount val="2"/>
                <c:pt idx="0">
                  <c:v>11249823</c:v>
                </c:pt>
                <c:pt idx="1">
                  <c:v>12950962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B-4DA6-8C7B-2B53821AB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81800"/>
        <c:axId val="469983768"/>
      </c:areaChart>
      <c:catAx>
        <c:axId val="46998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983768"/>
        <c:crosses val="autoZero"/>
        <c:auto val="1"/>
        <c:lblAlgn val="ctr"/>
        <c:lblOffset val="100"/>
        <c:noMultiLvlLbl val="0"/>
      </c:catAx>
      <c:valAx>
        <c:axId val="46998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р_.;\(#\ ##0\)_р_.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981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Лист1!$C$7</c:f>
              <c:strCache>
                <c:ptCount val="1"/>
                <c:pt idx="0">
                  <c:v>Долгосрочные активы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val>
            <c:numRef>
              <c:f>(Лист1!$E$13,Лист1!$D$13)</c:f>
              <c:numCache>
                <c:formatCode>#\ ##0_р_.;\(#\ ##0\)_р_.</c:formatCode>
                <c:ptCount val="2"/>
                <c:pt idx="0">
                  <c:v>106691665</c:v>
                </c:pt>
                <c:pt idx="1">
                  <c:v>109816144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4BB-8230-9ACA95883DE8}"/>
            </c:ext>
          </c:extLst>
        </c:ser>
        <c:ser>
          <c:idx val="1"/>
          <c:order val="1"/>
          <c:tx>
            <c:strRef>
              <c:f>Лист1!$C$15</c:f>
              <c:strCache>
                <c:ptCount val="1"/>
                <c:pt idx="0">
                  <c:v>Текущие активы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val>
            <c:numRef>
              <c:f>(Лист1!$E$21,Лист1!$D$21)</c:f>
              <c:numCache>
                <c:formatCode>#\ ##0_р_.;\(#\ ##0\)_р_.</c:formatCode>
                <c:ptCount val="2"/>
                <c:pt idx="0">
                  <c:v>61240020</c:v>
                </c:pt>
                <c:pt idx="1">
                  <c:v>86719886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7-44BB-8230-9ACA95883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32936"/>
        <c:axId val="512635888"/>
      </c:areaChart>
      <c:catAx>
        <c:axId val="512632936"/>
        <c:scaling>
          <c:orientation val="minMax"/>
        </c:scaling>
        <c:delete val="0"/>
        <c:axPos val="b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635888"/>
        <c:crosses val="autoZero"/>
        <c:auto val="1"/>
        <c:lblAlgn val="ctr"/>
        <c:lblOffset val="100"/>
        <c:noMultiLvlLbl val="0"/>
      </c:catAx>
      <c:valAx>
        <c:axId val="5126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_р_.;\(#\ ##0\)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63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090C-4F34-AF07-B7A44FEECD7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090C-4F34-AF07-B7A44FEECD7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090C-4F34-AF07-B7A44FEECD70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090C-4F34-AF07-B7A44FEECD70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090C-4F34-AF07-B7A44FEECD70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090C-4F34-AF07-B7A44FEECD70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090C-4F34-AF07-B7A44FEECD70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090C-4F34-AF07-B7A44FEECD70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090C-4F34-AF07-B7A44FEECD70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090C-4F34-AF07-B7A44FEECD70}"/>
              </c:ext>
            </c:extLst>
          </c:dPt>
          <c:cat>
            <c:strRef>
              <c:f>Лист1!$C$8</c:f>
              <c:strCache>
                <c:ptCount val="1"/>
                <c:pt idx="0">
                  <c:v>Основные средства</c:v>
                </c:pt>
              </c:strCache>
            </c:strRef>
          </c:cat>
          <c:val>
            <c:numRef>
              <c:f>(Лист1!$D$8:$D$12,Лист1!$D$16:$D$20)</c:f>
              <c:numCache>
                <c:formatCode>#\ ##0_р_.;\(#\ ##0\)_р_.</c:formatCode>
                <c:ptCount val="10"/>
                <c:pt idx="0">
                  <c:v>103443137</c:v>
                </c:pt>
                <c:pt idx="1">
                  <c:v>529890</c:v>
                </c:pt>
                <c:pt idx="2">
                  <c:v>1054121</c:v>
                </c:pt>
                <c:pt idx="3">
                  <c:v>2077659</c:v>
                </c:pt>
                <c:pt idx="4">
                  <c:v>2711337</c:v>
                </c:pt>
                <c:pt idx="5">
                  <c:v>12490906</c:v>
                </c:pt>
                <c:pt idx="6">
                  <c:v>3413873</c:v>
                </c:pt>
                <c:pt idx="7">
                  <c:v>39342271</c:v>
                </c:pt>
                <c:pt idx="8">
                  <c:v>12097509</c:v>
                </c:pt>
                <c:pt idx="9">
                  <c:v>19375327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E-442B-859E-52AC4C070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62559295713035867"/>
          <c:y val="0.14120151647710708"/>
          <c:w val="0.30496259842519685"/>
          <c:h val="0.1383107319918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2</xdr:row>
      <xdr:rowOff>176212</xdr:rowOff>
    </xdr:from>
    <xdr:to>
      <xdr:col>18</xdr:col>
      <xdr:colOff>276225</xdr:colOff>
      <xdr:row>14</xdr:row>
      <xdr:rowOff>119062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66568C-4975-42F8-9B56-770E051CD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895350</xdr:colOff>
      <xdr:row>4</xdr:row>
      <xdr:rowOff>204787</xdr:rowOff>
    </xdr:from>
    <xdr:to>
      <xdr:col>16</xdr:col>
      <xdr:colOff>47625</xdr:colOff>
      <xdr:row>17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929A4F4-F173-4614-9348-3D0FAD39E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1057275</xdr:colOff>
      <xdr:row>21</xdr:row>
      <xdr:rowOff>42862</xdr:rowOff>
    </xdr:from>
    <xdr:to>
      <xdr:col>14</xdr:col>
      <xdr:colOff>352425</xdr:colOff>
      <xdr:row>33</xdr:row>
      <xdr:rowOff>376237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86C4D1C-D4A7-407C-9900-4499408C6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36</xdr:row>
      <xdr:rowOff>71437</xdr:rowOff>
    </xdr:from>
    <xdr:to>
      <xdr:col>16</xdr:col>
      <xdr:colOff>352425</xdr:colOff>
      <xdr:row>49</xdr:row>
      <xdr:rowOff>4762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27FF621-41DD-4DDA-A667-2A27E4B3B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14"/>
  <sheetViews>
    <sheetView tabSelected="1" workbookViewId="0">
      <selection activeCell="M43" sqref="M43"/>
    </sheetView>
  </sheetViews>
  <sheetFormatPr defaultRowHeight="14.4" x14ac:dyDescent="0.3"/>
  <cols>
    <col min="3" max="3" width="61.5546875" customWidth="1"/>
    <col min="4" max="4" width="15" customWidth="1"/>
    <col min="5" max="5" width="14.109375" customWidth="1"/>
    <col min="6" max="7" width="12.109375" customWidth="1"/>
    <col min="8" max="8" width="16.109375" customWidth="1"/>
    <col min="9" max="9" width="17.33203125" customWidth="1"/>
  </cols>
  <sheetData>
    <row r="1" spans="3:20" ht="15.6" x14ac:dyDescent="0.3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3:20" ht="15.6" x14ac:dyDescent="0.3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3:20" ht="15.6" x14ac:dyDescent="0.3">
      <c r="C3" s="2"/>
      <c r="D3" s="2"/>
      <c r="E3" s="2"/>
      <c r="F3" s="72" t="s">
        <v>30</v>
      </c>
      <c r="G3" s="73"/>
      <c r="H3" s="72" t="s">
        <v>29</v>
      </c>
      <c r="I3" s="73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3:20" ht="31.2" x14ac:dyDescent="0.3">
      <c r="C4" s="5" t="s">
        <v>25</v>
      </c>
      <c r="D4" s="6" t="s">
        <v>23</v>
      </c>
      <c r="E4" s="4" t="s">
        <v>24</v>
      </c>
      <c r="F4" s="12" t="s">
        <v>23</v>
      </c>
      <c r="G4" s="10" t="s">
        <v>24</v>
      </c>
      <c r="H4" s="14" t="s">
        <v>27</v>
      </c>
      <c r="I4" s="15" t="s">
        <v>28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3:20" ht="31.5" customHeight="1" x14ac:dyDescent="0.3">
      <c r="C5" s="2"/>
      <c r="D5" s="1"/>
      <c r="E5" s="2"/>
      <c r="F5" s="13"/>
      <c r="G5" s="11"/>
      <c r="H5" s="13"/>
      <c r="I5" s="11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3:20" ht="15.6" x14ac:dyDescent="0.3">
      <c r="C6" s="1" t="s">
        <v>4</v>
      </c>
      <c r="D6" s="20"/>
      <c r="E6" s="21"/>
      <c r="F6" s="19"/>
      <c r="G6" s="22"/>
      <c r="H6" s="19"/>
      <c r="I6" s="2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3:20" ht="15.6" x14ac:dyDescent="0.3">
      <c r="C7" s="1" t="s">
        <v>9</v>
      </c>
      <c r="D7" s="20"/>
      <c r="E7" s="21"/>
      <c r="F7" s="19"/>
      <c r="G7" s="22"/>
      <c r="H7" s="19"/>
      <c r="I7" s="2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3:20" ht="15.6" x14ac:dyDescent="0.3">
      <c r="C8" s="2" t="s">
        <v>43</v>
      </c>
      <c r="D8" s="20">
        <v>103443137</v>
      </c>
      <c r="E8" s="21">
        <v>98784120</v>
      </c>
      <c r="F8" s="37">
        <f>D8/$D$22*100</f>
        <v>52.633167058477781</v>
      </c>
      <c r="G8" s="38">
        <f>E8/$E$22*100</f>
        <v>58.823991434374044</v>
      </c>
      <c r="H8" s="19">
        <f t="shared" ref="H8:H13" si="0">D8-E8</f>
        <v>4659017</v>
      </c>
      <c r="I8" s="38">
        <f t="shared" ref="I8:I13" si="1">H8/E8*100</f>
        <v>4.7163623060062694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3:20" ht="15.6" x14ac:dyDescent="0.3">
      <c r="C9" s="2" t="s">
        <v>44</v>
      </c>
      <c r="D9" s="20">
        <v>529890</v>
      </c>
      <c r="E9" s="21">
        <v>829084</v>
      </c>
      <c r="F9" s="37">
        <f t="shared" ref="F9:F12" si="2">D9/$D$22*100</f>
        <v>0.26961468591789506</v>
      </c>
      <c r="G9" s="38">
        <f t="shared" ref="G9:G21" si="3">E9/$E$22*100</f>
        <v>0.4937031388686417</v>
      </c>
      <c r="H9" s="19">
        <f t="shared" si="0"/>
        <v>-299194</v>
      </c>
      <c r="I9" s="38">
        <f t="shared" si="1"/>
        <v>-36.087296341504597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3:20" ht="15.6" x14ac:dyDescent="0.3">
      <c r="C10" s="2" t="s">
        <v>45</v>
      </c>
      <c r="D10" s="20">
        <v>1054121</v>
      </c>
      <c r="E10" s="21">
        <v>131087</v>
      </c>
      <c r="F10" s="37">
        <f t="shared" si="2"/>
        <v>0.53635000157477486</v>
      </c>
      <c r="G10" s="38">
        <f t="shared" si="3"/>
        <v>7.8059718152652363E-2</v>
      </c>
      <c r="H10" s="19">
        <f t="shared" si="0"/>
        <v>923034</v>
      </c>
      <c r="I10" s="38">
        <f t="shared" si="1"/>
        <v>704.13847292256287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3:20" ht="15.6" x14ac:dyDescent="0.3">
      <c r="C11" s="2" t="s">
        <v>7</v>
      </c>
      <c r="D11" s="20">
        <v>2077659</v>
      </c>
      <c r="E11" s="21">
        <v>6549995</v>
      </c>
      <c r="F11" s="37">
        <f t="shared" si="2"/>
        <v>1.0571389887136726</v>
      </c>
      <c r="G11" s="38">
        <f t="shared" si="3"/>
        <v>3.9003925911896853</v>
      </c>
      <c r="H11" s="19">
        <f t="shared" si="0"/>
        <v>-4472336</v>
      </c>
      <c r="I11" s="38">
        <f t="shared" si="1"/>
        <v>-68.27999105342829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3:20" ht="15.6" x14ac:dyDescent="0.3">
      <c r="C12" s="2" t="s">
        <v>8</v>
      </c>
      <c r="D12" s="20">
        <v>2711337</v>
      </c>
      <c r="E12" s="21">
        <v>397379</v>
      </c>
      <c r="F12" s="37">
        <f t="shared" si="2"/>
        <v>1.3795623123149481</v>
      </c>
      <c r="G12" s="38">
        <f t="shared" si="3"/>
        <v>0.23663134208413381</v>
      </c>
      <c r="H12" s="19">
        <f t="shared" si="0"/>
        <v>2313958</v>
      </c>
      <c r="I12" s="38">
        <f t="shared" si="1"/>
        <v>582.30505386545337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3:20" ht="15.6" x14ac:dyDescent="0.3">
      <c r="C13" s="7"/>
      <c r="D13" s="23">
        <f>SUM(D8:D12)</f>
        <v>109816144</v>
      </c>
      <c r="E13" s="24">
        <f>SUM(E8:E12)</f>
        <v>106691665</v>
      </c>
      <c r="F13" s="39">
        <f t="shared" ref="F13" si="4">D13/$D$22</f>
        <v>0.55875833046999068</v>
      </c>
      <c r="G13" s="40">
        <f t="shared" si="3"/>
        <v>63.532778224669158</v>
      </c>
      <c r="H13" s="25">
        <f t="shared" si="0"/>
        <v>3124479</v>
      </c>
      <c r="I13" s="40">
        <f t="shared" si="1"/>
        <v>2.9285127380850229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3:20" ht="15.6" x14ac:dyDescent="0.3">
      <c r="C14" s="2"/>
      <c r="D14" s="20"/>
      <c r="E14" s="21"/>
      <c r="F14" s="37"/>
      <c r="G14" s="38"/>
      <c r="H14" s="19"/>
      <c r="I14" s="3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3:20" ht="15.6" x14ac:dyDescent="0.3">
      <c r="C15" s="1" t="s">
        <v>10</v>
      </c>
      <c r="D15" s="20"/>
      <c r="E15" s="21"/>
      <c r="F15" s="37"/>
      <c r="G15" s="38"/>
      <c r="H15" s="19"/>
      <c r="I15" s="3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3:20" ht="15.6" x14ac:dyDescent="0.3">
      <c r="C16" s="2" t="s">
        <v>0</v>
      </c>
      <c r="D16" s="20">
        <v>12490906</v>
      </c>
      <c r="E16" s="21">
        <v>7960606</v>
      </c>
      <c r="F16" s="37">
        <f>D16/$D$22*100</f>
        <v>6.3555298232084976</v>
      </c>
      <c r="G16" s="38">
        <f t="shared" si="3"/>
        <v>4.7403835672821355</v>
      </c>
      <c r="H16" s="19">
        <f t="shared" ref="H16:H22" si="5">D16-E16</f>
        <v>4530300</v>
      </c>
      <c r="I16" s="38">
        <f t="shared" ref="I16:I22" si="6">H16/E16*100</f>
        <v>56.908984064780995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3:20" ht="15.6" x14ac:dyDescent="0.3">
      <c r="C17" s="2" t="s">
        <v>46</v>
      </c>
      <c r="D17" s="20">
        <v>3413873</v>
      </c>
      <c r="E17" s="21">
        <v>1523168</v>
      </c>
      <c r="F17" s="37">
        <f t="shared" ref="F17:F20" si="7">D17/$D$22*100</f>
        <v>1.7370214509777164</v>
      </c>
      <c r="G17" s="38">
        <f t="shared" si="3"/>
        <v>0.90701644540754778</v>
      </c>
      <c r="H17" s="19">
        <f t="shared" si="5"/>
        <v>1890705</v>
      </c>
      <c r="I17" s="38">
        <f t="shared" si="6"/>
        <v>124.12977425996345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ht="15.6" x14ac:dyDescent="0.3">
      <c r="C18" s="2" t="s">
        <v>5</v>
      </c>
      <c r="D18" s="20">
        <v>39342271</v>
      </c>
      <c r="E18" s="21">
        <v>23498323</v>
      </c>
      <c r="F18" s="37">
        <f t="shared" si="7"/>
        <v>20.017841512317105</v>
      </c>
      <c r="G18" s="38">
        <f t="shared" si="3"/>
        <v>13.992787007407209</v>
      </c>
      <c r="H18" s="19">
        <f t="shared" si="5"/>
        <v>15843948</v>
      </c>
      <c r="I18" s="38">
        <f t="shared" si="6"/>
        <v>67.425866943781472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3:20" ht="15.6" x14ac:dyDescent="0.3">
      <c r="C19" s="2" t="s">
        <v>47</v>
      </c>
      <c r="D19" s="20">
        <v>12097509</v>
      </c>
      <c r="E19" s="21">
        <v>19841264</v>
      </c>
      <c r="F19" s="37">
        <f t="shared" si="7"/>
        <v>6.1553644896561712</v>
      </c>
      <c r="G19" s="38">
        <f t="shared" si="3"/>
        <v>11.815080638296461</v>
      </c>
      <c r="H19" s="19">
        <f t="shared" si="5"/>
        <v>-7743755</v>
      </c>
      <c r="I19" s="38">
        <f t="shared" si="6"/>
        <v>-39.028536690001204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3:20" ht="15.6" x14ac:dyDescent="0.3">
      <c r="C20" s="2" t="s">
        <v>48</v>
      </c>
      <c r="D20" s="20">
        <v>19375327</v>
      </c>
      <c r="E20" s="21">
        <v>8416659</v>
      </c>
      <c r="F20" s="37">
        <f t="shared" si="7"/>
        <v>9.8584096768414433</v>
      </c>
      <c r="G20" s="38">
        <f t="shared" si="3"/>
        <v>5.011954116937491</v>
      </c>
      <c r="H20" s="19">
        <f t="shared" si="5"/>
        <v>10958668</v>
      </c>
      <c r="I20" s="38">
        <f t="shared" si="6"/>
        <v>130.20211463954996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3:20" ht="15.6" x14ac:dyDescent="0.3">
      <c r="C21" s="8"/>
      <c r="D21" s="26">
        <f>SUM(D16:D20)</f>
        <v>86719886</v>
      </c>
      <c r="E21" s="27">
        <f>SUM(E16:E20)</f>
        <v>61240020</v>
      </c>
      <c r="F21" s="39">
        <f>D21/$D$22*100</f>
        <v>44.12416695300093</v>
      </c>
      <c r="G21" s="40">
        <f t="shared" si="3"/>
        <v>36.467221775330842</v>
      </c>
      <c r="H21" s="25">
        <f t="shared" si="5"/>
        <v>25479866</v>
      </c>
      <c r="I21" s="40">
        <f t="shared" si="6"/>
        <v>41.606560546518438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3:20" ht="16.2" thickBot="1" x14ac:dyDescent="0.35">
      <c r="C22" s="9" t="s">
        <v>3</v>
      </c>
      <c r="D22" s="28">
        <f>SUM(D21,D13)</f>
        <v>196536030</v>
      </c>
      <c r="E22" s="29">
        <f>SUM(E21,E13)</f>
        <v>167931685</v>
      </c>
      <c r="F22" s="41"/>
      <c r="G22" s="42"/>
      <c r="H22" s="30">
        <f t="shared" si="5"/>
        <v>28604345</v>
      </c>
      <c r="I22" s="42">
        <f t="shared" si="6"/>
        <v>17.033322210754928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3:20" ht="15.6" x14ac:dyDescent="0.3">
      <c r="C23" s="2"/>
      <c r="D23" s="20"/>
      <c r="E23" s="21"/>
      <c r="F23" s="37"/>
      <c r="G23" s="38"/>
      <c r="H23" s="19"/>
      <c r="I23" s="3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3:20" ht="15.6" x14ac:dyDescent="0.3">
      <c r="C24" s="1" t="s">
        <v>6</v>
      </c>
      <c r="D24" s="20"/>
      <c r="E24" s="21"/>
      <c r="F24" s="37"/>
      <c r="G24" s="38"/>
      <c r="H24" s="19"/>
      <c r="I24" s="3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3:20" ht="15.6" x14ac:dyDescent="0.3">
      <c r="C25" s="1" t="s">
        <v>11</v>
      </c>
      <c r="D25" s="20"/>
      <c r="E25" s="21"/>
      <c r="F25" s="37"/>
      <c r="G25" s="38"/>
      <c r="H25" s="19"/>
      <c r="I25" s="38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3:20" ht="15.6" x14ac:dyDescent="0.3">
      <c r="C26" s="2" t="s">
        <v>1</v>
      </c>
      <c r="D26" s="20">
        <v>2161112</v>
      </c>
      <c r="E26" s="21">
        <v>2161112</v>
      </c>
      <c r="F26" s="37">
        <f>D26/$D$46*100</f>
        <v>1.0996009230470363</v>
      </c>
      <c r="G26" s="38">
        <f>E26/$E$46*100</f>
        <v>1.2868994913020733</v>
      </c>
      <c r="H26" s="19">
        <f>D26-E26</f>
        <v>0</v>
      </c>
      <c r="I26" s="22">
        <f>H26/E26*100</f>
        <v>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3:20" ht="15.6" x14ac:dyDescent="0.3">
      <c r="C27" s="2" t="s">
        <v>49</v>
      </c>
      <c r="D27" s="20">
        <v>1746416</v>
      </c>
      <c r="E27" s="21">
        <v>1746416</v>
      </c>
      <c r="F27" s="37">
        <f t="shared" ref="F27:F29" si="8">D27/$D$46*100</f>
        <v>0.88859839083958292</v>
      </c>
      <c r="G27" s="38">
        <f t="shared" ref="G27:G45" si="9">E27/$E$46*100</f>
        <v>1.0399562179108726</v>
      </c>
      <c r="H27" s="19">
        <f>D27-E27</f>
        <v>0</v>
      </c>
      <c r="I27" s="22">
        <f>H27/E27*100</f>
        <v>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3:20" ht="15.6" x14ac:dyDescent="0.3">
      <c r="C28" s="2" t="s">
        <v>50</v>
      </c>
      <c r="D28" s="20">
        <v>-2623246</v>
      </c>
      <c r="E28" s="21">
        <v>-3306494</v>
      </c>
      <c r="F28" s="37">
        <f t="shared" si="8"/>
        <v>-1.3347405053414378</v>
      </c>
      <c r="G28" s="38">
        <f t="shared" si="9"/>
        <v>-1.9689518389576093</v>
      </c>
      <c r="H28" s="19">
        <f>D28-E28</f>
        <v>683248</v>
      </c>
      <c r="I28" s="38">
        <f>H28/E28*100</f>
        <v>-20.663820953553824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3:20" ht="15.6" x14ac:dyDescent="0.3">
      <c r="C29" s="2" t="s">
        <v>2</v>
      </c>
      <c r="D29" s="20">
        <v>43369726</v>
      </c>
      <c r="E29" s="21">
        <v>28560122</v>
      </c>
      <c r="F29" s="37">
        <f t="shared" si="8"/>
        <v>22.067061189747246</v>
      </c>
      <c r="G29" s="38">
        <f t="shared" si="9"/>
        <v>17.006988288124425</v>
      </c>
      <c r="H29" s="19">
        <f>D29-E29</f>
        <v>14809604</v>
      </c>
      <c r="I29" s="38">
        <f>H29/E29*100</f>
        <v>51.854134236541427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3:20" ht="15.6" x14ac:dyDescent="0.3">
      <c r="C30" s="7"/>
      <c r="D30" s="23">
        <f>SUM(D26:D29)</f>
        <v>44654008</v>
      </c>
      <c r="E30" s="24">
        <f>SUM(E26:E29)</f>
        <v>29161156</v>
      </c>
      <c r="F30" s="39">
        <f>D30/$D$46*100</f>
        <v>22.720519998292424</v>
      </c>
      <c r="G30" s="40">
        <f t="shared" si="9"/>
        <v>17.36489215837976</v>
      </c>
      <c r="H30" s="25">
        <f>D30-E30</f>
        <v>15492852</v>
      </c>
      <c r="I30" s="40">
        <f>H30/E30*100</f>
        <v>53.128387640051031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3:20" ht="15.6" x14ac:dyDescent="0.3">
      <c r="C31" s="2"/>
      <c r="D31" s="20"/>
      <c r="E31" s="21"/>
      <c r="F31" s="37"/>
      <c r="G31" s="38"/>
      <c r="H31" s="19"/>
      <c r="I31" s="38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0" ht="15.6" x14ac:dyDescent="0.3">
      <c r="C32" s="1" t="s">
        <v>12</v>
      </c>
      <c r="D32" s="20"/>
      <c r="E32" s="21"/>
      <c r="F32" s="37"/>
      <c r="G32" s="38"/>
      <c r="H32" s="19"/>
      <c r="I32" s="38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3:20" ht="15.6" x14ac:dyDescent="0.3">
      <c r="C33" s="2" t="s">
        <v>13</v>
      </c>
      <c r="D33" s="20">
        <v>70115368</v>
      </c>
      <c r="E33" s="21">
        <v>82589375</v>
      </c>
      <c r="F33" s="37">
        <f>D33/$D$46*100</f>
        <v>35.67557968887435</v>
      </c>
      <c r="G33" s="38">
        <f t="shared" si="9"/>
        <v>49.180340803464219</v>
      </c>
      <c r="H33" s="19">
        <f>D33-E33</f>
        <v>-12474007</v>
      </c>
      <c r="I33" s="38">
        <f>H33/E33*100</f>
        <v>-15.103646201463567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3:20" ht="31.5" customHeight="1" x14ac:dyDescent="0.3">
      <c r="C34" s="3" t="s">
        <v>14</v>
      </c>
      <c r="D34" s="20">
        <v>32272967</v>
      </c>
      <c r="E34" s="21">
        <v>30394231</v>
      </c>
      <c r="F34" s="37">
        <f t="shared" ref="F34:F36" si="10">D34/$D$46*100</f>
        <v>16.420890866677222</v>
      </c>
      <c r="G34" s="38">
        <f t="shared" si="9"/>
        <v>18.099163954675973</v>
      </c>
      <c r="H34" s="19">
        <f>D34-E34</f>
        <v>1878736</v>
      </c>
      <c r="I34" s="38">
        <f>H34/E34*100</f>
        <v>6.1812256411422286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3:20" ht="15.6" x14ac:dyDescent="0.3">
      <c r="C35" s="2" t="s">
        <v>16</v>
      </c>
      <c r="D35" s="20">
        <v>3233396</v>
      </c>
      <c r="E35" s="21">
        <v>3106452</v>
      </c>
      <c r="F35" s="37">
        <f t="shared" si="10"/>
        <v>1.6451924870976582</v>
      </c>
      <c r="G35" s="38">
        <f t="shared" si="9"/>
        <v>1.8498307808916463</v>
      </c>
      <c r="H35" s="19">
        <f>D35-E35</f>
        <v>126944</v>
      </c>
      <c r="I35" s="38">
        <f>H35/E35*100</f>
        <v>4.0864626268167026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3:20" ht="15.6" x14ac:dyDescent="0.3">
      <c r="C36" s="2" t="s">
        <v>15</v>
      </c>
      <c r="D36" s="20">
        <v>3572398</v>
      </c>
      <c r="E36" s="21">
        <v>4105443</v>
      </c>
      <c r="F36" s="37">
        <f t="shared" si="10"/>
        <v>1.8176809616028164</v>
      </c>
      <c r="G36" s="38">
        <f t="shared" si="9"/>
        <v>2.4447101808095355</v>
      </c>
      <c r="H36" s="19">
        <f>D36-E36</f>
        <v>-533045</v>
      </c>
      <c r="I36" s="38">
        <f>H36/E36*100</f>
        <v>-12.98386069420523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3:20" ht="15.6" x14ac:dyDescent="0.3">
      <c r="C37" s="7"/>
      <c r="D37" s="23">
        <f>SUM(D33:D36)</f>
        <v>109194129</v>
      </c>
      <c r="E37" s="24">
        <f>SUM(E33:E36)</f>
        <v>120195501</v>
      </c>
      <c r="F37" s="39">
        <f>D37/$D$46*100</f>
        <v>55.55934400425204</v>
      </c>
      <c r="G37" s="40">
        <f t="shared" si="9"/>
        <v>71.574045719841379</v>
      </c>
      <c r="H37" s="25">
        <f>D37-E37</f>
        <v>-11001372</v>
      </c>
      <c r="I37" s="40">
        <f>H37/E37*100</f>
        <v>-9.1528983268683231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3:20" ht="15.6" x14ac:dyDescent="0.3">
      <c r="C38" s="2"/>
      <c r="D38" s="20"/>
      <c r="E38" s="21"/>
      <c r="F38" s="37"/>
      <c r="G38" s="38"/>
      <c r="H38" s="19"/>
      <c r="I38" s="38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3:20" ht="15.6" x14ac:dyDescent="0.3">
      <c r="C39" s="1" t="s">
        <v>17</v>
      </c>
      <c r="D39" s="20"/>
      <c r="E39" s="21"/>
      <c r="F39" s="37"/>
      <c r="G39" s="38"/>
      <c r="H39" s="19"/>
      <c r="I39" s="38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3:20" ht="15.6" x14ac:dyDescent="0.3">
      <c r="C40" s="2" t="s">
        <v>18</v>
      </c>
      <c r="D40" s="20">
        <v>10542225</v>
      </c>
      <c r="E40" s="21">
        <v>10521806</v>
      </c>
      <c r="F40" s="37">
        <f>D40/$D$46*100</f>
        <v>5.364016460493275</v>
      </c>
      <c r="G40" s="38">
        <f t="shared" si="9"/>
        <v>6.2655275566370934</v>
      </c>
      <c r="H40" s="19">
        <f t="shared" ref="H40:H46" si="11">D40-E40</f>
        <v>20419</v>
      </c>
      <c r="I40" s="38">
        <f t="shared" ref="I40:I46" si="12">H40/E40*100</f>
        <v>0.19406364268643614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3:20" ht="15.6" x14ac:dyDescent="0.3">
      <c r="C41" s="2" t="s">
        <v>19</v>
      </c>
      <c r="D41" s="20">
        <v>25926176</v>
      </c>
      <c r="E41" s="21">
        <v>187247</v>
      </c>
      <c r="F41" s="37">
        <f t="shared" ref="F41:F44" si="13">D41/$D$46*100</f>
        <v>13.191563908154652</v>
      </c>
      <c r="G41" s="38">
        <f t="shared" si="9"/>
        <v>0.11150188840182244</v>
      </c>
      <c r="H41" s="19">
        <f t="shared" si="11"/>
        <v>25738929</v>
      </c>
      <c r="I41" s="38">
        <f t="shared" si="12"/>
        <v>13745.976704566696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3:20" ht="15.6" x14ac:dyDescent="0.3">
      <c r="C42" s="2" t="s">
        <v>20</v>
      </c>
      <c r="D42" s="20"/>
      <c r="E42" s="21">
        <v>109378</v>
      </c>
      <c r="F42" s="37">
        <f t="shared" si="13"/>
        <v>0</v>
      </c>
      <c r="G42" s="38">
        <f t="shared" si="9"/>
        <v>6.5132437633791382E-2</v>
      </c>
      <c r="H42" s="19">
        <f t="shared" si="11"/>
        <v>-109378</v>
      </c>
      <c r="I42" s="38">
        <f t="shared" si="12"/>
        <v>-100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3:20" ht="15.6" x14ac:dyDescent="0.3">
      <c r="C43" s="2" t="s">
        <v>21</v>
      </c>
      <c r="D43" s="20">
        <v>1926190</v>
      </c>
      <c r="E43" s="21">
        <v>2691112</v>
      </c>
      <c r="F43" s="37">
        <f t="shared" si="13"/>
        <v>0.98006965949195179</v>
      </c>
      <c r="G43" s="38">
        <f t="shared" si="9"/>
        <v>1.6025040182262209</v>
      </c>
      <c r="H43" s="19">
        <f t="shared" si="11"/>
        <v>-764922</v>
      </c>
      <c r="I43" s="38">
        <f t="shared" si="12"/>
        <v>-28.424012081251171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3:20" ht="31.5" customHeight="1" x14ac:dyDescent="0.3">
      <c r="C44" s="3" t="s">
        <v>22</v>
      </c>
      <c r="D44" s="20">
        <v>4293302</v>
      </c>
      <c r="E44" s="21">
        <v>5065485</v>
      </c>
      <c r="F44" s="37">
        <f t="shared" si="13"/>
        <v>2.1844859693156518</v>
      </c>
      <c r="G44" s="38">
        <f t="shared" si="9"/>
        <v>3.0163962208799369</v>
      </c>
      <c r="H44" s="19">
        <f t="shared" si="11"/>
        <v>-772183</v>
      </c>
      <c r="I44" s="38">
        <f t="shared" si="12"/>
        <v>-15.244009211358833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3:20" ht="15.6" x14ac:dyDescent="0.3">
      <c r="C45" s="8"/>
      <c r="D45" s="23">
        <f>SUM(D40:D44)</f>
        <v>42687893</v>
      </c>
      <c r="E45" s="24">
        <f>SUM(E40:E44)</f>
        <v>18575028</v>
      </c>
      <c r="F45" s="39">
        <f>D45/$D$46*100</f>
        <v>21.720135997455532</v>
      </c>
      <c r="G45" s="40">
        <f t="shared" si="9"/>
        <v>11.061062121778866</v>
      </c>
      <c r="H45" s="25">
        <f t="shared" si="11"/>
        <v>24112865</v>
      </c>
      <c r="I45" s="40">
        <f t="shared" si="12"/>
        <v>129.81334402295383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3:20" ht="16.2" thickBot="1" x14ac:dyDescent="0.35">
      <c r="C46" s="9" t="s">
        <v>26</v>
      </c>
      <c r="D46" s="31">
        <f>SUM(D45,D37,D30)</f>
        <v>196536030</v>
      </c>
      <c r="E46" s="32">
        <f>SUM(E45,E37,E30)</f>
        <v>167931685</v>
      </c>
      <c r="F46" s="41"/>
      <c r="G46" s="42"/>
      <c r="H46" s="30">
        <f t="shared" si="11"/>
        <v>28604345</v>
      </c>
      <c r="I46" s="42">
        <f t="shared" si="12"/>
        <v>17.033322210754928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3:20" ht="15.6" x14ac:dyDescent="0.3">
      <c r="C47" s="2"/>
      <c r="D47" s="21"/>
      <c r="E47" s="21"/>
      <c r="F47" s="43"/>
      <c r="G47" s="43"/>
      <c r="H47" s="21"/>
      <c r="I47" s="2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3:20" ht="15.6" x14ac:dyDescent="0.3">
      <c r="C48" s="2"/>
      <c r="D48" s="21"/>
      <c r="E48" s="21"/>
      <c r="F48" s="43"/>
      <c r="G48" s="43"/>
      <c r="H48" s="21"/>
      <c r="I48" s="2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3:20" ht="15.6" x14ac:dyDescent="0.3">
      <c r="C49" s="2"/>
      <c r="D49" s="21"/>
      <c r="E49" s="21"/>
      <c r="F49" s="43"/>
      <c r="G49" s="43"/>
      <c r="H49" s="21"/>
      <c r="I49" s="2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3:20" ht="15.6" x14ac:dyDescent="0.3">
      <c r="C50" s="2"/>
      <c r="D50" s="21"/>
      <c r="E50" s="21"/>
      <c r="F50" s="74" t="s">
        <v>30</v>
      </c>
      <c r="G50" s="75"/>
      <c r="H50" s="76" t="s">
        <v>29</v>
      </c>
      <c r="I50" s="77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3:20" ht="31.2" x14ac:dyDescent="0.3">
      <c r="C51" s="5" t="s">
        <v>25</v>
      </c>
      <c r="D51" s="33" t="s">
        <v>23</v>
      </c>
      <c r="E51" s="34" t="s">
        <v>24</v>
      </c>
      <c r="F51" s="44" t="s">
        <v>23</v>
      </c>
      <c r="G51" s="45" t="s">
        <v>24</v>
      </c>
      <c r="H51" s="35" t="s">
        <v>27</v>
      </c>
      <c r="I51" s="36" t="s">
        <v>28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3:20" ht="15.6" x14ac:dyDescent="0.3">
      <c r="C52" s="2"/>
      <c r="D52" s="21"/>
      <c r="E52" s="21"/>
      <c r="F52" s="37"/>
      <c r="G52" s="38"/>
      <c r="H52" s="21"/>
      <c r="I52" s="47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3:20" ht="15.6" x14ac:dyDescent="0.3">
      <c r="C53" s="2" t="s">
        <v>51</v>
      </c>
      <c r="D53" s="20">
        <v>308197555</v>
      </c>
      <c r="E53" s="21">
        <v>236810138</v>
      </c>
      <c r="F53" s="37"/>
      <c r="G53" s="38"/>
      <c r="H53" s="21">
        <f>D53-E53</f>
        <v>71387417</v>
      </c>
      <c r="I53" s="38">
        <f>H53/E53*100</f>
        <v>30.145422659227538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3:20" ht="15.6" x14ac:dyDescent="0.3">
      <c r="C54" s="2" t="s">
        <v>31</v>
      </c>
      <c r="D54" s="20">
        <v>81171614</v>
      </c>
      <c r="E54" s="21">
        <v>74573976</v>
      </c>
      <c r="F54" s="37">
        <f>D54/$D$53*100</f>
        <v>26.337526915163227</v>
      </c>
      <c r="G54" s="38">
        <f>E54/$E$53*100</f>
        <v>31.491040303350527</v>
      </c>
      <c r="H54" s="21">
        <f t="shared" ref="H54:H79" si="14">D54-E54</f>
        <v>6597638</v>
      </c>
      <c r="I54" s="38">
        <f t="shared" ref="I54:I79" si="15">H54/E54*100</f>
        <v>8.8471050544495569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3:20" ht="15.6" x14ac:dyDescent="0.3">
      <c r="C55" s="2" t="s">
        <v>52</v>
      </c>
      <c r="D55" s="20">
        <v>40540698</v>
      </c>
      <c r="E55" s="21">
        <v>33017459</v>
      </c>
      <c r="F55" s="37">
        <f t="shared" ref="F55:F77" si="16">D55/$D$53*100</f>
        <v>13.154127066322769</v>
      </c>
      <c r="G55" s="38">
        <f t="shared" ref="G55:G77" si="17">E55/$E$53*100</f>
        <v>13.942586782327707</v>
      </c>
      <c r="H55" s="21">
        <f t="shared" si="14"/>
        <v>7523239</v>
      </c>
      <c r="I55" s="38">
        <f t="shared" si="15"/>
        <v>22.785638955438696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3:20" ht="15.6" x14ac:dyDescent="0.3">
      <c r="C56" s="2" t="s">
        <v>53</v>
      </c>
      <c r="D56" s="20">
        <v>12950962</v>
      </c>
      <c r="E56" s="21">
        <v>11249823</v>
      </c>
      <c r="F56" s="37">
        <f t="shared" si="16"/>
        <v>4.202162473352522</v>
      </c>
      <c r="G56" s="38">
        <f t="shared" si="17"/>
        <v>4.7505664643462184</v>
      </c>
      <c r="H56" s="21">
        <f t="shared" si="14"/>
        <v>1701139</v>
      </c>
      <c r="I56" s="38">
        <f t="shared" si="15"/>
        <v>15.121473466738101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3:20" ht="15.6" x14ac:dyDescent="0.3">
      <c r="C57" s="2" t="s">
        <v>54</v>
      </c>
      <c r="D57" s="20">
        <v>94088618</v>
      </c>
      <c r="E57" s="21">
        <v>58516953</v>
      </c>
      <c r="F57" s="37">
        <f t="shared" si="16"/>
        <v>30.528671131086682</v>
      </c>
      <c r="G57" s="38">
        <f t="shared" si="17"/>
        <v>24.710493179983708</v>
      </c>
      <c r="H57" s="21">
        <f t="shared" si="14"/>
        <v>35571665</v>
      </c>
      <c r="I57" s="38">
        <f t="shared" si="15"/>
        <v>60.788648718602964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3:20" ht="15.6" x14ac:dyDescent="0.3">
      <c r="C58" s="4" t="s">
        <v>32</v>
      </c>
      <c r="D58" s="33">
        <v>607725</v>
      </c>
      <c r="E58" s="34">
        <v>-380506</v>
      </c>
      <c r="F58" s="37">
        <f t="shared" si="16"/>
        <v>0.19718683362040298</v>
      </c>
      <c r="G58" s="38">
        <f t="shared" si="17"/>
        <v>-0.16067977630248245</v>
      </c>
      <c r="H58" s="34">
        <f t="shared" si="14"/>
        <v>988231</v>
      </c>
      <c r="I58" s="45">
        <f t="shared" si="15"/>
        <v>-259.71495850262545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3:20" ht="15.6" x14ac:dyDescent="0.3">
      <c r="C59" s="1" t="s">
        <v>33</v>
      </c>
      <c r="D59" s="20">
        <f>SUM(D53:D58)</f>
        <v>537557172</v>
      </c>
      <c r="E59" s="21">
        <f>SUM(E53:E58)</f>
        <v>413787843</v>
      </c>
      <c r="F59" s="46">
        <f t="shared" si="16"/>
        <v>174.4196744195456</v>
      </c>
      <c r="G59" s="47">
        <f t="shared" si="17"/>
        <v>174.73400695370566</v>
      </c>
      <c r="H59" s="21">
        <f t="shared" si="14"/>
        <v>123769329</v>
      </c>
      <c r="I59" s="38">
        <f t="shared" si="15"/>
        <v>29.911301429897254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3:20" ht="15.6" x14ac:dyDescent="0.3">
      <c r="C60" s="2"/>
      <c r="D60" s="20"/>
      <c r="E60" s="21"/>
      <c r="F60" s="37"/>
      <c r="G60" s="38"/>
      <c r="H60" s="21"/>
      <c r="I60" s="38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3:20" ht="15.6" x14ac:dyDescent="0.3">
      <c r="C61" s="2" t="s">
        <v>55</v>
      </c>
      <c r="D61" s="20">
        <v>238146</v>
      </c>
      <c r="E61" s="21">
        <v>362473</v>
      </c>
      <c r="F61" s="37">
        <f t="shared" si="16"/>
        <v>7.7270567574749247E-2</v>
      </c>
      <c r="G61" s="38">
        <f t="shared" si="17"/>
        <v>0.15306481515584439</v>
      </c>
      <c r="H61" s="21">
        <f t="shared" si="14"/>
        <v>-124327</v>
      </c>
      <c r="I61" s="38">
        <f t="shared" si="15"/>
        <v>-34.299658181436961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3:20" ht="15.6" x14ac:dyDescent="0.3">
      <c r="C62" s="2" t="s">
        <v>56</v>
      </c>
      <c r="D62" s="20">
        <v>-7418267</v>
      </c>
      <c r="E62" s="21">
        <v>-6215608</v>
      </c>
      <c r="F62" s="37">
        <f t="shared" si="16"/>
        <v>-2.4069843772771007</v>
      </c>
      <c r="G62" s="38">
        <f t="shared" si="17"/>
        <v>-2.6247220885450435</v>
      </c>
      <c r="H62" s="21">
        <f t="shared" si="14"/>
        <v>-1202659</v>
      </c>
      <c r="I62" s="38">
        <f t="shared" si="15"/>
        <v>19.349016218526007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3:20" ht="15.6" x14ac:dyDescent="0.3">
      <c r="C63" s="2" t="s">
        <v>57</v>
      </c>
      <c r="D63" s="20">
        <v>-6577314</v>
      </c>
      <c r="E63" s="21">
        <v>-286804</v>
      </c>
      <c r="F63" s="37">
        <f t="shared" si="16"/>
        <v>-2.1341227058079677</v>
      </c>
      <c r="G63" s="38">
        <f t="shared" si="17"/>
        <v>-0.12111136897356986</v>
      </c>
      <c r="H63" s="21">
        <f t="shared" si="14"/>
        <v>-6290510</v>
      </c>
      <c r="I63" s="38">
        <f t="shared" si="15"/>
        <v>2193.3132034420719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3:20" ht="15.6" x14ac:dyDescent="0.3">
      <c r="C64" s="4" t="s">
        <v>34</v>
      </c>
      <c r="D64" s="33">
        <v>780000</v>
      </c>
      <c r="E64" s="34">
        <v>579162</v>
      </c>
      <c r="F64" s="37">
        <f t="shared" si="16"/>
        <v>0.25308442177615587</v>
      </c>
      <c r="G64" s="38">
        <f t="shared" si="17"/>
        <v>0.24456807672651243</v>
      </c>
      <c r="H64" s="34">
        <f t="shared" si="14"/>
        <v>200838</v>
      </c>
      <c r="I64" s="45">
        <f t="shared" si="15"/>
        <v>34.67734416277311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3:20" ht="15.6" x14ac:dyDescent="0.3">
      <c r="C65" s="2" t="s">
        <v>35</v>
      </c>
      <c r="D65" s="20">
        <f>SUM(D59:D64)</f>
        <v>524579737</v>
      </c>
      <c r="E65" s="21">
        <f>SUM(E59:E64)</f>
        <v>408227066</v>
      </c>
      <c r="F65" s="46">
        <f t="shared" si="16"/>
        <v>170.20892232581144</v>
      </c>
      <c r="G65" s="47">
        <f t="shared" si="17"/>
        <v>172.38580638806943</v>
      </c>
      <c r="H65" s="21">
        <f t="shared" si="14"/>
        <v>116352671</v>
      </c>
      <c r="I65" s="38">
        <f t="shared" si="15"/>
        <v>28.501949206866161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3:20" ht="15.6" x14ac:dyDescent="0.3">
      <c r="C66" s="2"/>
      <c r="D66" s="20"/>
      <c r="E66" s="21"/>
      <c r="F66" s="37"/>
      <c r="G66" s="38"/>
      <c r="H66" s="21"/>
      <c r="I66" s="38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3:20" ht="15.6" x14ac:dyDescent="0.3">
      <c r="C67" s="4" t="s">
        <v>36</v>
      </c>
      <c r="D67" s="33">
        <v>-12248133</v>
      </c>
      <c r="E67" s="34">
        <v>-12606593</v>
      </c>
      <c r="F67" s="37">
        <f t="shared" si="16"/>
        <v>-3.9741175104390432</v>
      </c>
      <c r="G67" s="38">
        <f t="shared" si="17"/>
        <v>-5.3235022395873948</v>
      </c>
      <c r="H67" s="34">
        <f t="shared" si="14"/>
        <v>358460</v>
      </c>
      <c r="I67" s="45">
        <f t="shared" si="15"/>
        <v>-2.8434327974259181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3:20" ht="16.2" thickBot="1" x14ac:dyDescent="0.35">
      <c r="C68" s="9" t="s">
        <v>58</v>
      </c>
      <c r="D68" s="28">
        <f>SUM(D65:D67)</f>
        <v>512331604</v>
      </c>
      <c r="E68" s="29">
        <f>SUM(E65:E67)</f>
        <v>395620473</v>
      </c>
      <c r="F68" s="41">
        <f t="shared" si="16"/>
        <v>166.2348048153724</v>
      </c>
      <c r="G68" s="42">
        <f t="shared" si="17"/>
        <v>167.06230414848201</v>
      </c>
      <c r="H68" s="29">
        <f t="shared" si="14"/>
        <v>116711131</v>
      </c>
      <c r="I68" s="42">
        <f t="shared" si="15"/>
        <v>29.500781421895727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3:20" ht="15.6" x14ac:dyDescent="0.3">
      <c r="C69" s="2"/>
      <c r="D69" s="20"/>
      <c r="E69" s="21"/>
      <c r="F69" s="37"/>
      <c r="G69" s="38"/>
      <c r="H69" s="21"/>
      <c r="I69" s="38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3:20" ht="15.6" x14ac:dyDescent="0.3">
      <c r="C70" s="1" t="s">
        <v>59</v>
      </c>
      <c r="D70" s="20"/>
      <c r="E70" s="21"/>
      <c r="F70" s="37"/>
      <c r="G70" s="38"/>
      <c r="H70" s="21"/>
      <c r="I70" s="38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3:20" ht="15.6" x14ac:dyDescent="0.3">
      <c r="C71" s="2" t="s">
        <v>60</v>
      </c>
      <c r="D71" s="20"/>
      <c r="E71" s="21"/>
      <c r="F71" s="37"/>
      <c r="G71" s="38"/>
      <c r="H71" s="21"/>
      <c r="I71" s="38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3:20" ht="30" customHeight="1" x14ac:dyDescent="0.3">
      <c r="C72" s="3" t="s">
        <v>61</v>
      </c>
      <c r="D72" s="20"/>
      <c r="E72" s="21"/>
      <c r="F72" s="37"/>
      <c r="G72" s="38"/>
      <c r="H72" s="21"/>
      <c r="I72" s="38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3:20" ht="30" customHeight="1" x14ac:dyDescent="0.3">
      <c r="C73" s="3" t="s">
        <v>37</v>
      </c>
      <c r="D73" s="20">
        <v>683248</v>
      </c>
      <c r="E73" s="21">
        <v>-2689011</v>
      </c>
      <c r="F73" s="37">
        <f t="shared" si="16"/>
        <v>0.22169157052527558</v>
      </c>
      <c r="G73" s="38">
        <f t="shared" si="17"/>
        <v>-1.1355134635325452</v>
      </c>
      <c r="H73" s="21">
        <f t="shared" si="14"/>
        <v>3372259</v>
      </c>
      <c r="I73" s="38">
        <f t="shared" si="15"/>
        <v>-125.40889568692728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3:20" ht="15.6" x14ac:dyDescent="0.3">
      <c r="C74" s="4" t="s">
        <v>38</v>
      </c>
      <c r="D74" s="33">
        <v>0</v>
      </c>
      <c r="E74" s="34">
        <v>586701</v>
      </c>
      <c r="F74" s="37">
        <f t="shared" si="16"/>
        <v>0</v>
      </c>
      <c r="G74" s="38">
        <f t="shared" si="17"/>
        <v>0.24775163975454462</v>
      </c>
      <c r="H74" s="34">
        <f t="shared" si="14"/>
        <v>-586701</v>
      </c>
      <c r="I74" s="45">
        <f t="shared" si="15"/>
        <v>-100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3:20" ht="45" customHeight="1" x14ac:dyDescent="0.3">
      <c r="C75" s="16" t="s">
        <v>39</v>
      </c>
      <c r="D75" s="23">
        <v>683248</v>
      </c>
      <c r="E75" s="24">
        <f>SUM(E73:E74)</f>
        <v>-2102310</v>
      </c>
      <c r="F75" s="39">
        <f t="shared" si="16"/>
        <v>0.22169157052527558</v>
      </c>
      <c r="G75" s="40">
        <f t="shared" si="17"/>
        <v>-0.88776182377800061</v>
      </c>
      <c r="H75" s="24">
        <f t="shared" si="14"/>
        <v>2785558</v>
      </c>
      <c r="I75" s="40">
        <f t="shared" si="15"/>
        <v>-132.49986919150837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3:20" ht="15.6" x14ac:dyDescent="0.3">
      <c r="C76" s="16" t="s">
        <v>40</v>
      </c>
      <c r="D76" s="23">
        <v>683248</v>
      </c>
      <c r="E76" s="24">
        <v>-2102310</v>
      </c>
      <c r="F76" s="39">
        <f t="shared" si="16"/>
        <v>0.22169157052527558</v>
      </c>
      <c r="G76" s="40">
        <f t="shared" si="17"/>
        <v>-0.88776182377800061</v>
      </c>
      <c r="H76" s="24">
        <f t="shared" si="14"/>
        <v>2785558</v>
      </c>
      <c r="I76" s="40">
        <f t="shared" si="15"/>
        <v>-132.49986919150837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3:20" ht="16.2" thickBot="1" x14ac:dyDescent="0.35">
      <c r="C77" s="17" t="s">
        <v>41</v>
      </c>
      <c r="D77" s="28">
        <f>SUM(D76,D68)</f>
        <v>513014852</v>
      </c>
      <c r="E77" s="29">
        <f>SUM(E68,E76)</f>
        <v>393518163</v>
      </c>
      <c r="F77" s="48">
        <f t="shared" si="16"/>
        <v>166.45649638589768</v>
      </c>
      <c r="G77" s="49">
        <f t="shared" si="17"/>
        <v>166.17454232470402</v>
      </c>
      <c r="H77" s="29">
        <f t="shared" si="14"/>
        <v>119496689</v>
      </c>
      <c r="I77" s="42">
        <f t="shared" si="15"/>
        <v>30.366244873937369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3:20" ht="15.6" x14ac:dyDescent="0.3">
      <c r="C78" s="2"/>
      <c r="D78" s="20"/>
      <c r="E78" s="21"/>
      <c r="F78" s="37"/>
      <c r="G78" s="38"/>
      <c r="H78" s="21"/>
      <c r="I78" s="38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3:20" ht="16.2" thickBot="1" x14ac:dyDescent="0.35">
      <c r="C79" s="18" t="s">
        <v>42</v>
      </c>
      <c r="D79" s="31">
        <v>24.81</v>
      </c>
      <c r="E79" s="32">
        <v>18.93</v>
      </c>
      <c r="F79" s="48"/>
      <c r="G79" s="49"/>
      <c r="H79" s="32">
        <f t="shared" si="14"/>
        <v>5.879999999999999</v>
      </c>
      <c r="I79" s="49">
        <f t="shared" si="15"/>
        <v>31.061806656101421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3:20" ht="15.6" x14ac:dyDescent="0.3">
      <c r="J80" s="2"/>
    </row>
    <row r="83" spans="2:12" ht="15" thickBot="1" x14ac:dyDescent="0.35"/>
    <row r="84" spans="2:12" ht="15.6" x14ac:dyDescent="0.3">
      <c r="B84" s="50">
        <v>1</v>
      </c>
      <c r="C84" s="51" t="s">
        <v>69</v>
      </c>
      <c r="D84" s="52">
        <f>(D45+D37)/D30</f>
        <v>3.4013077168795238</v>
      </c>
    </row>
    <row r="85" spans="2:12" ht="15.6" x14ac:dyDescent="0.3">
      <c r="B85" s="53">
        <v>2</v>
      </c>
      <c r="C85" s="54" t="s">
        <v>62</v>
      </c>
      <c r="D85" s="55">
        <f>D30/D46</f>
        <v>0.22720519998292424</v>
      </c>
    </row>
    <row r="86" spans="2:12" ht="15.6" x14ac:dyDescent="0.3">
      <c r="B86" s="53">
        <v>3</v>
      </c>
      <c r="C86" s="54" t="s">
        <v>63</v>
      </c>
      <c r="D86" s="55">
        <f>D30/(D37+D45)</f>
        <v>0.29400456625472104</v>
      </c>
    </row>
    <row r="87" spans="2:12" ht="15.6" x14ac:dyDescent="0.3">
      <c r="B87" s="53">
        <v>4</v>
      </c>
      <c r="C87" s="54" t="s">
        <v>64</v>
      </c>
      <c r="D87" s="55">
        <f>(D30+D37)/D46</f>
        <v>0.78279864002544475</v>
      </c>
    </row>
    <row r="88" spans="2:12" ht="15.6" x14ac:dyDescent="0.3">
      <c r="B88" s="53">
        <v>5</v>
      </c>
      <c r="C88" s="54" t="s">
        <v>65</v>
      </c>
      <c r="D88" s="55">
        <f>(D37+D45)/D46</f>
        <v>0.77279480001707579</v>
      </c>
    </row>
    <row r="89" spans="2:12" ht="15.6" x14ac:dyDescent="0.3">
      <c r="B89" s="53">
        <v>6</v>
      </c>
      <c r="C89" s="54" t="s">
        <v>66</v>
      </c>
      <c r="D89" s="55">
        <f>(D21-D45)/D30</f>
        <v>0.98607034333849719</v>
      </c>
    </row>
    <row r="90" spans="2:12" ht="15" customHeight="1" x14ac:dyDescent="0.3">
      <c r="B90" s="53">
        <v>7</v>
      </c>
      <c r="C90" s="68" t="s">
        <v>67</v>
      </c>
      <c r="D90" s="55">
        <f>(D21-D45)/D46</f>
        <v>0.22404030955545404</v>
      </c>
    </row>
    <row r="91" spans="2:12" ht="30" customHeight="1" x14ac:dyDescent="0.3">
      <c r="B91" s="53">
        <v>8</v>
      </c>
      <c r="C91" s="68" t="s">
        <v>68</v>
      </c>
      <c r="D91" s="55">
        <f>(D21-D45)/D16</f>
        <v>3.5251240382403006</v>
      </c>
    </row>
    <row r="92" spans="2:12" ht="30" customHeight="1" thickBot="1" x14ac:dyDescent="0.35">
      <c r="B92" s="56">
        <v>9</v>
      </c>
      <c r="C92" s="57" t="s">
        <v>70</v>
      </c>
      <c r="D92" s="58">
        <f>(D21-D45)/D21</f>
        <v>0.50774966424656043</v>
      </c>
      <c r="L92" s="71"/>
    </row>
    <row r="93" spans="2:12" ht="16.2" thickBot="1" x14ac:dyDescent="0.35">
      <c r="B93" s="2"/>
      <c r="C93" s="2"/>
      <c r="D93" s="59"/>
    </row>
    <row r="94" spans="2:12" ht="15.6" x14ac:dyDescent="0.3">
      <c r="B94" s="50">
        <v>1</v>
      </c>
      <c r="C94" s="51" t="s">
        <v>71</v>
      </c>
      <c r="D94" s="65">
        <f>D53/AVERAGE(D22:E22)</f>
        <v>1.6912200577217107</v>
      </c>
    </row>
    <row r="95" spans="2:12" ht="15.6" x14ac:dyDescent="0.3">
      <c r="B95" s="53">
        <v>2</v>
      </c>
      <c r="C95" s="54" t="s">
        <v>72</v>
      </c>
      <c r="D95" s="66">
        <f>D53/AVERAGE(D8:E8)</f>
        <v>3.0480317991951007</v>
      </c>
    </row>
    <row r="96" spans="2:12" ht="15.6" x14ac:dyDescent="0.3">
      <c r="B96" s="53">
        <v>3</v>
      </c>
      <c r="C96" s="54" t="s">
        <v>73</v>
      </c>
      <c r="D96" s="66">
        <f>D53/AVERAGE(D21:E21)</f>
        <v>4.1659604055168842</v>
      </c>
    </row>
    <row r="97" spans="2:4" ht="15.6" x14ac:dyDescent="0.3">
      <c r="B97" s="53">
        <v>4</v>
      </c>
      <c r="C97" s="54" t="s">
        <v>74</v>
      </c>
      <c r="D97" s="66">
        <f>ABS(D54)/AVERAGE(D16:E16)</f>
        <v>7.9379572522559698</v>
      </c>
    </row>
    <row r="98" spans="2:4" ht="15.6" x14ac:dyDescent="0.3">
      <c r="B98" s="53">
        <v>5</v>
      </c>
      <c r="C98" s="54" t="s">
        <v>75</v>
      </c>
      <c r="D98" s="66">
        <f>D53/AVERAGE(D19:E19)</f>
        <v>19.299273331508385</v>
      </c>
    </row>
    <row r="99" spans="2:4" ht="15.6" x14ac:dyDescent="0.3">
      <c r="B99" s="53">
        <v>6</v>
      </c>
      <c r="C99" s="54" t="s">
        <v>76</v>
      </c>
      <c r="D99" s="66">
        <f>D53/AVERAGE(D20:E20)</f>
        <v>22.17887955182476</v>
      </c>
    </row>
    <row r="100" spans="2:4" ht="15.6" x14ac:dyDescent="0.3">
      <c r="B100" s="53">
        <v>7</v>
      </c>
      <c r="C100" s="54" t="s">
        <v>77</v>
      </c>
      <c r="D100" s="66">
        <f>ABS(D54)/AVERAGE(D40,E40)</f>
        <v>7.7071301309801532</v>
      </c>
    </row>
    <row r="101" spans="2:4" ht="16.2" thickBot="1" x14ac:dyDescent="0.35">
      <c r="B101" s="56">
        <v>8</v>
      </c>
      <c r="C101" s="60" t="s">
        <v>78</v>
      </c>
      <c r="D101" s="67">
        <f>D53/AVERAGE(D30:E30)</f>
        <v>8.3505214457018617</v>
      </c>
    </row>
    <row r="102" spans="2:4" ht="16.2" thickBot="1" x14ac:dyDescent="0.35">
      <c r="B102" s="2"/>
      <c r="C102" s="2"/>
      <c r="D102" s="2"/>
    </row>
    <row r="103" spans="2:4" ht="15.6" x14ac:dyDescent="0.3">
      <c r="B103" s="2"/>
      <c r="C103" s="50" t="s">
        <v>79</v>
      </c>
      <c r="D103" s="61">
        <f>D20/D45</f>
        <v>0.45388342310546925</v>
      </c>
    </row>
    <row r="104" spans="2:4" ht="15.6" x14ac:dyDescent="0.3">
      <c r="B104" s="2"/>
      <c r="C104" s="53" t="s">
        <v>80</v>
      </c>
      <c r="D104" s="62">
        <f>SUM(D19:D20)/D45</f>
        <v>0.737277803802591</v>
      </c>
    </row>
    <row r="105" spans="2:4" ht="15.6" x14ac:dyDescent="0.3">
      <c r="B105" s="2"/>
      <c r="C105" s="53" t="s">
        <v>81</v>
      </c>
      <c r="D105" s="62">
        <f>D21/D45</f>
        <v>2.0314866793730015</v>
      </c>
    </row>
    <row r="106" spans="2:4" ht="30" customHeight="1" x14ac:dyDescent="0.3">
      <c r="B106" s="2"/>
      <c r="C106" s="63" t="s">
        <v>82</v>
      </c>
      <c r="D106" s="62">
        <f>D19/SUM(D40,D44)</f>
        <v>0.81544181072906952</v>
      </c>
    </row>
    <row r="107" spans="2:4" ht="15.6" x14ac:dyDescent="0.3">
      <c r="B107" s="2"/>
      <c r="C107" s="53" t="s">
        <v>83</v>
      </c>
      <c r="D107" s="62">
        <f>D21/D22</f>
        <v>0.44124166953000932</v>
      </c>
    </row>
    <row r="108" spans="2:4" ht="15.6" x14ac:dyDescent="0.3">
      <c r="B108" s="2"/>
      <c r="C108" s="53" t="s">
        <v>84</v>
      </c>
      <c r="D108" s="62">
        <f>(D53+D54+D55)/D53*100</f>
        <v>139.491653981486</v>
      </c>
    </row>
    <row r="109" spans="2:4" ht="15.6" x14ac:dyDescent="0.3">
      <c r="B109" s="2"/>
      <c r="C109" s="53" t="s">
        <v>85</v>
      </c>
      <c r="D109" s="62">
        <f>D65/D53*100</f>
        <v>170.20892232581144</v>
      </c>
    </row>
    <row r="110" spans="2:4" ht="15.6" x14ac:dyDescent="0.3">
      <c r="B110" s="2"/>
      <c r="C110" s="53" t="s">
        <v>88</v>
      </c>
      <c r="D110" s="62">
        <f>D68/D53*100</f>
        <v>166.2348048153724</v>
      </c>
    </row>
    <row r="111" spans="2:4" ht="15.6" x14ac:dyDescent="0.3">
      <c r="B111" s="2"/>
      <c r="C111" s="53" t="s">
        <v>86</v>
      </c>
      <c r="D111" s="62">
        <f>D68/AVERAGE(D22:E22)*100</f>
        <v>281.13963619521144</v>
      </c>
    </row>
    <row r="112" spans="2:4" ht="16.2" thickBot="1" x14ac:dyDescent="0.35">
      <c r="B112" s="2"/>
      <c r="C112" s="56" t="s">
        <v>87</v>
      </c>
      <c r="D112" s="64">
        <f>D68/AVERAGE(D30:E30)*100</f>
        <v>1388.1473026328304</v>
      </c>
    </row>
    <row r="113" spans="3:4" ht="15" thickBot="1" x14ac:dyDescent="0.35"/>
    <row r="114" spans="3:4" ht="16.2" thickBot="1" x14ac:dyDescent="0.35">
      <c r="C114" s="69" t="s">
        <v>89</v>
      </c>
      <c r="D114" s="70">
        <f>365/D97+365/D98-365/D100</f>
        <v>17.53548867690052</v>
      </c>
    </row>
  </sheetData>
  <mergeCells count="4">
    <mergeCell ref="H3:I3"/>
    <mergeCell ref="F3:G3"/>
    <mergeCell ref="F50:G50"/>
    <mergeCell ref="H50:I50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pc7188</dc:creator>
  <cp:lastModifiedBy>Райымбек Салимов</cp:lastModifiedBy>
  <dcterms:created xsi:type="dcterms:W3CDTF">2019-11-12T05:12:08Z</dcterms:created>
  <dcterms:modified xsi:type="dcterms:W3CDTF">2022-03-12T13:11:30Z</dcterms:modified>
</cp:coreProperties>
</file>