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ототот\Desktop\"/>
    </mc:Choice>
  </mc:AlternateContent>
  <xr:revisionPtr revIDLastSave="0" documentId="13_ncr:1_{21E0159E-A0D6-43A8-86E3-25399747D70C}" xr6:coauthVersionLast="45" xr6:coauthVersionMax="45" xr10:uidLastSave="{00000000-0000-0000-0000-000000000000}"/>
  <bookViews>
    <workbookView xWindow="-108" yWindow="-108" windowWidth="23256" windowHeight="12576" xr2:uid="{4061FF3A-46C3-4B87-9AF6-912CD690A3A5}"/>
  </bookViews>
  <sheets>
    <sheet name="Пункт 2" sheetId="2" r:id="rId1"/>
    <sheet name="Пункт 3, 4" sheetId="3" r:id="rId2"/>
    <sheet name="Nike's Data" sheetId="10" r:id="rId3"/>
    <sheet name="Under Armour beta" sheetId="11" r:id="rId4"/>
    <sheet name="Crox beta" sheetId="13" r:id="rId5"/>
    <sheet name="Бэта Skechers" sheetId="12" r:id="rId6"/>
    <sheet name="Пункт 5" sheetId="5" r:id="rId7"/>
    <sheet name="Пункт 6" sheetId="6" r:id="rId8"/>
    <sheet name="Пункт 7" sheetId="7" r:id="rId9"/>
    <sheet name="Пункт 8" sheetId="14" r:id="rId10"/>
  </sheets>
  <externalReferences>
    <externalReference r:id="rId11"/>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D6" i="14" s="1"/>
  <c r="D7" i="14" s="1"/>
  <c r="D8" i="14" s="1"/>
  <c r="D9" i="14" s="1"/>
  <c r="D4" i="14"/>
  <c r="D3" i="14"/>
  <c r="E4" i="14" l="1"/>
  <c r="F4" i="14" s="1"/>
  <c r="F3" i="14"/>
  <c r="E5" i="14" l="1"/>
  <c r="E6" i="14" s="1"/>
  <c r="E7" i="14" s="1"/>
  <c r="F6" i="14"/>
  <c r="F5" i="14"/>
  <c r="H77" i="5"/>
  <c r="H76" i="5"/>
  <c r="G77" i="5"/>
  <c r="G76" i="5"/>
  <c r="E8" i="14" l="1"/>
  <c r="F7" i="14"/>
  <c r="E9" i="14" l="1"/>
  <c r="F8" i="14"/>
  <c r="F9" i="14" l="1"/>
  <c r="E70" i="5" l="1"/>
  <c r="B9" i="3" l="1"/>
  <c r="R8" i="7" l="1"/>
  <c r="C46" i="5"/>
  <c r="B46" i="5"/>
  <c r="C35" i="6" l="1"/>
  <c r="C34" i="6"/>
  <c r="C33" i="6"/>
  <c r="I3" i="14" s="1"/>
  <c r="I4" i="14" s="1"/>
  <c r="C30" i="6"/>
  <c r="E26" i="6" s="1"/>
  <c r="J4" i="14" l="1"/>
  <c r="J8" i="14"/>
  <c r="J9" i="14"/>
  <c r="J5" i="14"/>
  <c r="J6" i="14"/>
  <c r="J3" i="14"/>
  <c r="J7" i="14"/>
  <c r="E27" i="6"/>
  <c r="G33" i="6" s="1"/>
  <c r="C36" i="6"/>
  <c r="I5" i="14"/>
  <c r="K4" i="14"/>
  <c r="L4" i="14" s="1"/>
  <c r="F27" i="5"/>
  <c r="C6" i="12"/>
  <c r="E6" i="12"/>
  <c r="C7" i="12"/>
  <c r="E7" i="12"/>
  <c r="C8" i="12"/>
  <c r="E8" i="12"/>
  <c r="H8" i="12"/>
  <c r="C9" i="12"/>
  <c r="E9" i="12"/>
  <c r="C10" i="12"/>
  <c r="E10" i="12"/>
  <c r="H10" i="12"/>
  <c r="C11" i="12"/>
  <c r="E11" i="12"/>
  <c r="C12" i="12"/>
  <c r="E12" i="12"/>
  <c r="C13" i="12"/>
  <c r="E13" i="12"/>
  <c r="C14" i="12"/>
  <c r="E14" i="12"/>
  <c r="C15" i="12"/>
  <c r="E15" i="12"/>
  <c r="C16" i="12"/>
  <c r="E16" i="12"/>
  <c r="C17" i="12"/>
  <c r="E17" i="12"/>
  <c r="C18" i="12"/>
  <c r="E18" i="12"/>
  <c r="C19" i="12"/>
  <c r="E19" i="12"/>
  <c r="C20" i="12"/>
  <c r="E20" i="12"/>
  <c r="C21" i="12"/>
  <c r="E21" i="12"/>
  <c r="C22" i="12"/>
  <c r="E22" i="12"/>
  <c r="C23" i="12"/>
  <c r="E23" i="12"/>
  <c r="C24" i="12"/>
  <c r="E24" i="12"/>
  <c r="C25" i="12"/>
  <c r="E25" i="12"/>
  <c r="C26" i="12"/>
  <c r="E26" i="12"/>
  <c r="C27" i="12"/>
  <c r="E27" i="12"/>
  <c r="C28" i="12"/>
  <c r="E28" i="12"/>
  <c r="C29" i="12"/>
  <c r="E29" i="12"/>
  <c r="C30" i="12"/>
  <c r="E30" i="12"/>
  <c r="C31" i="12"/>
  <c r="E31" i="12"/>
  <c r="C32" i="12"/>
  <c r="E32" i="12"/>
  <c r="C33" i="12"/>
  <c r="E33" i="12"/>
  <c r="C34" i="12"/>
  <c r="E34" i="12"/>
  <c r="C35" i="12"/>
  <c r="E35" i="12"/>
  <c r="C36" i="12"/>
  <c r="E36" i="12"/>
  <c r="C37" i="12"/>
  <c r="E37" i="12"/>
  <c r="C38" i="12"/>
  <c r="E38" i="12"/>
  <c r="C39" i="12"/>
  <c r="E39" i="12"/>
  <c r="C40" i="12"/>
  <c r="E40" i="12"/>
  <c r="C41" i="12"/>
  <c r="E41" i="12"/>
  <c r="C42" i="12"/>
  <c r="E42" i="12"/>
  <c r="C43" i="12"/>
  <c r="E43" i="12"/>
  <c r="C44" i="12"/>
  <c r="E44" i="12"/>
  <c r="C45" i="12"/>
  <c r="E45" i="12"/>
  <c r="C46" i="12"/>
  <c r="E46" i="12"/>
  <c r="C47" i="12"/>
  <c r="E47" i="12"/>
  <c r="C48" i="12"/>
  <c r="E48" i="12"/>
  <c r="C49" i="12"/>
  <c r="E49" i="12"/>
  <c r="C50" i="12"/>
  <c r="E50" i="12"/>
  <c r="C51" i="12"/>
  <c r="E51" i="12"/>
  <c r="C52" i="12"/>
  <c r="E52" i="12"/>
  <c r="C53" i="12"/>
  <c r="E53" i="12"/>
  <c r="C54" i="12"/>
  <c r="E54" i="12"/>
  <c r="C55" i="12"/>
  <c r="E55" i="12"/>
  <c r="C56" i="12"/>
  <c r="E56" i="12"/>
  <c r="C57" i="12"/>
  <c r="E57" i="12"/>
  <c r="C58" i="12"/>
  <c r="E58" i="12"/>
  <c r="C59" i="12"/>
  <c r="E59" i="12"/>
  <c r="C60" i="12"/>
  <c r="E60" i="12"/>
  <c r="C61" i="12"/>
  <c r="E61" i="12"/>
  <c r="C62" i="12"/>
  <c r="E62" i="12"/>
  <c r="C63" i="12"/>
  <c r="E63" i="12"/>
  <c r="C64" i="12"/>
  <c r="E64" i="12"/>
  <c r="C65" i="12"/>
  <c r="E65" i="12"/>
  <c r="C66" i="12"/>
  <c r="E66" i="12"/>
  <c r="C67" i="12"/>
  <c r="E67" i="12"/>
  <c r="C68" i="12"/>
  <c r="E68" i="12"/>
  <c r="C69" i="12"/>
  <c r="E69" i="12"/>
  <c r="C70" i="12"/>
  <c r="E70" i="12"/>
  <c r="C71" i="12"/>
  <c r="E71" i="12"/>
  <c r="C72" i="12"/>
  <c r="E72" i="12"/>
  <c r="C73" i="12"/>
  <c r="E73" i="12"/>
  <c r="C74" i="12"/>
  <c r="E74" i="12"/>
  <c r="C75" i="12"/>
  <c r="E75" i="12"/>
  <c r="C76" i="12"/>
  <c r="E76" i="12"/>
  <c r="C77" i="12"/>
  <c r="E77" i="12"/>
  <c r="C78" i="12"/>
  <c r="E78" i="12"/>
  <c r="C79" i="12"/>
  <c r="E79" i="12"/>
  <c r="C80" i="12"/>
  <c r="E80" i="12"/>
  <c r="C81" i="12"/>
  <c r="E81" i="12"/>
  <c r="C82" i="12"/>
  <c r="E82" i="12"/>
  <c r="C83" i="12"/>
  <c r="E83" i="12"/>
  <c r="C84" i="12"/>
  <c r="E84" i="12"/>
  <c r="C85" i="12"/>
  <c r="E85" i="12"/>
  <c r="C86" i="12"/>
  <c r="E86" i="12"/>
  <c r="C87" i="12"/>
  <c r="E87" i="12"/>
  <c r="C88" i="12"/>
  <c r="E88" i="12"/>
  <c r="C89" i="12"/>
  <c r="E89" i="12"/>
  <c r="C90" i="12"/>
  <c r="E90" i="12"/>
  <c r="C91" i="12"/>
  <c r="E91" i="12"/>
  <c r="C92" i="12"/>
  <c r="E92" i="12"/>
  <c r="C93" i="12"/>
  <c r="E93" i="12"/>
  <c r="C94" i="12"/>
  <c r="E94" i="12"/>
  <c r="C95" i="12"/>
  <c r="E95" i="12"/>
  <c r="C96" i="12"/>
  <c r="E96" i="12"/>
  <c r="C97" i="12"/>
  <c r="E97" i="12"/>
  <c r="C98" i="12"/>
  <c r="E98" i="12"/>
  <c r="C99" i="12"/>
  <c r="E99" i="12"/>
  <c r="C100" i="12"/>
  <c r="E100" i="12"/>
  <c r="C101" i="12"/>
  <c r="E101" i="12"/>
  <c r="C102" i="12"/>
  <c r="E102" i="12"/>
  <c r="C103" i="12"/>
  <c r="E103" i="12"/>
  <c r="C104" i="12"/>
  <c r="E104" i="12"/>
  <c r="C105" i="12"/>
  <c r="E105" i="12"/>
  <c r="C106" i="12"/>
  <c r="E106" i="12"/>
  <c r="C107" i="12"/>
  <c r="E107" i="12"/>
  <c r="C108" i="12"/>
  <c r="E108" i="12"/>
  <c r="C109" i="12"/>
  <c r="E109" i="12"/>
  <c r="C110" i="12"/>
  <c r="E110" i="12"/>
  <c r="C111" i="12"/>
  <c r="E111" i="12"/>
  <c r="C112" i="12"/>
  <c r="E112" i="12"/>
  <c r="C113" i="12"/>
  <c r="E113" i="12"/>
  <c r="C114" i="12"/>
  <c r="E114" i="12"/>
  <c r="C115" i="12"/>
  <c r="E115" i="12"/>
  <c r="C116" i="12"/>
  <c r="E116" i="12"/>
  <c r="C117" i="12"/>
  <c r="E117" i="12"/>
  <c r="C118" i="12"/>
  <c r="E118" i="12"/>
  <c r="C119" i="12"/>
  <c r="E119" i="12"/>
  <c r="C120" i="12"/>
  <c r="E120" i="12"/>
  <c r="C121" i="12"/>
  <c r="E121" i="12"/>
  <c r="C122" i="12"/>
  <c r="E122" i="12"/>
  <c r="C123" i="12"/>
  <c r="E123" i="12"/>
  <c r="C124" i="12"/>
  <c r="E124" i="12"/>
  <c r="C125" i="12"/>
  <c r="E125" i="12"/>
  <c r="C126" i="12"/>
  <c r="E126" i="12"/>
  <c r="C127" i="12"/>
  <c r="E127" i="12"/>
  <c r="C128" i="12"/>
  <c r="E128" i="12"/>
  <c r="C129" i="12"/>
  <c r="E129" i="12"/>
  <c r="C130" i="12"/>
  <c r="E130" i="12"/>
  <c r="C131" i="12"/>
  <c r="E131" i="12"/>
  <c r="C132" i="12"/>
  <c r="E132" i="12"/>
  <c r="C133" i="12"/>
  <c r="E133" i="12"/>
  <c r="C134" i="12"/>
  <c r="E134" i="12"/>
  <c r="C135" i="12"/>
  <c r="E135" i="12"/>
  <c r="C136" i="12"/>
  <c r="E136" i="12"/>
  <c r="C137" i="12"/>
  <c r="E137" i="12"/>
  <c r="C138" i="12"/>
  <c r="E138" i="12"/>
  <c r="C139" i="12"/>
  <c r="E139" i="12"/>
  <c r="C140" i="12"/>
  <c r="E140" i="12"/>
  <c r="C141" i="12"/>
  <c r="E141" i="12"/>
  <c r="C142" i="12"/>
  <c r="E142" i="12"/>
  <c r="C143" i="12"/>
  <c r="E143" i="12"/>
  <c r="C144" i="12"/>
  <c r="E144" i="12"/>
  <c r="C145" i="12"/>
  <c r="E145" i="12"/>
  <c r="C146" i="12"/>
  <c r="E146" i="12"/>
  <c r="C147" i="12"/>
  <c r="E147" i="12"/>
  <c r="C148" i="12"/>
  <c r="E148" i="12"/>
  <c r="C149" i="12"/>
  <c r="E149" i="12"/>
  <c r="C150" i="12"/>
  <c r="E150" i="12"/>
  <c r="C151" i="12"/>
  <c r="E151" i="12"/>
  <c r="C152" i="12"/>
  <c r="E152" i="12"/>
  <c r="C153" i="12"/>
  <c r="E153" i="12"/>
  <c r="C154" i="12"/>
  <c r="E154" i="12"/>
  <c r="C155" i="12"/>
  <c r="E155" i="12"/>
  <c r="C156" i="12"/>
  <c r="E156" i="12"/>
  <c r="C157" i="12"/>
  <c r="E157" i="12"/>
  <c r="C158" i="12"/>
  <c r="E158" i="12"/>
  <c r="C159" i="12"/>
  <c r="E159" i="12"/>
  <c r="C160" i="12"/>
  <c r="E160" i="12"/>
  <c r="C161" i="12"/>
  <c r="E161" i="12"/>
  <c r="C162" i="12"/>
  <c r="E162" i="12"/>
  <c r="C163" i="12"/>
  <c r="E163" i="12"/>
  <c r="C164" i="12"/>
  <c r="E164" i="12"/>
  <c r="C165" i="12"/>
  <c r="E165" i="12"/>
  <c r="C166" i="12"/>
  <c r="E166" i="12"/>
  <c r="C167" i="12"/>
  <c r="E167" i="12"/>
  <c r="C168" i="12"/>
  <c r="E168" i="12"/>
  <c r="C169" i="12"/>
  <c r="E169" i="12"/>
  <c r="C170" i="12"/>
  <c r="E170" i="12"/>
  <c r="C171" i="12"/>
  <c r="E171" i="12"/>
  <c r="C172" i="12"/>
  <c r="E172" i="12"/>
  <c r="C173" i="12"/>
  <c r="E173" i="12"/>
  <c r="C174" i="12"/>
  <c r="E174" i="12"/>
  <c r="C175" i="12"/>
  <c r="E175" i="12"/>
  <c r="C176" i="12"/>
  <c r="E176" i="12"/>
  <c r="C177" i="12"/>
  <c r="E177" i="12"/>
  <c r="C178" i="12"/>
  <c r="E178" i="12"/>
  <c r="C179" i="12"/>
  <c r="E179" i="12"/>
  <c r="C180" i="12"/>
  <c r="E180" i="12"/>
  <c r="C181" i="12"/>
  <c r="E181" i="12"/>
  <c r="C182" i="12"/>
  <c r="E182" i="12"/>
  <c r="C183" i="12"/>
  <c r="E183" i="12"/>
  <c r="C184" i="12"/>
  <c r="E184" i="12"/>
  <c r="C185" i="12"/>
  <c r="E185" i="12"/>
  <c r="C186" i="12"/>
  <c r="E186" i="12"/>
  <c r="C187" i="12"/>
  <c r="E187" i="12"/>
  <c r="C188" i="12"/>
  <c r="E188" i="12"/>
  <c r="C189" i="12"/>
  <c r="E189" i="12"/>
  <c r="C190" i="12"/>
  <c r="E190" i="12"/>
  <c r="C191" i="12"/>
  <c r="E191" i="12"/>
  <c r="C192" i="12"/>
  <c r="E192" i="12"/>
  <c r="C193" i="12"/>
  <c r="E193" i="12"/>
  <c r="C194" i="12"/>
  <c r="E194" i="12"/>
  <c r="C195" i="12"/>
  <c r="E195" i="12"/>
  <c r="C196" i="12"/>
  <c r="E196" i="12"/>
  <c r="C197" i="12"/>
  <c r="E197" i="12"/>
  <c r="C198" i="12"/>
  <c r="E198" i="12"/>
  <c r="C199" i="12"/>
  <c r="E199" i="12"/>
  <c r="C200" i="12"/>
  <c r="E200" i="12"/>
  <c r="C201" i="12"/>
  <c r="E201" i="12"/>
  <c r="C202" i="12"/>
  <c r="E202" i="12"/>
  <c r="C203" i="12"/>
  <c r="E203" i="12"/>
  <c r="C204" i="12"/>
  <c r="E204" i="12"/>
  <c r="C205" i="12"/>
  <c r="E205" i="12"/>
  <c r="C206" i="12"/>
  <c r="E206" i="12"/>
  <c r="C207" i="12"/>
  <c r="E207" i="12"/>
  <c r="C208" i="12"/>
  <c r="E208" i="12"/>
  <c r="C209" i="12"/>
  <c r="E209" i="12"/>
  <c r="C210" i="12"/>
  <c r="E210" i="12"/>
  <c r="C211" i="12"/>
  <c r="E211" i="12"/>
  <c r="C212" i="12"/>
  <c r="E212" i="12"/>
  <c r="C213" i="12"/>
  <c r="E213" i="12"/>
  <c r="C214" i="12"/>
  <c r="E214" i="12"/>
  <c r="C215" i="12"/>
  <c r="E215" i="12"/>
  <c r="C216" i="12"/>
  <c r="E216" i="12"/>
  <c r="C217" i="12"/>
  <c r="E217" i="12"/>
  <c r="C218" i="12"/>
  <c r="E218" i="12"/>
  <c r="C219" i="12"/>
  <c r="E219" i="12"/>
  <c r="C220" i="12"/>
  <c r="E220" i="12"/>
  <c r="C221" i="12"/>
  <c r="E221" i="12"/>
  <c r="C222" i="12"/>
  <c r="E222" i="12"/>
  <c r="C223" i="12"/>
  <c r="E223" i="12"/>
  <c r="C224" i="12"/>
  <c r="E224" i="12"/>
  <c r="C225" i="12"/>
  <c r="E225" i="12"/>
  <c r="C226" i="12"/>
  <c r="E226" i="12"/>
  <c r="C227" i="12"/>
  <c r="E227" i="12"/>
  <c r="C228" i="12"/>
  <c r="E228" i="12"/>
  <c r="C229" i="12"/>
  <c r="E229" i="12"/>
  <c r="C230" i="12"/>
  <c r="E230" i="12"/>
  <c r="C231" i="12"/>
  <c r="E231" i="12"/>
  <c r="C232" i="12"/>
  <c r="E232" i="12"/>
  <c r="C233" i="12"/>
  <c r="E233" i="12"/>
  <c r="C234" i="12"/>
  <c r="E234" i="12"/>
  <c r="C235" i="12"/>
  <c r="E235" i="12"/>
  <c r="C236" i="12"/>
  <c r="E236" i="12"/>
  <c r="C237" i="12"/>
  <c r="E237" i="12"/>
  <c r="C238" i="12"/>
  <c r="E238" i="12"/>
  <c r="C239" i="12"/>
  <c r="E239" i="12"/>
  <c r="C240" i="12"/>
  <c r="E240" i="12"/>
  <c r="C241" i="12"/>
  <c r="E241" i="12"/>
  <c r="C242" i="12"/>
  <c r="E242" i="12"/>
  <c r="C243" i="12"/>
  <c r="E243" i="12"/>
  <c r="C244" i="12"/>
  <c r="E244" i="12"/>
  <c r="C245" i="12"/>
  <c r="E245" i="12"/>
  <c r="C246" i="12"/>
  <c r="E246" i="12"/>
  <c r="C247" i="12"/>
  <c r="E247" i="12"/>
  <c r="C248" i="12"/>
  <c r="E248" i="12"/>
  <c r="C249" i="12"/>
  <c r="E249" i="12"/>
  <c r="C250" i="12"/>
  <c r="E250" i="12"/>
  <c r="C251" i="12"/>
  <c r="E251" i="12"/>
  <c r="C252" i="12"/>
  <c r="E252" i="12"/>
  <c r="C253" i="12"/>
  <c r="E253" i="12"/>
  <c r="C254" i="12"/>
  <c r="E254" i="12"/>
  <c r="C255" i="12"/>
  <c r="E255" i="12"/>
  <c r="C256" i="12"/>
  <c r="E256" i="12"/>
  <c r="C257" i="12"/>
  <c r="E257" i="12"/>
  <c r="C258" i="12"/>
  <c r="E258" i="12"/>
  <c r="C259" i="12"/>
  <c r="E259" i="12"/>
  <c r="C260" i="12"/>
  <c r="E260" i="12"/>
  <c r="C261" i="12"/>
  <c r="E261" i="12"/>
  <c r="C262" i="12"/>
  <c r="E262" i="12"/>
  <c r="C263" i="12"/>
  <c r="E263" i="12"/>
  <c r="C264" i="12"/>
  <c r="E264" i="12"/>
  <c r="C265" i="12"/>
  <c r="E265" i="12"/>
  <c r="C266" i="12"/>
  <c r="E266" i="12"/>
  <c r="C6" i="13"/>
  <c r="E6" i="13"/>
  <c r="C7" i="13"/>
  <c r="E7" i="13"/>
  <c r="C8" i="13"/>
  <c r="E8" i="13"/>
  <c r="H8" i="13"/>
  <c r="C9" i="13"/>
  <c r="E9" i="13"/>
  <c r="C10" i="13"/>
  <c r="E10" i="13"/>
  <c r="H10" i="13"/>
  <c r="C11" i="13"/>
  <c r="E11" i="13"/>
  <c r="C12" i="13"/>
  <c r="E12" i="13"/>
  <c r="C13" i="13"/>
  <c r="E13" i="13"/>
  <c r="C14" i="13"/>
  <c r="E14" i="13"/>
  <c r="C15" i="13"/>
  <c r="E15" i="13"/>
  <c r="C16" i="13"/>
  <c r="E16" i="13"/>
  <c r="C17" i="13"/>
  <c r="E17" i="13"/>
  <c r="C18" i="13"/>
  <c r="E18" i="13"/>
  <c r="C19" i="13"/>
  <c r="E19" i="13"/>
  <c r="C20" i="13"/>
  <c r="E20" i="13"/>
  <c r="C21" i="13"/>
  <c r="E21" i="13"/>
  <c r="C22" i="13"/>
  <c r="E22" i="13"/>
  <c r="C23" i="13"/>
  <c r="E23" i="13"/>
  <c r="C24" i="13"/>
  <c r="E24" i="13"/>
  <c r="C25" i="13"/>
  <c r="E25" i="13"/>
  <c r="C26" i="13"/>
  <c r="E26" i="13"/>
  <c r="C27" i="13"/>
  <c r="E27" i="13"/>
  <c r="C28" i="13"/>
  <c r="E28" i="13"/>
  <c r="C29" i="13"/>
  <c r="E29" i="13"/>
  <c r="C30" i="13"/>
  <c r="E30" i="13"/>
  <c r="C31" i="13"/>
  <c r="E31" i="13"/>
  <c r="C32" i="13"/>
  <c r="E32" i="13"/>
  <c r="C33" i="13"/>
  <c r="E33" i="13"/>
  <c r="C34" i="13"/>
  <c r="E34" i="13"/>
  <c r="C35" i="13"/>
  <c r="E35" i="13"/>
  <c r="C36" i="13"/>
  <c r="E36" i="13"/>
  <c r="C37" i="13"/>
  <c r="E37" i="13"/>
  <c r="C38" i="13"/>
  <c r="E38" i="13"/>
  <c r="C39" i="13"/>
  <c r="E39" i="13"/>
  <c r="C40" i="13"/>
  <c r="E40" i="13"/>
  <c r="C41" i="13"/>
  <c r="E41" i="13"/>
  <c r="C42" i="13"/>
  <c r="E42" i="13"/>
  <c r="C43" i="13"/>
  <c r="E43" i="13"/>
  <c r="C44" i="13"/>
  <c r="E44" i="13"/>
  <c r="C45" i="13"/>
  <c r="E45" i="13"/>
  <c r="C46" i="13"/>
  <c r="E46" i="13"/>
  <c r="C47" i="13"/>
  <c r="E47" i="13"/>
  <c r="C48" i="13"/>
  <c r="E48" i="13"/>
  <c r="C49" i="13"/>
  <c r="E49" i="13"/>
  <c r="C50" i="13"/>
  <c r="E50" i="13"/>
  <c r="C51" i="13"/>
  <c r="E51" i="13"/>
  <c r="C52" i="13"/>
  <c r="E52" i="13"/>
  <c r="C53" i="13"/>
  <c r="E53" i="13"/>
  <c r="C54" i="13"/>
  <c r="E54" i="13"/>
  <c r="C55" i="13"/>
  <c r="E55" i="13"/>
  <c r="C56" i="13"/>
  <c r="E56" i="13"/>
  <c r="C57" i="13"/>
  <c r="E57" i="13"/>
  <c r="C58" i="13"/>
  <c r="E58" i="13"/>
  <c r="C59" i="13"/>
  <c r="E59" i="13"/>
  <c r="C60" i="13"/>
  <c r="E60" i="13"/>
  <c r="C61" i="13"/>
  <c r="E61" i="13"/>
  <c r="C62" i="13"/>
  <c r="E62" i="13"/>
  <c r="C63" i="13"/>
  <c r="E63" i="13"/>
  <c r="C64" i="13"/>
  <c r="E64" i="13"/>
  <c r="C65" i="13"/>
  <c r="E65" i="13"/>
  <c r="C66" i="13"/>
  <c r="E66" i="13"/>
  <c r="C67" i="13"/>
  <c r="E67" i="13"/>
  <c r="C68" i="13"/>
  <c r="E68" i="13"/>
  <c r="C69" i="13"/>
  <c r="E69" i="13"/>
  <c r="C70" i="13"/>
  <c r="E70" i="13"/>
  <c r="C71" i="13"/>
  <c r="E71" i="13"/>
  <c r="C72" i="13"/>
  <c r="E72" i="13"/>
  <c r="C73" i="13"/>
  <c r="E73" i="13"/>
  <c r="C74" i="13"/>
  <c r="E74" i="13"/>
  <c r="C75" i="13"/>
  <c r="E75" i="13"/>
  <c r="C76" i="13"/>
  <c r="E76" i="13"/>
  <c r="C77" i="13"/>
  <c r="E77" i="13"/>
  <c r="C78" i="13"/>
  <c r="E78" i="13"/>
  <c r="C79" i="13"/>
  <c r="E79" i="13"/>
  <c r="C80" i="13"/>
  <c r="E80" i="13"/>
  <c r="C81" i="13"/>
  <c r="E81" i="13"/>
  <c r="C82" i="13"/>
  <c r="E82" i="13"/>
  <c r="C83" i="13"/>
  <c r="E83" i="13"/>
  <c r="C84" i="13"/>
  <c r="E84" i="13"/>
  <c r="C85" i="13"/>
  <c r="E85" i="13"/>
  <c r="C86" i="13"/>
  <c r="E86" i="13"/>
  <c r="C87" i="13"/>
  <c r="E87" i="13"/>
  <c r="C88" i="13"/>
  <c r="E88" i="13"/>
  <c r="C89" i="13"/>
  <c r="E89" i="13"/>
  <c r="C90" i="13"/>
  <c r="E90" i="13"/>
  <c r="C91" i="13"/>
  <c r="E91" i="13"/>
  <c r="C92" i="13"/>
  <c r="E92" i="13"/>
  <c r="C93" i="13"/>
  <c r="E93" i="13"/>
  <c r="C94" i="13"/>
  <c r="E94" i="13"/>
  <c r="C95" i="13"/>
  <c r="E95" i="13"/>
  <c r="C96" i="13"/>
  <c r="E96" i="13"/>
  <c r="C97" i="13"/>
  <c r="E97" i="13"/>
  <c r="C98" i="13"/>
  <c r="E98" i="13"/>
  <c r="C99" i="13"/>
  <c r="E99" i="13"/>
  <c r="C100" i="13"/>
  <c r="E100" i="13"/>
  <c r="C101" i="13"/>
  <c r="E101" i="13"/>
  <c r="C102" i="13"/>
  <c r="E102" i="13"/>
  <c r="C103" i="13"/>
  <c r="E103" i="13"/>
  <c r="C104" i="13"/>
  <c r="E104" i="13"/>
  <c r="C105" i="13"/>
  <c r="E105" i="13"/>
  <c r="C106" i="13"/>
  <c r="E106" i="13"/>
  <c r="C107" i="13"/>
  <c r="E107" i="13"/>
  <c r="C108" i="13"/>
  <c r="E108" i="13"/>
  <c r="C109" i="13"/>
  <c r="E109" i="13"/>
  <c r="C110" i="13"/>
  <c r="E110" i="13"/>
  <c r="C111" i="13"/>
  <c r="E111" i="13"/>
  <c r="C112" i="13"/>
  <c r="E112" i="13"/>
  <c r="C113" i="13"/>
  <c r="E113" i="13"/>
  <c r="C114" i="13"/>
  <c r="E114" i="13"/>
  <c r="C115" i="13"/>
  <c r="E115" i="13"/>
  <c r="C116" i="13"/>
  <c r="E116" i="13"/>
  <c r="C117" i="13"/>
  <c r="E117" i="13"/>
  <c r="C118" i="13"/>
  <c r="E118" i="13"/>
  <c r="C119" i="13"/>
  <c r="E119" i="13"/>
  <c r="C120" i="13"/>
  <c r="E120" i="13"/>
  <c r="C121" i="13"/>
  <c r="E121" i="13"/>
  <c r="C122" i="13"/>
  <c r="E122" i="13"/>
  <c r="C123" i="13"/>
  <c r="E123" i="13"/>
  <c r="C124" i="13"/>
  <c r="E124" i="13"/>
  <c r="C125" i="13"/>
  <c r="E125" i="13"/>
  <c r="C126" i="13"/>
  <c r="E126" i="13"/>
  <c r="C127" i="13"/>
  <c r="E127" i="13"/>
  <c r="C128" i="13"/>
  <c r="E128" i="13"/>
  <c r="C129" i="13"/>
  <c r="E129" i="13"/>
  <c r="C130" i="13"/>
  <c r="E130" i="13"/>
  <c r="C131" i="13"/>
  <c r="E131" i="13"/>
  <c r="C132" i="13"/>
  <c r="E132" i="13"/>
  <c r="C133" i="13"/>
  <c r="E133" i="13"/>
  <c r="C134" i="13"/>
  <c r="E134" i="13"/>
  <c r="C135" i="13"/>
  <c r="E135" i="13"/>
  <c r="C136" i="13"/>
  <c r="E136" i="13"/>
  <c r="C137" i="13"/>
  <c r="E137" i="13"/>
  <c r="C138" i="13"/>
  <c r="E138" i="13"/>
  <c r="C139" i="13"/>
  <c r="E139" i="13"/>
  <c r="C140" i="13"/>
  <c r="E140" i="13"/>
  <c r="C141" i="13"/>
  <c r="E141" i="13"/>
  <c r="C142" i="13"/>
  <c r="E142" i="13"/>
  <c r="C143" i="13"/>
  <c r="E143" i="13"/>
  <c r="C144" i="13"/>
  <c r="E144" i="13"/>
  <c r="C145" i="13"/>
  <c r="E145" i="13"/>
  <c r="C146" i="13"/>
  <c r="E146" i="13"/>
  <c r="C147" i="13"/>
  <c r="E147" i="13"/>
  <c r="C148" i="13"/>
  <c r="E148" i="13"/>
  <c r="C149" i="13"/>
  <c r="E149" i="13"/>
  <c r="C150" i="13"/>
  <c r="E150" i="13"/>
  <c r="C151" i="13"/>
  <c r="E151" i="13"/>
  <c r="C152" i="13"/>
  <c r="E152" i="13"/>
  <c r="C153" i="13"/>
  <c r="E153" i="13"/>
  <c r="C154" i="13"/>
  <c r="E154" i="13"/>
  <c r="C155" i="13"/>
  <c r="E155" i="13"/>
  <c r="C156" i="13"/>
  <c r="E156" i="13"/>
  <c r="C157" i="13"/>
  <c r="E157" i="13"/>
  <c r="C158" i="13"/>
  <c r="E158" i="13"/>
  <c r="C159" i="13"/>
  <c r="E159" i="13"/>
  <c r="C160" i="13"/>
  <c r="E160" i="13"/>
  <c r="C161" i="13"/>
  <c r="E161" i="13"/>
  <c r="C162" i="13"/>
  <c r="E162" i="13"/>
  <c r="C163" i="13"/>
  <c r="E163" i="13"/>
  <c r="C164" i="13"/>
  <c r="E164" i="13"/>
  <c r="C165" i="13"/>
  <c r="E165" i="13"/>
  <c r="C166" i="13"/>
  <c r="E166" i="13"/>
  <c r="C167" i="13"/>
  <c r="E167" i="13"/>
  <c r="C168" i="13"/>
  <c r="E168" i="13"/>
  <c r="C169" i="13"/>
  <c r="E169" i="13"/>
  <c r="C170" i="13"/>
  <c r="E170" i="13"/>
  <c r="C171" i="13"/>
  <c r="E171" i="13"/>
  <c r="C172" i="13"/>
  <c r="E172" i="13"/>
  <c r="C173" i="13"/>
  <c r="E173" i="13"/>
  <c r="C174" i="13"/>
  <c r="E174" i="13"/>
  <c r="C175" i="13"/>
  <c r="E175" i="13"/>
  <c r="C176" i="13"/>
  <c r="E176" i="13"/>
  <c r="C177" i="13"/>
  <c r="E177" i="13"/>
  <c r="C178" i="13"/>
  <c r="E178" i="13"/>
  <c r="C179" i="13"/>
  <c r="E179" i="13"/>
  <c r="C180" i="13"/>
  <c r="E180" i="13"/>
  <c r="C181" i="13"/>
  <c r="E181" i="13"/>
  <c r="C182" i="13"/>
  <c r="E182" i="13"/>
  <c r="C183" i="13"/>
  <c r="E183" i="13"/>
  <c r="C184" i="13"/>
  <c r="E184" i="13"/>
  <c r="C185" i="13"/>
  <c r="E185" i="13"/>
  <c r="C186" i="13"/>
  <c r="E186" i="13"/>
  <c r="C187" i="13"/>
  <c r="E187" i="13"/>
  <c r="C188" i="13"/>
  <c r="E188" i="13"/>
  <c r="C189" i="13"/>
  <c r="E189" i="13"/>
  <c r="C190" i="13"/>
  <c r="E190" i="13"/>
  <c r="C191" i="13"/>
  <c r="E191" i="13"/>
  <c r="C192" i="13"/>
  <c r="E192" i="13"/>
  <c r="C193" i="13"/>
  <c r="E193" i="13"/>
  <c r="C194" i="13"/>
  <c r="E194" i="13"/>
  <c r="C195" i="13"/>
  <c r="E195" i="13"/>
  <c r="C196" i="13"/>
  <c r="E196" i="13"/>
  <c r="C197" i="13"/>
  <c r="E197" i="13"/>
  <c r="C198" i="13"/>
  <c r="E198" i="13"/>
  <c r="C199" i="13"/>
  <c r="E199" i="13"/>
  <c r="C200" i="13"/>
  <c r="E200" i="13"/>
  <c r="C201" i="13"/>
  <c r="E201" i="13"/>
  <c r="C202" i="13"/>
  <c r="E202" i="13"/>
  <c r="C203" i="13"/>
  <c r="E203" i="13"/>
  <c r="C204" i="13"/>
  <c r="E204" i="13"/>
  <c r="C205" i="13"/>
  <c r="E205" i="13"/>
  <c r="C206" i="13"/>
  <c r="E206" i="13"/>
  <c r="C207" i="13"/>
  <c r="E207" i="13"/>
  <c r="C208" i="13"/>
  <c r="E208" i="13"/>
  <c r="C209" i="13"/>
  <c r="E209" i="13"/>
  <c r="C210" i="13"/>
  <c r="E210" i="13"/>
  <c r="C211" i="13"/>
  <c r="E211" i="13"/>
  <c r="C212" i="13"/>
  <c r="E212" i="13"/>
  <c r="C213" i="13"/>
  <c r="E213" i="13"/>
  <c r="C214" i="13"/>
  <c r="E214" i="13"/>
  <c r="C215" i="13"/>
  <c r="E215" i="13"/>
  <c r="C216" i="13"/>
  <c r="E216" i="13"/>
  <c r="C217" i="13"/>
  <c r="E217" i="13"/>
  <c r="C218" i="13"/>
  <c r="E218" i="13"/>
  <c r="C219" i="13"/>
  <c r="E219" i="13"/>
  <c r="C220" i="13"/>
  <c r="E220" i="13"/>
  <c r="C221" i="13"/>
  <c r="E221" i="13"/>
  <c r="C222" i="13"/>
  <c r="E222" i="13"/>
  <c r="C223" i="13"/>
  <c r="E223" i="13"/>
  <c r="C224" i="13"/>
  <c r="E224" i="13"/>
  <c r="C225" i="13"/>
  <c r="E225" i="13"/>
  <c r="C226" i="13"/>
  <c r="E226" i="13"/>
  <c r="C227" i="13"/>
  <c r="E227" i="13"/>
  <c r="C228" i="13"/>
  <c r="E228" i="13"/>
  <c r="C229" i="13"/>
  <c r="E229" i="13"/>
  <c r="C230" i="13"/>
  <c r="E230" i="13"/>
  <c r="C231" i="13"/>
  <c r="E231" i="13"/>
  <c r="C232" i="13"/>
  <c r="E232" i="13"/>
  <c r="C233" i="13"/>
  <c r="E233" i="13"/>
  <c r="C234" i="13"/>
  <c r="E234" i="13"/>
  <c r="C235" i="13"/>
  <c r="E235" i="13"/>
  <c r="C236" i="13"/>
  <c r="E236" i="13"/>
  <c r="C237" i="13"/>
  <c r="E237" i="13"/>
  <c r="C238" i="13"/>
  <c r="E238" i="13"/>
  <c r="C239" i="13"/>
  <c r="E239" i="13"/>
  <c r="C240" i="13"/>
  <c r="E240" i="13"/>
  <c r="C241" i="13"/>
  <c r="E241" i="13"/>
  <c r="C242" i="13"/>
  <c r="E242" i="13"/>
  <c r="C243" i="13"/>
  <c r="E243" i="13"/>
  <c r="C244" i="13"/>
  <c r="E244" i="13"/>
  <c r="C245" i="13"/>
  <c r="E245" i="13"/>
  <c r="C246" i="13"/>
  <c r="E246" i="13"/>
  <c r="C247" i="13"/>
  <c r="E247" i="13"/>
  <c r="C248" i="13"/>
  <c r="E248" i="13"/>
  <c r="C249" i="13"/>
  <c r="E249" i="13"/>
  <c r="C250" i="13"/>
  <c r="E250" i="13"/>
  <c r="C251" i="13"/>
  <c r="E251" i="13"/>
  <c r="C252" i="13"/>
  <c r="E252" i="13"/>
  <c r="C253" i="13"/>
  <c r="E253" i="13"/>
  <c r="C254" i="13"/>
  <c r="E254" i="13"/>
  <c r="C255" i="13"/>
  <c r="E255" i="13"/>
  <c r="C256" i="13"/>
  <c r="E256" i="13"/>
  <c r="C257" i="13"/>
  <c r="E257" i="13"/>
  <c r="C258" i="13"/>
  <c r="E258" i="13"/>
  <c r="C259" i="13"/>
  <c r="E259" i="13"/>
  <c r="C260" i="13"/>
  <c r="E260" i="13"/>
  <c r="C261" i="13"/>
  <c r="E261" i="13"/>
  <c r="C262" i="13"/>
  <c r="E262" i="13"/>
  <c r="C263" i="13"/>
  <c r="E263" i="13"/>
  <c r="C264" i="13"/>
  <c r="E264" i="13"/>
  <c r="C265" i="13"/>
  <c r="E265" i="13"/>
  <c r="C266" i="13"/>
  <c r="E266" i="13"/>
  <c r="E33" i="3"/>
  <c r="C6" i="11"/>
  <c r="E6" i="11"/>
  <c r="C7" i="11"/>
  <c r="E7" i="11"/>
  <c r="H7" i="11"/>
  <c r="C8" i="11"/>
  <c r="E8" i="11"/>
  <c r="C9" i="11"/>
  <c r="E9" i="11"/>
  <c r="H9" i="11"/>
  <c r="C10" i="11"/>
  <c r="E10" i="11"/>
  <c r="C11" i="11"/>
  <c r="E11" i="11"/>
  <c r="C12" i="11"/>
  <c r="E12" i="11"/>
  <c r="C13" i="11"/>
  <c r="E13" i="11"/>
  <c r="C14" i="11"/>
  <c r="E14" i="11"/>
  <c r="C15" i="11"/>
  <c r="E15" i="11"/>
  <c r="C16" i="11"/>
  <c r="E16" i="11"/>
  <c r="C17" i="11"/>
  <c r="E17" i="11"/>
  <c r="C18" i="11"/>
  <c r="E18" i="11"/>
  <c r="C19" i="11"/>
  <c r="E19" i="11"/>
  <c r="C20" i="11"/>
  <c r="E20" i="11"/>
  <c r="C21" i="11"/>
  <c r="E21" i="11"/>
  <c r="C22" i="11"/>
  <c r="E22" i="11"/>
  <c r="C23" i="11"/>
  <c r="E23" i="11"/>
  <c r="C24" i="11"/>
  <c r="E24" i="11"/>
  <c r="C25" i="11"/>
  <c r="E25" i="11"/>
  <c r="C26" i="11"/>
  <c r="E26" i="11"/>
  <c r="C27" i="11"/>
  <c r="E27" i="11"/>
  <c r="C28" i="11"/>
  <c r="E28" i="11"/>
  <c r="C29" i="11"/>
  <c r="E29" i="11"/>
  <c r="C30" i="11"/>
  <c r="E30" i="11"/>
  <c r="C31" i="11"/>
  <c r="E31" i="11"/>
  <c r="C32" i="11"/>
  <c r="E32" i="11"/>
  <c r="C33" i="11"/>
  <c r="E33" i="11"/>
  <c r="C34" i="11"/>
  <c r="E34" i="11"/>
  <c r="C35" i="11"/>
  <c r="E35" i="11"/>
  <c r="C36" i="11"/>
  <c r="E36" i="11"/>
  <c r="C37" i="11"/>
  <c r="E37" i="11"/>
  <c r="C38" i="11"/>
  <c r="E38" i="11"/>
  <c r="C39" i="11"/>
  <c r="E39" i="11"/>
  <c r="C40" i="11"/>
  <c r="E40" i="11"/>
  <c r="C41" i="11"/>
  <c r="E41" i="11"/>
  <c r="C42" i="11"/>
  <c r="E42" i="11"/>
  <c r="C43" i="11"/>
  <c r="E43" i="11"/>
  <c r="C44" i="11"/>
  <c r="E44" i="11"/>
  <c r="C45" i="11"/>
  <c r="E45" i="11"/>
  <c r="C46" i="11"/>
  <c r="E46" i="11"/>
  <c r="C47" i="11"/>
  <c r="E47" i="11"/>
  <c r="C48" i="11"/>
  <c r="E48" i="11"/>
  <c r="C49" i="11"/>
  <c r="E49" i="11"/>
  <c r="C50" i="11"/>
  <c r="E50" i="11"/>
  <c r="C51" i="11"/>
  <c r="E51" i="11"/>
  <c r="C52" i="11"/>
  <c r="E52" i="11"/>
  <c r="C53" i="11"/>
  <c r="E53" i="11"/>
  <c r="C54" i="11"/>
  <c r="E54" i="11"/>
  <c r="C55" i="11"/>
  <c r="E55" i="11"/>
  <c r="C56" i="11"/>
  <c r="E56" i="11"/>
  <c r="C57" i="11"/>
  <c r="E57" i="11"/>
  <c r="C58" i="11"/>
  <c r="E58" i="11"/>
  <c r="C59" i="11"/>
  <c r="E59" i="11"/>
  <c r="C60" i="11"/>
  <c r="E60" i="11"/>
  <c r="C61" i="11"/>
  <c r="E61" i="11"/>
  <c r="C62" i="11"/>
  <c r="E62" i="11"/>
  <c r="C63" i="11"/>
  <c r="E63" i="11"/>
  <c r="C64" i="11"/>
  <c r="E64" i="11"/>
  <c r="C65" i="11"/>
  <c r="E65" i="11"/>
  <c r="C66" i="11"/>
  <c r="E66" i="11"/>
  <c r="C67" i="11"/>
  <c r="E67" i="11"/>
  <c r="C68" i="11"/>
  <c r="E68" i="11"/>
  <c r="C69" i="11"/>
  <c r="E69" i="11"/>
  <c r="C70" i="11"/>
  <c r="E70" i="11"/>
  <c r="C71" i="11"/>
  <c r="E71" i="11"/>
  <c r="C72" i="11"/>
  <c r="E72" i="11"/>
  <c r="C73" i="11"/>
  <c r="E73" i="11"/>
  <c r="C74" i="11"/>
  <c r="E74" i="11"/>
  <c r="C75" i="11"/>
  <c r="E75" i="11"/>
  <c r="C76" i="11"/>
  <c r="E76" i="11"/>
  <c r="C77" i="11"/>
  <c r="E77" i="11"/>
  <c r="C78" i="11"/>
  <c r="E78" i="11"/>
  <c r="C79" i="11"/>
  <c r="E79" i="11"/>
  <c r="C80" i="11"/>
  <c r="E80" i="11"/>
  <c r="C81" i="11"/>
  <c r="E81" i="11"/>
  <c r="C82" i="11"/>
  <c r="E82" i="11"/>
  <c r="C83" i="11"/>
  <c r="E83" i="11"/>
  <c r="C84" i="11"/>
  <c r="E84" i="11"/>
  <c r="C85" i="11"/>
  <c r="E85" i="11"/>
  <c r="C86" i="11"/>
  <c r="E86" i="11"/>
  <c r="C87" i="11"/>
  <c r="E87" i="11"/>
  <c r="C88" i="11"/>
  <c r="E88" i="11"/>
  <c r="C89" i="11"/>
  <c r="E89" i="11"/>
  <c r="C90" i="11"/>
  <c r="E90" i="11"/>
  <c r="C91" i="11"/>
  <c r="E91" i="11"/>
  <c r="C92" i="11"/>
  <c r="E92" i="11"/>
  <c r="C93" i="11"/>
  <c r="E93" i="11"/>
  <c r="C94" i="11"/>
  <c r="E94" i="11"/>
  <c r="C95" i="11"/>
  <c r="E95" i="11"/>
  <c r="C96" i="11"/>
  <c r="E96" i="11"/>
  <c r="C97" i="11"/>
  <c r="E97" i="11"/>
  <c r="C98" i="11"/>
  <c r="E98" i="11"/>
  <c r="C99" i="11"/>
  <c r="E99" i="11"/>
  <c r="C100" i="11"/>
  <c r="E100" i="11"/>
  <c r="C101" i="11"/>
  <c r="E101" i="11"/>
  <c r="C102" i="11"/>
  <c r="E102" i="11"/>
  <c r="C103" i="11"/>
  <c r="E103" i="11"/>
  <c r="C104" i="11"/>
  <c r="E104" i="11"/>
  <c r="C105" i="11"/>
  <c r="E105" i="11"/>
  <c r="C106" i="11"/>
  <c r="E106" i="11"/>
  <c r="C107" i="11"/>
  <c r="E107" i="11"/>
  <c r="C108" i="11"/>
  <c r="E108" i="11"/>
  <c r="C109" i="11"/>
  <c r="E109" i="11"/>
  <c r="C110" i="11"/>
  <c r="E110" i="11"/>
  <c r="C111" i="11"/>
  <c r="E111" i="11"/>
  <c r="C112" i="11"/>
  <c r="E112" i="11"/>
  <c r="C113" i="11"/>
  <c r="E113" i="11"/>
  <c r="C114" i="11"/>
  <c r="E114" i="11"/>
  <c r="C115" i="11"/>
  <c r="E115" i="11"/>
  <c r="C116" i="11"/>
  <c r="E116" i="11"/>
  <c r="C117" i="11"/>
  <c r="E117" i="11"/>
  <c r="C118" i="11"/>
  <c r="E118" i="11"/>
  <c r="C119" i="11"/>
  <c r="E119" i="11"/>
  <c r="C120" i="11"/>
  <c r="E120" i="11"/>
  <c r="C121" i="11"/>
  <c r="E121" i="11"/>
  <c r="C122" i="11"/>
  <c r="E122" i="11"/>
  <c r="C123" i="11"/>
  <c r="E123" i="11"/>
  <c r="C124" i="11"/>
  <c r="E124" i="11"/>
  <c r="C125" i="11"/>
  <c r="E125" i="11"/>
  <c r="C126" i="11"/>
  <c r="E126" i="11"/>
  <c r="C127" i="11"/>
  <c r="E127" i="11"/>
  <c r="C128" i="11"/>
  <c r="E128" i="11"/>
  <c r="C129" i="11"/>
  <c r="E129" i="11"/>
  <c r="C130" i="11"/>
  <c r="E130" i="11"/>
  <c r="C131" i="11"/>
  <c r="E131" i="11"/>
  <c r="C132" i="11"/>
  <c r="E132" i="11"/>
  <c r="C133" i="11"/>
  <c r="E133" i="11"/>
  <c r="C134" i="11"/>
  <c r="E134" i="11"/>
  <c r="C135" i="11"/>
  <c r="E135" i="11"/>
  <c r="C136" i="11"/>
  <c r="E136" i="11"/>
  <c r="C137" i="11"/>
  <c r="E137" i="11"/>
  <c r="C138" i="11"/>
  <c r="E138" i="11"/>
  <c r="C139" i="11"/>
  <c r="E139" i="11"/>
  <c r="C140" i="11"/>
  <c r="E140" i="11"/>
  <c r="C141" i="11"/>
  <c r="E141" i="11"/>
  <c r="C142" i="11"/>
  <c r="E142" i="11"/>
  <c r="C143" i="11"/>
  <c r="E143" i="11"/>
  <c r="C144" i="11"/>
  <c r="E144" i="11"/>
  <c r="C145" i="11"/>
  <c r="E145" i="11"/>
  <c r="C146" i="11"/>
  <c r="E146" i="11"/>
  <c r="C147" i="11"/>
  <c r="E147" i="11"/>
  <c r="C148" i="11"/>
  <c r="E148" i="11"/>
  <c r="C149" i="11"/>
  <c r="E149" i="11"/>
  <c r="C150" i="11"/>
  <c r="E150" i="11"/>
  <c r="C151" i="11"/>
  <c r="E151" i="11"/>
  <c r="C152" i="11"/>
  <c r="E152" i="11"/>
  <c r="C153" i="11"/>
  <c r="E153" i="11"/>
  <c r="C154" i="11"/>
  <c r="E154" i="11"/>
  <c r="C155" i="11"/>
  <c r="E155" i="11"/>
  <c r="C156" i="11"/>
  <c r="E156" i="11"/>
  <c r="C157" i="11"/>
  <c r="E157" i="11"/>
  <c r="C158" i="11"/>
  <c r="E158" i="11"/>
  <c r="C159" i="11"/>
  <c r="E159" i="11"/>
  <c r="C160" i="11"/>
  <c r="E160" i="11"/>
  <c r="C161" i="11"/>
  <c r="E161" i="11"/>
  <c r="C162" i="11"/>
  <c r="E162" i="11"/>
  <c r="C163" i="11"/>
  <c r="E163" i="11"/>
  <c r="C164" i="11"/>
  <c r="E164" i="11"/>
  <c r="C165" i="11"/>
  <c r="E165" i="11"/>
  <c r="C166" i="11"/>
  <c r="E166" i="11"/>
  <c r="C167" i="11"/>
  <c r="E167" i="11"/>
  <c r="C168" i="11"/>
  <c r="E168" i="11"/>
  <c r="C169" i="11"/>
  <c r="E169" i="11"/>
  <c r="C170" i="11"/>
  <c r="E170" i="11"/>
  <c r="C171" i="11"/>
  <c r="E171" i="11"/>
  <c r="C172" i="11"/>
  <c r="E172" i="11"/>
  <c r="C173" i="11"/>
  <c r="E173" i="11"/>
  <c r="C174" i="11"/>
  <c r="E174" i="11"/>
  <c r="C175" i="11"/>
  <c r="E175" i="11"/>
  <c r="C176" i="11"/>
  <c r="E176" i="11"/>
  <c r="C177" i="11"/>
  <c r="E177" i="11"/>
  <c r="C178" i="11"/>
  <c r="E178" i="11"/>
  <c r="C179" i="11"/>
  <c r="E179" i="11"/>
  <c r="C180" i="11"/>
  <c r="E180" i="11"/>
  <c r="C181" i="11"/>
  <c r="E181" i="11"/>
  <c r="C182" i="11"/>
  <c r="E182" i="11"/>
  <c r="C183" i="11"/>
  <c r="E183" i="11"/>
  <c r="C184" i="11"/>
  <c r="E184" i="11"/>
  <c r="C185" i="11"/>
  <c r="E185" i="11"/>
  <c r="C186" i="11"/>
  <c r="E186" i="11"/>
  <c r="C187" i="11"/>
  <c r="E187" i="11"/>
  <c r="C188" i="11"/>
  <c r="E188" i="11"/>
  <c r="C189" i="11"/>
  <c r="E189" i="11"/>
  <c r="C190" i="11"/>
  <c r="E190" i="11"/>
  <c r="C191" i="11"/>
  <c r="E191" i="11"/>
  <c r="C192" i="11"/>
  <c r="E192" i="11"/>
  <c r="C193" i="11"/>
  <c r="E193" i="11"/>
  <c r="C194" i="11"/>
  <c r="E194" i="11"/>
  <c r="C195" i="11"/>
  <c r="E195" i="11"/>
  <c r="C196" i="11"/>
  <c r="E196" i="11"/>
  <c r="C197" i="11"/>
  <c r="E197" i="11"/>
  <c r="C198" i="11"/>
  <c r="E198" i="11"/>
  <c r="C199" i="11"/>
  <c r="E199" i="11"/>
  <c r="C200" i="11"/>
  <c r="E200" i="11"/>
  <c r="C201" i="11"/>
  <c r="E201" i="11"/>
  <c r="C202" i="11"/>
  <c r="E202" i="11"/>
  <c r="C203" i="11"/>
  <c r="E203" i="11"/>
  <c r="C204" i="11"/>
  <c r="E204" i="11"/>
  <c r="C205" i="11"/>
  <c r="E205" i="11"/>
  <c r="C206" i="11"/>
  <c r="E206" i="11"/>
  <c r="C207" i="11"/>
  <c r="E207" i="11"/>
  <c r="C208" i="11"/>
  <c r="E208" i="11"/>
  <c r="C209" i="11"/>
  <c r="E209" i="11"/>
  <c r="C210" i="11"/>
  <c r="E210" i="11"/>
  <c r="C211" i="11"/>
  <c r="E211" i="11"/>
  <c r="C212" i="11"/>
  <c r="E212" i="11"/>
  <c r="C213" i="11"/>
  <c r="E213" i="11"/>
  <c r="C214" i="11"/>
  <c r="E214" i="11"/>
  <c r="C215" i="11"/>
  <c r="E215" i="11"/>
  <c r="C216" i="11"/>
  <c r="E216" i="11"/>
  <c r="C217" i="11"/>
  <c r="E217" i="11"/>
  <c r="C218" i="11"/>
  <c r="E218" i="11"/>
  <c r="C219" i="11"/>
  <c r="E219" i="11"/>
  <c r="C220" i="11"/>
  <c r="E220" i="11"/>
  <c r="C221" i="11"/>
  <c r="E221" i="11"/>
  <c r="C222" i="11"/>
  <c r="E222" i="11"/>
  <c r="C223" i="11"/>
  <c r="E223" i="11"/>
  <c r="C224" i="11"/>
  <c r="E224" i="11"/>
  <c r="C225" i="11"/>
  <c r="E225" i="11"/>
  <c r="C226" i="11"/>
  <c r="E226" i="11"/>
  <c r="C227" i="11"/>
  <c r="E227" i="11"/>
  <c r="C228" i="11"/>
  <c r="E228" i="11"/>
  <c r="C229" i="11"/>
  <c r="E229" i="11"/>
  <c r="C230" i="11"/>
  <c r="E230" i="11"/>
  <c r="C231" i="11"/>
  <c r="E231" i="11"/>
  <c r="C232" i="11"/>
  <c r="E232" i="11"/>
  <c r="C233" i="11"/>
  <c r="E233" i="11"/>
  <c r="C234" i="11"/>
  <c r="E234" i="11"/>
  <c r="C235" i="11"/>
  <c r="E235" i="11"/>
  <c r="C236" i="11"/>
  <c r="E236" i="11"/>
  <c r="C237" i="11"/>
  <c r="E237" i="11"/>
  <c r="C238" i="11"/>
  <c r="E238" i="11"/>
  <c r="C239" i="11"/>
  <c r="E239" i="11"/>
  <c r="C240" i="11"/>
  <c r="E240" i="11"/>
  <c r="C241" i="11"/>
  <c r="E241" i="11"/>
  <c r="C242" i="11"/>
  <c r="E242" i="11"/>
  <c r="C243" i="11"/>
  <c r="E243" i="11"/>
  <c r="C244" i="11"/>
  <c r="E244" i="11"/>
  <c r="C245" i="11"/>
  <c r="E245" i="11"/>
  <c r="C246" i="11"/>
  <c r="E246" i="11"/>
  <c r="C247" i="11"/>
  <c r="E247" i="11"/>
  <c r="C248" i="11"/>
  <c r="E248" i="11"/>
  <c r="C249" i="11"/>
  <c r="E249" i="11"/>
  <c r="C250" i="11"/>
  <c r="E250" i="11"/>
  <c r="C251" i="11"/>
  <c r="E251" i="11"/>
  <c r="C252" i="11"/>
  <c r="E252" i="11"/>
  <c r="C253" i="11"/>
  <c r="E253" i="11"/>
  <c r="C254" i="11"/>
  <c r="E254" i="11"/>
  <c r="C255" i="11"/>
  <c r="E255" i="11"/>
  <c r="C256" i="11"/>
  <c r="E256" i="11"/>
  <c r="C257" i="11"/>
  <c r="E257" i="11"/>
  <c r="C258" i="11"/>
  <c r="E258" i="11"/>
  <c r="C259" i="11"/>
  <c r="E259" i="11"/>
  <c r="C260" i="11"/>
  <c r="E260" i="11"/>
  <c r="C261" i="11"/>
  <c r="E261" i="11"/>
  <c r="C262" i="11"/>
  <c r="E262" i="11"/>
  <c r="C263" i="11"/>
  <c r="E263" i="11"/>
  <c r="C264" i="11"/>
  <c r="E264" i="11"/>
  <c r="C265" i="11"/>
  <c r="E265" i="11"/>
  <c r="C266" i="11"/>
  <c r="E266" i="11"/>
  <c r="B3" i="10"/>
  <c r="B5" i="10"/>
  <c r="B40" i="3"/>
  <c r="J40" i="3"/>
  <c r="B41" i="3"/>
  <c r="J41" i="3"/>
  <c r="B42" i="3"/>
  <c r="J42" i="3"/>
  <c r="J43" i="3"/>
  <c r="J44" i="3"/>
  <c r="I45" i="3"/>
  <c r="J46" i="3"/>
  <c r="J47" i="3"/>
  <c r="B49" i="3"/>
  <c r="C33" i="3"/>
  <c r="D28" i="3"/>
  <c r="F28" i="3"/>
  <c r="D29" i="3"/>
  <c r="F29" i="3"/>
  <c r="D30" i="3"/>
  <c r="F30" i="3"/>
  <c r="B16" i="3"/>
  <c r="E16" i="3"/>
  <c r="E17" i="3" s="1"/>
  <c r="E18" i="3"/>
  <c r="B19" i="3"/>
  <c r="E19" i="3"/>
  <c r="E20" i="3"/>
  <c r="E21" i="3"/>
  <c r="E22" i="3"/>
  <c r="E24" i="3"/>
  <c r="I6" i="14" l="1"/>
  <c r="K5" i="14"/>
  <c r="L5" i="14" s="1"/>
  <c r="F33" i="3"/>
  <c r="D33" i="3"/>
  <c r="C35" i="3"/>
  <c r="B25" i="3" s="1"/>
  <c r="B37" i="3" s="1"/>
  <c r="B46" i="3" s="1"/>
  <c r="B43" i="3"/>
  <c r="B39" i="3" s="1"/>
  <c r="Q11" i="7"/>
  <c r="Q12" i="7"/>
  <c r="Q13" i="7"/>
  <c r="O11" i="7"/>
  <c r="O12" i="7"/>
  <c r="O7" i="7"/>
  <c r="O8" i="7"/>
  <c r="O9" i="7"/>
  <c r="O10" i="7"/>
  <c r="D6" i="6"/>
  <c r="D4" i="6"/>
  <c r="D5" i="6"/>
  <c r="D7" i="6"/>
  <c r="D3" i="6"/>
  <c r="E9" i="6" s="1"/>
  <c r="I7" i="14" l="1"/>
  <c r="K6" i="14"/>
  <c r="L6" i="14" s="1"/>
  <c r="B44" i="3"/>
  <c r="C44" i="3" s="1"/>
  <c r="B48" i="3"/>
  <c r="C16" i="6"/>
  <c r="C17" i="6" s="1"/>
  <c r="C18" i="6" s="1"/>
  <c r="C19" i="6" s="1"/>
  <c r="C20" i="6" s="1"/>
  <c r="C21" i="6" s="1"/>
  <c r="I8" i="14" l="1"/>
  <c r="K7" i="14"/>
  <c r="L7" i="14" s="1"/>
  <c r="J85" i="5"/>
  <c r="G85" i="5"/>
  <c r="I9" i="14" l="1"/>
  <c r="K9" i="14" s="1"/>
  <c r="N10" i="14" s="1"/>
  <c r="L9" i="14" s="1"/>
  <c r="K8" i="14"/>
  <c r="L8" i="14" s="1"/>
  <c r="M8" i="7"/>
  <c r="M9" i="7" s="1"/>
  <c r="M10" i="7" s="1"/>
  <c r="M11" i="7" s="1"/>
  <c r="P11" i="7" s="1"/>
  <c r="R11" i="7" s="1"/>
  <c r="Q8" i="7"/>
  <c r="Q9" i="7"/>
  <c r="Q10" i="7"/>
  <c r="Q7" i="7"/>
  <c r="P7" i="7"/>
  <c r="F72" i="5"/>
  <c r="E72" i="5"/>
  <c r="G72" i="5" s="1"/>
  <c r="J80" i="5"/>
  <c r="G83" i="5"/>
  <c r="C61" i="5"/>
  <c r="D61" i="5"/>
  <c r="E61" i="5"/>
  <c r="J84" i="5" s="1"/>
  <c r="B61" i="5"/>
  <c r="F65" i="5" s="1"/>
  <c r="G86" i="5" s="1"/>
  <c r="G88" i="5" s="1"/>
  <c r="D46" i="5"/>
  <c r="D48" i="5"/>
  <c r="D33" i="5"/>
  <c r="D22" i="5"/>
  <c r="D19" i="5"/>
  <c r="D31" i="5"/>
  <c r="D32" i="5"/>
  <c r="D34" i="5"/>
  <c r="D36" i="5"/>
  <c r="D37" i="5"/>
  <c r="D30" i="5"/>
  <c r="D20" i="5"/>
  <c r="D21" i="5"/>
  <c r="D23" i="5"/>
  <c r="N12" i="14" l="1"/>
  <c r="N13" i="14" s="1"/>
  <c r="M12" i="7"/>
  <c r="P8" i="7"/>
  <c r="J88" i="5"/>
  <c r="M13" i="7" l="1"/>
  <c r="P13" i="7" s="1"/>
  <c r="R14" i="7" s="1"/>
  <c r="P12" i="7"/>
  <c r="R12" i="7" s="1"/>
  <c r="P10" i="7"/>
  <c r="R10" i="7" s="1"/>
  <c r="P9" i="7"/>
  <c r="R9" i="7" s="1"/>
  <c r="C35" i="5"/>
  <c r="D35" i="5" s="1"/>
  <c r="D38" i="5" s="1"/>
  <c r="F40" i="5" s="1"/>
  <c r="D49" i="5" s="1"/>
  <c r="M16" i="7" l="1"/>
  <c r="E10" i="6"/>
  <c r="D16" i="6" s="1"/>
  <c r="D17" i="6" s="1"/>
  <c r="D18" i="6" s="1"/>
  <c r="D19" i="6" s="1"/>
  <c r="D20" i="6" s="1"/>
  <c r="D21" i="6" s="1"/>
  <c r="E3" i="6"/>
  <c r="E4" i="6"/>
  <c r="E5" i="6"/>
  <c r="E6" i="6"/>
  <c r="E7" i="6"/>
  <c r="E2" i="6"/>
  <c r="E11" i="6" s="1"/>
  <c r="E16" i="6" s="1"/>
  <c r="E17" i="6" s="1"/>
  <c r="E18" i="6" s="1"/>
  <c r="E19" i="6" s="1"/>
  <c r="E20" i="6" s="1"/>
  <c r="E21" i="6" s="1"/>
  <c r="H4" i="11"/>
  <c r="H6" i="11"/>
  <c r="G5" i="13"/>
  <c r="H7" i="13"/>
  <c r="G5" i="12"/>
  <c r="H7" i="12"/>
  <c r="N7" i="7" l="1"/>
</calcChain>
</file>

<file path=xl/sharedStrings.xml><?xml version="1.0" encoding="utf-8"?>
<sst xmlns="http://schemas.openxmlformats.org/spreadsheetml/2006/main" count="249" uniqueCount="182">
  <si>
    <t>Выполнили: Асылов Альхаким, Дарменова Газиза, Салимов Райымбек</t>
  </si>
  <si>
    <t>В качестве рассматриваемой публичной компании был выбран – Nike. Данная компания занимается производством и продажей одежды.
В-первую очередь производство и реализация одежды входит в стандартную классификацию отраслей экономики  Во-вторых, компания была отнесена к этой области, поскольку 80% от ее выручки приходится на деятельность, связанную с реализацией одежды.</t>
  </si>
  <si>
    <t>1.</t>
  </si>
  <si>
    <t>https://ru.investing.com/equities/nike</t>
  </si>
  <si>
    <t xml:space="preserve"> </t>
  </si>
  <si>
    <t>3.</t>
  </si>
  <si>
    <t>Капитализация (12.11)</t>
  </si>
  <si>
    <t>Последний дивиденд (28.08)</t>
  </si>
  <si>
    <t>Компания Nike</t>
  </si>
  <si>
    <t>4.</t>
  </si>
  <si>
    <t>А) Безрисковая ставка</t>
  </si>
  <si>
    <t>Nike -компания, которая обращается на фондовом рынке США - развитом рынке. Следовательно необходимость в поправках отсутствует. Мы будем рассматривать данный актив и его изменение за 10 лет, следовательно надо взять за безрисковую ставку 10-year Zero-coupon treasury bond (USA)</t>
  </si>
  <si>
    <t>Б) Премия за риск</t>
  </si>
  <si>
    <t>Наша команда решила не пользоваться историческими методами поределения ставки ( включая модифицированный исторический метод). Расчет ERP будет сделан с помощью модельного метода.</t>
  </si>
  <si>
    <t>Индекс</t>
  </si>
  <si>
    <t>Год</t>
  </si>
  <si>
    <t>Дивиденд</t>
  </si>
  <si>
    <t>Рост компании в ближайшие 5 лет</t>
  </si>
  <si>
    <t>Рост компании после 5 лет (как у экономики страны США)</t>
  </si>
  <si>
    <t>Безрисковая ставка</t>
  </si>
  <si>
    <r>
      <t>PV</t>
    </r>
    <r>
      <rPr>
        <sz val="10"/>
        <color theme="1"/>
        <rFont val="Calibri"/>
        <family val="2"/>
        <charset val="204"/>
        <scheme val="minor"/>
      </rPr>
      <t>6</t>
    </r>
  </si>
  <si>
    <t>r</t>
  </si>
  <si>
    <t>ERP</t>
  </si>
  <si>
    <t>В) Бета коэффициент</t>
  </si>
  <si>
    <t>Ист.коэф бета</t>
  </si>
  <si>
    <t>D/E</t>
  </si>
  <si>
    <t xml:space="preserve">Tax </t>
  </si>
  <si>
    <t>DOL</t>
  </si>
  <si>
    <t>Crocs</t>
  </si>
  <si>
    <t>Under Armour</t>
  </si>
  <si>
    <t>Skechers USA</t>
  </si>
  <si>
    <t>Средний показатель</t>
  </si>
  <si>
    <r>
      <rPr>
        <sz val="11"/>
        <color theme="1"/>
        <rFont val="Calibri"/>
        <family val="2"/>
        <charset val="204"/>
      </rPr>
      <t>β</t>
    </r>
    <r>
      <rPr>
        <sz val="11"/>
        <color theme="1"/>
        <rFont val="Calibri"/>
        <family val="2"/>
        <charset val="204"/>
        <scheme val="minor"/>
      </rPr>
      <t>u</t>
    </r>
  </si>
  <si>
    <t>Г) Требуемая доходность</t>
  </si>
  <si>
    <t>Д) Стоимость заимствований компании</t>
  </si>
  <si>
    <t>Original Principal ($)</t>
  </si>
  <si>
    <t>Interest rate</t>
  </si>
  <si>
    <t>Interest Payments</t>
  </si>
  <si>
    <t>Реальная цена</t>
  </si>
  <si>
    <t>Лет до погашения</t>
  </si>
  <si>
    <t>Rd</t>
  </si>
  <si>
    <t>LR займ</t>
  </si>
  <si>
    <t>Балансовая стоимость долга</t>
  </si>
  <si>
    <t>Процентные выплаты до погашения</t>
  </si>
  <si>
    <t>Стоимость привлечения LR Debt (%)</t>
  </si>
  <si>
    <t>Оцененная рын.стоимость долга</t>
  </si>
  <si>
    <t>Стоимость заимствования СК (Re)</t>
  </si>
  <si>
    <t>E) WACC</t>
  </si>
  <si>
    <t>Equity + LR liabilities</t>
  </si>
  <si>
    <t xml:space="preserve">Nike имеет большой финансовый рычаг за счет увеличения долга в 2020 году в 3 раза. </t>
  </si>
  <si>
    <t>Выбор модели</t>
  </si>
  <si>
    <t>CAPEX</t>
  </si>
  <si>
    <t>FCFF</t>
  </si>
  <si>
    <t>Стоимость собст.капитала</t>
  </si>
  <si>
    <t>Стоимость займа</t>
  </si>
  <si>
    <t>Nike</t>
  </si>
  <si>
    <t>Tax Rate</t>
  </si>
  <si>
    <t>Market Cap</t>
  </si>
  <si>
    <t>https://ru.investing.com/equities/under-armour-historical-data</t>
  </si>
  <si>
    <t>Under Armour FS</t>
  </si>
  <si>
    <t>https://underarmourinc.gcs-web.com/static-files/b008e576-1645-4250-bf7c-d4baa84aba10</t>
  </si>
  <si>
    <t>S&amp;P 500</t>
  </si>
  <si>
    <t>https://ru.investing.com/indices/us-spx-500-futures-historical-data</t>
  </si>
  <si>
    <t>Slope function</t>
  </si>
  <si>
    <t>Date</t>
  </si>
  <si>
    <t>Price(week)</t>
  </si>
  <si>
    <t>Return</t>
  </si>
  <si>
    <t>Adjusted beta</t>
  </si>
  <si>
    <r>
      <rPr>
        <b/>
        <sz val="11"/>
        <color theme="1"/>
        <rFont val="Calibri"/>
        <family val="2"/>
        <charset val="204"/>
        <scheme val="minor"/>
      </rPr>
      <t>D/E</t>
    </r>
    <r>
      <rPr>
        <sz val="12"/>
        <color theme="1"/>
        <rFont val="Times New Roman"/>
        <family val="2"/>
        <charset val="204"/>
      </rPr>
      <t xml:space="preserve"> ( D = LR debt, E = Book value)</t>
    </r>
  </si>
  <si>
    <t>Tax rate</t>
  </si>
  <si>
    <t>S&amp;P 600</t>
  </si>
  <si>
    <t>https://ru.investing.com/indices/s-p-600-historical-data</t>
  </si>
  <si>
    <t>CROX</t>
  </si>
  <si>
    <t>https://ru.investing.com/equities/crocs-historical-data</t>
  </si>
  <si>
    <t>CROX FSA</t>
  </si>
  <si>
    <t>https://www.annualreports.com/HostedData/AnnualReports/PDF/NASDAQ_CROX_2019.pdf</t>
  </si>
  <si>
    <t>Price (week)</t>
  </si>
  <si>
    <t>https://ru.investing.com/equities/skechers-usa-inc</t>
  </si>
  <si>
    <t>S&amp;P 400</t>
  </si>
  <si>
    <t>https://ru.investing.com/indices/s-p-midcap-400</t>
  </si>
  <si>
    <t>Skechers USA FSA</t>
  </si>
  <si>
    <t>https://d1io3yog0oux5.cloudfront.net/_8a08a9c1ef23820e7164d7171ff2cc13/skx/db/437/3330/annual_report/2019+Annual+Report.pdf</t>
  </si>
  <si>
    <t>Отличие прибыли от денежного потока:</t>
  </si>
  <si>
    <t>FCFF (свободный денежный поток фирмы) и FCFE (свободный денежный поток от капитала)</t>
  </si>
  <si>
    <t>FCFF в отличие от FCFE оценивает денежные потоки как собственного, так и заемного капитала, в то время как другой лценивает денежные потоки только от собственного капитала.</t>
  </si>
  <si>
    <t>FCFF рассчитывается с опреационной прибыли:</t>
  </si>
  <si>
    <t>FCFF = EBIT * (1 - Tax) + Am - dNWC - Capex</t>
  </si>
  <si>
    <t>FCFE = NP - PD - (Capex - Am +dNWC - (New Debt + Debt Repayments))</t>
  </si>
  <si>
    <t>Впервую очередь, нужно учитывать самую последнию информацию о прибыли компании. Для этого данные о прибыли беруться агрегированные за последние четыре квартала.</t>
  </si>
  <si>
    <t>Также нужно совершить соответствующие корректировки:</t>
  </si>
  <si>
    <t>Для нашей компании не требуются корретировка по капитализации расходов на НИОКР. Поскольку они отсутствуют в связи с особенностью деятельности.</t>
  </si>
  <si>
    <t>Конвертирование операционной аренды в долг</t>
  </si>
  <si>
    <t>В таблице представлены обязательства по операционной аренды для фирмы на последующие лет и общая сумма за пределами этого срока:</t>
  </si>
  <si>
    <t>Обязательства (млн. долл.)</t>
  </si>
  <si>
    <t>Приведенная стоимость (млн. долл.)</t>
  </si>
  <si>
    <t>Далее</t>
  </si>
  <si>
    <t>На основе среднегодовых обязательств по аренде за первые пять лет мы приходим к ежегодной выплате за 8 лет.</t>
  </si>
  <si>
    <t>Стоимость заимствований компании</t>
  </si>
  <si>
    <t>Долговая стоимость аренды</t>
  </si>
  <si>
    <t>Скорректированная операционная прибыль</t>
  </si>
  <si>
    <t>тыс. долл.</t>
  </si>
  <si>
    <t>Среди чрезвычайных и периодических затрат и прибылей мы решили провести корректировку на прочие (чистые) расходы, которые от года в год разняются</t>
  </si>
  <si>
    <t>Прочие (чистые) расходы, млн. долл.</t>
  </si>
  <si>
    <t>Прочие (чистые) расходы (1 - налоговая ставка), млн. долл.</t>
  </si>
  <si>
    <t>Средние прочие годовые расходы</t>
  </si>
  <si>
    <t>млн. долл.</t>
  </si>
  <si>
    <t>Корректированный EBIT</t>
  </si>
  <si>
    <t>Влияние налогов. Компания использует эффекктивную налоговую ставку. Это говорит о том, что компания откладывает выплаты налогов на будущий период. Эффективная ставка в динамике показало, что компания выплачивает отложенные задолжности.</t>
  </si>
  <si>
    <t>Последние раз выплаты произошли в 2018 году. На что указывает резкий рост эффективной ставки. Это также говорит о том что в ближайшие несколько лет выплаты отложенных задолжностей не планируется.</t>
  </si>
  <si>
    <t>Эффективная ставка налога, %</t>
  </si>
  <si>
    <t>Нормализация капитальных затрат</t>
  </si>
  <si>
    <t>Capex, тыс. долл.</t>
  </si>
  <si>
    <t>Am, тыс. долл.</t>
  </si>
  <si>
    <t>Чистые капитальные затраты, тыс. долл.</t>
  </si>
  <si>
    <t>Можно заметить по таблице выше что капитальные затраты стабильны за последние 4 года. Однако заметен высокий рост амортизации за последний год.</t>
  </si>
  <si>
    <t>Следует использовать средние чистых капитальных затрат.</t>
  </si>
  <si>
    <t>Чистые капитальные затраты:</t>
  </si>
  <si>
    <t>Далее считаем изменение оборотного капитала. Оборотный капитал это разница между текущими активами и текущими обязательствами.</t>
  </si>
  <si>
    <t>Исключаем краткосрочные финансовые вложения, денежные средства и их эквиваленты из текущих активов, а из текущих обяхательств - краткосрочные кредиты и текущую часть долгосрочных долгов.</t>
  </si>
  <si>
    <t>Оборотный капитал, тыс. долл.</t>
  </si>
  <si>
    <t>Неденежный оборотный капитал, тыс. долл.</t>
  </si>
  <si>
    <t>D/(D+E)</t>
  </si>
  <si>
    <t>D/(D+BV)</t>
  </si>
  <si>
    <t>в тыс. долл.</t>
  </si>
  <si>
    <t>Скорректированный EBIT</t>
  </si>
  <si>
    <t>Скорректированный NP</t>
  </si>
  <si>
    <t>EBIT</t>
  </si>
  <si>
    <t>NP</t>
  </si>
  <si>
    <t>TAX</t>
  </si>
  <si>
    <t>PD</t>
  </si>
  <si>
    <t>AM</t>
  </si>
  <si>
    <t>Capex</t>
  </si>
  <si>
    <t>Am</t>
  </si>
  <si>
    <t>dNWC</t>
  </si>
  <si>
    <t>Скорректированные чистые капитальные затраты</t>
  </si>
  <si>
    <t>New Debt</t>
  </si>
  <si>
    <t>Dedt Repayments</t>
  </si>
  <si>
    <t>FCFE</t>
  </si>
  <si>
    <t>Данные брались с:</t>
  </si>
  <si>
    <t>https://s1.q4cdn.com/806093406/files/doc_financials/2020/ar/NKE-FY20-10K.pdf</t>
  </si>
  <si>
    <t>https://finance.yahoo.com/quote/NKE/cash-flow?p=NKE</t>
  </si>
  <si>
    <t>https://www.macrotrends.net/stocks/charts/NKE/nike/free-cash-flow</t>
  </si>
  <si>
    <t>Процентное изменение (%)</t>
  </si>
  <si>
    <t>Ln(EPS)</t>
  </si>
  <si>
    <t>Арифм.темп роста</t>
  </si>
  <si>
    <t>Геом.темп роста</t>
  </si>
  <si>
    <t>Среднее значение Ln(EPS)</t>
  </si>
  <si>
    <t>Если отталкиваться от исторических данных, то динамику показателя можно представить таким образом:</t>
  </si>
  <si>
    <t>ROE = NP/BV</t>
  </si>
  <si>
    <t>Коэф.реинв.капитал (rr) = (CAPEX - износ + дельта обор.капитала)/прибыль</t>
  </si>
  <si>
    <t>BV</t>
  </si>
  <si>
    <t>g</t>
  </si>
  <si>
    <t>Обоснование для использования модели</t>
  </si>
  <si>
    <t>·       Почему мы используем двухфазную модель? Одной из основных проблем является рост конкуренции. Предполагаем, что Nike будет продолжать расти, но ограничим период роста шестью годами.</t>
  </si>
  <si>
    <t>t</t>
  </si>
  <si>
    <t>EPS</t>
  </si>
  <si>
    <t>pr</t>
  </si>
  <si>
    <t>DPS</t>
  </si>
  <si>
    <t>re</t>
  </si>
  <si>
    <t>PV</t>
  </si>
  <si>
    <t>·       Почему применяется модель дисконтирования дивидендов Nike? Nike заслужил репутацию фирмы со стабильным дивидендными выплатами в процентах по отношению к курсовой стоимости акции и популярна у тех инвесторов, которые хотят получать постоянный доход с низким уровнем риска. С момента своего основания (с 1985г) компания постоянно повышает свои годовые дивиденды. За последние 10 лет Nike не выплатила более половины своей прибыли, следовательно, он сохранил высокий коэффициент покрытия дивидендов, что указывает на то, что его дивиденды были устойчивыми в течение этого периода. Таким образом, поскольку Nike  поддерживает высокий коэффициент покрытия дивидендов и не выплатила больше, чем зарабатывает, маловероятно, что она сократит свои дивиденды.</t>
  </si>
  <si>
    <t>Стоимость акции</t>
  </si>
  <si>
    <t>T</t>
  </si>
  <si>
    <t>Year</t>
  </si>
  <si>
    <t>DFCFF</t>
  </si>
  <si>
    <t>EBIT(1-T)</t>
  </si>
  <si>
    <t>WACC</t>
  </si>
  <si>
    <t xml:space="preserve"> 1-5</t>
  </si>
  <si>
    <t>6-</t>
  </si>
  <si>
    <t>Терминальная стоимость</t>
  </si>
  <si>
    <t>Стоимость</t>
  </si>
  <si>
    <t>Стоимость на акцию</t>
  </si>
  <si>
    <t>EPS, тыс. долл.</t>
  </si>
  <si>
    <t>FCFE или FCFF:</t>
  </si>
  <si>
    <t>Ожидаем рост показателей амортизации, операционной прибыли и капитальный затраты с темпом g. Изменение оборотного капитала предполагаем стабильным, каких либо закономерностей за прошлые годы не заметили. Налог эффективный, что говорит о том что компания откладывает свои выплаты по налогам, однако в конечном счете их выплачивает (последний раз в 2018 г.). Поэтому, мы предпологаем, последующие несколько лет эффективную ставку, а в стабильный период ставку близкую к корпоротивной налоговой ставке США. Темпы роста g выглядят таким образом потому что: после продолжительного(10 лет) стабильного высокого роста, в 2020 году у компании резко снизилась выручка, и, соотвественно, показатели прибыли. Поэтому мы ожидаем что несколько лет Nike будет выходить из проблемного состояния (к тому же, карантин связанный с эпидемией не собирается заканчивается, и будет иметь свой эффект) до тех пор пока не достигнет предыдущего стабильного высоко роста.</t>
  </si>
  <si>
    <t>Предполагаем, что более высокий рост в следующие 5 лет и стабильный рост на 6% в дальнейшем. Требуемая норма доходности 9,76%. Обьяснение темпа роста g в пункте 8.</t>
  </si>
  <si>
    <t xml:space="preserve">К тому же компания показывает стабильной долгорочный рост финансовых показателей, что дает возможность прогнозировать будущие денежные потоки компании с допустимым уровнем риска. При этом компания не в кризисном состоянии, не сезонная, в ней не проходит процесс реструкторизации или иные процессы, которые бы усложняли прогнозирование роста ее показателей. </t>
  </si>
  <si>
    <t>Расчет стоимости компании методом FCFF дает более приближенный к реальности значение. При этом мы считаем стоимость компании переоценнной, поскольку, возможно, не берется в расчет резкое изменин показателей компании, которые связаны в прежнию очередь не с ростом прибыли, а с получение больщого долгосрочного долга. При этом компания пользуется переносами на будущее выплат, в том числе и налоговых, что изкажает ежегодные показатели. Также, несмотря на резкое падение выручки и прибыли, Nike практически не изменили выплаты дивидендов, отсталяя по ним положительный темп роста, что также может давать ложное представление о деятельности компании.</t>
  </si>
  <si>
    <t>Использование исторических данных мало говорит о будущих тенденциях финансовых показателей фирмы. Поскольку не учитывает разные факторы, в том числе и внешние. Использование исторического метода дают показатели неправдоподные.</t>
  </si>
  <si>
    <t>EPS, тыс. долл. (g=56,65)</t>
  </si>
  <si>
    <t>EPS, тыс. долл. (g=-0,05)</t>
  </si>
  <si>
    <t>EPS, тыс. долл. (g=0,64)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</si>
</sst>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00"/>
    <numFmt numFmtId="166" formatCode="[$$-3C09]#,##0;\-[$$-3C09]#,##0"/>
    <numFmt numFmtId="167" formatCode="[$$-3C09]#,##0.000;\-[$$-3C09]#,##0.000"/>
    <numFmt numFmtId="168" formatCode="[$$-1009]#,##0.000"/>
    <numFmt numFmtId="169" formatCode="0.0%"/>
  </numFmts>
  <fonts count="18" x14ac:knownFonts="1">
    <font>
      <sz val="12"/>
      <color theme="1"/>
      <name val="Times New Roman"/>
      <family val="2"/>
      <charset val="204"/>
    </font>
    <font>
      <b/>
      <i/>
      <sz val="12"/>
      <color theme="1"/>
      <name val="Times New Roman"/>
      <family val="1"/>
      <charset val="204"/>
    </font>
    <font>
      <sz val="11.5"/>
      <color theme="1"/>
      <name val="Symbol"/>
      <family val="1"/>
      <charset val="2"/>
    </font>
    <font>
      <b/>
      <sz val="11.5"/>
      <color theme="1"/>
      <name val="Times New Roman"/>
      <family val="1"/>
      <charset val="1"/>
    </font>
    <font>
      <sz val="11"/>
      <color rgb="FF444444"/>
      <name val="Calibri"/>
      <family val="2"/>
      <charset val="204"/>
    </font>
    <font>
      <sz val="11.5"/>
      <color theme="1"/>
      <name val="Times New Roman"/>
      <family val="1"/>
      <charset val="204"/>
    </font>
    <font>
      <sz val="12"/>
      <color theme="1"/>
      <name val="Times New Roman"/>
      <family val="2"/>
      <charset val="204"/>
    </font>
    <font>
      <u/>
      <sz val="12"/>
      <color theme="10"/>
      <name val="Times New Roman"/>
      <family val="2"/>
      <charset val="204"/>
    </font>
    <font>
      <b/>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1"/>
      <color theme="1"/>
      <name val="Calibri"/>
      <family val="2"/>
      <charset val="204"/>
    </font>
    <font>
      <b/>
      <sz val="16"/>
      <color theme="1"/>
      <name val="Calibri"/>
      <family val="2"/>
      <charset val="204"/>
      <scheme val="minor"/>
    </font>
    <font>
      <b/>
      <sz val="14"/>
      <color theme="1"/>
      <name val="Calibri"/>
      <family val="2"/>
      <charset val="204"/>
      <scheme val="minor"/>
    </font>
    <font>
      <b/>
      <sz val="18"/>
      <color theme="1"/>
      <name val="Calibri"/>
      <family val="2"/>
      <charset val="204"/>
      <scheme val="minor"/>
    </font>
    <font>
      <sz val="12"/>
      <color rgb="FF000000"/>
      <name val="Times New Roman"/>
      <family val="1"/>
      <charset val="204"/>
    </font>
    <font>
      <sz val="12"/>
      <name val="Times New Roman"/>
      <family val="2"/>
      <charset val="204"/>
    </font>
    <font>
      <sz val="11.5"/>
      <color theme="1"/>
      <name val="Calibri"/>
      <family val="2"/>
      <charset val="204"/>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164"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cellStyleXfs>
  <cellXfs count="158">
    <xf numFmtId="0" fontId="0" fillId="0" borderId="0" xfId="0"/>
    <xf numFmtId="1" fontId="0" fillId="0" borderId="0" xfId="0" applyNumberFormat="1"/>
    <xf numFmtId="0" fontId="0" fillId="0" borderId="3" xfId="0" applyBorder="1"/>
    <xf numFmtId="0" fontId="0" fillId="2" borderId="1" xfId="0" applyFill="1" applyBorder="1"/>
    <xf numFmtId="0" fontId="1" fillId="0" borderId="0" xfId="0" applyFont="1"/>
    <xf numFmtId="0" fontId="3" fillId="0" borderId="0" xfId="0" applyFont="1"/>
    <xf numFmtId="1" fontId="0" fillId="3" borderId="0" xfId="0" applyNumberFormat="1" applyFill="1"/>
    <xf numFmtId="2" fontId="0" fillId="0" borderId="0" xfId="0" applyNumberFormat="1"/>
    <xf numFmtId="0" fontId="0" fillId="0" borderId="0" xfId="0" applyBorder="1"/>
    <xf numFmtId="0" fontId="0" fillId="0" borderId="4" xfId="0" applyBorder="1"/>
    <xf numFmtId="0" fontId="0" fillId="0" borderId="5" xfId="0" applyBorder="1"/>
    <xf numFmtId="0" fontId="0" fillId="0" borderId="7" xfId="0" applyBorder="1"/>
    <xf numFmtId="0" fontId="0" fillId="3" borderId="3" xfId="0" applyFill="1" applyBorder="1"/>
    <xf numFmtId="1" fontId="0" fillId="0" borderId="3" xfId="0" applyNumberFormat="1"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3" borderId="13" xfId="0" applyFill="1" applyBorder="1"/>
    <xf numFmtId="1" fontId="0" fillId="3" borderId="13" xfId="0" applyNumberFormat="1" applyFill="1" applyBorder="1"/>
    <xf numFmtId="0" fontId="0" fillId="0" borderId="14" xfId="0" applyBorder="1"/>
    <xf numFmtId="0" fontId="0" fillId="0" borderId="15" xfId="0" applyBorder="1"/>
    <xf numFmtId="0" fontId="0" fillId="0" borderId="0" xfId="0" applyAlignment="1">
      <alignment horizontal="center" wrapText="1"/>
    </xf>
    <xf numFmtId="0" fontId="2" fillId="0" borderId="0" xfId="0" applyFont="1" applyAlignment="1">
      <alignment horizontal="center" vertical="center" wrapText="1"/>
    </xf>
    <xf numFmtId="0" fontId="0" fillId="0" borderId="0" xfId="0" applyAlignment="1"/>
    <xf numFmtId="10" fontId="0" fillId="0" borderId="0" xfId="0" applyNumberFormat="1"/>
    <xf numFmtId="0" fontId="0" fillId="0" borderId="3" xfId="0" applyBorder="1" applyAlignment="1">
      <alignment horizontal="center" wrapText="1"/>
    </xf>
    <xf numFmtId="2" fontId="0" fillId="0" borderId="3" xfId="0" applyNumberFormat="1" applyBorder="1"/>
    <xf numFmtId="0" fontId="4" fillId="0" borderId="0" xfId="0" applyFont="1"/>
    <xf numFmtId="0" fontId="7" fillId="0" borderId="0" xfId="3"/>
    <xf numFmtId="0" fontId="7" fillId="0" borderId="0" xfId="3" applyAlignment="1">
      <alignment wrapText="1"/>
    </xf>
    <xf numFmtId="165" fontId="0" fillId="0" borderId="0" xfId="0" applyNumberFormat="1"/>
    <xf numFmtId="0" fontId="0" fillId="0" borderId="1" xfId="0" applyBorder="1"/>
    <xf numFmtId="2" fontId="0" fillId="0" borderId="6" xfId="0" applyNumberFormat="1" applyBorder="1"/>
    <xf numFmtId="0" fontId="8" fillId="0" borderId="0" xfId="0" applyFont="1"/>
    <xf numFmtId="0" fontId="0" fillId="0" borderId="0" xfId="0" applyAlignment="1">
      <alignment vertical="center" wrapText="1"/>
    </xf>
    <xf numFmtId="0" fontId="0" fillId="0" borderId="0" xfId="0" applyAlignment="1">
      <alignment wrapText="1"/>
    </xf>
    <xf numFmtId="166" fontId="0" fillId="0" borderId="0" xfId="1" applyNumberFormat="1" applyFont="1"/>
    <xf numFmtId="167" fontId="0" fillId="0" borderId="0" xfId="1" applyNumberFormat="1" applyFont="1"/>
    <xf numFmtId="10" fontId="0" fillId="4" borderId="0" xfId="0" applyNumberFormat="1" applyFill="1"/>
    <xf numFmtId="167" fontId="0" fillId="0" borderId="0" xfId="0" applyNumberFormat="1"/>
    <xf numFmtId="0" fontId="0" fillId="0" borderId="3" xfId="0" applyBorder="1" applyAlignment="1">
      <alignment horizontal="right"/>
    </xf>
    <xf numFmtId="0" fontId="0" fillId="0" borderId="25" xfId="0" applyBorder="1"/>
    <xf numFmtId="167" fontId="0" fillId="0" borderId="3" xfId="0" applyNumberFormat="1" applyBorder="1"/>
    <xf numFmtId="168" fontId="0" fillId="0" borderId="25" xfId="0" applyNumberFormat="1" applyBorder="1"/>
    <xf numFmtId="168" fontId="0" fillId="0" borderId="0" xfId="0" applyNumberFormat="1"/>
    <xf numFmtId="0" fontId="0" fillId="0" borderId="3" xfId="0" applyBorder="1" applyAlignment="1">
      <alignment horizontal="right" wrapText="1"/>
    </xf>
    <xf numFmtId="9" fontId="0" fillId="0" borderId="3" xfId="0" applyNumberFormat="1" applyBorder="1"/>
    <xf numFmtId="169" fontId="0" fillId="0" borderId="3" xfId="0" applyNumberFormat="1" applyBorder="1"/>
    <xf numFmtId="10" fontId="0" fillId="0" borderId="3" xfId="0" applyNumberFormat="1" applyBorder="1"/>
    <xf numFmtId="9" fontId="0" fillId="0" borderId="26" xfId="0" applyNumberFormat="1" applyBorder="1"/>
    <xf numFmtId="9" fontId="0" fillId="0" borderId="0" xfId="0" applyNumberFormat="1"/>
    <xf numFmtId="10" fontId="0" fillId="0" borderId="24" xfId="0" applyNumberFormat="1" applyBorder="1"/>
    <xf numFmtId="165" fontId="0" fillId="4" borderId="0" xfId="0" applyNumberFormat="1" applyFill="1"/>
    <xf numFmtId="10" fontId="0" fillId="0" borderId="3" xfId="2" applyNumberFormat="1" applyFont="1" applyBorder="1"/>
    <xf numFmtId="0" fontId="8" fillId="0" borderId="3" xfId="0" applyFont="1" applyBorder="1"/>
    <xf numFmtId="0" fontId="9" fillId="0" borderId="0" xfId="0" applyFont="1"/>
    <xf numFmtId="10" fontId="0" fillId="4" borderId="0" xfId="2" applyNumberFormat="1" applyFont="1" applyFill="1"/>
    <xf numFmtId="0" fontId="0" fillId="0" borderId="3" xfId="0" applyBorder="1" applyAlignment="1">
      <alignment wrapText="1"/>
    </xf>
    <xf numFmtId="0" fontId="0" fillId="0" borderId="0" xfId="0" applyAlignment="1">
      <alignment horizontal="right"/>
    </xf>
    <xf numFmtId="0" fontId="0" fillId="0" borderId="0" xfId="0" applyAlignment="1">
      <alignment horizontal="right" wrapText="1"/>
    </xf>
    <xf numFmtId="10" fontId="0" fillId="0" borderId="0" xfId="2" applyNumberFormat="1" applyFont="1"/>
    <xf numFmtId="2" fontId="0" fillId="5" borderId="0" xfId="0" applyNumberFormat="1" applyFill="1"/>
    <xf numFmtId="10" fontId="0" fillId="5" borderId="0" xfId="2" applyNumberFormat="1" applyFont="1" applyFill="1"/>
    <xf numFmtId="9" fontId="0" fillId="0" borderId="3" xfId="2" applyFont="1" applyBorder="1"/>
    <xf numFmtId="0" fontId="0" fillId="0" borderId="0" xfId="0" applyAlignment="1">
      <alignment horizontal="left" wrapText="1"/>
    </xf>
    <xf numFmtId="0" fontId="0" fillId="6" borderId="3" xfId="0" applyFill="1" applyBorder="1"/>
    <xf numFmtId="10" fontId="0" fillId="6" borderId="3" xfId="0" applyNumberFormat="1" applyFill="1" applyBorder="1"/>
    <xf numFmtId="9" fontId="0" fillId="6" borderId="3" xfId="2" applyFont="1" applyFill="1" applyBorder="1"/>
    <xf numFmtId="0" fontId="5" fillId="0" borderId="0" xfId="0" applyFont="1"/>
    <xf numFmtId="3" fontId="0" fillId="0" borderId="0" xfId="0" applyNumberFormat="1"/>
    <xf numFmtId="0" fontId="12" fillId="0" borderId="0" xfId="0" applyFont="1"/>
    <xf numFmtId="14" fontId="0" fillId="0" borderId="0" xfId="0" applyNumberFormat="1"/>
    <xf numFmtId="0" fontId="0" fillId="4" borderId="3" xfId="0" applyFill="1" applyBorder="1"/>
    <xf numFmtId="0" fontId="9" fillId="0" borderId="3" xfId="0" applyFont="1" applyBorder="1" applyAlignment="1">
      <alignment wrapText="1"/>
    </xf>
    <xf numFmtId="10" fontId="0" fillId="4" borderId="3" xfId="2" applyNumberFormat="1" applyFont="1" applyFill="1" applyBorder="1"/>
    <xf numFmtId="9" fontId="0" fillId="4" borderId="3" xfId="0" applyNumberFormat="1" applyFill="1" applyBorder="1"/>
    <xf numFmtId="0" fontId="13" fillId="0" borderId="0" xfId="0" applyFont="1"/>
    <xf numFmtId="0" fontId="14" fillId="0" borderId="0" xfId="0" applyFont="1"/>
    <xf numFmtId="0" fontId="0" fillId="4" borderId="0" xfId="0" applyFill="1"/>
    <xf numFmtId="169" fontId="0" fillId="4" borderId="0" xfId="0" applyNumberFormat="1" applyFill="1"/>
    <xf numFmtId="10" fontId="0" fillId="0" borderId="0" xfId="0" applyNumberFormat="1" applyFill="1"/>
    <xf numFmtId="0" fontId="15" fillId="0" borderId="0" xfId="0" applyFont="1"/>
    <xf numFmtId="10" fontId="16" fillId="0" borderId="0" xfId="0" applyNumberFormat="1" applyFont="1" applyFill="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13" xfId="0" applyBorder="1"/>
    <xf numFmtId="0" fontId="0" fillId="0" borderId="32" xfId="0" applyBorder="1"/>
    <xf numFmtId="0" fontId="0" fillId="0" borderId="33" xfId="0" applyBorder="1"/>
    <xf numFmtId="2" fontId="0" fillId="0" borderId="34" xfId="0" applyNumberFormat="1" applyBorder="1"/>
    <xf numFmtId="165" fontId="0" fillId="0" borderId="3" xfId="0" applyNumberFormat="1" applyBorder="1"/>
    <xf numFmtId="2" fontId="0" fillId="0" borderId="30" xfId="0" applyNumberFormat="1" applyBorder="1"/>
    <xf numFmtId="165" fontId="0" fillId="0" borderId="13" xfId="0" applyNumberFormat="1" applyBorder="1"/>
    <xf numFmtId="2" fontId="0" fillId="0" borderId="32" xfId="0" applyNumberFormat="1" applyBorder="1"/>
    <xf numFmtId="9" fontId="0" fillId="0" borderId="0" xfId="2" applyFont="1"/>
    <xf numFmtId="9" fontId="0" fillId="0" borderId="3" xfId="2" applyFont="1" applyBorder="1" applyAlignment="1">
      <alignment horizontal="center" vertical="center"/>
    </xf>
    <xf numFmtId="9" fontId="0" fillId="0" borderId="13" xfId="2" applyFont="1" applyBorder="1"/>
    <xf numFmtId="0" fontId="0" fillId="0" borderId="24" xfId="0" applyBorder="1"/>
    <xf numFmtId="165" fontId="0" fillId="0" borderId="3" xfId="0" applyNumberFormat="1" applyBorder="1" applyAlignment="1">
      <alignment horizontal="center" wrapText="1"/>
    </xf>
    <xf numFmtId="10" fontId="0" fillId="2" borderId="6" xfId="2" applyNumberFormat="1" applyFont="1" applyFill="1" applyBorder="1"/>
    <xf numFmtId="0" fontId="8" fillId="0" borderId="0" xfId="0" applyFont="1" applyBorder="1"/>
    <xf numFmtId="0" fontId="5" fillId="0" borderId="0" xfId="0" applyFont="1" applyBorder="1"/>
    <xf numFmtId="16" fontId="0" fillId="0" borderId="0" xfId="0" applyNumberFormat="1" applyBorder="1"/>
    <xf numFmtId="9" fontId="0" fillId="0" borderId="0" xfId="0" applyNumberFormat="1" applyBorder="1"/>
    <xf numFmtId="169" fontId="0" fillId="0" borderId="0" xfId="0" applyNumberFormat="1" applyBorder="1"/>
    <xf numFmtId="0" fontId="9" fillId="0" borderId="0" xfId="0" applyFont="1" applyBorder="1"/>
    <xf numFmtId="1" fontId="0" fillId="0" borderId="0" xfId="0" applyNumberFormat="1" applyBorder="1"/>
    <xf numFmtId="0" fontId="0" fillId="0" borderId="0" xfId="0" applyBorder="1" applyAlignment="1">
      <alignment horizontal="left" wrapText="1"/>
    </xf>
    <xf numFmtId="10" fontId="0" fillId="0" borderId="0" xfId="0" applyNumberFormat="1" applyBorder="1"/>
    <xf numFmtId="0" fontId="0" fillId="0" borderId="0" xfId="0" applyBorder="1" applyAlignment="1">
      <alignment horizontal="left"/>
    </xf>
    <xf numFmtId="2" fontId="0" fillId="0" borderId="0" xfId="0" applyNumberFormat="1" applyFill="1" applyBorder="1"/>
    <xf numFmtId="0" fontId="5" fillId="0" borderId="1"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2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wrapText="1"/>
    </xf>
    <xf numFmtId="0" fontId="8"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3" xfId="0" applyBorder="1" applyAlignment="1">
      <alignment horizontal="center"/>
    </xf>
    <xf numFmtId="9" fontId="0" fillId="0" borderId="4" xfId="2" applyFont="1" applyBorder="1" applyAlignment="1">
      <alignment horizontal="center" vertical="center"/>
    </xf>
    <xf numFmtId="9" fontId="0" fillId="0" borderId="5" xfId="2" applyFont="1" applyBorder="1" applyAlignment="1">
      <alignment horizontal="center" vertical="center"/>
    </xf>
    <xf numFmtId="0" fontId="0" fillId="0" borderId="3" xfId="0" applyFill="1" applyBorder="1" applyAlignment="1">
      <alignment horizontal="center"/>
    </xf>
    <xf numFmtId="0" fontId="0" fillId="0" borderId="3" xfId="0" applyFill="1" applyBorder="1" applyAlignment="1">
      <alignment horizontal="center" wrapText="1"/>
    </xf>
    <xf numFmtId="0" fontId="17" fillId="0" borderId="0" xfId="0" applyFont="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3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0" borderId="3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cellXfs>
  <cellStyles count="4">
    <cellStyle name="Hyperlink" xfId="3" xr:uid="{00000000-000B-0000-0000-000008000000}"/>
    <cellStyle name="Обычный" xfId="0" builtinId="0"/>
    <cellStyle name="Процентный" xfId="2"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800" b="0" i="0" baseline="0">
                <a:effectLst/>
              </a:rPr>
              <a:t>Линейная модель роста</a:t>
            </a:r>
            <a:endParaRPr lang="ru-R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'Пункт 6'!$B$2:$B$7</c:f>
              <c:numCache>
                <c:formatCode>General</c:formatCode>
                <c:ptCount val="6"/>
                <c:pt idx="0">
                  <c:v>2015</c:v>
                </c:pt>
                <c:pt idx="1">
                  <c:v>2016</c:v>
                </c:pt>
                <c:pt idx="2">
                  <c:v>2017</c:v>
                </c:pt>
                <c:pt idx="3">
                  <c:v>2018</c:v>
                </c:pt>
                <c:pt idx="4">
                  <c:v>2019</c:v>
                </c:pt>
                <c:pt idx="5">
                  <c:v>2020</c:v>
                </c:pt>
              </c:numCache>
            </c:numRef>
          </c:cat>
          <c:val>
            <c:numRef>
              <c:f>'Пункт 6'!$C$2:$C$7</c:f>
              <c:numCache>
                <c:formatCode>0.00</c:formatCode>
                <c:ptCount val="6"/>
                <c:pt idx="0">
                  <c:v>1.85</c:v>
                </c:pt>
                <c:pt idx="1">
                  <c:v>2.16</c:v>
                </c:pt>
                <c:pt idx="2">
                  <c:v>2.5099999999999998</c:v>
                </c:pt>
                <c:pt idx="3">
                  <c:v>1.17</c:v>
                </c:pt>
                <c:pt idx="4">
                  <c:v>2.4900000000000002</c:v>
                </c:pt>
                <c:pt idx="5">
                  <c:v>1.6</c:v>
                </c:pt>
              </c:numCache>
            </c:numRef>
          </c:val>
          <c:smooth val="0"/>
          <c:extLst>
            <c:ext xmlns:c16="http://schemas.microsoft.com/office/drawing/2014/chart" uri="{C3380CC4-5D6E-409C-BE32-E72D297353CC}">
              <c16:uniqueId val="{00000000-5904-4BF7-8854-51F0917915A0}"/>
            </c:ext>
          </c:extLst>
        </c:ser>
        <c:dLbls>
          <c:showLegendKey val="0"/>
          <c:showVal val="0"/>
          <c:showCatName val="0"/>
          <c:showSerName val="0"/>
          <c:showPercent val="0"/>
          <c:showBubbleSize val="0"/>
        </c:dLbls>
        <c:smooth val="0"/>
        <c:axId val="524975352"/>
        <c:axId val="524978872"/>
      </c:lineChart>
      <c:catAx>
        <c:axId val="52497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4978872"/>
        <c:crosses val="autoZero"/>
        <c:auto val="1"/>
        <c:lblAlgn val="ctr"/>
        <c:lblOffset val="100"/>
        <c:noMultiLvlLbl val="0"/>
      </c:catAx>
      <c:valAx>
        <c:axId val="524978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497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800" b="0" i="0" baseline="0">
                <a:effectLst/>
              </a:rPr>
              <a:t>Логарифмическая модель роста</a:t>
            </a:r>
            <a:endParaRPr lang="ru-R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numRef>
              <c:f>'Пункт 6'!$B$2:$B$7</c:f>
              <c:numCache>
                <c:formatCode>General</c:formatCode>
                <c:ptCount val="6"/>
                <c:pt idx="0">
                  <c:v>2015</c:v>
                </c:pt>
                <c:pt idx="1">
                  <c:v>2016</c:v>
                </c:pt>
                <c:pt idx="2">
                  <c:v>2017</c:v>
                </c:pt>
                <c:pt idx="3">
                  <c:v>2018</c:v>
                </c:pt>
                <c:pt idx="4">
                  <c:v>2019</c:v>
                </c:pt>
                <c:pt idx="5">
                  <c:v>2020</c:v>
                </c:pt>
              </c:numCache>
            </c:numRef>
          </c:cat>
          <c:val>
            <c:numRef>
              <c:f>'Пункт 6'!$E$2:$E$7</c:f>
              <c:numCache>
                <c:formatCode>General</c:formatCode>
                <c:ptCount val="6"/>
                <c:pt idx="0">
                  <c:v>0.61518563909023349</c:v>
                </c:pt>
                <c:pt idx="1">
                  <c:v>0.77010822169607374</c:v>
                </c:pt>
                <c:pt idx="2">
                  <c:v>0.92028275314369246</c:v>
                </c:pt>
                <c:pt idx="3">
                  <c:v>0.15700374880966469</c:v>
                </c:pt>
                <c:pt idx="4">
                  <c:v>0.91228271047661635</c:v>
                </c:pt>
                <c:pt idx="5">
                  <c:v>0.47000362924573563</c:v>
                </c:pt>
              </c:numCache>
            </c:numRef>
          </c:val>
          <c:smooth val="0"/>
          <c:extLst>
            <c:ext xmlns:c16="http://schemas.microsoft.com/office/drawing/2014/chart" uri="{C3380CC4-5D6E-409C-BE32-E72D297353CC}">
              <c16:uniqueId val="{00000000-4ACD-48F8-BDF0-F7F38F1755F3}"/>
            </c:ext>
          </c:extLst>
        </c:ser>
        <c:dLbls>
          <c:showLegendKey val="0"/>
          <c:showVal val="0"/>
          <c:showCatName val="0"/>
          <c:showSerName val="0"/>
          <c:showPercent val="0"/>
          <c:showBubbleSize val="0"/>
        </c:dLbls>
        <c:marker val="1"/>
        <c:smooth val="0"/>
        <c:axId val="738350840"/>
        <c:axId val="738352760"/>
      </c:lineChart>
      <c:catAx>
        <c:axId val="73835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8352760"/>
        <c:crosses val="autoZero"/>
        <c:auto val="1"/>
        <c:lblAlgn val="ctr"/>
        <c:lblOffset val="100"/>
        <c:noMultiLvlLbl val="0"/>
      </c:catAx>
      <c:valAx>
        <c:axId val="73835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8350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904876</xdr:colOff>
      <xdr:row>47</xdr:row>
      <xdr:rowOff>178548</xdr:rowOff>
    </xdr:from>
    <xdr:to>
      <xdr:col>12</xdr:col>
      <xdr:colOff>26671</xdr:colOff>
      <xdr:row>60</xdr:row>
      <xdr:rowOff>43815</xdr:rowOff>
    </xdr:to>
    <xdr:pic>
      <xdr:nvPicPr>
        <xdr:cNvPr id="2" name="Рисунок 1">
          <a:extLst>
            <a:ext uri="{FF2B5EF4-FFF2-40B4-BE49-F238E27FC236}">
              <a16:creationId xmlns:a16="http://schemas.microsoft.com/office/drawing/2014/main" id="{C69C16CC-91ED-4D96-A12C-72B967438B78}"/>
            </a:ext>
          </a:extLst>
        </xdr:cNvPr>
        <xdr:cNvPicPr>
          <a:picLocks noChangeAspect="1"/>
        </xdr:cNvPicPr>
      </xdr:nvPicPr>
      <xdr:blipFill rotWithShape="1">
        <a:blip xmlns:r="http://schemas.openxmlformats.org/officeDocument/2006/relationships" r:embed="rId1"/>
        <a:srcRect l="17998" t="27978" r="25772" b="32337"/>
        <a:stretch/>
      </xdr:blipFill>
      <xdr:spPr>
        <a:xfrm>
          <a:off x="5781676" y="11677128"/>
          <a:ext cx="6256020" cy="2351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659130</xdr:colOff>
      <xdr:row>0</xdr:row>
      <xdr:rowOff>0</xdr:rowOff>
    </xdr:from>
    <xdr:to>
      <xdr:col>20</xdr:col>
      <xdr:colOff>655320</xdr:colOff>
      <xdr:row>24</xdr:row>
      <xdr:rowOff>167640</xdr:rowOff>
    </xdr:to>
    <xdr:graphicFrame macro="">
      <xdr:nvGraphicFramePr>
        <xdr:cNvPr id="5" name="Диаграмма 1">
          <a:extLst>
            <a:ext uri="{FF2B5EF4-FFF2-40B4-BE49-F238E27FC236}">
              <a16:creationId xmlns:a16="http://schemas.microsoft.com/office/drawing/2014/main" id="{A547257D-3DF6-4F7B-A480-862BFFC0C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87630</xdr:colOff>
      <xdr:row>26</xdr:row>
      <xdr:rowOff>110490</xdr:rowOff>
    </xdr:from>
    <xdr:to>
      <xdr:col>17</xdr:col>
      <xdr:colOff>636270</xdr:colOff>
      <xdr:row>40</xdr:row>
      <xdr:rowOff>80010</xdr:rowOff>
    </xdr:to>
    <xdr:graphicFrame macro="">
      <xdr:nvGraphicFramePr>
        <xdr:cNvPr id="6" name="Диаграмма 2">
          <a:extLst>
            <a:ext uri="{FF2B5EF4-FFF2-40B4-BE49-F238E27FC236}">
              <a16:creationId xmlns:a16="http://schemas.microsoft.com/office/drawing/2014/main" id="{36C486A1-CE62-402F-B2D1-A9BE9849CAE5}"/>
            </a:ext>
            <a:ext uri="{147F2762-F138-4A5C-976F-8EAC2B608ADB}">
              <a16:predDERef xmlns:a16="http://schemas.microsoft.com/office/drawing/2014/main" pred="{A547257D-3DF6-4F7B-A480-862BFFC0C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86;&#1090;&#1086;&#1090;&#1086;&#1090;/Downloads/Nik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Nike's Data"/>
      <sheetName val="Under Armour beta"/>
      <sheetName val="Crox beta"/>
      <sheetName val="Бэта Skechers"/>
    </sheetNames>
    <sheetDataSet>
      <sheetData sheetId="0">
        <row r="45">
          <cell r="B45">
            <v>3464</v>
          </cell>
        </row>
        <row r="54">
          <cell r="B54">
            <v>12504</v>
          </cell>
        </row>
      </sheetData>
      <sheetData sheetId="1">
        <row r="3">
          <cell r="B3">
            <v>1.6157666045934203</v>
          </cell>
        </row>
        <row r="4">
          <cell r="B4">
            <v>0.124</v>
          </cell>
        </row>
        <row r="5">
          <cell r="B5">
            <v>-7.0561977795582001E-2</v>
          </cell>
        </row>
      </sheetData>
      <sheetData sheetId="2"/>
      <sheetData sheetId="3"/>
      <sheetData sheetId="4"/>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u.investing.com/equities/nik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u.investing.com/indices/us-spx-500-futures-historical-data" TargetMode="External"/><Relationship Id="rId2" Type="http://schemas.openxmlformats.org/officeDocument/2006/relationships/hyperlink" Target="https://underarmourinc.gcs-web.com/static-files/b008e576-1645-4250-bf7c-d4baa84aba10" TargetMode="External"/><Relationship Id="rId1" Type="http://schemas.openxmlformats.org/officeDocument/2006/relationships/hyperlink" Target="https://ru.investing.com/equities/under-armour-historical-dat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nnualreports.com/HostedData/AnnualReports/PDF/NASDAQ_CROX_2019.pdf" TargetMode="External"/><Relationship Id="rId2" Type="http://schemas.openxmlformats.org/officeDocument/2006/relationships/hyperlink" Target="https://ru.investing.com/equities/crocs-historical-data" TargetMode="External"/><Relationship Id="rId1" Type="http://schemas.openxmlformats.org/officeDocument/2006/relationships/hyperlink" Target="https://ru.investing.com/indices/s-p-600-historical-dat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1io3yog0oux5.cloudfront.net/_8a08a9c1ef23820e7164d7171ff2cc13/skx/db/437/3330/annual_report/2019+Annual+Report.pdf" TargetMode="External"/><Relationship Id="rId2" Type="http://schemas.openxmlformats.org/officeDocument/2006/relationships/hyperlink" Target="https://ru.investing.com/indices/s-p-midcap-400" TargetMode="External"/><Relationship Id="rId1" Type="http://schemas.openxmlformats.org/officeDocument/2006/relationships/hyperlink" Target="https://ru.investing.com/equities/skechers-usa-inc"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1A0C-85A1-4822-B9CA-B496B5B83981}">
  <dimension ref="B2:N3"/>
  <sheetViews>
    <sheetView tabSelected="1" workbookViewId="0">
      <selection activeCell="E6" sqref="E6"/>
    </sheetView>
  </sheetViews>
  <sheetFormatPr defaultRowHeight="15.6" x14ac:dyDescent="0.3"/>
  <sheetData>
    <row r="2" spans="2:14" ht="16.2" thickBot="1" x14ac:dyDescent="0.35">
      <c r="B2" t="s">
        <v>0</v>
      </c>
    </row>
    <row r="3" spans="2:14" ht="180" customHeight="1" thickBot="1" x14ac:dyDescent="0.35">
      <c r="B3" s="116" t="s">
        <v>1</v>
      </c>
      <c r="C3" s="117"/>
      <c r="D3" s="117"/>
      <c r="E3" s="117"/>
      <c r="F3" s="117"/>
      <c r="G3" s="117"/>
      <c r="H3" s="117"/>
      <c r="I3" s="118"/>
      <c r="J3" s="119" t="s">
        <v>176</v>
      </c>
      <c r="K3" s="120"/>
      <c r="L3" s="120"/>
      <c r="M3" s="120"/>
      <c r="N3" s="121"/>
    </row>
  </sheetData>
  <mergeCells count="2">
    <mergeCell ref="B3:I3"/>
    <mergeCell ref="J3:N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07432-1CB5-499E-8118-4E7A5146C50D}">
  <dimension ref="A2:O21"/>
  <sheetViews>
    <sheetView zoomScale="99" workbookViewId="0">
      <selection activeCell="H9" sqref="H9"/>
    </sheetView>
  </sheetViews>
  <sheetFormatPr defaultRowHeight="15.6" x14ac:dyDescent="0.3"/>
  <cols>
    <col min="1" max="1" width="22.59765625" customWidth="1"/>
    <col min="2" max="2" width="10.8984375" bestFit="1" customWidth="1"/>
    <col min="13" max="13" width="18.296875" customWidth="1"/>
    <col min="14" max="14" width="12.3984375" bestFit="1" customWidth="1"/>
    <col min="15" max="15" width="23.69921875" customWidth="1"/>
  </cols>
  <sheetData>
    <row r="2" spans="1:15" x14ac:dyDescent="0.3">
      <c r="B2" s="2" t="s">
        <v>163</v>
      </c>
      <c r="C2" s="2" t="s">
        <v>154</v>
      </c>
      <c r="D2" s="2" t="s">
        <v>132</v>
      </c>
      <c r="E2" s="2" t="s">
        <v>126</v>
      </c>
      <c r="F2" s="2" t="s">
        <v>165</v>
      </c>
      <c r="G2" s="2" t="s">
        <v>162</v>
      </c>
      <c r="H2" s="2" t="s">
        <v>151</v>
      </c>
      <c r="I2" s="2" t="s">
        <v>51</v>
      </c>
      <c r="J2" s="2" t="s">
        <v>133</v>
      </c>
      <c r="K2" s="2" t="s">
        <v>52</v>
      </c>
      <c r="L2" s="2" t="s">
        <v>164</v>
      </c>
    </row>
    <row r="3" spans="1:15" x14ac:dyDescent="0.3">
      <c r="B3" s="2">
        <v>2020</v>
      </c>
      <c r="C3" s="2">
        <v>0</v>
      </c>
      <c r="D3" s="13">
        <f>'Пункт 5'!$G$83</f>
        <v>1119000</v>
      </c>
      <c r="E3" s="13">
        <v>3115000</v>
      </c>
      <c r="F3" s="13">
        <f>E3*(1-G3)</f>
        <v>2738085</v>
      </c>
      <c r="G3" s="2">
        <v>0.121</v>
      </c>
      <c r="H3" s="49">
        <v>0.05</v>
      </c>
      <c r="I3" s="13">
        <f>'Пункт 6'!$C$33</f>
        <v>1086000</v>
      </c>
      <c r="J3" s="2">
        <f>'Пункт 6'!$C$35</f>
        <v>170000</v>
      </c>
      <c r="K3" s="2"/>
      <c r="L3" s="2"/>
    </row>
    <row r="4" spans="1:15" x14ac:dyDescent="0.3">
      <c r="B4" s="2">
        <v>2021</v>
      </c>
      <c r="C4" s="2">
        <v>1</v>
      </c>
      <c r="D4" s="13">
        <f>D3*(1+H3)</f>
        <v>1174950</v>
      </c>
      <c r="E4" s="13">
        <f>E3*(1+H3)</f>
        <v>3270750</v>
      </c>
      <c r="F4" s="13">
        <f t="shared" ref="F4:F9" si="0">E4*(1-G4)</f>
        <v>2874989.25</v>
      </c>
      <c r="G4" s="2">
        <v>0.121</v>
      </c>
      <c r="H4" s="49">
        <v>0.06</v>
      </c>
      <c r="I4" s="13">
        <f>I3*(1+H3)</f>
        <v>1140300</v>
      </c>
      <c r="J4" s="2">
        <f>'Пункт 6'!$C$35</f>
        <v>170000</v>
      </c>
      <c r="K4" s="13">
        <f t="shared" ref="K4:K9" si="1">F4-I4+D4-J4</f>
        <v>2739639.25</v>
      </c>
      <c r="L4" s="13">
        <f>K4/($B$17+1)^C4</f>
        <v>2514043.8547899867</v>
      </c>
    </row>
    <row r="5" spans="1:15" x14ac:dyDescent="0.3">
      <c r="B5" s="2">
        <v>2022</v>
      </c>
      <c r="C5" s="2">
        <v>2</v>
      </c>
      <c r="D5" s="13">
        <f t="shared" ref="D5:D9" si="2">D4*(1+H4)</f>
        <v>1245447</v>
      </c>
      <c r="E5" s="13">
        <f t="shared" ref="E5:E9" si="3">E4*(1+H4)</f>
        <v>3466995</v>
      </c>
      <c r="F5" s="13">
        <f t="shared" si="0"/>
        <v>3047488.605</v>
      </c>
      <c r="G5" s="2">
        <v>0.121</v>
      </c>
      <c r="H5" s="49">
        <v>0.08</v>
      </c>
      <c r="I5" s="13">
        <f t="shared" ref="I5:I9" si="4">I4*(1+H4)</f>
        <v>1208718</v>
      </c>
      <c r="J5" s="2">
        <f>'Пункт 6'!$C$35</f>
        <v>170000</v>
      </c>
      <c r="K5" s="13">
        <f t="shared" si="1"/>
        <v>2914217.605</v>
      </c>
      <c r="L5" s="13">
        <f>K5/($B$17+1)^C5</f>
        <v>2454035.9282760299</v>
      </c>
    </row>
    <row r="6" spans="1:15" x14ac:dyDescent="0.3">
      <c r="B6" s="2">
        <v>2023</v>
      </c>
      <c r="C6" s="2">
        <v>3</v>
      </c>
      <c r="D6" s="13">
        <f t="shared" si="2"/>
        <v>1345082.76</v>
      </c>
      <c r="E6" s="13">
        <f t="shared" si="3"/>
        <v>3744354.6</v>
      </c>
      <c r="F6" s="13">
        <f t="shared" si="0"/>
        <v>3291287.6934000002</v>
      </c>
      <c r="G6" s="2">
        <v>0.121</v>
      </c>
      <c r="H6" s="49">
        <v>0.1</v>
      </c>
      <c r="I6" s="13">
        <f t="shared" si="4"/>
        <v>1305415.4400000002</v>
      </c>
      <c r="J6" s="2">
        <f>'Пункт 6'!$C$35</f>
        <v>170000</v>
      </c>
      <c r="K6" s="13">
        <f t="shared" si="1"/>
        <v>3160955.0134000001</v>
      </c>
      <c r="L6" s="13">
        <f>K6/($B$17+1)^C6</f>
        <v>2442624.5846578903</v>
      </c>
    </row>
    <row r="7" spans="1:15" x14ac:dyDescent="0.3">
      <c r="B7" s="2">
        <v>2024</v>
      </c>
      <c r="C7" s="2">
        <v>4</v>
      </c>
      <c r="D7" s="13">
        <f t="shared" si="2"/>
        <v>1479591.0360000001</v>
      </c>
      <c r="E7" s="13">
        <f t="shared" si="3"/>
        <v>4118790.0600000005</v>
      </c>
      <c r="F7" s="13">
        <f t="shared" si="0"/>
        <v>3620416.4627400003</v>
      </c>
      <c r="G7" s="2">
        <v>0.121</v>
      </c>
      <c r="H7" s="49">
        <v>0.13</v>
      </c>
      <c r="I7" s="13">
        <f t="shared" si="4"/>
        <v>1435956.9840000004</v>
      </c>
      <c r="J7" s="2">
        <f>'Пункт 6'!$C$35</f>
        <v>170000</v>
      </c>
      <c r="K7" s="13">
        <f t="shared" si="1"/>
        <v>3494050.5147400005</v>
      </c>
      <c r="L7" s="13">
        <f>K7/($B$17+1)^C7</f>
        <v>2477690.5130455326</v>
      </c>
    </row>
    <row r="8" spans="1:15" x14ac:dyDescent="0.3">
      <c r="B8" s="2">
        <v>2025</v>
      </c>
      <c r="C8" s="2">
        <v>5</v>
      </c>
      <c r="D8" s="13">
        <f t="shared" si="2"/>
        <v>1671937.8706799999</v>
      </c>
      <c r="E8" s="13">
        <f t="shared" si="3"/>
        <v>4654232.7678000005</v>
      </c>
      <c r="F8" s="13">
        <f t="shared" si="0"/>
        <v>4091070.6028962005</v>
      </c>
      <c r="G8" s="2">
        <v>0.121</v>
      </c>
      <c r="H8" s="49">
        <v>0.15</v>
      </c>
      <c r="I8" s="13">
        <f t="shared" si="4"/>
        <v>1622631.3919200003</v>
      </c>
      <c r="J8" s="2">
        <f>'Пункт 6'!$C$35</f>
        <v>170000</v>
      </c>
      <c r="K8" s="13">
        <f t="shared" si="1"/>
        <v>3970377.0816561999</v>
      </c>
      <c r="L8" s="13">
        <f>K8/($B$17+1)^C8</f>
        <v>2583622.7700861101</v>
      </c>
    </row>
    <row r="9" spans="1:15" x14ac:dyDescent="0.3">
      <c r="B9" s="2">
        <v>2026</v>
      </c>
      <c r="C9" s="2">
        <v>6</v>
      </c>
      <c r="D9" s="13">
        <f t="shared" si="2"/>
        <v>1922728.5512819998</v>
      </c>
      <c r="E9" s="13">
        <f t="shared" si="3"/>
        <v>5352367.6829700004</v>
      </c>
      <c r="F9" s="13">
        <f t="shared" si="0"/>
        <v>3211420.6097820001</v>
      </c>
      <c r="G9" s="2">
        <v>0.4</v>
      </c>
      <c r="H9" s="49">
        <v>0.06</v>
      </c>
      <c r="I9" s="13">
        <f t="shared" si="4"/>
        <v>1866026.1007080001</v>
      </c>
      <c r="J9" s="2">
        <f>'Пункт 6'!$C$35</f>
        <v>170000</v>
      </c>
      <c r="K9" s="13">
        <f t="shared" si="1"/>
        <v>3098123.0603559995</v>
      </c>
      <c r="L9" s="13">
        <f>N10/(1+C17)^C8</f>
        <v>85486742.969528392</v>
      </c>
    </row>
    <row r="10" spans="1:15" ht="16.2" thickBot="1" x14ac:dyDescent="0.35">
      <c r="D10" s="1"/>
      <c r="E10" s="1"/>
      <c r="F10" s="1"/>
      <c r="I10" s="1"/>
      <c r="M10" s="2" t="s">
        <v>169</v>
      </c>
      <c r="N10" s="13">
        <f>K9/(C17-H9)</f>
        <v>128064711.22842079</v>
      </c>
    </row>
    <row r="11" spans="1:15" x14ac:dyDescent="0.3">
      <c r="E11" s="141" t="s">
        <v>174</v>
      </c>
      <c r="F11" s="142"/>
      <c r="G11" s="142"/>
      <c r="H11" s="142"/>
      <c r="I11" s="142"/>
      <c r="J11" s="142"/>
      <c r="K11" s="143"/>
    </row>
    <row r="12" spans="1:15" x14ac:dyDescent="0.3">
      <c r="E12" s="144"/>
      <c r="F12" s="145"/>
      <c r="G12" s="145"/>
      <c r="H12" s="145"/>
      <c r="I12" s="145"/>
      <c r="J12" s="145"/>
      <c r="K12" s="146"/>
      <c r="M12" s="2" t="s">
        <v>170</v>
      </c>
      <c r="N12" s="13">
        <f>SUM(L4:L9)</f>
        <v>97958760.620383948</v>
      </c>
    </row>
    <row r="13" spans="1:15" x14ac:dyDescent="0.3">
      <c r="E13" s="144"/>
      <c r="F13" s="145"/>
      <c r="G13" s="145"/>
      <c r="H13" s="145"/>
      <c r="I13" s="145"/>
      <c r="J13" s="145"/>
      <c r="K13" s="146"/>
      <c r="M13" s="2" t="s">
        <v>171</v>
      </c>
      <c r="N13" s="13">
        <f>N12/1088000</f>
        <v>90.035625570205838</v>
      </c>
    </row>
    <row r="14" spans="1:15" ht="16.2" thickBot="1" x14ac:dyDescent="0.35">
      <c r="A14" s="2"/>
      <c r="B14" s="2" t="s">
        <v>167</v>
      </c>
      <c r="C14" s="2" t="s">
        <v>168</v>
      </c>
      <c r="E14" s="144"/>
      <c r="F14" s="145"/>
      <c r="G14" s="145"/>
      <c r="H14" s="145"/>
      <c r="I14" s="145"/>
      <c r="J14" s="145"/>
      <c r="K14" s="146"/>
    </row>
    <row r="15" spans="1:15" x14ac:dyDescent="0.3">
      <c r="A15" s="2" t="s">
        <v>53</v>
      </c>
      <c r="B15" s="66">
        <v>9.7564165617265802E-2</v>
      </c>
      <c r="C15" s="66">
        <v>9.7564165617265802E-2</v>
      </c>
      <c r="E15" s="144"/>
      <c r="F15" s="145"/>
      <c r="G15" s="145"/>
      <c r="H15" s="145"/>
      <c r="I15" s="145"/>
      <c r="J15" s="145"/>
      <c r="K15" s="146"/>
      <c r="M15" s="150" t="s">
        <v>177</v>
      </c>
      <c r="N15" s="151"/>
      <c r="O15" s="152"/>
    </row>
    <row r="16" spans="1:15" x14ac:dyDescent="0.3">
      <c r="A16" s="2" t="s">
        <v>54</v>
      </c>
      <c r="B16" s="66">
        <v>7.910945514473576E-2</v>
      </c>
      <c r="C16" s="66">
        <v>7.0109455144735766E-2</v>
      </c>
      <c r="E16" s="144"/>
      <c r="F16" s="145"/>
      <c r="G16" s="145"/>
      <c r="H16" s="145"/>
      <c r="I16" s="145"/>
      <c r="J16" s="145"/>
      <c r="K16" s="146"/>
      <c r="M16" s="153"/>
      <c r="N16" s="136"/>
      <c r="O16" s="154"/>
    </row>
    <row r="17" spans="1:15" x14ac:dyDescent="0.3">
      <c r="A17" s="2" t="s">
        <v>166</v>
      </c>
      <c r="B17" s="66">
        <v>8.9734073166698514E-2</v>
      </c>
      <c r="C17" s="66">
        <v>8.4191856059629699E-2</v>
      </c>
      <c r="E17" s="144"/>
      <c r="F17" s="145"/>
      <c r="G17" s="145"/>
      <c r="H17" s="145"/>
      <c r="I17" s="145"/>
      <c r="J17" s="145"/>
      <c r="K17" s="146"/>
      <c r="M17" s="153"/>
      <c r="N17" s="136"/>
      <c r="O17" s="154"/>
    </row>
    <row r="18" spans="1:15" x14ac:dyDescent="0.3">
      <c r="E18" s="144"/>
      <c r="F18" s="145"/>
      <c r="G18" s="145"/>
      <c r="H18" s="145"/>
      <c r="I18" s="145"/>
      <c r="J18" s="145"/>
      <c r="K18" s="146"/>
      <c r="M18" s="153"/>
      <c r="N18" s="136"/>
      <c r="O18" s="154"/>
    </row>
    <row r="19" spans="1:15" ht="127.2" customHeight="1" thickBot="1" x14ac:dyDescent="0.35">
      <c r="E19" s="147"/>
      <c r="F19" s="148"/>
      <c r="G19" s="148"/>
      <c r="H19" s="148"/>
      <c r="I19" s="148"/>
      <c r="J19" s="148"/>
      <c r="K19" s="149"/>
      <c r="M19" s="155"/>
      <c r="N19" s="156"/>
      <c r="O19" s="157"/>
    </row>
    <row r="20" spans="1:15" ht="16.2" thickBot="1" x14ac:dyDescent="0.35">
      <c r="A20" s="71" t="s">
        <v>173</v>
      </c>
      <c r="B20" s="34" t="s">
        <v>49</v>
      </c>
      <c r="C20" s="102"/>
      <c r="D20" s="102"/>
      <c r="E20" s="19"/>
      <c r="F20" s="19"/>
      <c r="G20" s="19"/>
      <c r="H20" s="19"/>
      <c r="I20" s="19"/>
      <c r="J20" s="22"/>
    </row>
    <row r="21" spans="1:15" x14ac:dyDescent="0.3">
      <c r="A21" s="71" t="s">
        <v>50</v>
      </c>
    </row>
  </sheetData>
  <mergeCells count="2">
    <mergeCell ref="E11:K19"/>
    <mergeCell ref="M15:O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D2F4-EECB-4555-8C1C-FFDCDE8D52C3}">
  <dimension ref="A1:N87"/>
  <sheetViews>
    <sheetView workbookViewId="0">
      <selection activeCell="B82" sqref="B82"/>
    </sheetView>
  </sheetViews>
  <sheetFormatPr defaultRowHeight="15.6" x14ac:dyDescent="0.3"/>
  <cols>
    <col min="1" max="1" width="30.09765625" customWidth="1"/>
    <col min="2" max="2" width="18.19921875" customWidth="1"/>
    <col min="5" max="5" width="18.69921875" customWidth="1"/>
  </cols>
  <sheetData>
    <row r="1" spans="1:14" ht="31.2" x14ac:dyDescent="0.3">
      <c r="A1" s="36" t="s">
        <v>2</v>
      </c>
      <c r="B1" s="32" t="s">
        <v>3</v>
      </c>
      <c r="C1" t="s">
        <v>4</v>
      </c>
    </row>
    <row r="3" spans="1:14" ht="62.4" x14ac:dyDescent="0.3">
      <c r="A3" s="36" t="s">
        <v>5</v>
      </c>
      <c r="B3" s="37" t="s">
        <v>6</v>
      </c>
      <c r="C3" s="38" t="s">
        <v>7</v>
      </c>
    </row>
    <row r="4" spans="1:14" x14ac:dyDescent="0.3">
      <c r="A4" t="s">
        <v>8</v>
      </c>
      <c r="B4" s="39">
        <v>199698071552</v>
      </c>
      <c r="C4" s="40">
        <v>0.245</v>
      </c>
    </row>
    <row r="6" spans="1:14" ht="34.950000000000003" customHeight="1" x14ac:dyDescent="0.3">
      <c r="A6" s="36" t="s">
        <v>9</v>
      </c>
    </row>
    <row r="7" spans="1:14" ht="46.95" customHeight="1" x14ac:dyDescent="0.3">
      <c r="A7" t="s">
        <v>10</v>
      </c>
      <c r="B7" s="41">
        <v>7.1720000000000004E-3</v>
      </c>
      <c r="C7" s="122" t="s">
        <v>11</v>
      </c>
      <c r="D7" s="122"/>
      <c r="E7" s="122"/>
      <c r="F7" s="122"/>
      <c r="G7" s="122"/>
      <c r="H7" s="122"/>
      <c r="I7" s="122"/>
      <c r="J7" s="122"/>
      <c r="K7" s="122"/>
      <c r="N7" s="84"/>
    </row>
    <row r="8" spans="1:14" ht="15.6" customHeight="1" x14ac:dyDescent="0.3">
      <c r="C8" s="122"/>
      <c r="D8" s="122"/>
      <c r="E8" s="122"/>
      <c r="F8" s="122"/>
      <c r="G8" s="122"/>
      <c r="H8" s="122"/>
      <c r="I8" s="122"/>
      <c r="J8" s="122"/>
      <c r="K8" s="122"/>
    </row>
    <row r="9" spans="1:14" ht="15.6" customHeight="1" x14ac:dyDescent="0.3">
      <c r="A9" t="s">
        <v>12</v>
      </c>
      <c r="B9" s="41">
        <f>E24</f>
        <v>9.2828000000000008E-2</v>
      </c>
      <c r="C9" s="122"/>
      <c r="D9" s="122"/>
      <c r="E9" s="122"/>
      <c r="F9" s="122"/>
      <c r="G9" s="122"/>
      <c r="H9" s="122"/>
      <c r="I9" s="122"/>
      <c r="J9" s="122"/>
      <c r="K9" s="122"/>
    </row>
    <row r="10" spans="1:14" ht="15.6" customHeight="1" x14ac:dyDescent="0.3">
      <c r="B10" s="83"/>
      <c r="C10" s="24"/>
      <c r="D10" s="24"/>
      <c r="E10" s="24"/>
      <c r="F10" s="24"/>
      <c r="G10" s="24"/>
      <c r="H10" s="24"/>
      <c r="I10" s="24"/>
      <c r="J10" s="24"/>
      <c r="K10" s="24"/>
    </row>
    <row r="11" spans="1:14" ht="15.6" customHeight="1" x14ac:dyDescent="0.3">
      <c r="B11" s="83"/>
      <c r="C11" s="122" t="s">
        <v>13</v>
      </c>
      <c r="D11" s="122"/>
      <c r="E11" s="122"/>
      <c r="F11" s="122"/>
      <c r="G11" s="122"/>
      <c r="H11" s="122"/>
      <c r="I11" s="122"/>
      <c r="J11" s="122"/>
      <c r="K11" s="122"/>
    </row>
    <row r="12" spans="1:14" x14ac:dyDescent="0.3">
      <c r="C12" s="122"/>
      <c r="D12" s="122"/>
      <c r="E12" s="122"/>
      <c r="F12" s="122"/>
      <c r="G12" s="122"/>
      <c r="H12" s="122"/>
      <c r="I12" s="122"/>
      <c r="J12" s="122"/>
      <c r="K12" s="122"/>
    </row>
    <row r="13" spans="1:14" x14ac:dyDescent="0.3">
      <c r="C13" s="122"/>
      <c r="D13" s="122"/>
      <c r="E13" s="122"/>
      <c r="F13" s="122"/>
      <c r="G13" s="122"/>
      <c r="H13" s="122"/>
      <c r="I13" s="122"/>
      <c r="J13" s="122"/>
      <c r="K13" s="122"/>
    </row>
    <row r="14" spans="1:14" x14ac:dyDescent="0.3">
      <c r="G14" s="42"/>
    </row>
    <row r="15" spans="1:14" x14ac:dyDescent="0.3">
      <c r="A15" s="43" t="s">
        <v>14</v>
      </c>
      <c r="B15" s="2">
        <v>3537</v>
      </c>
      <c r="D15" s="2" t="s">
        <v>15</v>
      </c>
      <c r="E15" s="44" t="s">
        <v>16</v>
      </c>
    </row>
    <row r="16" spans="1:14" x14ac:dyDescent="0.3">
      <c r="A16" s="43" t="s">
        <v>16</v>
      </c>
      <c r="B16" s="45">
        <f>C4</f>
        <v>0.245</v>
      </c>
      <c r="D16" s="2">
        <v>1</v>
      </c>
      <c r="E16" s="46">
        <f>$B$16*(100%+$B$17)</f>
        <v>0.25969999999999999</v>
      </c>
      <c r="H16" s="47"/>
    </row>
    <row r="17" spans="1:8" ht="34.799999999999997" customHeight="1" x14ac:dyDescent="0.3">
      <c r="A17" s="48" t="s">
        <v>17</v>
      </c>
      <c r="B17" s="49">
        <v>0.06</v>
      </c>
      <c r="D17" s="2">
        <v>2</v>
      </c>
      <c r="E17" s="46">
        <f>$E$16*(100%+$B$17)</f>
        <v>0.27528200000000003</v>
      </c>
      <c r="H17" s="47"/>
    </row>
    <row r="18" spans="1:8" ht="36" customHeight="1" x14ac:dyDescent="0.3">
      <c r="A18" s="48" t="s">
        <v>18</v>
      </c>
      <c r="B18" s="50">
        <v>2.5000000000000001E-2</v>
      </c>
      <c r="D18" s="2">
        <v>3</v>
      </c>
      <c r="E18" s="46">
        <f>$E$17*(100%+$B$17)</f>
        <v>0.29179892000000002</v>
      </c>
      <c r="H18" s="47"/>
    </row>
    <row r="19" spans="1:8" x14ac:dyDescent="0.3">
      <c r="A19" s="43" t="s">
        <v>19</v>
      </c>
      <c r="B19" s="51">
        <f>B7</f>
        <v>7.1720000000000004E-3</v>
      </c>
      <c r="D19" s="2">
        <v>4</v>
      </c>
      <c r="E19" s="46">
        <f>$E$18*(100%+$B$17)</f>
        <v>0.30930685520000001</v>
      </c>
      <c r="H19" s="47"/>
    </row>
    <row r="20" spans="1:8" x14ac:dyDescent="0.3">
      <c r="D20" s="2">
        <v>5</v>
      </c>
      <c r="E20" s="46">
        <f>$E$19*(100%+$B$17)</f>
        <v>0.32786526651200004</v>
      </c>
      <c r="H20" s="47"/>
    </row>
    <row r="21" spans="1:8" x14ac:dyDescent="0.3">
      <c r="D21" s="2">
        <v>6</v>
      </c>
      <c r="E21" s="46">
        <f>$E$20*(100%+$B$18)</f>
        <v>0.33606189817480003</v>
      </c>
      <c r="H21" s="47"/>
    </row>
    <row r="22" spans="1:8" x14ac:dyDescent="0.3">
      <c r="D22" s="2" t="s">
        <v>20</v>
      </c>
      <c r="E22" s="46">
        <f>(1+0.1)^6*B15</f>
        <v>6266.0112570000028</v>
      </c>
      <c r="H22" s="47"/>
    </row>
    <row r="23" spans="1:8" x14ac:dyDescent="0.3">
      <c r="D23" s="9" t="s">
        <v>21</v>
      </c>
      <c r="E23" s="52">
        <v>0.1</v>
      </c>
      <c r="H23" s="53"/>
    </row>
    <row r="24" spans="1:8" x14ac:dyDescent="0.3">
      <c r="D24" s="34" t="s">
        <v>22</v>
      </c>
      <c r="E24" s="54">
        <f>$E$23-$B$19</f>
        <v>9.2828000000000008E-2</v>
      </c>
      <c r="H24" s="27"/>
    </row>
    <row r="25" spans="1:8" x14ac:dyDescent="0.3">
      <c r="A25" s="36" t="s">
        <v>23</v>
      </c>
      <c r="B25" s="55">
        <f>C35*(1+(1-'[1]Nike''s Data'!B4)*'[1]Nike''s Data'!B3)*(1+'[1]Nike''s Data'!B5)</f>
        <v>0.97375970200010553</v>
      </c>
    </row>
    <row r="27" spans="1:8" x14ac:dyDescent="0.3">
      <c r="B27" s="2"/>
      <c r="C27" s="2" t="s">
        <v>24</v>
      </c>
      <c r="D27" s="2" t="s">
        <v>25</v>
      </c>
      <c r="E27" s="2" t="s">
        <v>26</v>
      </c>
      <c r="F27" s="2" t="s">
        <v>27</v>
      </c>
    </row>
    <row r="28" spans="1:8" x14ac:dyDescent="0.3">
      <c r="B28" s="2" t="s">
        <v>28</v>
      </c>
      <c r="C28" s="2">
        <v>1.3811763351418267</v>
      </c>
      <c r="D28" s="56">
        <f>205000/131905</f>
        <v>1.554148819225958</v>
      </c>
      <c r="E28" s="50">
        <v>0.28199999999999997</v>
      </c>
      <c r="F28" s="56">
        <f>(617056-560154)/(1230593-1088205)</f>
        <v>0.39962637300896142</v>
      </c>
    </row>
    <row r="29" spans="1:8" x14ac:dyDescent="0.3">
      <c r="B29" s="2" t="s">
        <v>29</v>
      </c>
      <c r="C29" s="2">
        <v>1.4357015236440469</v>
      </c>
      <c r="D29" s="56">
        <f>592687/2150087</f>
        <v>0.27565721759166023</v>
      </c>
      <c r="E29" s="49">
        <v>0.21</v>
      </c>
      <c r="F29" s="56">
        <f>(2470533-2340471)/(5267132-5193185)</f>
        <v>1.7588543145766562</v>
      </c>
    </row>
    <row r="30" spans="1:8" x14ac:dyDescent="0.3">
      <c r="B30" s="2" t="s">
        <v>30</v>
      </c>
      <c r="C30" s="2">
        <v>1.0852381889446645</v>
      </c>
      <c r="D30" s="56">
        <f>1118605/2314958</f>
        <v>0.48320747071869125</v>
      </c>
      <c r="E30" s="51">
        <v>0.17199999999999999</v>
      </c>
      <c r="F30" s="56">
        <f>(2491157-2223605)/(5220051-4642068)</f>
        <v>0.46290634845661549</v>
      </c>
    </row>
    <row r="32" spans="1:8" x14ac:dyDescent="0.3">
      <c r="B32" s="2"/>
      <c r="C32" s="2" t="s">
        <v>24</v>
      </c>
      <c r="D32" s="2" t="s">
        <v>25</v>
      </c>
      <c r="E32" s="2" t="s">
        <v>26</v>
      </c>
      <c r="F32" s="2" t="s">
        <v>27</v>
      </c>
    </row>
    <row r="33" spans="1:10" x14ac:dyDescent="0.3">
      <c r="B33" s="57" t="s">
        <v>31</v>
      </c>
      <c r="C33" s="2">
        <f>AVERAGE(C28:C30)</f>
        <v>1.3007053492435128</v>
      </c>
      <c r="D33" s="56">
        <f>AVERAGE(D28:D30)</f>
        <v>0.77100450251210317</v>
      </c>
      <c r="E33" s="56">
        <f>AVERAGE(E28:E30)</f>
        <v>0.2213333333333333</v>
      </c>
      <c r="F33" s="56">
        <f>AVERAGE(F28:F30)</f>
        <v>0.87379567868074437</v>
      </c>
    </row>
    <row r="35" spans="1:10" x14ac:dyDescent="0.3">
      <c r="B35" s="58" t="s">
        <v>32</v>
      </c>
      <c r="C35" s="33">
        <f>C33/((1+(1-E33)*(D33))*(1+F33))</f>
        <v>0.43375073618202659</v>
      </c>
    </row>
    <row r="37" spans="1:10" x14ac:dyDescent="0.3">
      <c r="A37" s="36" t="s">
        <v>33</v>
      </c>
      <c r="B37" s="59">
        <f>B7+B25*B9</f>
        <v>9.7564165617265802E-2</v>
      </c>
    </row>
    <row r="39" spans="1:10" ht="41.25" customHeight="1" x14ac:dyDescent="0.3">
      <c r="A39" s="38" t="s">
        <v>34</v>
      </c>
      <c r="B39" s="41">
        <f>B43</f>
        <v>7.910945514473576E-2</v>
      </c>
      <c r="E39" s="60" t="s">
        <v>35</v>
      </c>
      <c r="F39" s="60" t="s">
        <v>36</v>
      </c>
      <c r="G39" s="60" t="s">
        <v>37</v>
      </c>
      <c r="H39" s="60" t="s">
        <v>38</v>
      </c>
      <c r="I39" s="60" t="s">
        <v>39</v>
      </c>
      <c r="J39" s="60" t="s">
        <v>40</v>
      </c>
    </row>
    <row r="40" spans="1:10" x14ac:dyDescent="0.3">
      <c r="A40" s="61" t="s">
        <v>41</v>
      </c>
      <c r="B40">
        <f>3464</f>
        <v>3464</v>
      </c>
      <c r="E40" s="2">
        <v>500</v>
      </c>
      <c r="F40" s="51">
        <v>2.2499999999999999E-2</v>
      </c>
      <c r="G40" s="2">
        <v>2</v>
      </c>
      <c r="H40" s="2">
        <v>498</v>
      </c>
      <c r="I40" s="2">
        <v>3</v>
      </c>
      <c r="J40" s="56">
        <f>((F40*G40)*E40+(E40-H40)/I40) /(H40+E40)/2</f>
        <v>1.1606546426185705E-2</v>
      </c>
    </row>
    <row r="41" spans="1:10" x14ac:dyDescent="0.3">
      <c r="A41" s="62" t="s">
        <v>42</v>
      </c>
      <c r="B41" s="63">
        <f>B40/23717</f>
        <v>0.14605557195260782</v>
      </c>
      <c r="E41" s="2">
        <v>1000</v>
      </c>
      <c r="F41" s="51">
        <v>2.3800000000000002E-2</v>
      </c>
      <c r="G41" s="2">
        <v>2</v>
      </c>
      <c r="H41" s="2">
        <v>994</v>
      </c>
      <c r="I41" s="2">
        <v>6</v>
      </c>
      <c r="J41" s="56">
        <f>((F41*G41)*E41+(E41-H41)/I41) /(H41+E41)/2</f>
        <v>1.2186559679037111E-2</v>
      </c>
    </row>
    <row r="42" spans="1:10" ht="31.2" x14ac:dyDescent="0.3">
      <c r="A42" s="62" t="s">
        <v>43</v>
      </c>
      <c r="B42" s="63">
        <f>((F40*2)+(F41*2)+(F42*2)+(F43*2)+(F44*2))/5</f>
        <v>6.2080000000000003E-2</v>
      </c>
      <c r="E42" s="2">
        <v>500</v>
      </c>
      <c r="F42" s="51">
        <v>3.6299999999999999E-2</v>
      </c>
      <c r="G42" s="2">
        <v>2</v>
      </c>
      <c r="H42" s="2">
        <v>495</v>
      </c>
      <c r="I42" s="2">
        <v>23</v>
      </c>
      <c r="J42" s="56">
        <f>((F42*G42)*E42+(E42-H42)/I42) /(H42+E42)/2</f>
        <v>1.8350447891632073E-2</v>
      </c>
    </row>
    <row r="43" spans="1:10" ht="31.2" x14ac:dyDescent="0.3">
      <c r="A43" s="62" t="s">
        <v>44</v>
      </c>
      <c r="B43" s="63">
        <f>SUM(J40:J44)</f>
        <v>7.910945514473576E-2</v>
      </c>
      <c r="E43" s="2">
        <v>1000</v>
      </c>
      <c r="F43" s="51">
        <v>3.8800000000000001E-2</v>
      </c>
      <c r="G43" s="2">
        <v>2</v>
      </c>
      <c r="H43" s="2">
        <v>983</v>
      </c>
      <c r="I43" s="2">
        <v>25</v>
      </c>
      <c r="J43" s="56">
        <f>((F43*G43)*E43+(E43-H43)/I43) /(H43+E43)/2</f>
        <v>1.9737771053958651E-2</v>
      </c>
    </row>
    <row r="44" spans="1:10" x14ac:dyDescent="0.3">
      <c r="A44" s="62" t="s">
        <v>45</v>
      </c>
      <c r="B44" s="64">
        <f>49*((1-(1/(1+B39)^I45)/B39)+B40/(1+B39)^I45)</f>
        <v>47834.813914034807</v>
      </c>
      <c r="C44" s="65">
        <f>B44/23717</f>
        <v>2.0168998572346757</v>
      </c>
      <c r="E44" s="2">
        <v>500</v>
      </c>
      <c r="F44" s="51">
        <v>3.3799999999999997E-2</v>
      </c>
      <c r="G44" s="2">
        <v>2</v>
      </c>
      <c r="H44" s="2">
        <v>491</v>
      </c>
      <c r="I44" s="2">
        <v>26</v>
      </c>
      <c r="J44" s="56">
        <f>((F44*G44)*E44+(E44-H44)/I44) /(H44+E44)/2</f>
        <v>1.7228130093922222E-2</v>
      </c>
    </row>
    <row r="45" spans="1:10" x14ac:dyDescent="0.3">
      <c r="E45" s="2"/>
      <c r="F45" s="2"/>
      <c r="G45" s="2"/>
      <c r="H45" s="2"/>
      <c r="I45" s="2">
        <f>AVERAGE(I40:I44)</f>
        <v>16.600000000000001</v>
      </c>
      <c r="J45" s="66"/>
    </row>
    <row r="46" spans="1:10" ht="31.2" x14ac:dyDescent="0.3">
      <c r="A46" s="67" t="s">
        <v>46</v>
      </c>
      <c r="B46" s="59">
        <f>B37</f>
        <v>9.7564165617265802E-2</v>
      </c>
      <c r="E46" s="68">
        <v>86.01</v>
      </c>
      <c r="F46" s="69">
        <v>2.5999999999999999E-2</v>
      </c>
      <c r="G46" s="68">
        <v>4</v>
      </c>
      <c r="H46" s="68">
        <v>6</v>
      </c>
      <c r="I46" s="68">
        <v>1.369863E-2</v>
      </c>
      <c r="J46" s="70">
        <f>((F46*G46)*E46+(E46-H46)/I46) /(H46+E46)/2</f>
        <v>31.788257245991197</v>
      </c>
    </row>
    <row r="47" spans="1:10" x14ac:dyDescent="0.3">
      <c r="E47" s="68">
        <v>38.229999999999997</v>
      </c>
      <c r="F47" s="69">
        <v>0.02</v>
      </c>
      <c r="G47" s="68">
        <v>4</v>
      </c>
      <c r="H47" s="68">
        <v>3</v>
      </c>
      <c r="I47" s="68">
        <v>1.369863E-2</v>
      </c>
      <c r="J47" s="70">
        <f>((F47*G47)*E47+(E47-H47)/I47) /(H47+E47)/2</f>
        <v>31.225423547391461</v>
      </c>
    </row>
    <row r="48" spans="1:10" x14ac:dyDescent="0.3">
      <c r="A48" s="36" t="s">
        <v>47</v>
      </c>
      <c r="B48" s="41">
        <f>B46*(9040/B49)+B39*(1-'[1]Nike''s Data'!B4)* ([1]Лист1!B45/[1]Лист1!B54)</f>
        <v>8.9734073166698514E-2</v>
      </c>
    </row>
    <row r="49" spans="1:13" x14ac:dyDescent="0.3">
      <c r="A49" t="s">
        <v>48</v>
      </c>
      <c r="B49">
        <f>3464+9040</f>
        <v>12504</v>
      </c>
    </row>
    <row r="62" spans="1:13" x14ac:dyDescent="0.3">
      <c r="A62" s="105"/>
      <c r="B62" s="8"/>
      <c r="C62" s="8"/>
      <c r="D62" s="8"/>
      <c r="E62" s="8"/>
      <c r="F62" s="8"/>
      <c r="G62" s="8"/>
      <c r="H62" s="8"/>
      <c r="I62" s="8"/>
      <c r="J62" s="8"/>
      <c r="K62" s="8"/>
      <c r="L62" s="8"/>
      <c r="M62" s="8"/>
    </row>
    <row r="63" spans="1:13" x14ac:dyDescent="0.3">
      <c r="A63" s="106"/>
      <c r="B63" s="8"/>
      <c r="C63" s="8"/>
      <c r="D63" s="8"/>
      <c r="E63" s="8"/>
      <c r="F63" s="8"/>
      <c r="G63" s="8"/>
      <c r="H63" s="8"/>
      <c r="I63" s="8"/>
      <c r="J63" s="8"/>
      <c r="K63" s="8"/>
      <c r="L63" s="8"/>
      <c r="M63" s="8"/>
    </row>
    <row r="64" spans="1:13" x14ac:dyDescent="0.3">
      <c r="A64" s="106"/>
      <c r="B64" s="8"/>
      <c r="C64" s="8"/>
      <c r="D64" s="8"/>
      <c r="E64" s="8"/>
      <c r="F64" s="8"/>
      <c r="G64" s="8"/>
      <c r="H64" s="8"/>
      <c r="I64" s="8"/>
      <c r="J64" s="8"/>
      <c r="K64" s="8"/>
      <c r="L64" s="8"/>
      <c r="M64" s="8"/>
    </row>
    <row r="65" spans="1:13" x14ac:dyDescent="0.3">
      <c r="A65" s="8"/>
      <c r="B65" s="8"/>
      <c r="C65" s="8"/>
      <c r="D65" s="8"/>
      <c r="E65" s="8"/>
      <c r="F65" s="8"/>
      <c r="G65" s="8"/>
      <c r="H65" s="8"/>
      <c r="I65" s="8"/>
      <c r="J65" s="8"/>
      <c r="K65" s="8"/>
      <c r="L65" s="8"/>
      <c r="M65" s="8"/>
    </row>
    <row r="66" spans="1:13" x14ac:dyDescent="0.3">
      <c r="A66" s="107"/>
      <c r="B66" s="108"/>
      <c r="C66" s="8"/>
      <c r="D66" s="8"/>
      <c r="E66" s="8"/>
      <c r="F66" s="8"/>
      <c r="G66" s="8"/>
      <c r="H66" s="8"/>
      <c r="I66" s="8"/>
      <c r="J66" s="8"/>
      <c r="K66" s="8"/>
      <c r="L66" s="8"/>
      <c r="M66" s="8"/>
    </row>
    <row r="67" spans="1:13" x14ac:dyDescent="0.3">
      <c r="A67" s="107"/>
      <c r="B67" s="109"/>
      <c r="C67" s="8"/>
      <c r="D67" s="8"/>
      <c r="E67" s="8"/>
      <c r="F67" s="8"/>
      <c r="G67" s="8"/>
      <c r="H67" s="8"/>
      <c r="I67" s="8"/>
      <c r="J67" s="8"/>
      <c r="K67" s="8"/>
      <c r="L67" s="8"/>
      <c r="M67" s="8"/>
    </row>
    <row r="68" spans="1:13" x14ac:dyDescent="0.3">
      <c r="A68" s="8"/>
      <c r="B68" s="8"/>
      <c r="C68" s="8"/>
      <c r="D68" s="8"/>
      <c r="E68" s="8"/>
      <c r="F68" s="8"/>
      <c r="G68" s="8"/>
      <c r="H68" s="8"/>
      <c r="I68" s="8"/>
      <c r="J68" s="8"/>
      <c r="K68" s="8"/>
      <c r="L68" s="8"/>
      <c r="M68" s="8"/>
    </row>
    <row r="69" spans="1:13" x14ac:dyDescent="0.3">
      <c r="A69" s="8"/>
      <c r="B69" s="8"/>
      <c r="C69" s="8"/>
      <c r="D69" s="8"/>
      <c r="E69" s="8"/>
      <c r="F69" s="8"/>
      <c r="G69" s="8"/>
      <c r="H69" s="8"/>
      <c r="I69" s="8"/>
      <c r="J69" s="8"/>
      <c r="K69" s="8"/>
      <c r="L69" s="8"/>
      <c r="M69" s="8"/>
    </row>
    <row r="70" spans="1:13" x14ac:dyDescent="0.3">
      <c r="A70" s="8"/>
      <c r="B70" s="8"/>
      <c r="C70" s="8"/>
      <c r="D70" s="8"/>
      <c r="E70" s="8"/>
      <c r="F70" s="8"/>
      <c r="G70" s="110"/>
      <c r="H70" s="8"/>
      <c r="I70" s="8"/>
      <c r="J70" s="8"/>
      <c r="K70" s="8"/>
      <c r="L70" s="8"/>
      <c r="M70" s="8"/>
    </row>
    <row r="71" spans="1:13" x14ac:dyDescent="0.3">
      <c r="A71" s="8"/>
      <c r="B71" s="8"/>
      <c r="C71" s="8"/>
      <c r="D71" s="8"/>
      <c r="E71" s="111"/>
      <c r="F71" s="8"/>
      <c r="G71" s="8"/>
      <c r="H71" s="111"/>
      <c r="I71" s="8"/>
      <c r="J71" s="8"/>
      <c r="K71" s="8"/>
      <c r="L71" s="8"/>
      <c r="M71" s="8"/>
    </row>
    <row r="72" spans="1:13" x14ac:dyDescent="0.3">
      <c r="A72" s="8"/>
      <c r="B72" s="111"/>
      <c r="C72" s="111"/>
      <c r="D72" s="111"/>
      <c r="E72" s="111"/>
      <c r="F72" s="111"/>
      <c r="G72" s="111"/>
      <c r="H72" s="111"/>
      <c r="I72" s="8"/>
      <c r="J72" s="8"/>
      <c r="K72" s="8"/>
      <c r="L72" s="8"/>
      <c r="M72" s="8"/>
    </row>
    <row r="73" spans="1:13" x14ac:dyDescent="0.3">
      <c r="A73" s="8"/>
      <c r="B73" s="111"/>
      <c r="C73" s="111"/>
      <c r="D73" s="111"/>
      <c r="E73" s="111"/>
      <c r="F73" s="111"/>
      <c r="G73" s="111"/>
      <c r="H73" s="111"/>
      <c r="I73" s="8"/>
      <c r="J73" s="8"/>
      <c r="K73" s="8"/>
      <c r="L73" s="8"/>
      <c r="M73" s="8"/>
    </row>
    <row r="74" spans="1:13" x14ac:dyDescent="0.3">
      <c r="A74" s="8"/>
      <c r="B74" s="111"/>
      <c r="C74" s="111"/>
      <c r="D74" s="111"/>
      <c r="E74" s="111"/>
      <c r="F74" s="111"/>
      <c r="G74" s="111"/>
      <c r="H74" s="111"/>
      <c r="I74" s="8"/>
      <c r="J74" s="8"/>
      <c r="K74" s="8"/>
      <c r="L74" s="8"/>
      <c r="M74" s="8"/>
    </row>
    <row r="75" spans="1:13" x14ac:dyDescent="0.3">
      <c r="A75" s="8"/>
      <c r="B75" s="111"/>
      <c r="C75" s="111"/>
      <c r="D75" s="111"/>
      <c r="E75" s="111"/>
      <c r="F75" s="111"/>
      <c r="G75" s="111"/>
      <c r="H75" s="111"/>
      <c r="I75" s="8"/>
      <c r="J75" s="8"/>
      <c r="K75" s="8"/>
      <c r="L75" s="8"/>
      <c r="M75" s="8"/>
    </row>
    <row r="76" spans="1:13" x14ac:dyDescent="0.3">
      <c r="A76" s="8"/>
      <c r="B76" s="111"/>
      <c r="C76" s="111"/>
      <c r="D76" s="111"/>
      <c r="E76" s="111"/>
      <c r="F76" s="111"/>
      <c r="G76" s="111"/>
      <c r="H76" s="111"/>
      <c r="I76" s="8"/>
      <c r="J76" s="8"/>
      <c r="K76" s="8"/>
      <c r="L76" s="8"/>
      <c r="M76" s="8"/>
    </row>
    <row r="77" spans="1:13" x14ac:dyDescent="0.3">
      <c r="A77" s="8"/>
      <c r="B77" s="8"/>
      <c r="C77" s="8"/>
      <c r="D77" s="111"/>
      <c r="E77" s="8"/>
      <c r="F77" s="8"/>
      <c r="G77" s="8"/>
      <c r="H77" s="8"/>
      <c r="I77" s="8"/>
      <c r="J77" s="8"/>
      <c r="K77" s="8"/>
      <c r="L77" s="8"/>
      <c r="M77" s="8"/>
    </row>
    <row r="78" spans="1:13" x14ac:dyDescent="0.3">
      <c r="A78" s="8"/>
      <c r="B78" s="8"/>
      <c r="C78" s="8"/>
      <c r="D78" s="8"/>
      <c r="E78" s="8"/>
      <c r="F78" s="8"/>
      <c r="G78" s="8"/>
      <c r="H78" s="8"/>
      <c r="I78" s="8"/>
      <c r="J78" s="8"/>
      <c r="K78" s="8"/>
      <c r="L78" s="8"/>
      <c r="M78" s="8"/>
    </row>
    <row r="79" spans="1:13" x14ac:dyDescent="0.3">
      <c r="A79" s="112"/>
      <c r="B79" s="113"/>
      <c r="C79" s="113"/>
      <c r="D79" s="8"/>
      <c r="E79" s="8"/>
      <c r="F79" s="8"/>
      <c r="G79" s="8"/>
      <c r="H79" s="8"/>
      <c r="I79" s="8"/>
      <c r="J79" s="8"/>
      <c r="K79" s="8"/>
      <c r="L79" s="8"/>
      <c r="M79" s="8"/>
    </row>
    <row r="80" spans="1:13" x14ac:dyDescent="0.3">
      <c r="A80" s="114"/>
      <c r="B80" s="113"/>
      <c r="C80" s="113"/>
      <c r="D80" s="8"/>
      <c r="E80" s="8"/>
      <c r="F80" s="8"/>
      <c r="G80" s="8"/>
      <c r="H80" s="8"/>
      <c r="I80" s="8"/>
      <c r="J80" s="8"/>
      <c r="K80" s="8"/>
      <c r="L80" s="8"/>
      <c r="M80" s="8"/>
    </row>
    <row r="81" spans="1:13" x14ac:dyDescent="0.3">
      <c r="A81" s="114"/>
      <c r="B81" s="113"/>
      <c r="C81" s="113"/>
      <c r="D81" s="8"/>
      <c r="E81" s="8"/>
      <c r="F81" s="8"/>
      <c r="G81" s="8"/>
      <c r="H81" s="8"/>
      <c r="I81" s="8"/>
      <c r="J81" s="8"/>
      <c r="K81" s="8"/>
      <c r="L81" s="8"/>
      <c r="M81" s="8"/>
    </row>
    <row r="82" spans="1:13" x14ac:dyDescent="0.3">
      <c r="A82" s="8"/>
      <c r="B82" s="115"/>
      <c r="C82" s="8"/>
      <c r="D82" s="8"/>
      <c r="E82" s="8"/>
      <c r="F82" s="8"/>
      <c r="G82" s="8"/>
      <c r="H82" s="8"/>
      <c r="I82" s="8"/>
      <c r="J82" s="8"/>
      <c r="K82" s="8"/>
      <c r="L82" s="8"/>
      <c r="M82" s="8"/>
    </row>
    <row r="83" spans="1:13" x14ac:dyDescent="0.3">
      <c r="A83" s="8"/>
      <c r="B83" s="8"/>
      <c r="C83" s="8"/>
      <c r="D83" s="8"/>
      <c r="E83" s="8"/>
      <c r="F83" s="8"/>
      <c r="G83" s="8"/>
      <c r="H83" s="8"/>
      <c r="I83" s="8"/>
      <c r="J83" s="8"/>
      <c r="K83" s="8"/>
      <c r="L83" s="8"/>
      <c r="M83" s="8"/>
    </row>
    <row r="84" spans="1:13" x14ac:dyDescent="0.3">
      <c r="A84" s="8"/>
      <c r="B84" s="8"/>
      <c r="C84" s="8"/>
      <c r="D84" s="8"/>
      <c r="E84" s="8"/>
      <c r="F84" s="8"/>
      <c r="G84" s="8"/>
      <c r="H84" s="8"/>
      <c r="I84" s="8"/>
      <c r="J84" s="8"/>
      <c r="K84" s="8"/>
      <c r="L84" s="8"/>
      <c r="M84" s="8"/>
    </row>
    <row r="85" spans="1:13" x14ac:dyDescent="0.3">
      <c r="A85" s="8"/>
      <c r="B85" s="8"/>
      <c r="C85" s="8"/>
      <c r="D85" s="8"/>
      <c r="E85" s="8"/>
      <c r="F85" s="8"/>
      <c r="G85" s="8"/>
      <c r="H85" s="8"/>
      <c r="I85" s="8"/>
      <c r="J85" s="8"/>
      <c r="K85" s="8"/>
      <c r="L85" s="8"/>
      <c r="M85" s="8"/>
    </row>
    <row r="86" spans="1:13" x14ac:dyDescent="0.3">
      <c r="A86" s="8"/>
      <c r="B86" s="8"/>
      <c r="C86" s="8"/>
      <c r="D86" s="8"/>
      <c r="E86" s="8"/>
      <c r="F86" s="8"/>
      <c r="G86" s="8"/>
      <c r="H86" s="8"/>
      <c r="I86" s="8"/>
      <c r="J86" s="8"/>
      <c r="K86" s="8"/>
      <c r="L86" s="8"/>
      <c r="M86" s="8"/>
    </row>
    <row r="87" spans="1:13" x14ac:dyDescent="0.3">
      <c r="A87" s="8"/>
      <c r="B87" s="8"/>
      <c r="C87" s="8"/>
      <c r="D87" s="8"/>
      <c r="E87" s="8"/>
      <c r="F87" s="8"/>
      <c r="G87" s="8"/>
      <c r="H87" s="8"/>
      <c r="I87" s="8"/>
      <c r="J87" s="8"/>
      <c r="K87" s="8"/>
      <c r="L87" s="8"/>
      <c r="M87" s="8"/>
    </row>
  </sheetData>
  <mergeCells count="2">
    <mergeCell ref="C7:K9"/>
    <mergeCell ref="C11:K13"/>
  </mergeCells>
  <hyperlinks>
    <hyperlink ref="B1" r:id="rId1" xr:uid="{89CEBBEF-BF7F-4A8D-9BDE-D0688A1CB08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F2BF-8268-406B-9922-E8BF3BB17F84}">
  <dimension ref="A1:C6"/>
  <sheetViews>
    <sheetView workbookViewId="0"/>
  </sheetViews>
  <sheetFormatPr defaultRowHeight="15.6" x14ac:dyDescent="0.3"/>
  <cols>
    <col min="2" max="2" width="14.59765625" customWidth="1"/>
  </cols>
  <sheetData>
    <row r="1" spans="1:3" x14ac:dyDescent="0.3">
      <c r="A1" s="36"/>
    </row>
    <row r="2" spans="1:3" x14ac:dyDescent="0.3">
      <c r="A2" s="123" t="s">
        <v>55</v>
      </c>
      <c r="B2" s="123"/>
      <c r="C2" s="123"/>
    </row>
    <row r="3" spans="1:3" x14ac:dyDescent="0.3">
      <c r="A3" s="36" t="s">
        <v>25</v>
      </c>
      <c r="B3" s="63">
        <f>13015000/8055000</f>
        <v>1.6157666045934203</v>
      </c>
    </row>
    <row r="4" spans="1:3" x14ac:dyDescent="0.3">
      <c r="A4" s="36" t="s">
        <v>56</v>
      </c>
      <c r="B4" s="63">
        <v>0.124</v>
      </c>
    </row>
    <row r="5" spans="1:3" x14ac:dyDescent="0.3">
      <c r="A5" s="36" t="s">
        <v>27</v>
      </c>
      <c r="B5" s="63">
        <f>(16241000-17474000)/(17474000)</f>
        <v>-7.0561977795582001E-2</v>
      </c>
    </row>
    <row r="6" spans="1:3" x14ac:dyDescent="0.3">
      <c r="A6" s="36" t="s">
        <v>57</v>
      </c>
      <c r="B6" s="72">
        <v>120951000</v>
      </c>
    </row>
  </sheetData>
  <mergeCells count="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6E22-992F-421B-9BCD-AB9684B043B2}">
  <dimension ref="A1:H266"/>
  <sheetViews>
    <sheetView topLeftCell="A107" workbookViewId="0"/>
  </sheetViews>
  <sheetFormatPr defaultRowHeight="15.6" x14ac:dyDescent="0.3"/>
  <cols>
    <col min="1" max="1" width="16.3984375" customWidth="1"/>
    <col min="7" max="7" width="16.5" customWidth="1"/>
  </cols>
  <sheetData>
    <row r="1" spans="1:8" x14ac:dyDescent="0.3">
      <c r="A1" t="s">
        <v>29</v>
      </c>
      <c r="B1" s="31" t="s">
        <v>58</v>
      </c>
    </row>
    <row r="2" spans="1:8" x14ac:dyDescent="0.3">
      <c r="A2" t="s">
        <v>59</v>
      </c>
      <c r="B2" s="31" t="s">
        <v>60</v>
      </c>
    </row>
    <row r="3" spans="1:8" x14ac:dyDescent="0.3">
      <c r="A3" t="s">
        <v>61</v>
      </c>
      <c r="B3" s="31" t="s">
        <v>62</v>
      </c>
    </row>
    <row r="4" spans="1:8" ht="21" customHeight="1" x14ac:dyDescent="0.4">
      <c r="B4" s="124" t="s">
        <v>29</v>
      </c>
      <c r="C4" s="124"/>
      <c r="D4" s="73" t="s">
        <v>61</v>
      </c>
      <c r="G4" s="36" t="s">
        <v>63</v>
      </c>
      <c r="H4">
        <f>SLOPE(C6:C265,E6:E265)</f>
        <v>1.6535522854660705</v>
      </c>
    </row>
    <row r="5" spans="1:8" x14ac:dyDescent="0.3">
      <c r="A5" t="s">
        <v>64</v>
      </c>
      <c r="B5" t="s">
        <v>65</v>
      </c>
      <c r="C5" t="s">
        <v>66</v>
      </c>
      <c r="D5" t="s">
        <v>65</v>
      </c>
      <c r="E5" t="s">
        <v>66</v>
      </c>
    </row>
    <row r="6" spans="1:8" x14ac:dyDescent="0.3">
      <c r="A6" s="74">
        <v>44143</v>
      </c>
      <c r="B6">
        <v>14.89</v>
      </c>
      <c r="C6" s="63">
        <f t="shared" ref="C6:C69" si="0">(B6-B7)/B7</f>
        <v>5.4017555705604368E-3</v>
      </c>
      <c r="D6">
        <v>3582</v>
      </c>
      <c r="E6" s="63">
        <f t="shared" ref="E6:E69" si="1">(D6-D7)/D7</f>
        <v>2.3209312290223525E-2</v>
      </c>
      <c r="G6" s="57" t="s">
        <v>67</v>
      </c>
      <c r="H6" s="75">
        <f>H4*2/3+1/3</f>
        <v>1.4357015236440469</v>
      </c>
    </row>
    <row r="7" spans="1:8" ht="31.2" x14ac:dyDescent="0.3">
      <c r="A7" s="74">
        <v>44136</v>
      </c>
      <c r="B7">
        <v>14.81</v>
      </c>
      <c r="C7" s="63">
        <f t="shared" si="0"/>
        <v>7.008670520231218E-2</v>
      </c>
      <c r="D7">
        <v>3500.75</v>
      </c>
      <c r="E7" s="63">
        <f t="shared" si="1"/>
        <v>7.2287311432728388E-2</v>
      </c>
      <c r="G7" s="76" t="s">
        <v>68</v>
      </c>
      <c r="H7" s="77">
        <f>592687/2150087</f>
        <v>0.27565721759166023</v>
      </c>
    </row>
    <row r="8" spans="1:8" x14ac:dyDescent="0.3">
      <c r="A8" s="74">
        <v>44129</v>
      </c>
      <c r="B8">
        <v>13.84</v>
      </c>
      <c r="C8" s="63">
        <f t="shared" si="0"/>
        <v>-5.593451568894954E-2</v>
      </c>
      <c r="D8">
        <v>3264.75</v>
      </c>
      <c r="E8" s="63">
        <f t="shared" si="1"/>
        <v>-5.4175418266096904E-2</v>
      </c>
      <c r="G8" s="57" t="s">
        <v>69</v>
      </c>
      <c r="H8" s="78">
        <v>0.21</v>
      </c>
    </row>
    <row r="9" spans="1:8" x14ac:dyDescent="0.3">
      <c r="A9" s="74">
        <v>44122</v>
      </c>
      <c r="B9">
        <v>14.66</v>
      </c>
      <c r="C9" s="63">
        <f t="shared" si="0"/>
        <v>0.12769230769230772</v>
      </c>
      <c r="D9">
        <v>3451.75</v>
      </c>
      <c r="E9" s="63">
        <f t="shared" si="1"/>
        <v>-3.0327099429561699E-3</v>
      </c>
      <c r="G9" s="57" t="s">
        <v>27</v>
      </c>
      <c r="H9" s="77">
        <f>(2470533-2340471)/(5267132-5193185)</f>
        <v>1.7588543145766562</v>
      </c>
    </row>
    <row r="10" spans="1:8" x14ac:dyDescent="0.3">
      <c r="A10" s="74">
        <v>44115</v>
      </c>
      <c r="B10">
        <v>13</v>
      </c>
      <c r="C10" s="63">
        <f t="shared" si="0"/>
        <v>3.5856573705179223E-2</v>
      </c>
      <c r="D10">
        <v>3462.25</v>
      </c>
      <c r="E10" s="63">
        <f t="shared" si="1"/>
        <v>-3.1670625494853522E-3</v>
      </c>
    </row>
    <row r="11" spans="1:8" x14ac:dyDescent="0.3">
      <c r="A11" s="74">
        <v>44108</v>
      </c>
      <c r="B11">
        <v>12.55</v>
      </c>
      <c r="C11" s="63">
        <f t="shared" si="0"/>
        <v>4.0630182421227214E-2</v>
      </c>
      <c r="D11">
        <v>3473.25</v>
      </c>
      <c r="E11" s="63">
        <f t="shared" si="1"/>
        <v>4.0128771430710489E-2</v>
      </c>
    </row>
    <row r="12" spans="1:8" x14ac:dyDescent="0.3">
      <c r="A12" s="74">
        <v>44101</v>
      </c>
      <c r="B12">
        <v>12.06</v>
      </c>
      <c r="C12" s="63">
        <f t="shared" si="0"/>
        <v>8.0645161290322606E-2</v>
      </c>
      <c r="D12">
        <v>3339.25</v>
      </c>
      <c r="E12" s="63">
        <f t="shared" si="1"/>
        <v>1.5818693436763252E-2</v>
      </c>
    </row>
    <row r="13" spans="1:8" x14ac:dyDescent="0.3">
      <c r="A13" s="74">
        <v>44094</v>
      </c>
      <c r="B13">
        <v>11.16</v>
      </c>
      <c r="C13" s="63">
        <f t="shared" si="0"/>
        <v>-3.1249999999999951E-2</v>
      </c>
      <c r="D13">
        <v>3287.25</v>
      </c>
      <c r="E13" s="63">
        <f t="shared" si="1"/>
        <v>-2.2088353413654619E-2</v>
      </c>
    </row>
    <row r="14" spans="1:8" x14ac:dyDescent="0.3">
      <c r="A14" s="74">
        <v>44087</v>
      </c>
      <c r="B14">
        <v>11.52</v>
      </c>
      <c r="C14" s="63">
        <f t="shared" si="0"/>
        <v>1.7667844522968136E-2</v>
      </c>
      <c r="D14">
        <v>3361.5</v>
      </c>
      <c r="E14" s="63">
        <f t="shared" si="1"/>
        <v>8.3239595050618679E-3</v>
      </c>
    </row>
    <row r="15" spans="1:8" x14ac:dyDescent="0.3">
      <c r="A15" s="74">
        <v>44080</v>
      </c>
      <c r="B15">
        <v>11.32</v>
      </c>
      <c r="C15" s="63">
        <f t="shared" si="0"/>
        <v>8.5330776605944444E-2</v>
      </c>
      <c r="D15">
        <v>3333.75</v>
      </c>
      <c r="E15" s="63">
        <f t="shared" si="1"/>
        <v>-2.4506217995610827E-2</v>
      </c>
    </row>
    <row r="16" spans="1:8" x14ac:dyDescent="0.3">
      <c r="A16" s="74">
        <v>44073</v>
      </c>
      <c r="B16">
        <v>10.43</v>
      </c>
      <c r="C16" s="63">
        <f t="shared" si="0"/>
        <v>2.7586206896551661E-2</v>
      </c>
      <c r="D16">
        <v>3417.5</v>
      </c>
      <c r="E16" s="63">
        <f t="shared" si="1"/>
        <v>-2.4825224711085746E-2</v>
      </c>
    </row>
    <row r="17" spans="1:5" x14ac:dyDescent="0.3">
      <c r="A17" s="74">
        <v>44066</v>
      </c>
      <c r="B17">
        <v>10.15</v>
      </c>
      <c r="C17" s="63">
        <f t="shared" si="0"/>
        <v>4.3165467625899269E-2</v>
      </c>
      <c r="D17">
        <v>3504.5</v>
      </c>
      <c r="E17" s="63">
        <f t="shared" si="1"/>
        <v>3.3014001473839351E-2</v>
      </c>
    </row>
    <row r="18" spans="1:5" x14ac:dyDescent="0.3">
      <c r="A18" s="74">
        <v>44059</v>
      </c>
      <c r="B18">
        <v>9.73</v>
      </c>
      <c r="C18" s="63">
        <f t="shared" si="0"/>
        <v>-9.4040968342644304E-2</v>
      </c>
      <c r="D18">
        <v>3392.5</v>
      </c>
      <c r="E18" s="63">
        <f t="shared" si="1"/>
        <v>9.2220734791015908E-3</v>
      </c>
    </row>
    <row r="19" spans="1:5" x14ac:dyDescent="0.3">
      <c r="A19" s="74">
        <v>44052</v>
      </c>
      <c r="B19">
        <v>10.74</v>
      </c>
      <c r="C19" s="63">
        <f t="shared" si="0"/>
        <v>3.9690222652468549E-2</v>
      </c>
      <c r="D19">
        <v>3361.5</v>
      </c>
      <c r="E19" s="63">
        <f t="shared" si="1"/>
        <v>5.0078481201883546E-3</v>
      </c>
    </row>
    <row r="20" spans="1:5" x14ac:dyDescent="0.3">
      <c r="A20" s="74">
        <v>44045</v>
      </c>
      <c r="B20">
        <v>10.33</v>
      </c>
      <c r="C20" s="63">
        <f t="shared" si="0"/>
        <v>-1.8060836501901094E-2</v>
      </c>
      <c r="D20">
        <v>3344.75</v>
      </c>
      <c r="E20" s="63">
        <f t="shared" si="1"/>
        <v>2.4896583422705683E-2</v>
      </c>
    </row>
    <row r="21" spans="1:5" x14ac:dyDescent="0.3">
      <c r="A21" s="74">
        <v>44038</v>
      </c>
      <c r="B21">
        <v>10.52</v>
      </c>
      <c r="C21" s="63">
        <f t="shared" si="0"/>
        <v>-3.574702108157659E-2</v>
      </c>
      <c r="D21">
        <v>3263.5</v>
      </c>
      <c r="E21" s="63">
        <f t="shared" si="1"/>
        <v>1.8570536828963796E-2</v>
      </c>
    </row>
    <row r="22" spans="1:5" x14ac:dyDescent="0.3">
      <c r="A22" s="74">
        <v>44031</v>
      </c>
      <c r="B22">
        <v>10.91</v>
      </c>
      <c r="C22" s="63">
        <f t="shared" si="0"/>
        <v>6.9607843137254988E-2</v>
      </c>
      <c r="D22">
        <v>3204</v>
      </c>
      <c r="E22" s="63">
        <f t="shared" si="1"/>
        <v>-3.1113876789047915E-3</v>
      </c>
    </row>
    <row r="23" spans="1:5" x14ac:dyDescent="0.3">
      <c r="A23" s="74">
        <v>44024</v>
      </c>
      <c r="B23">
        <v>10.199999999999999</v>
      </c>
      <c r="C23" s="63">
        <f t="shared" si="0"/>
        <v>7.1428571428571397E-2</v>
      </c>
      <c r="D23">
        <v>3214</v>
      </c>
      <c r="E23" s="63">
        <f t="shared" si="1"/>
        <v>1.1168790309894604E-2</v>
      </c>
    </row>
    <row r="24" spans="1:5" x14ac:dyDescent="0.3">
      <c r="A24" s="74">
        <v>44017</v>
      </c>
      <c r="B24">
        <v>9.52</v>
      </c>
      <c r="C24" s="63">
        <f t="shared" si="0"/>
        <v>-6.2630480167015137E-3</v>
      </c>
      <c r="D24">
        <v>3178.5</v>
      </c>
      <c r="E24" s="63">
        <f t="shared" si="1"/>
        <v>1.5819750719079578E-2</v>
      </c>
    </row>
    <row r="25" spans="1:5" x14ac:dyDescent="0.3">
      <c r="A25" s="74">
        <v>44010</v>
      </c>
      <c r="B25">
        <v>9.58</v>
      </c>
      <c r="C25" s="63">
        <f t="shared" si="0"/>
        <v>5.159165751920973E-2</v>
      </c>
      <c r="D25">
        <v>3129</v>
      </c>
      <c r="E25" s="63">
        <f t="shared" si="1"/>
        <v>4.0571998669770536E-2</v>
      </c>
    </row>
    <row r="26" spans="1:5" x14ac:dyDescent="0.3">
      <c r="A26" s="74">
        <v>44003</v>
      </c>
      <c r="B26">
        <v>9.11</v>
      </c>
      <c r="C26" s="63">
        <f t="shared" si="0"/>
        <v>-4.2060988433228218E-2</v>
      </c>
      <c r="D26">
        <v>3007</v>
      </c>
      <c r="E26" s="63">
        <f t="shared" si="1"/>
        <v>-4.8796998665089304E-2</v>
      </c>
    </row>
    <row r="27" spans="1:5" x14ac:dyDescent="0.3">
      <c r="A27" s="74">
        <v>43996</v>
      </c>
      <c r="B27">
        <v>9.51</v>
      </c>
      <c r="C27" s="63">
        <f t="shared" si="0"/>
        <v>-1.9587628865979333E-2</v>
      </c>
      <c r="D27">
        <v>3161.26</v>
      </c>
      <c r="E27" s="63">
        <f t="shared" si="1"/>
        <v>4.168712414531682E-2</v>
      </c>
    </row>
    <row r="28" spans="1:5" x14ac:dyDescent="0.3">
      <c r="A28" s="74">
        <v>43989</v>
      </c>
      <c r="B28">
        <v>9.6999999999999993</v>
      </c>
      <c r="C28" s="63">
        <f t="shared" si="0"/>
        <v>-0.12612612612612617</v>
      </c>
      <c r="D28">
        <v>3034.75</v>
      </c>
      <c r="E28" s="63">
        <f t="shared" si="1"/>
        <v>-4.7697497450380481E-2</v>
      </c>
    </row>
    <row r="29" spans="1:5" x14ac:dyDescent="0.3">
      <c r="A29" s="74">
        <v>43982</v>
      </c>
      <c r="B29">
        <v>11.1</v>
      </c>
      <c r="C29" s="63">
        <f t="shared" si="0"/>
        <v>0.26857142857142852</v>
      </c>
      <c r="D29">
        <v>3186.75</v>
      </c>
      <c r="E29" s="63">
        <f t="shared" si="1"/>
        <v>4.7583826429980276E-2</v>
      </c>
    </row>
    <row r="30" spans="1:5" x14ac:dyDescent="0.3">
      <c r="A30" s="74">
        <v>43975</v>
      </c>
      <c r="B30">
        <v>8.75</v>
      </c>
      <c r="C30" s="63">
        <f t="shared" si="0"/>
        <v>4.9160671462829757E-2</v>
      </c>
      <c r="D30">
        <v>3042</v>
      </c>
      <c r="E30" s="63">
        <f t="shared" si="1"/>
        <v>3.0138841855739926E-2</v>
      </c>
    </row>
    <row r="31" spans="1:5" x14ac:dyDescent="0.3">
      <c r="A31" s="74">
        <v>43968</v>
      </c>
      <c r="B31">
        <v>8.34</v>
      </c>
      <c r="C31" s="63">
        <f t="shared" si="0"/>
        <v>8.1712062256809326E-2</v>
      </c>
      <c r="D31">
        <v>2953</v>
      </c>
      <c r="E31" s="63">
        <f t="shared" si="1"/>
        <v>3.7414368522747231E-2</v>
      </c>
    </row>
    <row r="32" spans="1:5" x14ac:dyDescent="0.3">
      <c r="A32" s="74">
        <v>43961</v>
      </c>
      <c r="B32">
        <v>7.71</v>
      </c>
      <c r="C32" s="63">
        <f t="shared" si="0"/>
        <v>-0.22745490981963931</v>
      </c>
      <c r="D32">
        <v>2846.5</v>
      </c>
      <c r="E32" s="63">
        <f t="shared" si="1"/>
        <v>-2.8000682943486427E-2</v>
      </c>
    </row>
    <row r="33" spans="1:5" x14ac:dyDescent="0.3">
      <c r="A33" s="74">
        <v>43954</v>
      </c>
      <c r="B33">
        <v>9.98</v>
      </c>
      <c r="C33" s="63">
        <f t="shared" si="0"/>
        <v>1.8367346938775481E-2</v>
      </c>
      <c r="D33">
        <v>2928.5</v>
      </c>
      <c r="E33" s="63">
        <f t="shared" si="1"/>
        <v>3.7831133162044832E-2</v>
      </c>
    </row>
    <row r="34" spans="1:5" x14ac:dyDescent="0.3">
      <c r="A34" s="74">
        <v>43947</v>
      </c>
      <c r="B34">
        <v>9.8000000000000007</v>
      </c>
      <c r="C34" s="63">
        <f t="shared" si="0"/>
        <v>-1.9999999999999928E-2</v>
      </c>
      <c r="D34">
        <v>2821.75</v>
      </c>
      <c r="E34" s="63">
        <f t="shared" si="1"/>
        <v>-2.7389998232903341E-3</v>
      </c>
    </row>
    <row r="35" spans="1:5" x14ac:dyDescent="0.3">
      <c r="A35" s="74">
        <v>43940</v>
      </c>
      <c r="B35">
        <v>10</v>
      </c>
      <c r="C35" s="63">
        <f t="shared" si="0"/>
        <v>1.5228426395939123E-2</v>
      </c>
      <c r="D35">
        <v>2829.5</v>
      </c>
      <c r="E35" s="63">
        <f t="shared" si="1"/>
        <v>-1.4111498257839722E-2</v>
      </c>
    </row>
    <row r="36" spans="1:5" x14ac:dyDescent="0.3">
      <c r="A36" s="74">
        <v>43933</v>
      </c>
      <c r="B36">
        <v>9.85</v>
      </c>
      <c r="C36" s="63">
        <f t="shared" si="0"/>
        <v>-5.5608820709491857E-2</v>
      </c>
      <c r="D36">
        <v>2870</v>
      </c>
      <c r="E36" s="63">
        <f t="shared" si="1"/>
        <v>3.2466948466588721E-2</v>
      </c>
    </row>
    <row r="37" spans="1:5" x14ac:dyDescent="0.3">
      <c r="A37" s="74">
        <v>43926</v>
      </c>
      <c r="B37">
        <v>10.43</v>
      </c>
      <c r="C37" s="63">
        <f t="shared" si="0"/>
        <v>0.26885644768856437</v>
      </c>
      <c r="D37">
        <v>2779.75</v>
      </c>
      <c r="E37" s="63">
        <f t="shared" si="1"/>
        <v>0.11962541536602557</v>
      </c>
    </row>
    <row r="38" spans="1:5" x14ac:dyDescent="0.3">
      <c r="A38" s="74">
        <v>43919</v>
      </c>
      <c r="B38">
        <v>8.2200000000000006</v>
      </c>
      <c r="C38" s="63">
        <f t="shared" si="0"/>
        <v>-0.1292372881355931</v>
      </c>
      <c r="D38">
        <v>2482.75</v>
      </c>
      <c r="E38" s="63">
        <f t="shared" si="1"/>
        <v>-1.6343106180665611E-2</v>
      </c>
    </row>
    <row r="39" spans="1:5" x14ac:dyDescent="0.3">
      <c r="A39" s="74">
        <v>43912</v>
      </c>
      <c r="B39">
        <v>9.44</v>
      </c>
      <c r="C39" s="63">
        <f t="shared" si="0"/>
        <v>0.15544675642594855</v>
      </c>
      <c r="D39">
        <v>2524</v>
      </c>
      <c r="E39" s="63">
        <f t="shared" si="1"/>
        <v>3.5283308312619457E-2</v>
      </c>
    </row>
    <row r="40" spans="1:5" x14ac:dyDescent="0.3">
      <c r="A40" s="74">
        <v>43905</v>
      </c>
      <c r="B40">
        <v>8.17</v>
      </c>
      <c r="C40" s="63">
        <f t="shared" si="0"/>
        <v>-0.24421831637372807</v>
      </c>
      <c r="D40">
        <v>2437.98</v>
      </c>
      <c r="E40" s="63">
        <f t="shared" si="1"/>
        <v>-9.5704747774480708E-2</v>
      </c>
    </row>
    <row r="41" spans="1:5" x14ac:dyDescent="0.3">
      <c r="A41" s="74">
        <v>43898</v>
      </c>
      <c r="B41">
        <v>10.81</v>
      </c>
      <c r="C41" s="63">
        <f t="shared" si="0"/>
        <v>-0.14410134600158356</v>
      </c>
      <c r="D41">
        <v>2696</v>
      </c>
      <c r="E41" s="63">
        <f t="shared" si="1"/>
        <v>-9.041835357624832E-2</v>
      </c>
    </row>
    <row r="42" spans="1:5" x14ac:dyDescent="0.3">
      <c r="A42" s="74">
        <v>43891</v>
      </c>
      <c r="B42">
        <v>12.63</v>
      </c>
      <c r="C42" s="63">
        <f t="shared" si="0"/>
        <v>-0.10993657505285404</v>
      </c>
      <c r="D42">
        <v>2964</v>
      </c>
      <c r="E42" s="63">
        <f t="shared" si="1"/>
        <v>4.4052863436123352E-3</v>
      </c>
    </row>
    <row r="43" spans="1:5" x14ac:dyDescent="0.3">
      <c r="A43" s="74">
        <v>43884</v>
      </c>
      <c r="B43">
        <v>14.19</v>
      </c>
      <c r="C43" s="63">
        <f t="shared" si="0"/>
        <v>-0.11533665835411469</v>
      </c>
      <c r="D43">
        <v>2951</v>
      </c>
      <c r="E43" s="63">
        <f t="shared" si="1"/>
        <v>-0.11626862319383095</v>
      </c>
    </row>
    <row r="44" spans="1:5" x14ac:dyDescent="0.3">
      <c r="A44" s="74">
        <v>43877</v>
      </c>
      <c r="B44">
        <v>16.04</v>
      </c>
      <c r="C44" s="63">
        <f t="shared" si="0"/>
        <v>-6.6899360093077495E-2</v>
      </c>
      <c r="D44">
        <v>3339.25</v>
      </c>
      <c r="E44" s="63">
        <f t="shared" si="1"/>
        <v>-1.2348417627920733E-2</v>
      </c>
    </row>
    <row r="45" spans="1:5" x14ac:dyDescent="0.3">
      <c r="A45" s="74">
        <v>43870</v>
      </c>
      <c r="B45">
        <v>17.190000000000001</v>
      </c>
      <c r="C45" s="63">
        <f t="shared" si="0"/>
        <v>-0.15111111111111106</v>
      </c>
      <c r="D45">
        <v>3381</v>
      </c>
      <c r="E45" s="63">
        <f t="shared" si="1"/>
        <v>1.6689219666215605E-2</v>
      </c>
    </row>
    <row r="46" spans="1:5" x14ac:dyDescent="0.3">
      <c r="A46" s="74">
        <v>43863</v>
      </c>
      <c r="B46">
        <v>20.25</v>
      </c>
      <c r="C46" s="63">
        <f t="shared" si="0"/>
        <v>3.4687809712586862E-3</v>
      </c>
      <c r="D46">
        <v>3325.5</v>
      </c>
      <c r="E46" s="63">
        <f t="shared" si="1"/>
        <v>3.1482630272952852E-2</v>
      </c>
    </row>
    <row r="47" spans="1:5" x14ac:dyDescent="0.3">
      <c r="A47" s="74">
        <v>43856</v>
      </c>
      <c r="B47">
        <v>20.18</v>
      </c>
      <c r="C47" s="63">
        <f t="shared" si="0"/>
        <v>-3.8589804668889886E-2</v>
      </c>
      <c r="D47">
        <v>3224</v>
      </c>
      <c r="E47" s="63">
        <f t="shared" si="1"/>
        <v>-2.1102170942766053E-2</v>
      </c>
    </row>
    <row r="48" spans="1:5" x14ac:dyDescent="0.3">
      <c r="A48" s="74">
        <v>43849</v>
      </c>
      <c r="B48">
        <v>20.99</v>
      </c>
      <c r="C48" s="63">
        <f t="shared" si="0"/>
        <v>2.9426189308484445E-2</v>
      </c>
      <c r="D48">
        <v>3293.5</v>
      </c>
      <c r="E48" s="63">
        <f t="shared" si="1"/>
        <v>-9.4736842105263164E-3</v>
      </c>
    </row>
    <row r="49" spans="1:5" x14ac:dyDescent="0.3">
      <c r="A49" s="74">
        <v>43842</v>
      </c>
      <c r="B49">
        <v>20.39</v>
      </c>
      <c r="C49" s="63">
        <f t="shared" si="0"/>
        <v>3.1360647445624737E-2</v>
      </c>
      <c r="D49">
        <v>3325</v>
      </c>
      <c r="E49" s="63">
        <f t="shared" si="1"/>
        <v>1.8454705567041887E-2</v>
      </c>
    </row>
    <row r="50" spans="1:5" x14ac:dyDescent="0.3">
      <c r="A50" s="74">
        <v>43835</v>
      </c>
      <c r="B50">
        <v>19.77</v>
      </c>
      <c r="C50" s="63">
        <f t="shared" si="0"/>
        <v>-9.5194508009153397E-2</v>
      </c>
      <c r="D50">
        <v>3264.75</v>
      </c>
      <c r="E50" s="63">
        <f t="shared" si="1"/>
        <v>9.0403337969401955E-3</v>
      </c>
    </row>
    <row r="51" spans="1:5" x14ac:dyDescent="0.3">
      <c r="A51" s="74">
        <v>43828</v>
      </c>
      <c r="B51">
        <v>21.85</v>
      </c>
      <c r="C51" s="63">
        <f t="shared" si="0"/>
        <v>1.8648018648018749E-2</v>
      </c>
      <c r="D51">
        <v>3235.5</v>
      </c>
      <c r="E51" s="63">
        <f t="shared" si="1"/>
        <v>-6.177606177606178E-4</v>
      </c>
    </row>
    <row r="52" spans="1:5" x14ac:dyDescent="0.3">
      <c r="A52" s="74">
        <v>43821</v>
      </c>
      <c r="B52">
        <v>21.45</v>
      </c>
      <c r="C52" s="63">
        <f t="shared" si="0"/>
        <v>-2.3255813953488701E-3</v>
      </c>
      <c r="D52">
        <v>3237.5</v>
      </c>
      <c r="E52" s="63">
        <f t="shared" si="1"/>
        <v>2.0055586161645605E-3</v>
      </c>
    </row>
    <row r="53" spans="1:5" x14ac:dyDescent="0.3">
      <c r="A53" s="74">
        <v>43814</v>
      </c>
      <c r="B53">
        <v>21.5</v>
      </c>
      <c r="C53" s="63">
        <f t="shared" si="0"/>
        <v>0.10087045570916532</v>
      </c>
      <c r="D53">
        <v>3231.02</v>
      </c>
      <c r="E53" s="63">
        <f t="shared" si="1"/>
        <v>1.8606557377049176E-2</v>
      </c>
    </row>
    <row r="54" spans="1:5" x14ac:dyDescent="0.3">
      <c r="A54" s="74">
        <v>43807</v>
      </c>
      <c r="B54">
        <v>19.53</v>
      </c>
      <c r="C54" s="63">
        <f t="shared" si="0"/>
        <v>3.0063291139240521E-2</v>
      </c>
      <c r="D54">
        <v>3172</v>
      </c>
      <c r="E54" s="63">
        <f t="shared" si="1"/>
        <v>8.2644628099173556E-3</v>
      </c>
    </row>
    <row r="55" spans="1:5" x14ac:dyDescent="0.3">
      <c r="A55" s="74">
        <v>43800</v>
      </c>
      <c r="B55">
        <v>18.96</v>
      </c>
      <c r="C55" s="63">
        <f t="shared" si="0"/>
        <v>3.7056643726839748E-3</v>
      </c>
      <c r="D55">
        <v>3146</v>
      </c>
      <c r="E55" s="63">
        <f t="shared" si="1"/>
        <v>7.1570576540755469E-4</v>
      </c>
    </row>
    <row r="56" spans="1:5" x14ac:dyDescent="0.3">
      <c r="A56" s="74">
        <v>43793</v>
      </c>
      <c r="B56">
        <v>18.89</v>
      </c>
      <c r="C56" s="63">
        <f t="shared" si="0"/>
        <v>8.3763625932300675E-2</v>
      </c>
      <c r="D56">
        <v>3143.75</v>
      </c>
      <c r="E56" s="63">
        <f t="shared" si="1"/>
        <v>1.036477583159248E-2</v>
      </c>
    </row>
    <row r="57" spans="1:5" x14ac:dyDescent="0.3">
      <c r="A57" s="74">
        <v>43786</v>
      </c>
      <c r="B57">
        <v>17.43</v>
      </c>
      <c r="C57" s="63">
        <f t="shared" si="0"/>
        <v>-2.023608768971329E-2</v>
      </c>
      <c r="D57">
        <v>3111.5</v>
      </c>
      <c r="E57" s="63">
        <f t="shared" si="1"/>
        <v>-2.1646756995109435E-3</v>
      </c>
    </row>
    <row r="58" spans="1:5" x14ac:dyDescent="0.3">
      <c r="A58" s="74">
        <v>43779</v>
      </c>
      <c r="B58">
        <v>17.79</v>
      </c>
      <c r="C58" s="63">
        <f t="shared" si="0"/>
        <v>1.3097949886104809E-2</v>
      </c>
      <c r="D58">
        <v>3118.25</v>
      </c>
      <c r="E58" s="63">
        <f t="shared" si="1"/>
        <v>8.9791295906811192E-3</v>
      </c>
    </row>
    <row r="59" spans="1:5" x14ac:dyDescent="0.3">
      <c r="A59" s="74">
        <v>43772</v>
      </c>
      <c r="B59">
        <v>17.559999999999999</v>
      </c>
      <c r="C59" s="63">
        <f t="shared" si="0"/>
        <v>-0.16934720908230849</v>
      </c>
      <c r="D59">
        <v>3090.5</v>
      </c>
      <c r="E59" s="63">
        <f t="shared" si="1"/>
        <v>8.8957806251530238E-3</v>
      </c>
    </row>
    <row r="60" spans="1:5" x14ac:dyDescent="0.3">
      <c r="A60" s="74">
        <v>43765</v>
      </c>
      <c r="B60">
        <v>21.14</v>
      </c>
      <c r="C60" s="63">
        <f t="shared" si="0"/>
        <v>3.7986704653372198E-3</v>
      </c>
      <c r="D60">
        <v>3063.25</v>
      </c>
      <c r="E60" s="63">
        <f t="shared" si="1"/>
        <v>1.4237232017217117E-2</v>
      </c>
    </row>
    <row r="61" spans="1:5" x14ac:dyDescent="0.3">
      <c r="A61" s="74">
        <v>43758</v>
      </c>
      <c r="B61">
        <v>21.06</v>
      </c>
      <c r="C61" s="63">
        <f t="shared" si="0"/>
        <v>6.9578466226510788E-2</v>
      </c>
      <c r="D61">
        <v>3020.25</v>
      </c>
      <c r="E61" s="63">
        <f t="shared" si="1"/>
        <v>1.0708608717476784E-2</v>
      </c>
    </row>
    <row r="62" spans="1:5" x14ac:dyDescent="0.3">
      <c r="A62" s="74">
        <v>43751</v>
      </c>
      <c r="B62">
        <v>19.690000000000001</v>
      </c>
      <c r="C62" s="63">
        <f t="shared" si="0"/>
        <v>-1.5007503751875796E-2</v>
      </c>
      <c r="D62">
        <v>2988.25</v>
      </c>
      <c r="E62" s="63">
        <f t="shared" si="1"/>
        <v>5.8907683244971811E-3</v>
      </c>
    </row>
    <row r="63" spans="1:5" x14ac:dyDescent="0.3">
      <c r="A63" s="74">
        <v>43744</v>
      </c>
      <c r="B63">
        <v>19.989999999999998</v>
      </c>
      <c r="C63" s="63">
        <f t="shared" si="0"/>
        <v>3.5214914552045562E-2</v>
      </c>
      <c r="D63">
        <v>2970.75</v>
      </c>
      <c r="E63" s="63">
        <f t="shared" si="1"/>
        <v>6.6926465604879703E-3</v>
      </c>
    </row>
    <row r="64" spans="1:5" x14ac:dyDescent="0.3">
      <c r="A64" s="74">
        <v>43737</v>
      </c>
      <c r="B64">
        <v>19.309999999999999</v>
      </c>
      <c r="C64" s="63">
        <f t="shared" si="0"/>
        <v>-1.3285641287685312E-2</v>
      </c>
      <c r="D64">
        <v>2951</v>
      </c>
      <c r="E64" s="63">
        <f t="shared" si="1"/>
        <v>-4.3019822859552935E-3</v>
      </c>
    </row>
    <row r="65" spans="1:5" x14ac:dyDescent="0.3">
      <c r="A65" s="74">
        <v>43730</v>
      </c>
      <c r="B65">
        <v>19.57</v>
      </c>
      <c r="C65" s="63">
        <f t="shared" si="0"/>
        <v>-4.5778229908443472E-3</v>
      </c>
      <c r="D65">
        <v>2963.75</v>
      </c>
      <c r="E65" s="63">
        <f t="shared" si="1"/>
        <v>-1.6544941117131985E-2</v>
      </c>
    </row>
    <row r="66" spans="1:5" x14ac:dyDescent="0.3">
      <c r="A66" s="74">
        <v>43723</v>
      </c>
      <c r="B66">
        <v>19.66</v>
      </c>
      <c r="C66" s="63">
        <f t="shared" si="0"/>
        <v>-7.1765816808309707E-2</v>
      </c>
      <c r="D66">
        <v>3013.61</v>
      </c>
      <c r="E66" s="63">
        <f t="shared" si="1"/>
        <v>2.3648761017795203E-3</v>
      </c>
    </row>
    <row r="67" spans="1:5" x14ac:dyDescent="0.3">
      <c r="A67" s="74">
        <v>43716</v>
      </c>
      <c r="B67">
        <v>21.18</v>
      </c>
      <c r="C67" s="63">
        <f t="shared" si="0"/>
        <v>8.2822085889570615E-2</v>
      </c>
      <c r="D67">
        <v>3006.5</v>
      </c>
      <c r="E67" s="63">
        <f t="shared" si="1"/>
        <v>8.6387654113897518E-3</v>
      </c>
    </row>
    <row r="68" spans="1:5" x14ac:dyDescent="0.3">
      <c r="A68" s="74">
        <v>43709</v>
      </c>
      <c r="B68">
        <v>19.559999999999999</v>
      </c>
      <c r="C68" s="63">
        <f t="shared" si="0"/>
        <v>5.1047823750671642E-2</v>
      </c>
      <c r="D68">
        <v>2980.75</v>
      </c>
      <c r="E68" s="63">
        <f t="shared" si="1"/>
        <v>1.9146935635524404E-2</v>
      </c>
    </row>
    <row r="69" spans="1:5" x14ac:dyDescent="0.3">
      <c r="A69" s="74">
        <v>43702</v>
      </c>
      <c r="B69">
        <v>18.61</v>
      </c>
      <c r="C69" s="63">
        <f t="shared" si="0"/>
        <v>3.8504464285714156E-2</v>
      </c>
      <c r="D69">
        <v>2924.75</v>
      </c>
      <c r="E69" s="63">
        <f t="shared" si="1"/>
        <v>2.4251444580633864E-2</v>
      </c>
    </row>
    <row r="70" spans="1:5" x14ac:dyDescent="0.3">
      <c r="A70" s="74">
        <v>43695</v>
      </c>
      <c r="B70">
        <v>17.920000000000002</v>
      </c>
      <c r="C70" s="63">
        <f t="shared" ref="C70:C133" si="2">(B70-B71)/B71</f>
        <v>-3.9142091152814848E-2</v>
      </c>
      <c r="D70">
        <v>2855.5</v>
      </c>
      <c r="E70" s="63">
        <f t="shared" ref="E70:E133" si="3">(D70-D71)/D71</f>
        <v>-1.2450285319038561E-2</v>
      </c>
    </row>
    <row r="71" spans="1:5" x14ac:dyDescent="0.3">
      <c r="A71" s="74">
        <v>43688</v>
      </c>
      <c r="B71">
        <v>18.649999999999999</v>
      </c>
      <c r="C71" s="63">
        <f t="shared" si="2"/>
        <v>-7.62753838533929E-2</v>
      </c>
      <c r="D71">
        <v>2891.5</v>
      </c>
      <c r="E71" s="63">
        <f t="shared" si="3"/>
        <v>-9.6754859148899738E-3</v>
      </c>
    </row>
    <row r="72" spans="1:5" x14ac:dyDescent="0.3">
      <c r="A72" s="74">
        <v>43681</v>
      </c>
      <c r="B72">
        <v>20.190000000000001</v>
      </c>
      <c r="C72" s="63">
        <f t="shared" si="2"/>
        <v>-6.3977746870653635E-2</v>
      </c>
      <c r="D72">
        <v>2919.75</v>
      </c>
      <c r="E72" s="63">
        <f t="shared" si="3"/>
        <v>-4.3478260869565218E-3</v>
      </c>
    </row>
    <row r="73" spans="1:5" x14ac:dyDescent="0.3">
      <c r="A73" s="74">
        <v>43674</v>
      </c>
      <c r="B73">
        <v>21.57</v>
      </c>
      <c r="C73" s="63">
        <f t="shared" si="2"/>
        <v>-0.20814977973568277</v>
      </c>
      <c r="D73">
        <v>2932.5</v>
      </c>
      <c r="E73" s="63">
        <f t="shared" si="3"/>
        <v>-3.0418250950570342E-2</v>
      </c>
    </row>
    <row r="74" spans="1:5" x14ac:dyDescent="0.3">
      <c r="A74" s="74">
        <v>43667</v>
      </c>
      <c r="B74">
        <v>27.24</v>
      </c>
      <c r="C74" s="63">
        <f t="shared" si="2"/>
        <v>1.0760667903525015E-2</v>
      </c>
      <c r="D74">
        <v>3024.5</v>
      </c>
      <c r="E74" s="63">
        <f t="shared" si="3"/>
        <v>1.5955660060463554E-2</v>
      </c>
    </row>
    <row r="75" spans="1:5" x14ac:dyDescent="0.3">
      <c r="A75" s="74">
        <v>43660</v>
      </c>
      <c r="B75">
        <v>26.95</v>
      </c>
      <c r="C75" s="63">
        <f t="shared" si="2"/>
        <v>-1.2820512820512872E-2</v>
      </c>
      <c r="D75">
        <v>2977</v>
      </c>
      <c r="E75" s="63">
        <f t="shared" si="3"/>
        <v>-1.2767368595589454E-2</v>
      </c>
    </row>
    <row r="76" spans="1:5" x14ac:dyDescent="0.3">
      <c r="A76" s="74">
        <v>43653</v>
      </c>
      <c r="B76">
        <v>27.3</v>
      </c>
      <c r="C76" s="63">
        <f t="shared" si="2"/>
        <v>5.405405405405414E-2</v>
      </c>
      <c r="D76">
        <v>3015.5</v>
      </c>
      <c r="E76" s="63">
        <f t="shared" si="3"/>
        <v>8.3598060524995819E-3</v>
      </c>
    </row>
    <row r="77" spans="1:5" x14ac:dyDescent="0.3">
      <c r="A77" s="74">
        <v>43646</v>
      </c>
      <c r="B77">
        <v>25.9</v>
      </c>
      <c r="C77" s="63">
        <f t="shared" si="2"/>
        <v>2.169625246548312E-2</v>
      </c>
      <c r="D77">
        <v>2990.5</v>
      </c>
      <c r="E77" s="63">
        <f t="shared" si="3"/>
        <v>1.570858452916702E-2</v>
      </c>
    </row>
    <row r="78" spans="1:5" x14ac:dyDescent="0.3">
      <c r="A78" s="74">
        <v>43639</v>
      </c>
      <c r="B78">
        <v>25.35</v>
      </c>
      <c r="C78" s="63">
        <f t="shared" si="2"/>
        <v>-3.0592734225621306E-2</v>
      </c>
      <c r="D78">
        <v>2944.25</v>
      </c>
      <c r="E78" s="63">
        <f t="shared" si="3"/>
        <v>-3.2668675310606626E-3</v>
      </c>
    </row>
    <row r="79" spans="1:5" x14ac:dyDescent="0.3">
      <c r="A79" s="74">
        <v>43632</v>
      </c>
      <c r="B79">
        <v>26.15</v>
      </c>
      <c r="C79" s="63">
        <f t="shared" si="2"/>
        <v>-3.3985962319911404E-2</v>
      </c>
      <c r="D79">
        <v>2953.9</v>
      </c>
      <c r="E79" s="63">
        <f t="shared" si="3"/>
        <v>2.1933921466874274E-2</v>
      </c>
    </row>
    <row r="80" spans="1:5" x14ac:dyDescent="0.3">
      <c r="A80" s="74">
        <v>43625</v>
      </c>
      <c r="B80">
        <v>27.07</v>
      </c>
      <c r="C80" s="63">
        <f t="shared" si="2"/>
        <v>4.5173745173745242E-2</v>
      </c>
      <c r="D80">
        <v>2890.5</v>
      </c>
      <c r="E80" s="63">
        <f t="shared" si="3"/>
        <v>5.3913043478260869E-3</v>
      </c>
    </row>
    <row r="81" spans="1:5" x14ac:dyDescent="0.3">
      <c r="A81" s="74">
        <v>43618</v>
      </c>
      <c r="B81">
        <v>25.9</v>
      </c>
      <c r="C81" s="63">
        <f t="shared" si="2"/>
        <v>0.13596491228070165</v>
      </c>
      <c r="D81">
        <v>2875</v>
      </c>
      <c r="E81" s="63">
        <f t="shared" si="3"/>
        <v>4.4504995458673931E-2</v>
      </c>
    </row>
    <row r="82" spans="1:5" x14ac:dyDescent="0.3">
      <c r="A82" s="74">
        <v>43611</v>
      </c>
      <c r="B82">
        <v>22.8</v>
      </c>
      <c r="C82" s="63">
        <f t="shared" si="2"/>
        <v>-3.1435853865760345E-2</v>
      </c>
      <c r="D82">
        <v>2752.5</v>
      </c>
      <c r="E82" s="63">
        <f t="shared" si="3"/>
        <v>-2.7986227597775228E-2</v>
      </c>
    </row>
    <row r="83" spans="1:5" x14ac:dyDescent="0.3">
      <c r="A83" s="74">
        <v>43604</v>
      </c>
      <c r="B83">
        <v>23.54</v>
      </c>
      <c r="C83" s="63">
        <f t="shared" si="2"/>
        <v>-1.6963528413909733E-3</v>
      </c>
      <c r="D83">
        <v>2831.75</v>
      </c>
      <c r="E83" s="63">
        <f t="shared" si="3"/>
        <v>-1.056953179594689E-2</v>
      </c>
    </row>
    <row r="84" spans="1:5" x14ac:dyDescent="0.3">
      <c r="A84" s="74">
        <v>43597</v>
      </c>
      <c r="B84">
        <v>23.58</v>
      </c>
      <c r="C84" s="63">
        <f t="shared" si="2"/>
        <v>8.2147774208352425E-2</v>
      </c>
      <c r="D84">
        <v>2862</v>
      </c>
      <c r="E84" s="63">
        <f t="shared" si="3"/>
        <v>-8.6595081399376515E-3</v>
      </c>
    </row>
    <row r="85" spans="1:5" x14ac:dyDescent="0.3">
      <c r="A85" s="74">
        <v>43590</v>
      </c>
      <c r="B85">
        <v>21.79</v>
      </c>
      <c r="C85" s="63">
        <f t="shared" si="2"/>
        <v>-4.1776605101143331E-2</v>
      </c>
      <c r="D85">
        <v>2887</v>
      </c>
      <c r="E85" s="63">
        <f t="shared" si="3"/>
        <v>-2.0525869380831212E-2</v>
      </c>
    </row>
    <row r="86" spans="1:5" x14ac:dyDescent="0.3">
      <c r="A86" s="74">
        <v>43583</v>
      </c>
      <c r="B86">
        <v>22.74</v>
      </c>
      <c r="C86" s="63">
        <f t="shared" si="2"/>
        <v>-2.6315789473685207E-3</v>
      </c>
      <c r="D86">
        <v>2947.5</v>
      </c>
      <c r="E86" s="63">
        <f t="shared" si="3"/>
        <v>2.0397756246812852E-3</v>
      </c>
    </row>
    <row r="87" spans="1:5" x14ac:dyDescent="0.3">
      <c r="A87" s="74">
        <v>43576</v>
      </c>
      <c r="B87">
        <v>22.8</v>
      </c>
      <c r="C87" s="63">
        <f t="shared" si="2"/>
        <v>2.8880866425992805E-2</v>
      </c>
      <c r="D87">
        <v>2941.5</v>
      </c>
      <c r="E87" s="63">
        <f t="shared" si="3"/>
        <v>1.0824742268041237E-2</v>
      </c>
    </row>
    <row r="88" spans="1:5" x14ac:dyDescent="0.3">
      <c r="A88" s="74">
        <v>43569</v>
      </c>
      <c r="B88">
        <v>22.16</v>
      </c>
      <c r="C88" s="63">
        <f t="shared" si="2"/>
        <v>1.3723696248856391E-2</v>
      </c>
      <c r="D88">
        <v>2910</v>
      </c>
      <c r="E88" s="63">
        <f t="shared" si="3"/>
        <v>-8.5836909871244631E-4</v>
      </c>
    </row>
    <row r="89" spans="1:5" x14ac:dyDescent="0.3">
      <c r="A89" s="74">
        <v>43562</v>
      </c>
      <c r="B89">
        <v>21.86</v>
      </c>
      <c r="C89" s="63">
        <f t="shared" si="2"/>
        <v>1.3742556115437993E-3</v>
      </c>
      <c r="D89">
        <v>2912.5</v>
      </c>
      <c r="E89" s="63">
        <f t="shared" si="3"/>
        <v>5.6975138121546963E-3</v>
      </c>
    </row>
    <row r="90" spans="1:5" x14ac:dyDescent="0.3">
      <c r="A90" s="74">
        <v>43555</v>
      </c>
      <c r="B90">
        <v>21.83</v>
      </c>
      <c r="C90" s="63">
        <f t="shared" si="2"/>
        <v>3.2639545884578888E-2</v>
      </c>
      <c r="D90">
        <v>2896</v>
      </c>
      <c r="E90" s="63">
        <f t="shared" si="3"/>
        <v>2.0526825830323319E-2</v>
      </c>
    </row>
    <row r="91" spans="1:5" x14ac:dyDescent="0.3">
      <c r="A91" s="74">
        <v>43548</v>
      </c>
      <c r="B91">
        <v>21.14</v>
      </c>
      <c r="C91" s="63">
        <f t="shared" si="2"/>
        <v>2.0270270270270355E-2</v>
      </c>
      <c r="D91">
        <v>2837.75</v>
      </c>
      <c r="E91" s="63">
        <f t="shared" si="3"/>
        <v>9.6059770523881528E-3</v>
      </c>
    </row>
    <row r="92" spans="1:5" x14ac:dyDescent="0.3">
      <c r="A92" s="74">
        <v>43541</v>
      </c>
      <c r="B92">
        <v>20.72</v>
      </c>
      <c r="C92" s="63">
        <f t="shared" si="2"/>
        <v>-6.7086897793786668E-2</v>
      </c>
      <c r="D92">
        <v>2810.75</v>
      </c>
      <c r="E92" s="63">
        <f t="shared" si="3"/>
        <v>-4.0542126470092101E-4</v>
      </c>
    </row>
    <row r="93" spans="1:5" x14ac:dyDescent="0.3">
      <c r="A93" s="74">
        <v>43534</v>
      </c>
      <c r="B93">
        <v>22.21</v>
      </c>
      <c r="C93" s="63">
        <f t="shared" si="2"/>
        <v>3.4466697717745784E-2</v>
      </c>
      <c r="D93">
        <v>2811.89</v>
      </c>
      <c r="E93" s="63">
        <f t="shared" si="3"/>
        <v>2.3622133236257691E-2</v>
      </c>
    </row>
    <row r="94" spans="1:5" x14ac:dyDescent="0.3">
      <c r="A94" s="74">
        <v>43527</v>
      </c>
      <c r="B94">
        <v>21.47</v>
      </c>
      <c r="C94" s="63">
        <f t="shared" si="2"/>
        <v>-6.0804899387576578E-2</v>
      </c>
      <c r="D94">
        <v>2747</v>
      </c>
      <c r="E94" s="63">
        <f t="shared" si="3"/>
        <v>-2.0677361853832441E-2</v>
      </c>
    </row>
    <row r="95" spans="1:5" x14ac:dyDescent="0.3">
      <c r="A95" s="74">
        <v>43520</v>
      </c>
      <c r="B95">
        <v>22.86</v>
      </c>
      <c r="C95" s="63">
        <f t="shared" si="2"/>
        <v>5.4428044280442789E-2</v>
      </c>
      <c r="D95">
        <v>2805</v>
      </c>
      <c r="E95" s="63">
        <f t="shared" si="3"/>
        <v>4.9261083743842365E-3</v>
      </c>
    </row>
    <row r="96" spans="1:5" x14ac:dyDescent="0.3">
      <c r="A96" s="74">
        <v>43513</v>
      </c>
      <c r="B96">
        <v>21.68</v>
      </c>
      <c r="C96" s="63">
        <f t="shared" si="2"/>
        <v>2.4574669187145539E-2</v>
      </c>
      <c r="D96">
        <v>2791.25</v>
      </c>
      <c r="E96" s="63">
        <f t="shared" si="3"/>
        <v>5.1314368023046451E-3</v>
      </c>
    </row>
    <row r="97" spans="1:5" x14ac:dyDescent="0.3">
      <c r="A97" s="74">
        <v>43506</v>
      </c>
      <c r="B97">
        <v>21.16</v>
      </c>
      <c r="C97" s="63">
        <f t="shared" si="2"/>
        <v>1.9759036144578319E-2</v>
      </c>
      <c r="D97">
        <v>2777</v>
      </c>
      <c r="E97" s="63">
        <f t="shared" si="3"/>
        <v>2.6143187066974594E-2</v>
      </c>
    </row>
    <row r="98" spans="1:5" x14ac:dyDescent="0.3">
      <c r="A98" s="74">
        <v>43499</v>
      </c>
      <c r="B98">
        <v>20.75</v>
      </c>
      <c r="C98" s="63">
        <f t="shared" si="2"/>
        <v>5.8167716917111485E-3</v>
      </c>
      <c r="D98">
        <v>2706.25</v>
      </c>
      <c r="E98" s="63">
        <f t="shared" si="3"/>
        <v>7.3957659240085052E-4</v>
      </c>
    </row>
    <row r="99" spans="1:5" x14ac:dyDescent="0.3">
      <c r="A99" s="74">
        <v>43492</v>
      </c>
      <c r="B99">
        <v>20.63</v>
      </c>
      <c r="C99" s="63">
        <f t="shared" si="2"/>
        <v>-3.7779850746268759E-2</v>
      </c>
      <c r="D99">
        <v>2704.25</v>
      </c>
      <c r="E99" s="63">
        <f t="shared" si="3"/>
        <v>1.5299418058944997E-2</v>
      </c>
    </row>
    <row r="100" spans="1:5" x14ac:dyDescent="0.3">
      <c r="A100" s="74">
        <v>43485</v>
      </c>
      <c r="B100">
        <v>21.44</v>
      </c>
      <c r="C100" s="63">
        <f t="shared" si="2"/>
        <v>4.6364080039043576E-2</v>
      </c>
      <c r="D100">
        <v>2663.5</v>
      </c>
      <c r="E100" s="63">
        <f t="shared" si="3"/>
        <v>-2.9945723376380313E-3</v>
      </c>
    </row>
    <row r="101" spans="1:5" x14ac:dyDescent="0.3">
      <c r="A101" s="74">
        <v>43478</v>
      </c>
      <c r="B101">
        <v>20.49</v>
      </c>
      <c r="C101" s="63">
        <f t="shared" si="2"/>
        <v>4.1687849517030841E-2</v>
      </c>
      <c r="D101">
        <v>2671.5</v>
      </c>
      <c r="E101" s="63">
        <f t="shared" si="3"/>
        <v>2.9479768786127167E-2</v>
      </c>
    </row>
    <row r="102" spans="1:5" x14ac:dyDescent="0.3">
      <c r="A102" s="74">
        <v>43471</v>
      </c>
      <c r="B102">
        <v>19.670000000000002</v>
      </c>
      <c r="C102" s="63">
        <f t="shared" si="2"/>
        <v>8.4942084942085092E-2</v>
      </c>
      <c r="D102">
        <v>2595</v>
      </c>
      <c r="E102" s="63">
        <f t="shared" si="3"/>
        <v>2.5185185185185185E-2</v>
      </c>
    </row>
    <row r="103" spans="1:5" x14ac:dyDescent="0.3">
      <c r="A103" s="74">
        <v>43464</v>
      </c>
      <c r="B103">
        <v>18.13</v>
      </c>
      <c r="C103" s="63">
        <f t="shared" si="2"/>
        <v>3.4817351598173486E-2</v>
      </c>
      <c r="D103">
        <v>2531.25</v>
      </c>
      <c r="E103" s="63">
        <f t="shared" si="3"/>
        <v>1.8201930812550282E-2</v>
      </c>
    </row>
    <row r="104" spans="1:5" x14ac:dyDescent="0.3">
      <c r="A104" s="74">
        <v>43457</v>
      </c>
      <c r="B104">
        <v>17.52</v>
      </c>
      <c r="C104" s="63">
        <f t="shared" si="2"/>
        <v>3.3018867924528225E-2</v>
      </c>
      <c r="D104">
        <v>2486</v>
      </c>
      <c r="E104" s="63">
        <f t="shared" si="3"/>
        <v>1.1021188336247878E-2</v>
      </c>
    </row>
    <row r="105" spans="1:5" x14ac:dyDescent="0.3">
      <c r="A105" s="74">
        <v>43450</v>
      </c>
      <c r="B105">
        <v>16.96</v>
      </c>
      <c r="C105" s="63">
        <f t="shared" si="2"/>
        <v>-0.10689836756187455</v>
      </c>
      <c r="D105">
        <v>2458.9</v>
      </c>
      <c r="E105" s="63">
        <f t="shared" si="3"/>
        <v>-5.499615680245961E-2</v>
      </c>
    </row>
    <row r="106" spans="1:5" x14ac:dyDescent="0.3">
      <c r="A106" s="74">
        <v>43443</v>
      </c>
      <c r="B106">
        <v>18.989999999999998</v>
      </c>
      <c r="C106" s="63">
        <f t="shared" si="2"/>
        <v>-0.19019189765458427</v>
      </c>
      <c r="D106">
        <v>2602</v>
      </c>
      <c r="E106" s="63">
        <f t="shared" si="3"/>
        <v>-1.2898330804248861E-2</v>
      </c>
    </row>
    <row r="107" spans="1:5" x14ac:dyDescent="0.3">
      <c r="A107" s="74">
        <v>43436</v>
      </c>
      <c r="B107">
        <v>23.45</v>
      </c>
      <c r="C107" s="63">
        <f t="shared" si="2"/>
        <v>-1.8006700167504178E-2</v>
      </c>
      <c r="D107">
        <v>2636</v>
      </c>
      <c r="E107" s="63">
        <f t="shared" si="3"/>
        <v>-4.4321580712408229E-2</v>
      </c>
    </row>
    <row r="108" spans="1:5" x14ac:dyDescent="0.3">
      <c r="A108" s="74">
        <v>43429</v>
      </c>
      <c r="B108">
        <v>23.88</v>
      </c>
      <c r="C108" s="63">
        <f t="shared" si="2"/>
        <v>0.11069767441860461</v>
      </c>
      <c r="D108">
        <v>2758.25</v>
      </c>
      <c r="E108" s="63">
        <f t="shared" si="3"/>
        <v>4.8963681308233503E-2</v>
      </c>
    </row>
    <row r="109" spans="1:5" x14ac:dyDescent="0.3">
      <c r="A109" s="74">
        <v>43422</v>
      </c>
      <c r="B109">
        <v>21.5</v>
      </c>
      <c r="C109" s="63">
        <f t="shared" si="2"/>
        <v>-1.1494252873563218E-2</v>
      </c>
      <c r="D109">
        <v>2629.5</v>
      </c>
      <c r="E109" s="63">
        <f t="shared" si="3"/>
        <v>-4.1378053226394457E-2</v>
      </c>
    </row>
    <row r="110" spans="1:5" x14ac:dyDescent="0.3">
      <c r="A110" s="74">
        <v>43415</v>
      </c>
      <c r="B110">
        <v>21.75</v>
      </c>
      <c r="C110" s="63">
        <f t="shared" si="2"/>
        <v>-4.3956043956043959E-2</v>
      </c>
      <c r="D110">
        <v>2743</v>
      </c>
      <c r="E110" s="63">
        <f t="shared" si="3"/>
        <v>-1.2954300107952501E-2</v>
      </c>
    </row>
    <row r="111" spans="1:5" x14ac:dyDescent="0.3">
      <c r="A111" s="74">
        <v>43408</v>
      </c>
      <c r="B111">
        <v>22.75</v>
      </c>
      <c r="C111" s="63">
        <f t="shared" si="2"/>
        <v>-4.0084388185653977E-2</v>
      </c>
      <c r="D111">
        <v>2779</v>
      </c>
      <c r="E111" s="63">
        <f t="shared" si="3"/>
        <v>2.0097274479214462E-2</v>
      </c>
    </row>
    <row r="112" spans="1:5" x14ac:dyDescent="0.3">
      <c r="A112" s="74">
        <v>43401</v>
      </c>
      <c r="B112">
        <v>23.7</v>
      </c>
      <c r="C112" s="63">
        <f t="shared" si="2"/>
        <v>0.31813125695216898</v>
      </c>
      <c r="D112">
        <v>2724.25</v>
      </c>
      <c r="E112" s="63">
        <f t="shared" si="3"/>
        <v>2.0509458700131111E-2</v>
      </c>
    </row>
    <row r="113" spans="1:5" x14ac:dyDescent="0.3">
      <c r="A113" s="74">
        <v>43394</v>
      </c>
      <c r="B113">
        <v>17.98</v>
      </c>
      <c r="C113" s="63">
        <f t="shared" si="2"/>
        <v>-1.2087912087912026E-2</v>
      </c>
      <c r="D113">
        <v>2669.5</v>
      </c>
      <c r="E113" s="63">
        <f t="shared" si="3"/>
        <v>-3.5411020776874434E-2</v>
      </c>
    </row>
    <row r="114" spans="1:5" x14ac:dyDescent="0.3">
      <c r="A114" s="74">
        <v>43387</v>
      </c>
      <c r="B114">
        <v>18.2</v>
      </c>
      <c r="C114" s="63">
        <f t="shared" si="2"/>
        <v>-2.5174076057846939E-2</v>
      </c>
      <c r="D114">
        <v>2767.5</v>
      </c>
      <c r="E114" s="63">
        <f t="shared" si="3"/>
        <v>-3.6120642947444465E-4</v>
      </c>
    </row>
    <row r="115" spans="1:5" x14ac:dyDescent="0.3">
      <c r="A115" s="74">
        <v>43380</v>
      </c>
      <c r="B115">
        <v>18.670000000000002</v>
      </c>
      <c r="C115" s="63">
        <f t="shared" si="2"/>
        <v>-3.8619979402677647E-2</v>
      </c>
      <c r="D115">
        <v>2768.5</v>
      </c>
      <c r="E115" s="63">
        <f t="shared" si="3"/>
        <v>-4.3365583966827922E-2</v>
      </c>
    </row>
    <row r="116" spans="1:5" x14ac:dyDescent="0.3">
      <c r="A116" s="74">
        <v>43373</v>
      </c>
      <c r="B116">
        <v>19.420000000000002</v>
      </c>
      <c r="C116" s="63">
        <f t="shared" si="2"/>
        <v>-8.4825636192271306E-2</v>
      </c>
      <c r="D116">
        <v>2894</v>
      </c>
      <c r="E116" s="63">
        <f t="shared" si="3"/>
        <v>-8.5645769099006504E-3</v>
      </c>
    </row>
    <row r="117" spans="1:5" x14ac:dyDescent="0.3">
      <c r="A117" s="74">
        <v>43366</v>
      </c>
      <c r="B117">
        <v>21.22</v>
      </c>
      <c r="C117" s="63">
        <f t="shared" si="2"/>
        <v>3.1599416626154522E-2</v>
      </c>
      <c r="D117">
        <v>2919</v>
      </c>
      <c r="E117" s="63">
        <f t="shared" si="3"/>
        <v>-7.2948018160485023E-3</v>
      </c>
    </row>
    <row r="118" spans="1:5" x14ac:dyDescent="0.3">
      <c r="A118" s="74">
        <v>43359</v>
      </c>
      <c r="B118">
        <v>20.57</v>
      </c>
      <c r="C118" s="63">
        <f t="shared" si="2"/>
        <v>8.4915611814345954E-2</v>
      </c>
      <c r="D118">
        <v>2940.45</v>
      </c>
      <c r="E118" s="63">
        <f t="shared" si="3"/>
        <v>1.1767741935483808E-2</v>
      </c>
    </row>
    <row r="119" spans="1:5" x14ac:dyDescent="0.3">
      <c r="A119" s="74">
        <v>43352</v>
      </c>
      <c r="B119">
        <v>18.96</v>
      </c>
      <c r="C119" s="63">
        <f t="shared" si="2"/>
        <v>-3.5605289928789384E-2</v>
      </c>
      <c r="D119">
        <v>2906.25</v>
      </c>
      <c r="E119" s="63">
        <f t="shared" si="3"/>
        <v>1.0957474563005479E-2</v>
      </c>
    </row>
    <row r="120" spans="1:5" x14ac:dyDescent="0.3">
      <c r="A120" s="74">
        <v>43345</v>
      </c>
      <c r="B120">
        <v>19.66</v>
      </c>
      <c r="C120" s="63">
        <f t="shared" si="2"/>
        <v>-3.8630806845965732E-2</v>
      </c>
      <c r="D120">
        <v>2874.75</v>
      </c>
      <c r="E120" s="63">
        <f t="shared" si="3"/>
        <v>-9.3900758097863538E-3</v>
      </c>
    </row>
    <row r="121" spans="1:5" x14ac:dyDescent="0.3">
      <c r="A121" s="74">
        <v>43338</v>
      </c>
      <c r="B121">
        <v>20.45</v>
      </c>
      <c r="C121" s="63">
        <f t="shared" si="2"/>
        <v>-4.8837209302325615E-2</v>
      </c>
      <c r="D121">
        <v>2902</v>
      </c>
      <c r="E121" s="63">
        <f t="shared" si="3"/>
        <v>8.7772660119927008E-3</v>
      </c>
    </row>
    <row r="122" spans="1:5" x14ac:dyDescent="0.3">
      <c r="A122" s="74">
        <v>43331</v>
      </c>
      <c r="B122">
        <v>21.5</v>
      </c>
      <c r="C122" s="63">
        <f t="shared" si="2"/>
        <v>4.9292337725719941E-2</v>
      </c>
      <c r="D122">
        <v>2876.75</v>
      </c>
      <c r="E122" s="63">
        <f t="shared" si="3"/>
        <v>8.58970987816636E-3</v>
      </c>
    </row>
    <row r="123" spans="1:5" x14ac:dyDescent="0.3">
      <c r="A123" s="74">
        <v>43324</v>
      </c>
      <c r="B123">
        <v>20.49</v>
      </c>
      <c r="C123" s="63">
        <f t="shared" si="2"/>
        <v>-6.7862336403296452E-3</v>
      </c>
      <c r="D123">
        <v>2852.25</v>
      </c>
      <c r="E123" s="63">
        <f t="shared" si="3"/>
        <v>5.4639992949678329E-3</v>
      </c>
    </row>
    <row r="124" spans="1:5" x14ac:dyDescent="0.3">
      <c r="A124" s="74">
        <v>43317</v>
      </c>
      <c r="B124">
        <v>20.63</v>
      </c>
      <c r="C124" s="63">
        <f t="shared" si="2"/>
        <v>4.82723577235772E-2</v>
      </c>
      <c r="D124">
        <v>2836.75</v>
      </c>
      <c r="E124" s="63">
        <f t="shared" si="3"/>
        <v>-9.6848036626166582E-4</v>
      </c>
    </row>
    <row r="125" spans="1:5" x14ac:dyDescent="0.3">
      <c r="A125" s="74">
        <v>43310</v>
      </c>
      <c r="B125">
        <v>19.68</v>
      </c>
      <c r="C125" s="63">
        <f t="shared" si="2"/>
        <v>-4.4660194174757362E-2</v>
      </c>
      <c r="D125">
        <v>2839.5</v>
      </c>
      <c r="E125" s="63">
        <f t="shared" si="3"/>
        <v>7.8083407275953863E-3</v>
      </c>
    </row>
    <row r="126" spans="1:5" x14ac:dyDescent="0.3">
      <c r="A126" s="74">
        <v>43303</v>
      </c>
      <c r="B126">
        <v>20.6</v>
      </c>
      <c r="C126" s="63">
        <f t="shared" si="2"/>
        <v>-4.6737621471540862E-2</v>
      </c>
      <c r="D126">
        <v>2817.5</v>
      </c>
      <c r="E126" s="63">
        <f t="shared" si="3"/>
        <v>5.9805409265375345E-3</v>
      </c>
    </row>
    <row r="127" spans="1:5" x14ac:dyDescent="0.3">
      <c r="A127" s="74">
        <v>43296</v>
      </c>
      <c r="B127">
        <v>21.61</v>
      </c>
      <c r="C127" s="63">
        <f t="shared" si="2"/>
        <v>5.5839925546766409E-3</v>
      </c>
      <c r="D127">
        <v>2800.75</v>
      </c>
      <c r="E127" s="63">
        <f t="shared" si="3"/>
        <v>-8.9182199233033086E-4</v>
      </c>
    </row>
    <row r="128" spans="1:5" x14ac:dyDescent="0.3">
      <c r="A128" s="74">
        <v>43289</v>
      </c>
      <c r="B128">
        <v>21.49</v>
      </c>
      <c r="C128" s="63">
        <f t="shared" si="2"/>
        <v>-3.4591194968553597E-2</v>
      </c>
      <c r="D128">
        <v>2803.25</v>
      </c>
      <c r="E128" s="63">
        <f t="shared" si="3"/>
        <v>1.4567499095186391E-2</v>
      </c>
    </row>
    <row r="129" spans="1:5" x14ac:dyDescent="0.3">
      <c r="A129" s="74">
        <v>43282</v>
      </c>
      <c r="B129">
        <v>22.26</v>
      </c>
      <c r="C129" s="63">
        <f t="shared" si="2"/>
        <v>-9.7864768683273515E-3</v>
      </c>
      <c r="D129">
        <v>2763</v>
      </c>
      <c r="E129" s="63">
        <f t="shared" si="3"/>
        <v>1.5248943597280911E-2</v>
      </c>
    </row>
    <row r="130" spans="1:5" x14ac:dyDescent="0.3">
      <c r="A130" s="74">
        <v>43275</v>
      </c>
      <c r="B130">
        <v>22.48</v>
      </c>
      <c r="C130" s="63">
        <f t="shared" si="2"/>
        <v>4.4682752457552025E-3</v>
      </c>
      <c r="D130">
        <v>2721.5</v>
      </c>
      <c r="E130" s="63">
        <f t="shared" si="3"/>
        <v>-1.3770610617865555E-2</v>
      </c>
    </row>
    <row r="131" spans="1:5" x14ac:dyDescent="0.3">
      <c r="A131" s="74">
        <v>43268</v>
      </c>
      <c r="B131">
        <v>22.38</v>
      </c>
      <c r="C131" s="63">
        <f t="shared" si="2"/>
        <v>-3.5760448082723044E-2</v>
      </c>
      <c r="D131">
        <v>2759.5</v>
      </c>
      <c r="E131" s="63">
        <f t="shared" si="3"/>
        <v>-6.248086861011545E-3</v>
      </c>
    </row>
    <row r="132" spans="1:5" x14ac:dyDescent="0.3">
      <c r="A132" s="74">
        <v>43261</v>
      </c>
      <c r="B132">
        <v>23.21</v>
      </c>
      <c r="C132" s="63">
        <f t="shared" si="2"/>
        <v>-4.5248868778280459E-2</v>
      </c>
      <c r="D132">
        <v>2776.85</v>
      </c>
      <c r="E132" s="63">
        <f t="shared" si="3"/>
        <v>-6.837606837607165E-4</v>
      </c>
    </row>
    <row r="133" spans="1:5" x14ac:dyDescent="0.3">
      <c r="A133" s="74">
        <v>43254</v>
      </c>
      <c r="B133">
        <v>24.31</v>
      </c>
      <c r="C133" s="63">
        <f t="shared" si="2"/>
        <v>0.13810861423220971</v>
      </c>
      <c r="D133">
        <v>2778.75</v>
      </c>
      <c r="E133" s="63">
        <f t="shared" si="3"/>
        <v>1.646090534979424E-2</v>
      </c>
    </row>
    <row r="134" spans="1:5" x14ac:dyDescent="0.3">
      <c r="A134" s="74">
        <v>43247</v>
      </c>
      <c r="B134">
        <v>21.36</v>
      </c>
      <c r="C134" s="63">
        <f t="shared" ref="C134:C197" si="4">(B134-B135)/B135</f>
        <v>2.4460431654676162E-2</v>
      </c>
      <c r="D134">
        <v>2733.75</v>
      </c>
      <c r="E134" s="63">
        <f t="shared" ref="E134:E197" si="5">(D134-D135)/D135</f>
        <v>5.7021981053986936E-3</v>
      </c>
    </row>
    <row r="135" spans="1:5" x14ac:dyDescent="0.3">
      <c r="A135" s="74">
        <v>43240</v>
      </c>
      <c r="B135">
        <v>20.85</v>
      </c>
      <c r="C135" s="63">
        <f t="shared" si="4"/>
        <v>3.6282306163021888E-2</v>
      </c>
      <c r="D135">
        <v>2718.25</v>
      </c>
      <c r="E135" s="63">
        <f t="shared" si="5"/>
        <v>1.9351271654994471E-3</v>
      </c>
    </row>
    <row r="136" spans="1:5" x14ac:dyDescent="0.3">
      <c r="A136" s="74">
        <v>43233</v>
      </c>
      <c r="B136">
        <v>20.12</v>
      </c>
      <c r="C136" s="63">
        <f t="shared" si="4"/>
        <v>7.249466950959485E-2</v>
      </c>
      <c r="D136">
        <v>2713</v>
      </c>
      <c r="E136" s="63">
        <f t="shared" si="5"/>
        <v>-6.045063198387983E-3</v>
      </c>
    </row>
    <row r="137" spans="1:5" x14ac:dyDescent="0.3">
      <c r="A137" s="74">
        <v>43226</v>
      </c>
      <c r="B137">
        <v>18.760000000000002</v>
      </c>
      <c r="C137" s="63">
        <f t="shared" si="4"/>
        <v>8.0645161290322703E-2</v>
      </c>
      <c r="D137">
        <v>2729.5</v>
      </c>
      <c r="E137" s="63">
        <f t="shared" si="5"/>
        <v>2.4971836274877958E-2</v>
      </c>
    </row>
    <row r="138" spans="1:5" x14ac:dyDescent="0.3">
      <c r="A138" s="74">
        <v>43219</v>
      </c>
      <c r="B138">
        <v>17.36</v>
      </c>
      <c r="C138" s="63">
        <f t="shared" si="4"/>
        <v>-2.6360067302299433E-2</v>
      </c>
      <c r="D138">
        <v>2663</v>
      </c>
      <c r="E138" s="63">
        <f t="shared" si="5"/>
        <v>-3.1817331087404081E-3</v>
      </c>
    </row>
    <row r="139" spans="1:5" x14ac:dyDescent="0.3">
      <c r="A139" s="74">
        <v>43212</v>
      </c>
      <c r="B139">
        <v>17.829999999999998</v>
      </c>
      <c r="C139" s="63">
        <f t="shared" si="4"/>
        <v>0.10745341614906812</v>
      </c>
      <c r="D139">
        <v>2671.5</v>
      </c>
      <c r="E139" s="63">
        <f t="shared" si="5"/>
        <v>0</v>
      </c>
    </row>
    <row r="140" spans="1:5" x14ac:dyDescent="0.3">
      <c r="A140" s="74">
        <v>43205</v>
      </c>
      <c r="B140">
        <v>16.100000000000001</v>
      </c>
      <c r="C140" s="63">
        <f t="shared" si="4"/>
        <v>-2.3650697392358828E-2</v>
      </c>
      <c r="D140">
        <v>2671.5</v>
      </c>
      <c r="E140" s="63">
        <f t="shared" si="5"/>
        <v>5.3626869884278857E-3</v>
      </c>
    </row>
    <row r="141" spans="1:5" x14ac:dyDescent="0.3">
      <c r="A141" s="74">
        <v>43198</v>
      </c>
      <c r="B141">
        <v>16.489999999999998</v>
      </c>
      <c r="C141" s="63">
        <f t="shared" si="4"/>
        <v>-2.8857479387514838E-2</v>
      </c>
      <c r="D141">
        <v>2657.25</v>
      </c>
      <c r="E141" s="63">
        <f t="shared" si="5"/>
        <v>1.9763983498033197E-2</v>
      </c>
    </row>
    <row r="142" spans="1:5" x14ac:dyDescent="0.3">
      <c r="A142" s="74">
        <v>43191</v>
      </c>
      <c r="B142">
        <v>16.98</v>
      </c>
      <c r="C142" s="63">
        <f t="shared" si="4"/>
        <v>3.8532110091743052E-2</v>
      </c>
      <c r="D142">
        <v>2605.75</v>
      </c>
      <c r="E142" s="63">
        <f t="shared" si="5"/>
        <v>-1.4093832765796444E-2</v>
      </c>
    </row>
    <row r="143" spans="1:5" x14ac:dyDescent="0.3">
      <c r="A143" s="74">
        <v>43184</v>
      </c>
      <c r="B143">
        <v>16.350000000000001</v>
      </c>
      <c r="C143" s="63">
        <f t="shared" si="4"/>
        <v>3.6121673003802417E-2</v>
      </c>
      <c r="D143">
        <v>2643</v>
      </c>
      <c r="E143" s="63">
        <f t="shared" si="5"/>
        <v>1.7418920219420653E-2</v>
      </c>
    </row>
    <row r="144" spans="1:5" x14ac:dyDescent="0.3">
      <c r="A144" s="74">
        <v>43177</v>
      </c>
      <c r="B144">
        <v>15.78</v>
      </c>
      <c r="C144" s="63">
        <f t="shared" si="4"/>
        <v>-2.5324274243360215E-2</v>
      </c>
      <c r="D144">
        <v>2597.75</v>
      </c>
      <c r="E144" s="63">
        <f t="shared" si="5"/>
        <v>-5.5991830890716333E-2</v>
      </c>
    </row>
    <row r="145" spans="1:5" x14ac:dyDescent="0.3">
      <c r="A145" s="74">
        <v>43170</v>
      </c>
      <c r="B145">
        <v>16.190000000000001</v>
      </c>
      <c r="C145" s="63">
        <f t="shared" si="4"/>
        <v>-5.0439882697947178E-2</v>
      </c>
      <c r="D145">
        <v>2751.83</v>
      </c>
      <c r="E145" s="63">
        <f t="shared" si="5"/>
        <v>-1.155531609195405E-2</v>
      </c>
    </row>
    <row r="146" spans="1:5" x14ac:dyDescent="0.3">
      <c r="A146" s="74">
        <v>43163</v>
      </c>
      <c r="B146">
        <v>17.05</v>
      </c>
      <c r="C146" s="63">
        <f t="shared" si="4"/>
        <v>1.7626321974148729E-3</v>
      </c>
      <c r="D146">
        <v>2784</v>
      </c>
      <c r="E146" s="63">
        <f t="shared" si="5"/>
        <v>3.4848062447727909E-2</v>
      </c>
    </row>
    <row r="147" spans="1:5" x14ac:dyDescent="0.3">
      <c r="A147" s="74">
        <v>43156</v>
      </c>
      <c r="B147">
        <v>17.02</v>
      </c>
      <c r="C147" s="63">
        <f t="shared" si="4"/>
        <v>0</v>
      </c>
      <c r="D147">
        <v>2690.25</v>
      </c>
      <c r="E147" s="63">
        <f t="shared" si="5"/>
        <v>-2.1282401091405185E-2</v>
      </c>
    </row>
    <row r="148" spans="1:5" x14ac:dyDescent="0.3">
      <c r="A148" s="74">
        <v>43149</v>
      </c>
      <c r="B148">
        <v>17.02</v>
      </c>
      <c r="C148" s="63">
        <f t="shared" si="4"/>
        <v>-1.958525345622119E-2</v>
      </c>
      <c r="D148">
        <v>2748.75</v>
      </c>
      <c r="E148" s="63">
        <f t="shared" si="5"/>
        <v>5.0274223034734921E-3</v>
      </c>
    </row>
    <row r="149" spans="1:5" x14ac:dyDescent="0.3">
      <c r="A149" s="74">
        <v>43142</v>
      </c>
      <c r="B149">
        <v>17.36</v>
      </c>
      <c r="C149" s="63">
        <f t="shared" si="4"/>
        <v>0.26254545454545453</v>
      </c>
      <c r="D149">
        <v>2735</v>
      </c>
      <c r="E149" s="63">
        <f t="shared" si="5"/>
        <v>4.4291714394807176E-2</v>
      </c>
    </row>
    <row r="150" spans="1:5" x14ac:dyDescent="0.3">
      <c r="A150" s="74">
        <v>43135</v>
      </c>
      <c r="B150">
        <v>13.75</v>
      </c>
      <c r="C150" s="63">
        <f t="shared" si="4"/>
        <v>7.3260073260073E-3</v>
      </c>
      <c r="D150">
        <v>2619</v>
      </c>
      <c r="E150" s="63">
        <f t="shared" si="5"/>
        <v>-4.9968259726126778E-2</v>
      </c>
    </row>
    <row r="151" spans="1:5" x14ac:dyDescent="0.3">
      <c r="A151" s="74">
        <v>43128</v>
      </c>
      <c r="B151">
        <v>13.65</v>
      </c>
      <c r="C151" s="63">
        <f t="shared" si="4"/>
        <v>-6.6347469220246161E-2</v>
      </c>
      <c r="D151">
        <v>2756.75</v>
      </c>
      <c r="E151" s="63">
        <f t="shared" si="5"/>
        <v>-4.0963645851452429E-2</v>
      </c>
    </row>
    <row r="152" spans="1:5" x14ac:dyDescent="0.3">
      <c r="A152" s="74">
        <v>43121</v>
      </c>
      <c r="B152">
        <v>14.62</v>
      </c>
      <c r="C152" s="63">
        <f t="shared" si="4"/>
        <v>2.8852920478536125E-2</v>
      </c>
      <c r="D152">
        <v>2874.5</v>
      </c>
      <c r="E152" s="63">
        <f t="shared" si="5"/>
        <v>2.2589825684809675E-2</v>
      </c>
    </row>
    <row r="153" spans="1:5" x14ac:dyDescent="0.3">
      <c r="A153" s="74">
        <v>43114</v>
      </c>
      <c r="B153">
        <v>14.21</v>
      </c>
      <c r="C153" s="63">
        <f t="shared" si="4"/>
        <v>-6.0185185185185078E-2</v>
      </c>
      <c r="D153">
        <v>2811</v>
      </c>
      <c r="E153" s="63">
        <f t="shared" si="5"/>
        <v>7.978484984311968E-3</v>
      </c>
    </row>
    <row r="154" spans="1:5" x14ac:dyDescent="0.3">
      <c r="A154" s="74">
        <v>43107</v>
      </c>
      <c r="B154">
        <v>15.12</v>
      </c>
      <c r="C154" s="63">
        <f t="shared" si="4"/>
        <v>-4.725897920604915E-2</v>
      </c>
      <c r="D154">
        <v>2788.75</v>
      </c>
      <c r="E154" s="63">
        <f t="shared" si="5"/>
        <v>1.6864175022789425E-2</v>
      </c>
    </row>
    <row r="155" spans="1:5" x14ac:dyDescent="0.3">
      <c r="A155" s="74">
        <v>43100</v>
      </c>
      <c r="B155">
        <v>15.87</v>
      </c>
      <c r="C155" s="63">
        <f t="shared" si="4"/>
        <v>9.9792099792099756E-2</v>
      </c>
      <c r="D155">
        <v>2742.5</v>
      </c>
      <c r="E155" s="63">
        <f t="shared" si="5"/>
        <v>2.485052316890882E-2</v>
      </c>
    </row>
    <row r="156" spans="1:5" x14ac:dyDescent="0.3">
      <c r="A156" s="74">
        <v>43093</v>
      </c>
      <c r="B156">
        <v>14.43</v>
      </c>
      <c r="C156" s="63">
        <f t="shared" si="4"/>
        <v>-6.9032258064516142E-2</v>
      </c>
      <c r="D156">
        <v>2676</v>
      </c>
      <c r="E156" s="63">
        <f t="shared" si="5"/>
        <v>-3.7230081906180195E-3</v>
      </c>
    </row>
    <row r="157" spans="1:5" x14ac:dyDescent="0.3">
      <c r="A157" s="74">
        <v>43086</v>
      </c>
      <c r="B157">
        <v>15.5</v>
      </c>
      <c r="C157" s="63">
        <f t="shared" si="4"/>
        <v>2.1753460777851025E-2</v>
      </c>
      <c r="D157">
        <v>2686</v>
      </c>
      <c r="E157" s="63">
        <f t="shared" si="5"/>
        <v>6.3618856359263015E-3</v>
      </c>
    </row>
    <row r="158" spans="1:5" x14ac:dyDescent="0.3">
      <c r="A158" s="74">
        <v>43079</v>
      </c>
      <c r="B158">
        <v>15.17</v>
      </c>
      <c r="C158" s="63">
        <f t="shared" si="4"/>
        <v>0.11298606016140859</v>
      </c>
      <c r="D158">
        <v>2669.02</v>
      </c>
      <c r="E158" s="63">
        <f t="shared" si="5"/>
        <v>6.7974349302150064E-3</v>
      </c>
    </row>
    <row r="159" spans="1:5" x14ac:dyDescent="0.3">
      <c r="A159" s="74">
        <v>43072</v>
      </c>
      <c r="B159">
        <v>13.63</v>
      </c>
      <c r="C159" s="63">
        <f t="shared" si="4"/>
        <v>3.650190114068444E-2</v>
      </c>
      <c r="D159">
        <v>2651</v>
      </c>
      <c r="E159" s="63">
        <f t="shared" si="5"/>
        <v>2.6475037821482601E-3</v>
      </c>
    </row>
    <row r="160" spans="1:5" x14ac:dyDescent="0.3">
      <c r="A160" s="74">
        <v>43065</v>
      </c>
      <c r="B160">
        <v>13.15</v>
      </c>
      <c r="C160" s="63">
        <f t="shared" si="4"/>
        <v>1.2317167051578148E-2</v>
      </c>
      <c r="D160">
        <v>2644</v>
      </c>
      <c r="E160" s="63">
        <f t="shared" si="5"/>
        <v>1.6532103037293348E-2</v>
      </c>
    </row>
    <row r="161" spans="1:5" x14ac:dyDescent="0.3">
      <c r="A161" s="74">
        <v>43058</v>
      </c>
      <c r="B161">
        <v>12.99</v>
      </c>
      <c r="C161" s="63">
        <f t="shared" si="4"/>
        <v>-6.8807339449541175E-3</v>
      </c>
      <c r="D161">
        <v>2601</v>
      </c>
      <c r="E161" s="63">
        <f t="shared" si="5"/>
        <v>9.6069868995633193E-3</v>
      </c>
    </row>
    <row r="162" spans="1:5" x14ac:dyDescent="0.3">
      <c r="A162" s="74">
        <v>43051</v>
      </c>
      <c r="B162">
        <v>13.08</v>
      </c>
      <c r="C162" s="63">
        <f t="shared" si="4"/>
        <v>4.4728434504792372E-2</v>
      </c>
      <c r="D162">
        <v>2576.25</v>
      </c>
      <c r="E162" s="63">
        <f t="shared" si="5"/>
        <v>-1.2599340957549913E-3</v>
      </c>
    </row>
    <row r="163" spans="1:5" x14ac:dyDescent="0.3">
      <c r="A163" s="74">
        <v>43044</v>
      </c>
      <c r="B163">
        <v>12.52</v>
      </c>
      <c r="C163" s="63">
        <f t="shared" si="4"/>
        <v>7.8380706287683052E-2</v>
      </c>
      <c r="D163">
        <v>2579.5</v>
      </c>
      <c r="E163" s="63">
        <f t="shared" si="5"/>
        <v>-1.2583486593746975E-3</v>
      </c>
    </row>
    <row r="164" spans="1:5" x14ac:dyDescent="0.3">
      <c r="A164" s="74">
        <v>43037</v>
      </c>
      <c r="B164">
        <v>11.61</v>
      </c>
      <c r="C164" s="63">
        <f t="shared" si="4"/>
        <v>-0.27618453865336656</v>
      </c>
      <c r="D164">
        <v>2582.75</v>
      </c>
      <c r="E164" s="63">
        <f t="shared" si="5"/>
        <v>1.648245103742486E-3</v>
      </c>
    </row>
    <row r="165" spans="1:5" x14ac:dyDescent="0.3">
      <c r="A165" s="74">
        <v>43030</v>
      </c>
      <c r="B165">
        <v>16.04</v>
      </c>
      <c r="C165" s="63">
        <f t="shared" si="4"/>
        <v>-8.2379862700228901E-2</v>
      </c>
      <c r="D165">
        <v>2578.5</v>
      </c>
      <c r="E165" s="63">
        <f t="shared" si="5"/>
        <v>1.7482517482517483E-3</v>
      </c>
    </row>
    <row r="166" spans="1:5" x14ac:dyDescent="0.3">
      <c r="A166" s="74">
        <v>43023</v>
      </c>
      <c r="B166">
        <v>17.48</v>
      </c>
      <c r="C166" s="63">
        <f t="shared" si="4"/>
        <v>7.9678814082767085E-2</v>
      </c>
      <c r="D166">
        <v>2574</v>
      </c>
      <c r="E166" s="63">
        <f t="shared" si="5"/>
        <v>8.3243560865733039E-3</v>
      </c>
    </row>
    <row r="167" spans="1:5" x14ac:dyDescent="0.3">
      <c r="A167" s="74">
        <v>43016</v>
      </c>
      <c r="B167">
        <v>16.190000000000001</v>
      </c>
      <c r="C167" s="63">
        <f t="shared" si="4"/>
        <v>-4.8766157461809539E-2</v>
      </c>
      <c r="D167">
        <v>2552.75</v>
      </c>
      <c r="E167" s="63">
        <f t="shared" si="5"/>
        <v>3.0451866404715127E-3</v>
      </c>
    </row>
    <row r="168" spans="1:5" x14ac:dyDescent="0.3">
      <c r="A168" s="74">
        <v>43009</v>
      </c>
      <c r="B168">
        <v>17.02</v>
      </c>
      <c r="C168" s="63">
        <f t="shared" si="4"/>
        <v>3.2766990291262087E-2</v>
      </c>
      <c r="D168">
        <v>2545</v>
      </c>
      <c r="E168" s="63">
        <f t="shared" si="5"/>
        <v>1.1526232114467409E-2</v>
      </c>
    </row>
    <row r="169" spans="1:5" x14ac:dyDescent="0.3">
      <c r="A169" s="74">
        <v>43002</v>
      </c>
      <c r="B169">
        <v>16.48</v>
      </c>
      <c r="C169" s="63">
        <f t="shared" si="4"/>
        <v>4.2656916514320709E-3</v>
      </c>
      <c r="D169">
        <v>2516</v>
      </c>
      <c r="E169" s="63">
        <f t="shared" si="5"/>
        <v>6.6013202640528108E-3</v>
      </c>
    </row>
    <row r="170" spans="1:5" x14ac:dyDescent="0.3">
      <c r="A170" s="74">
        <v>42995</v>
      </c>
      <c r="B170">
        <v>16.41</v>
      </c>
      <c r="C170" s="63">
        <f t="shared" si="4"/>
        <v>-7.7571669477234345E-2</v>
      </c>
      <c r="D170">
        <v>2499.5</v>
      </c>
      <c r="E170" s="63">
        <f t="shared" si="5"/>
        <v>1.0693559433361795E-3</v>
      </c>
    </row>
    <row r="171" spans="1:5" x14ac:dyDescent="0.3">
      <c r="A171" s="74">
        <v>42988</v>
      </c>
      <c r="B171">
        <v>17.79</v>
      </c>
      <c r="C171" s="63">
        <f t="shared" si="4"/>
        <v>2.1239954075774822E-2</v>
      </c>
      <c r="D171">
        <v>2496.83</v>
      </c>
      <c r="E171" s="63">
        <f t="shared" si="5"/>
        <v>1.3941116751269005E-2</v>
      </c>
    </row>
    <row r="172" spans="1:5" x14ac:dyDescent="0.3">
      <c r="A172" s="74">
        <v>42981</v>
      </c>
      <c r="B172">
        <v>17.420000000000002</v>
      </c>
      <c r="C172" s="63">
        <f t="shared" si="4"/>
        <v>6.4141722663408715E-2</v>
      </c>
      <c r="D172">
        <v>2462.5</v>
      </c>
      <c r="E172" s="63">
        <f t="shared" si="5"/>
        <v>-4.7489138122663432E-3</v>
      </c>
    </row>
    <row r="173" spans="1:5" x14ac:dyDescent="0.3">
      <c r="A173" s="74">
        <v>42974</v>
      </c>
      <c r="B173">
        <v>16.37</v>
      </c>
      <c r="C173" s="63">
        <f t="shared" si="4"/>
        <v>-4.7147846332945213E-2</v>
      </c>
      <c r="D173">
        <v>2474.25</v>
      </c>
      <c r="E173" s="63">
        <f t="shared" si="5"/>
        <v>1.2998976458546571E-2</v>
      </c>
    </row>
    <row r="174" spans="1:5" x14ac:dyDescent="0.3">
      <c r="A174" s="74">
        <v>42967</v>
      </c>
      <c r="B174">
        <v>17.18</v>
      </c>
      <c r="C174" s="63">
        <f t="shared" si="4"/>
        <v>3.5046728971961866E-3</v>
      </c>
      <c r="D174">
        <v>2442.5</v>
      </c>
      <c r="E174" s="63">
        <f t="shared" si="5"/>
        <v>6.4901617389512721E-3</v>
      </c>
    </row>
    <row r="175" spans="1:5" x14ac:dyDescent="0.3">
      <c r="A175" s="74">
        <v>42960</v>
      </c>
      <c r="B175">
        <v>17.12</v>
      </c>
      <c r="C175" s="63">
        <f t="shared" si="4"/>
        <v>-7.7088948787061976E-2</v>
      </c>
      <c r="D175">
        <v>2426.75</v>
      </c>
      <c r="E175" s="63">
        <f t="shared" si="5"/>
        <v>-5.4303278688524591E-3</v>
      </c>
    </row>
    <row r="176" spans="1:5" x14ac:dyDescent="0.3">
      <c r="A176" s="74">
        <v>42953</v>
      </c>
      <c r="B176">
        <v>18.55</v>
      </c>
      <c r="C176" s="63">
        <f t="shared" si="4"/>
        <v>8.7003806416530802E-3</v>
      </c>
      <c r="D176">
        <v>2440</v>
      </c>
      <c r="E176" s="63">
        <f t="shared" si="5"/>
        <v>-1.2944983818770227E-2</v>
      </c>
    </row>
    <row r="177" spans="1:5" x14ac:dyDescent="0.3">
      <c r="A177" s="74">
        <v>42946</v>
      </c>
      <c r="B177">
        <v>18.39</v>
      </c>
      <c r="C177" s="63">
        <f t="shared" si="4"/>
        <v>-5.4012345679012377E-2</v>
      </c>
      <c r="D177">
        <v>2472</v>
      </c>
      <c r="E177" s="63">
        <f t="shared" si="5"/>
        <v>7.0843032081773102E-4</v>
      </c>
    </row>
    <row r="178" spans="1:5" x14ac:dyDescent="0.3">
      <c r="A178" s="74">
        <v>42939</v>
      </c>
      <c r="B178">
        <v>19.440000000000001</v>
      </c>
      <c r="C178" s="63">
        <f t="shared" si="4"/>
        <v>-5.8139534883720895E-2</v>
      </c>
      <c r="D178">
        <v>2470.25</v>
      </c>
      <c r="E178" s="63">
        <f t="shared" si="5"/>
        <v>3.0370520348248632E-4</v>
      </c>
    </row>
    <row r="179" spans="1:5" x14ac:dyDescent="0.3">
      <c r="A179" s="74">
        <v>42932</v>
      </c>
      <c r="B179">
        <v>20.64</v>
      </c>
      <c r="C179" s="63">
        <f t="shared" si="4"/>
        <v>1.2260912211868563E-2</v>
      </c>
      <c r="D179">
        <v>2469.5</v>
      </c>
      <c r="E179" s="63">
        <f t="shared" si="5"/>
        <v>5.4967426710097718E-3</v>
      </c>
    </row>
    <row r="180" spans="1:5" x14ac:dyDescent="0.3">
      <c r="A180" s="74">
        <v>42925</v>
      </c>
      <c r="B180">
        <v>20.39</v>
      </c>
      <c r="C180" s="63">
        <f t="shared" si="4"/>
        <v>-1.2112403100775193E-2</v>
      </c>
      <c r="D180">
        <v>2456</v>
      </c>
      <c r="E180" s="63">
        <f t="shared" si="5"/>
        <v>1.3828689370485037E-2</v>
      </c>
    </row>
    <row r="181" spans="1:5" x14ac:dyDescent="0.3">
      <c r="A181" s="74">
        <v>42918</v>
      </c>
      <c r="B181">
        <v>20.64</v>
      </c>
      <c r="C181" s="63">
        <f t="shared" si="4"/>
        <v>-5.1470588235294157E-2</v>
      </c>
      <c r="D181">
        <v>2422.5</v>
      </c>
      <c r="E181" s="63">
        <f t="shared" si="5"/>
        <v>6.1957868649318464E-4</v>
      </c>
    </row>
    <row r="182" spans="1:5" x14ac:dyDescent="0.3">
      <c r="A182" s="74">
        <v>42911</v>
      </c>
      <c r="B182">
        <v>21.76</v>
      </c>
      <c r="C182" s="63">
        <f t="shared" si="4"/>
        <v>2.641509433962275E-2</v>
      </c>
      <c r="D182">
        <v>2421</v>
      </c>
      <c r="E182" s="63">
        <f t="shared" si="5"/>
        <v>-5.7494866529774124E-3</v>
      </c>
    </row>
    <row r="183" spans="1:5" x14ac:dyDescent="0.3">
      <c r="A183" s="74">
        <v>42904</v>
      </c>
      <c r="B183">
        <v>21.2</v>
      </c>
      <c r="C183" s="63">
        <f t="shared" si="4"/>
        <v>1.0004764173415955E-2</v>
      </c>
      <c r="D183">
        <v>2435</v>
      </c>
      <c r="E183" s="63">
        <f t="shared" si="5"/>
        <v>4.517657881880797E-5</v>
      </c>
    </row>
    <row r="184" spans="1:5" x14ac:dyDescent="0.3">
      <c r="A184" s="74">
        <v>42897</v>
      </c>
      <c r="B184">
        <v>20.99</v>
      </c>
      <c r="C184" s="63">
        <f t="shared" si="4"/>
        <v>-4.0676416819012823E-2</v>
      </c>
      <c r="D184">
        <v>2434.89</v>
      </c>
      <c r="E184" s="63">
        <f t="shared" si="5"/>
        <v>1.8062127134333976E-3</v>
      </c>
    </row>
    <row r="185" spans="1:5" x14ac:dyDescent="0.3">
      <c r="A185" s="74">
        <v>42890</v>
      </c>
      <c r="B185">
        <v>21.88</v>
      </c>
      <c r="C185" s="63">
        <f t="shared" si="4"/>
        <v>8.8015912481352543E-2</v>
      </c>
      <c r="D185">
        <v>2430.5</v>
      </c>
      <c r="E185" s="63">
        <f t="shared" si="5"/>
        <v>-2.9740539431853145E-3</v>
      </c>
    </row>
    <row r="186" spans="1:5" x14ac:dyDescent="0.3">
      <c r="A186" s="74">
        <v>42883</v>
      </c>
      <c r="B186">
        <v>20.11</v>
      </c>
      <c r="C186" s="63">
        <f t="shared" si="4"/>
        <v>2.1330624682579895E-2</v>
      </c>
      <c r="D186">
        <v>2437.75</v>
      </c>
      <c r="E186" s="63">
        <f t="shared" si="5"/>
        <v>9.9430346970481621E-3</v>
      </c>
    </row>
    <row r="187" spans="1:5" x14ac:dyDescent="0.3">
      <c r="A187" s="74">
        <v>42876</v>
      </c>
      <c r="B187">
        <v>19.690000000000001</v>
      </c>
      <c r="C187" s="63">
        <f t="shared" si="4"/>
        <v>3.0890052356020933E-2</v>
      </c>
      <c r="D187">
        <v>2413.75</v>
      </c>
      <c r="E187" s="63">
        <f t="shared" si="5"/>
        <v>1.3541885366365736E-2</v>
      </c>
    </row>
    <row r="188" spans="1:5" x14ac:dyDescent="0.3">
      <c r="A188" s="74">
        <v>42869</v>
      </c>
      <c r="B188">
        <v>19.100000000000001</v>
      </c>
      <c r="C188" s="63">
        <f t="shared" si="4"/>
        <v>-7.1914480077745244E-2</v>
      </c>
      <c r="D188">
        <v>2381.5</v>
      </c>
      <c r="E188" s="63">
        <f t="shared" si="5"/>
        <v>-3.0350601779173206E-3</v>
      </c>
    </row>
    <row r="189" spans="1:5" x14ac:dyDescent="0.3">
      <c r="A189" s="74">
        <v>42862</v>
      </c>
      <c r="B189">
        <v>20.58</v>
      </c>
      <c r="C189" s="63">
        <f t="shared" si="4"/>
        <v>-4.8567265662950769E-4</v>
      </c>
      <c r="D189">
        <v>2388.75</v>
      </c>
      <c r="E189" s="63">
        <f t="shared" si="5"/>
        <v>-3.753518923991242E-3</v>
      </c>
    </row>
    <row r="190" spans="1:5" x14ac:dyDescent="0.3">
      <c r="A190" s="74">
        <v>42855</v>
      </c>
      <c r="B190">
        <v>20.59</v>
      </c>
      <c r="C190" s="63">
        <f t="shared" si="4"/>
        <v>-4.1879944160074394E-2</v>
      </c>
      <c r="D190">
        <v>2397.75</v>
      </c>
      <c r="E190" s="63">
        <f t="shared" si="5"/>
        <v>7.246376811594203E-3</v>
      </c>
    </row>
    <row r="191" spans="1:5" x14ac:dyDescent="0.3">
      <c r="A191" s="74">
        <v>42848</v>
      </c>
      <c r="B191">
        <v>21.49</v>
      </c>
      <c r="C191" s="63">
        <f t="shared" si="4"/>
        <v>0.13164823591363878</v>
      </c>
      <c r="D191">
        <v>2380.5</v>
      </c>
      <c r="E191" s="63">
        <f t="shared" si="5"/>
        <v>1.4057507987220448E-2</v>
      </c>
    </row>
    <row r="192" spans="1:5" x14ac:dyDescent="0.3">
      <c r="A192" s="74">
        <v>42841</v>
      </c>
      <c r="B192">
        <v>18.989999999999998</v>
      </c>
      <c r="C192" s="63">
        <f t="shared" si="4"/>
        <v>-1.4018691588785208E-2</v>
      </c>
      <c r="D192">
        <v>2347.5</v>
      </c>
      <c r="E192" s="63">
        <f t="shared" si="5"/>
        <v>8.5929108485499461E-3</v>
      </c>
    </row>
    <row r="193" spans="1:5" x14ac:dyDescent="0.3">
      <c r="A193" s="74">
        <v>42834</v>
      </c>
      <c r="B193">
        <v>19.260000000000002</v>
      </c>
      <c r="C193" s="63">
        <f t="shared" si="4"/>
        <v>-3.0211480362537659E-2</v>
      </c>
      <c r="D193">
        <v>2327.5</v>
      </c>
      <c r="E193" s="63">
        <f t="shared" si="5"/>
        <v>-1.0521840790732278E-2</v>
      </c>
    </row>
    <row r="194" spans="1:5" x14ac:dyDescent="0.3">
      <c r="A194" s="74">
        <v>42827</v>
      </c>
      <c r="B194">
        <v>19.86</v>
      </c>
      <c r="C194" s="63">
        <f t="shared" si="4"/>
        <v>4.0444893832152825E-3</v>
      </c>
      <c r="D194">
        <v>2352.25</v>
      </c>
      <c r="E194" s="63">
        <f t="shared" si="5"/>
        <v>-2.9670446116350536E-3</v>
      </c>
    </row>
    <row r="195" spans="1:5" x14ac:dyDescent="0.3">
      <c r="A195" s="74">
        <v>42820</v>
      </c>
      <c r="B195">
        <v>19.78</v>
      </c>
      <c r="C195" s="63">
        <f t="shared" si="4"/>
        <v>6.1037639877925222E-3</v>
      </c>
      <c r="D195">
        <v>2359.25</v>
      </c>
      <c r="E195" s="63">
        <f t="shared" si="5"/>
        <v>6.1840281479901907E-3</v>
      </c>
    </row>
    <row r="196" spans="1:5" x14ac:dyDescent="0.3">
      <c r="A196" s="74">
        <v>42813</v>
      </c>
      <c r="B196">
        <v>19.66</v>
      </c>
      <c r="C196" s="63">
        <f t="shared" si="4"/>
        <v>1.4447884416924723E-2</v>
      </c>
      <c r="D196">
        <v>2344.75</v>
      </c>
      <c r="E196" s="63">
        <f t="shared" si="5"/>
        <v>-1.7205968647833088E-2</v>
      </c>
    </row>
    <row r="197" spans="1:5" x14ac:dyDescent="0.3">
      <c r="A197" s="74">
        <v>42806</v>
      </c>
      <c r="B197">
        <v>19.38</v>
      </c>
      <c r="C197" s="63">
        <f t="shared" si="4"/>
        <v>6.2305295950154426E-3</v>
      </c>
      <c r="D197">
        <v>2385.8000000000002</v>
      </c>
      <c r="E197" s="63">
        <f t="shared" si="5"/>
        <v>5.9238958574892725E-3</v>
      </c>
    </row>
    <row r="198" spans="1:5" x14ac:dyDescent="0.3">
      <c r="A198" s="74">
        <v>42799</v>
      </c>
      <c r="B198">
        <v>19.260000000000002</v>
      </c>
      <c r="C198" s="63">
        <f t="shared" ref="C198:C261" si="6">(B198-B199)/B199</f>
        <v>-6.4594463331714341E-2</v>
      </c>
      <c r="D198">
        <v>2371.75</v>
      </c>
      <c r="E198" s="63">
        <f t="shared" ref="E198:E261" si="7">(D198-D199)/D199</f>
        <v>-3.9895013123359578E-3</v>
      </c>
    </row>
    <row r="199" spans="1:5" x14ac:dyDescent="0.3">
      <c r="A199" s="74">
        <v>42792</v>
      </c>
      <c r="B199">
        <v>20.59</v>
      </c>
      <c r="C199" s="63">
        <f t="shared" si="6"/>
        <v>-5.5937643282897707E-2</v>
      </c>
      <c r="D199">
        <v>2381.25</v>
      </c>
      <c r="E199" s="63">
        <f t="shared" si="7"/>
        <v>6.8710359408033824E-3</v>
      </c>
    </row>
    <row r="200" spans="1:5" x14ac:dyDescent="0.3">
      <c r="A200" s="74">
        <v>42785</v>
      </c>
      <c r="B200">
        <v>21.81</v>
      </c>
      <c r="C200" s="63">
        <f t="shared" si="6"/>
        <v>-3.1992687385740534E-3</v>
      </c>
      <c r="D200">
        <v>2365</v>
      </c>
      <c r="E200" s="63">
        <f t="shared" si="7"/>
        <v>7.2402044293015336E-3</v>
      </c>
    </row>
    <row r="201" spans="1:5" x14ac:dyDescent="0.3">
      <c r="A201" s="74">
        <v>42778</v>
      </c>
      <c r="B201">
        <v>21.88</v>
      </c>
      <c r="C201" s="63">
        <f t="shared" si="6"/>
        <v>1.296296296296285E-2</v>
      </c>
      <c r="D201">
        <v>2348</v>
      </c>
      <c r="E201" s="63">
        <f t="shared" si="7"/>
        <v>1.5241595503188845E-2</v>
      </c>
    </row>
    <row r="202" spans="1:5" x14ac:dyDescent="0.3">
      <c r="A202" s="74">
        <v>42771</v>
      </c>
      <c r="B202">
        <v>21.6</v>
      </c>
      <c r="C202" s="63">
        <f t="shared" si="6"/>
        <v>4.347826086956532E-2</v>
      </c>
      <c r="D202">
        <v>2312.75</v>
      </c>
      <c r="E202" s="63">
        <f t="shared" si="7"/>
        <v>9.4936708860759497E-3</v>
      </c>
    </row>
    <row r="203" spans="1:5" x14ac:dyDescent="0.3">
      <c r="A203" s="74">
        <v>42764</v>
      </c>
      <c r="B203">
        <v>20.7</v>
      </c>
      <c r="C203" s="63">
        <f t="shared" si="6"/>
        <v>-0.28939237899073122</v>
      </c>
      <c r="D203">
        <v>2291</v>
      </c>
      <c r="E203" s="63">
        <f t="shared" si="7"/>
        <v>8.7374399301004806E-4</v>
      </c>
    </row>
    <row r="204" spans="1:5" x14ac:dyDescent="0.3">
      <c r="A204" s="74">
        <v>42757</v>
      </c>
      <c r="B204">
        <v>29.13</v>
      </c>
      <c r="C204" s="63">
        <f t="shared" si="6"/>
        <v>3.7904893177119034E-3</v>
      </c>
      <c r="D204">
        <v>2289</v>
      </c>
      <c r="E204" s="63">
        <f t="shared" si="7"/>
        <v>1.0150044130626656E-2</v>
      </c>
    </row>
    <row r="205" spans="1:5" x14ac:dyDescent="0.3">
      <c r="A205" s="74">
        <v>42750</v>
      </c>
      <c r="B205">
        <v>29.02</v>
      </c>
      <c r="C205" s="63">
        <f t="shared" si="6"/>
        <v>-3.5239361702127617E-2</v>
      </c>
      <c r="D205">
        <v>2266</v>
      </c>
      <c r="E205" s="63">
        <f t="shared" si="7"/>
        <v>-2.8602860286028602E-3</v>
      </c>
    </row>
    <row r="206" spans="1:5" x14ac:dyDescent="0.3">
      <c r="A206" s="74">
        <v>42743</v>
      </c>
      <c r="B206">
        <v>30.08</v>
      </c>
      <c r="C206" s="63">
        <f t="shared" si="6"/>
        <v>-1.2799474893337728E-2</v>
      </c>
      <c r="D206">
        <v>2272.5</v>
      </c>
      <c r="E206" s="63">
        <f t="shared" si="7"/>
        <v>4.4023772837332157E-4</v>
      </c>
    </row>
    <row r="207" spans="1:5" x14ac:dyDescent="0.3">
      <c r="A207" s="74">
        <v>42736</v>
      </c>
      <c r="B207">
        <v>30.47</v>
      </c>
      <c r="C207" s="63">
        <f t="shared" si="6"/>
        <v>4.8881239242684962E-2</v>
      </c>
      <c r="D207">
        <v>2271.5</v>
      </c>
      <c r="E207" s="63">
        <f t="shared" si="7"/>
        <v>1.5762996087199554E-2</v>
      </c>
    </row>
    <row r="208" spans="1:5" x14ac:dyDescent="0.3">
      <c r="A208" s="74">
        <v>42729</v>
      </c>
      <c r="B208">
        <v>29.05</v>
      </c>
      <c r="C208" s="63">
        <f t="shared" si="6"/>
        <v>-8.1939228405598641E-3</v>
      </c>
      <c r="D208">
        <v>2236.25</v>
      </c>
      <c r="E208" s="63">
        <f t="shared" si="7"/>
        <v>-1.0508849557522125E-2</v>
      </c>
    </row>
    <row r="209" spans="1:5" x14ac:dyDescent="0.3">
      <c r="A209" s="74">
        <v>42722</v>
      </c>
      <c r="B209">
        <v>29.29</v>
      </c>
      <c r="C209" s="63">
        <f t="shared" si="6"/>
        <v>-3.6196117143797349E-2</v>
      </c>
      <c r="D209">
        <v>2260</v>
      </c>
      <c r="E209" s="63">
        <f t="shared" si="7"/>
        <v>-3.8040579556825522E-3</v>
      </c>
    </row>
    <row r="210" spans="1:5" x14ac:dyDescent="0.3">
      <c r="A210" s="74">
        <v>42715</v>
      </c>
      <c r="B210">
        <v>30.39</v>
      </c>
      <c r="C210" s="63">
        <f t="shared" si="6"/>
        <v>-7.8811761139739353E-2</v>
      </c>
      <c r="D210">
        <v>2268.63</v>
      </c>
      <c r="E210" s="63">
        <f t="shared" si="7"/>
        <v>3.8185840707965083E-3</v>
      </c>
    </row>
    <row r="211" spans="1:5" x14ac:dyDescent="0.3">
      <c r="A211" s="74">
        <v>42708</v>
      </c>
      <c r="B211">
        <v>32.99</v>
      </c>
      <c r="C211" s="63">
        <f t="shared" si="6"/>
        <v>9.8568098568098589E-2</v>
      </c>
      <c r="D211">
        <v>2260</v>
      </c>
      <c r="E211" s="63">
        <f t="shared" si="7"/>
        <v>3.1021897810218978E-2</v>
      </c>
    </row>
    <row r="212" spans="1:5" x14ac:dyDescent="0.3">
      <c r="A212" s="74">
        <v>42701</v>
      </c>
      <c r="B212">
        <v>30.03</v>
      </c>
      <c r="C212" s="63">
        <f t="shared" si="6"/>
        <v>-1.8627450980392167E-2</v>
      </c>
      <c r="D212">
        <v>2192</v>
      </c>
      <c r="E212" s="63">
        <f t="shared" si="7"/>
        <v>-8.705483323911814E-3</v>
      </c>
    </row>
    <row r="213" spans="1:5" x14ac:dyDescent="0.3">
      <c r="A213" s="74">
        <v>42694</v>
      </c>
      <c r="B213">
        <v>30.6</v>
      </c>
      <c r="C213" s="63">
        <f t="shared" si="6"/>
        <v>-1.1308562197092016E-2</v>
      </c>
      <c r="D213">
        <v>2211.25</v>
      </c>
      <c r="E213" s="63">
        <f t="shared" si="7"/>
        <v>1.3986013986013986E-2</v>
      </c>
    </row>
    <row r="214" spans="1:5" x14ac:dyDescent="0.3">
      <c r="A214" s="74">
        <v>42687</v>
      </c>
      <c r="B214">
        <v>30.95</v>
      </c>
      <c r="C214" s="63">
        <f t="shared" si="6"/>
        <v>-2.7341294783155279E-2</v>
      </c>
      <c r="D214">
        <v>2180.75</v>
      </c>
      <c r="E214" s="63">
        <f t="shared" si="7"/>
        <v>8.9058524173027988E-3</v>
      </c>
    </row>
    <row r="215" spans="1:5" x14ac:dyDescent="0.3">
      <c r="A215" s="74">
        <v>42680</v>
      </c>
      <c r="B215">
        <v>31.82</v>
      </c>
      <c r="C215" s="63">
        <f t="shared" si="6"/>
        <v>3.31168831168831E-2</v>
      </c>
      <c r="D215">
        <v>2161.5</v>
      </c>
      <c r="E215" s="63">
        <f t="shared" si="7"/>
        <v>3.9182692307692307E-2</v>
      </c>
    </row>
    <row r="216" spans="1:5" x14ac:dyDescent="0.3">
      <c r="A216" s="74">
        <v>42673</v>
      </c>
      <c r="B216">
        <v>30.8</v>
      </c>
      <c r="C216" s="63">
        <f t="shared" si="6"/>
        <v>-4.5248868778280729E-3</v>
      </c>
      <c r="D216">
        <v>2080</v>
      </c>
      <c r="E216" s="63">
        <f t="shared" si="7"/>
        <v>-2.0600353148911125E-2</v>
      </c>
    </row>
    <row r="217" spans="1:5" x14ac:dyDescent="0.3">
      <c r="A217" s="74">
        <v>42666</v>
      </c>
      <c r="B217">
        <v>30.94</v>
      </c>
      <c r="C217" s="63">
        <f t="shared" si="6"/>
        <v>-0.1845018450184501</v>
      </c>
      <c r="D217">
        <v>2123.75</v>
      </c>
      <c r="E217" s="63">
        <f t="shared" si="7"/>
        <v>-5.1528282000234222E-3</v>
      </c>
    </row>
    <row r="218" spans="1:5" x14ac:dyDescent="0.3">
      <c r="A218" s="74">
        <v>42659</v>
      </c>
      <c r="B218">
        <v>37.94</v>
      </c>
      <c r="C218" s="63">
        <f t="shared" si="6"/>
        <v>-1.4289425824889691E-2</v>
      </c>
      <c r="D218">
        <v>2134.75</v>
      </c>
      <c r="E218" s="63">
        <f t="shared" si="7"/>
        <v>3.6436295251527973E-3</v>
      </c>
    </row>
    <row r="219" spans="1:5" x14ac:dyDescent="0.3">
      <c r="A219" s="74">
        <v>42652</v>
      </c>
      <c r="B219">
        <v>38.49</v>
      </c>
      <c r="C219" s="63">
        <f t="shared" si="6"/>
        <v>1.8793012175754388E-2</v>
      </c>
      <c r="D219">
        <v>2127</v>
      </c>
      <c r="E219" s="63">
        <f t="shared" si="7"/>
        <v>-9.0845562543675745E-3</v>
      </c>
    </row>
    <row r="220" spans="1:5" x14ac:dyDescent="0.3">
      <c r="A220" s="74">
        <v>42645</v>
      </c>
      <c r="B220">
        <v>37.78</v>
      </c>
      <c r="C220" s="63">
        <f t="shared" si="6"/>
        <v>-2.3267838676318476E-2</v>
      </c>
      <c r="D220">
        <v>2146.5</v>
      </c>
      <c r="E220" s="63">
        <f t="shared" si="7"/>
        <v>-6.4799814857671835E-3</v>
      </c>
    </row>
    <row r="221" spans="1:5" x14ac:dyDescent="0.3">
      <c r="A221" s="74">
        <v>42638</v>
      </c>
      <c r="B221">
        <v>38.68</v>
      </c>
      <c r="C221" s="63">
        <f t="shared" si="6"/>
        <v>-1.9518377693282712E-2</v>
      </c>
      <c r="D221">
        <v>2160.5</v>
      </c>
      <c r="E221" s="63">
        <f t="shared" si="7"/>
        <v>1.1584800741427247E-3</v>
      </c>
    </row>
    <row r="222" spans="1:5" x14ac:dyDescent="0.3">
      <c r="A222" s="74">
        <v>42631</v>
      </c>
      <c r="B222">
        <v>39.450000000000003</v>
      </c>
      <c r="C222" s="63">
        <f t="shared" si="6"/>
        <v>1.3878180416345575E-2</v>
      </c>
      <c r="D222">
        <v>2158</v>
      </c>
      <c r="E222" s="63">
        <f t="shared" si="7"/>
        <v>8.4300641133478963E-3</v>
      </c>
    </row>
    <row r="223" spans="1:5" x14ac:dyDescent="0.3">
      <c r="A223" s="74">
        <v>42624</v>
      </c>
      <c r="B223">
        <v>38.909999999999997</v>
      </c>
      <c r="C223" s="63">
        <f t="shared" si="6"/>
        <v>1.4337851929092732E-2</v>
      </c>
      <c r="D223">
        <v>2139.96</v>
      </c>
      <c r="E223" s="63">
        <f t="shared" si="7"/>
        <v>8.1074078435991216E-3</v>
      </c>
    </row>
    <row r="224" spans="1:5" x14ac:dyDescent="0.3">
      <c r="A224" s="74">
        <v>42617</v>
      </c>
      <c r="B224">
        <v>38.36</v>
      </c>
      <c r="C224" s="63">
        <f t="shared" si="6"/>
        <v>-5.1867219917013183E-3</v>
      </c>
      <c r="D224">
        <v>2122.75</v>
      </c>
      <c r="E224" s="63">
        <f t="shared" si="7"/>
        <v>-2.5367309458218548E-2</v>
      </c>
    </row>
    <row r="225" spans="1:5" x14ac:dyDescent="0.3">
      <c r="A225" s="74">
        <v>42610</v>
      </c>
      <c r="B225">
        <v>38.56</v>
      </c>
      <c r="C225" s="63">
        <f t="shared" si="6"/>
        <v>-8.4520417853751084E-2</v>
      </c>
      <c r="D225">
        <v>2178</v>
      </c>
      <c r="E225" s="63">
        <f t="shared" si="7"/>
        <v>4.3809084620705556E-3</v>
      </c>
    </row>
    <row r="226" spans="1:5" x14ac:dyDescent="0.3">
      <c r="A226" s="74">
        <v>42603</v>
      </c>
      <c r="B226">
        <v>42.12</v>
      </c>
      <c r="C226" s="63">
        <f t="shared" si="6"/>
        <v>-2.0692862125087204E-2</v>
      </c>
      <c r="D226">
        <v>2168.5</v>
      </c>
      <c r="E226" s="63">
        <f t="shared" si="7"/>
        <v>-6.0731064512432684E-3</v>
      </c>
    </row>
    <row r="227" spans="1:5" x14ac:dyDescent="0.3">
      <c r="A227" s="74">
        <v>42596</v>
      </c>
      <c r="B227">
        <v>43.01</v>
      </c>
      <c r="C227" s="63">
        <f t="shared" si="6"/>
        <v>4.672669749330724E-2</v>
      </c>
      <c r="D227">
        <v>2181.75</v>
      </c>
      <c r="E227" s="63">
        <f t="shared" si="7"/>
        <v>6.8799449604403163E-4</v>
      </c>
    </row>
    <row r="228" spans="1:5" x14ac:dyDescent="0.3">
      <c r="A228" s="74">
        <v>42589</v>
      </c>
      <c r="B228">
        <v>41.09</v>
      </c>
      <c r="C228" s="63">
        <f t="shared" si="6"/>
        <v>2.6480139895078747E-2</v>
      </c>
      <c r="D228">
        <v>2180.25</v>
      </c>
      <c r="E228" s="63">
        <f t="shared" si="7"/>
        <v>1.6079016882967728E-3</v>
      </c>
    </row>
    <row r="229" spans="1:5" x14ac:dyDescent="0.3">
      <c r="A229" s="74">
        <v>42582</v>
      </c>
      <c r="B229">
        <v>40.03</v>
      </c>
      <c r="C229" s="63">
        <f t="shared" si="6"/>
        <v>1.4445007602635587E-2</v>
      </c>
      <c r="D229">
        <v>2176.75</v>
      </c>
      <c r="E229" s="63">
        <f t="shared" si="7"/>
        <v>3.9202121526576731E-3</v>
      </c>
    </row>
    <row r="230" spans="1:5" x14ac:dyDescent="0.3">
      <c r="A230" s="74">
        <v>42575</v>
      </c>
      <c r="B230">
        <v>39.46</v>
      </c>
      <c r="C230" s="63">
        <f t="shared" si="6"/>
        <v>-7.9113185530921837E-2</v>
      </c>
      <c r="D230">
        <v>2168.25</v>
      </c>
      <c r="E230" s="63">
        <f t="shared" si="7"/>
        <v>3.4602076124567473E-4</v>
      </c>
    </row>
    <row r="231" spans="1:5" x14ac:dyDescent="0.3">
      <c r="A231" s="74">
        <v>42568</v>
      </c>
      <c r="B231">
        <v>42.85</v>
      </c>
      <c r="C231" s="63">
        <f t="shared" si="6"/>
        <v>2.8071017274472209E-2</v>
      </c>
      <c r="D231">
        <v>2167.5</v>
      </c>
      <c r="E231" s="63">
        <f t="shared" si="7"/>
        <v>6.8517013122749975E-3</v>
      </c>
    </row>
    <row r="232" spans="1:5" x14ac:dyDescent="0.3">
      <c r="A232" s="74">
        <v>42561</v>
      </c>
      <c r="B232">
        <v>41.68</v>
      </c>
      <c r="C232" s="63">
        <f t="shared" si="6"/>
        <v>3.0917635419243136E-2</v>
      </c>
      <c r="D232">
        <v>2152.75</v>
      </c>
      <c r="E232" s="63">
        <f t="shared" si="7"/>
        <v>1.5208677198773874E-2</v>
      </c>
    </row>
    <row r="233" spans="1:5" x14ac:dyDescent="0.3">
      <c r="A233" s="74">
        <v>42554</v>
      </c>
      <c r="B233">
        <v>40.43</v>
      </c>
      <c r="C233" s="63">
        <f t="shared" si="6"/>
        <v>0</v>
      </c>
      <c r="D233">
        <v>2120.5</v>
      </c>
      <c r="E233" s="63">
        <f t="shared" si="7"/>
        <v>1.1568276684555755E-2</v>
      </c>
    </row>
    <row r="234" spans="1:5" x14ac:dyDescent="0.3">
      <c r="A234" s="74">
        <v>42547</v>
      </c>
      <c r="B234">
        <v>40.43</v>
      </c>
      <c r="C234" s="63">
        <f t="shared" si="6"/>
        <v>8.1594435527019712E-2</v>
      </c>
      <c r="D234">
        <v>2096.25</v>
      </c>
      <c r="E234" s="63">
        <f t="shared" si="7"/>
        <v>3.8518702006440426E-2</v>
      </c>
    </row>
    <row r="235" spans="1:5" x14ac:dyDescent="0.3">
      <c r="A235" s="74">
        <v>42540</v>
      </c>
      <c r="B235">
        <v>37.380000000000003</v>
      </c>
      <c r="C235" s="63">
        <f t="shared" si="6"/>
        <v>4.2987641053198198E-3</v>
      </c>
      <c r="D235">
        <v>2018.5</v>
      </c>
      <c r="E235" s="63">
        <f t="shared" si="7"/>
        <v>-2.915656623956284E-2</v>
      </c>
    </row>
    <row r="236" spans="1:5" x14ac:dyDescent="0.3">
      <c r="A236" s="74">
        <v>42533</v>
      </c>
      <c r="B236">
        <v>37.22</v>
      </c>
      <c r="C236" s="63">
        <f t="shared" si="6"/>
        <v>-3.0224075039082948E-2</v>
      </c>
      <c r="D236">
        <v>2079.12</v>
      </c>
      <c r="E236" s="63">
        <f t="shared" si="7"/>
        <v>-8.1717352415027356E-3</v>
      </c>
    </row>
    <row r="237" spans="1:5" x14ac:dyDescent="0.3">
      <c r="A237" s="74">
        <v>42526</v>
      </c>
      <c r="B237">
        <v>38.380000000000003</v>
      </c>
      <c r="C237" s="63">
        <f t="shared" si="6"/>
        <v>5.4395604395604508E-2</v>
      </c>
      <c r="D237">
        <v>2096.25</v>
      </c>
      <c r="E237" s="63">
        <f t="shared" si="7"/>
        <v>-7.1505184125849122E-4</v>
      </c>
    </row>
    <row r="238" spans="1:5" x14ac:dyDescent="0.3">
      <c r="A238" s="74">
        <v>42519</v>
      </c>
      <c r="B238">
        <v>36.4</v>
      </c>
      <c r="C238" s="63">
        <f t="shared" si="6"/>
        <v>-4.0084388185654088E-2</v>
      </c>
      <c r="D238">
        <v>2097.75</v>
      </c>
      <c r="E238" s="63">
        <f t="shared" si="7"/>
        <v>2.3840743831207532E-4</v>
      </c>
    </row>
    <row r="239" spans="1:5" x14ac:dyDescent="0.3">
      <c r="A239" s="74">
        <v>42512</v>
      </c>
      <c r="B239">
        <v>37.92</v>
      </c>
      <c r="C239" s="63">
        <f t="shared" si="6"/>
        <v>7.9176563737136808E-4</v>
      </c>
      <c r="D239">
        <v>2097.25</v>
      </c>
      <c r="E239" s="63">
        <f t="shared" si="7"/>
        <v>2.3048780487804878E-2</v>
      </c>
    </row>
    <row r="240" spans="1:5" x14ac:dyDescent="0.3">
      <c r="A240" s="74">
        <v>42505</v>
      </c>
      <c r="B240">
        <v>37.89</v>
      </c>
      <c r="C240" s="63">
        <f t="shared" si="6"/>
        <v>1.9919246298788749E-2</v>
      </c>
      <c r="D240">
        <v>2050</v>
      </c>
      <c r="E240" s="63">
        <f t="shared" si="7"/>
        <v>3.1808172253486667E-3</v>
      </c>
    </row>
    <row r="241" spans="1:5" x14ac:dyDescent="0.3">
      <c r="A241" s="74">
        <v>42498</v>
      </c>
      <c r="B241">
        <v>37.15</v>
      </c>
      <c r="C241" s="63">
        <f t="shared" si="6"/>
        <v>-4.0051679586563416E-2</v>
      </c>
      <c r="D241">
        <v>2043.5</v>
      </c>
      <c r="E241" s="63">
        <f t="shared" si="7"/>
        <v>-4.5061502862014371E-3</v>
      </c>
    </row>
    <row r="242" spans="1:5" x14ac:dyDescent="0.3">
      <c r="A242" s="74">
        <v>42491</v>
      </c>
      <c r="B242">
        <v>38.700000000000003</v>
      </c>
      <c r="C242" s="63">
        <f t="shared" si="6"/>
        <v>-0.1192535275375511</v>
      </c>
      <c r="D242">
        <v>2052.75</v>
      </c>
      <c r="E242" s="63">
        <f t="shared" si="7"/>
        <v>-3.0354541039339486E-3</v>
      </c>
    </row>
    <row r="243" spans="1:5" x14ac:dyDescent="0.3">
      <c r="A243" s="74">
        <v>42484</v>
      </c>
      <c r="B243">
        <v>43.94</v>
      </c>
      <c r="C243" s="63">
        <f t="shared" si="6"/>
        <v>-6.4907427112151611E-2</v>
      </c>
      <c r="D243">
        <v>2059</v>
      </c>
      <c r="E243" s="63">
        <f t="shared" si="7"/>
        <v>-1.2943432406519654E-2</v>
      </c>
    </row>
    <row r="244" spans="1:5" x14ac:dyDescent="0.3">
      <c r="A244" s="74">
        <v>42477</v>
      </c>
      <c r="B244">
        <v>46.99</v>
      </c>
      <c r="C244" s="63">
        <f t="shared" si="6"/>
        <v>9.0761374187558128E-2</v>
      </c>
      <c r="D244">
        <v>2086</v>
      </c>
      <c r="E244" s="63">
        <f t="shared" si="7"/>
        <v>5.3012048192771083E-3</v>
      </c>
    </row>
    <row r="245" spans="1:5" x14ac:dyDescent="0.3">
      <c r="A245" s="74">
        <v>42470</v>
      </c>
      <c r="B245">
        <v>43.08</v>
      </c>
      <c r="C245" s="63">
        <f t="shared" si="6"/>
        <v>-1.0564997703261388E-2</v>
      </c>
      <c r="D245">
        <v>2075</v>
      </c>
      <c r="E245" s="63">
        <f t="shared" si="7"/>
        <v>1.6783045448977092E-2</v>
      </c>
    </row>
    <row r="246" spans="1:5" x14ac:dyDescent="0.3">
      <c r="A246" s="74">
        <v>42463</v>
      </c>
      <c r="B246">
        <v>43.54</v>
      </c>
      <c r="C246" s="63">
        <f t="shared" si="6"/>
        <v>-4.8000000000000195E-3</v>
      </c>
      <c r="D246">
        <v>2040.75</v>
      </c>
      <c r="E246" s="63">
        <f t="shared" si="7"/>
        <v>-1.1743341404358353E-2</v>
      </c>
    </row>
    <row r="247" spans="1:5" x14ac:dyDescent="0.3">
      <c r="A247" s="74">
        <v>42456</v>
      </c>
      <c r="B247">
        <v>43.75</v>
      </c>
      <c r="C247" s="63">
        <f t="shared" si="6"/>
        <v>3.0867106503298831E-2</v>
      </c>
      <c r="D247">
        <v>2065</v>
      </c>
      <c r="E247" s="63">
        <f t="shared" si="7"/>
        <v>1.7993591323638158E-2</v>
      </c>
    </row>
    <row r="248" spans="1:5" x14ac:dyDescent="0.3">
      <c r="A248" s="74">
        <v>42449</v>
      </c>
      <c r="B248">
        <v>42.44</v>
      </c>
      <c r="C248" s="63">
        <f t="shared" si="6"/>
        <v>-2.5264124942581567E-2</v>
      </c>
      <c r="D248">
        <v>2028.5</v>
      </c>
      <c r="E248" s="63">
        <f t="shared" si="7"/>
        <v>-1.052159194564096E-2</v>
      </c>
    </row>
    <row r="249" spans="1:5" x14ac:dyDescent="0.3">
      <c r="A249" s="74">
        <v>42442</v>
      </c>
      <c r="B249">
        <v>43.54</v>
      </c>
      <c r="C249" s="63">
        <f t="shared" si="6"/>
        <v>2.2305705564686445E-2</v>
      </c>
      <c r="D249">
        <v>2050.0700000000002</v>
      </c>
      <c r="E249" s="63">
        <f t="shared" si="7"/>
        <v>1.4886138613861467E-2</v>
      </c>
    </row>
    <row r="250" spans="1:5" x14ac:dyDescent="0.3">
      <c r="A250" s="74">
        <v>42435</v>
      </c>
      <c r="B250">
        <v>42.59</v>
      </c>
      <c r="C250" s="63">
        <f t="shared" si="6"/>
        <v>-1.8437427978796894E-2</v>
      </c>
      <c r="D250">
        <v>2020</v>
      </c>
      <c r="E250" s="63">
        <f t="shared" si="7"/>
        <v>1.2531328320802004E-2</v>
      </c>
    </row>
    <row r="251" spans="1:5" x14ac:dyDescent="0.3">
      <c r="A251" s="74">
        <v>42428</v>
      </c>
      <c r="B251">
        <v>43.39</v>
      </c>
      <c r="C251" s="63">
        <f t="shared" si="6"/>
        <v>2.310002310002343E-3</v>
      </c>
      <c r="D251">
        <v>1995</v>
      </c>
      <c r="E251" s="63">
        <f t="shared" si="7"/>
        <v>2.6894865525672371E-2</v>
      </c>
    </row>
    <row r="252" spans="1:5" x14ac:dyDescent="0.3">
      <c r="A252" s="74">
        <v>42421</v>
      </c>
      <c r="B252">
        <v>43.29</v>
      </c>
      <c r="C252" s="63">
        <f t="shared" si="6"/>
        <v>3.9126260201632325E-2</v>
      </c>
      <c r="D252">
        <v>1942.75</v>
      </c>
      <c r="E252" s="63">
        <f t="shared" si="7"/>
        <v>1.4755810916688431E-2</v>
      </c>
    </row>
    <row r="253" spans="1:5" x14ac:dyDescent="0.3">
      <c r="A253" s="74">
        <v>42414</v>
      </c>
      <c r="B253">
        <v>41.66</v>
      </c>
      <c r="C253" s="63">
        <f t="shared" si="6"/>
        <v>5.7092108601877703E-2</v>
      </c>
      <c r="D253">
        <v>1914.5</v>
      </c>
      <c r="E253" s="63">
        <f t="shared" si="7"/>
        <v>3.0270415713709135E-2</v>
      </c>
    </row>
    <row r="254" spans="1:5" x14ac:dyDescent="0.3">
      <c r="A254" s="74">
        <v>42407</v>
      </c>
      <c r="B254">
        <v>39.409999999999997</v>
      </c>
      <c r="C254" s="63">
        <f t="shared" si="6"/>
        <v>-1.3516896120150343E-2</v>
      </c>
      <c r="D254">
        <v>1858.25</v>
      </c>
      <c r="E254" s="63">
        <f t="shared" si="7"/>
        <v>-9.0654579389414739E-3</v>
      </c>
    </row>
    <row r="255" spans="1:5" x14ac:dyDescent="0.3">
      <c r="A255" s="74">
        <v>42400</v>
      </c>
      <c r="B255">
        <v>39.950000000000003</v>
      </c>
      <c r="C255" s="63">
        <f t="shared" si="6"/>
        <v>-9.4720145026059355E-2</v>
      </c>
      <c r="D255">
        <v>1875.25</v>
      </c>
      <c r="E255" s="63">
        <f t="shared" si="7"/>
        <v>-2.8367875647668395E-2</v>
      </c>
    </row>
    <row r="256" spans="1:5" x14ac:dyDescent="0.3">
      <c r="A256" s="74">
        <v>42393</v>
      </c>
      <c r="B256">
        <v>44.13</v>
      </c>
      <c r="C256" s="63">
        <f t="shared" si="6"/>
        <v>0.20672682526661204</v>
      </c>
      <c r="D256">
        <v>1930</v>
      </c>
      <c r="E256" s="63">
        <f t="shared" si="7"/>
        <v>1.6190601553244702E-2</v>
      </c>
    </row>
    <row r="257" spans="1:5" x14ac:dyDescent="0.3">
      <c r="A257" s="74">
        <v>42386</v>
      </c>
      <c r="B257">
        <v>36.57</v>
      </c>
      <c r="C257" s="63">
        <f t="shared" si="6"/>
        <v>3.1593794076163535E-2</v>
      </c>
      <c r="D257">
        <v>1899.25</v>
      </c>
      <c r="E257" s="63">
        <f t="shared" si="7"/>
        <v>1.2933333333333333E-2</v>
      </c>
    </row>
    <row r="258" spans="1:5" x14ac:dyDescent="0.3">
      <c r="A258" s="74">
        <v>42379</v>
      </c>
      <c r="B258">
        <v>35.450000000000003</v>
      </c>
      <c r="C258" s="63">
        <f t="shared" si="6"/>
        <v>-8.4925141972121809E-2</v>
      </c>
      <c r="D258">
        <v>1875</v>
      </c>
      <c r="E258" s="63">
        <f t="shared" si="7"/>
        <v>-1.9094951608684279E-2</v>
      </c>
    </row>
    <row r="259" spans="1:5" x14ac:dyDescent="0.3">
      <c r="A259" s="74">
        <v>42372</v>
      </c>
      <c r="B259">
        <v>38.74</v>
      </c>
      <c r="C259" s="63">
        <f t="shared" si="6"/>
        <v>-6.964457252641687E-2</v>
      </c>
      <c r="D259">
        <v>1911.5</v>
      </c>
      <c r="E259" s="63">
        <f t="shared" si="7"/>
        <v>-6.0918693195774996E-2</v>
      </c>
    </row>
    <row r="260" spans="1:5" x14ac:dyDescent="0.3">
      <c r="A260" s="74">
        <v>42365</v>
      </c>
      <c r="B260">
        <v>41.64</v>
      </c>
      <c r="C260" s="63">
        <f t="shared" si="6"/>
        <v>-7.3897497020262758E-3</v>
      </c>
      <c r="D260">
        <v>2035.5</v>
      </c>
      <c r="E260" s="63">
        <f t="shared" si="7"/>
        <v>-7.6782449725776962E-3</v>
      </c>
    </row>
    <row r="261" spans="1:5" x14ac:dyDescent="0.3">
      <c r="A261" s="74">
        <v>42358</v>
      </c>
      <c r="B261">
        <v>41.95</v>
      </c>
      <c r="C261" s="63">
        <f t="shared" si="6"/>
        <v>4.0689325035902753E-3</v>
      </c>
      <c r="D261">
        <v>2051.25</v>
      </c>
      <c r="E261" s="63">
        <f t="shared" si="7"/>
        <v>1.0607374416175616E-2</v>
      </c>
    </row>
    <row r="262" spans="1:5" x14ac:dyDescent="0.3">
      <c r="A262" s="74">
        <v>42351</v>
      </c>
      <c r="B262">
        <v>41.78</v>
      </c>
      <c r="C262" s="63">
        <f t="shared" ref="C262:C266" si="8">(B262-B263)/B263</f>
        <v>-2.0398593200468874E-2</v>
      </c>
      <c r="D262">
        <v>2029.72</v>
      </c>
      <c r="E262" s="63">
        <f t="shared" ref="E262:E265" si="9">(D262-D263)/D263</f>
        <v>9.9365592735414995E-3</v>
      </c>
    </row>
    <row r="263" spans="1:5" x14ac:dyDescent="0.3">
      <c r="A263" s="74">
        <v>42344</v>
      </c>
      <c r="B263">
        <v>42.65</v>
      </c>
      <c r="C263" s="63">
        <f t="shared" si="8"/>
        <v>-5.4323725055432433E-2</v>
      </c>
      <c r="D263">
        <v>2009.75</v>
      </c>
      <c r="E263" s="63">
        <f t="shared" si="9"/>
        <v>-3.7706487909983238E-2</v>
      </c>
    </row>
    <row r="264" spans="1:5" x14ac:dyDescent="0.3">
      <c r="A264" s="74">
        <v>42337</v>
      </c>
      <c r="B264">
        <v>45.1</v>
      </c>
      <c r="C264" s="63">
        <f t="shared" si="8"/>
        <v>-2.6548672566371615E-2</v>
      </c>
      <c r="D264">
        <v>2088.5</v>
      </c>
      <c r="E264" s="63">
        <f t="shared" si="9"/>
        <v>-7.1770334928229664E-4</v>
      </c>
    </row>
    <row r="265" spans="1:5" x14ac:dyDescent="0.3">
      <c r="A265" s="74">
        <v>42330</v>
      </c>
      <c r="B265">
        <v>46.33</v>
      </c>
      <c r="C265" s="63">
        <f t="shared" si="8"/>
        <v>-2.5247212286976704E-2</v>
      </c>
      <c r="D265">
        <v>2090</v>
      </c>
      <c r="E265" s="63">
        <f t="shared" si="9"/>
        <v>5.9844404548174744E-4</v>
      </c>
    </row>
    <row r="266" spans="1:5" x14ac:dyDescent="0.3">
      <c r="A266" s="74">
        <v>42323</v>
      </c>
      <c r="B266">
        <v>47.53</v>
      </c>
      <c r="C266" s="63" t="e">
        <f t="shared" si="8"/>
        <v>#DIV/0!</v>
      </c>
      <c r="D266">
        <v>2088.75</v>
      </c>
      <c r="E266" s="63" t="e">
        <f>(D266-B267)/B267</f>
        <v>#DIV/0!</v>
      </c>
    </row>
  </sheetData>
  <mergeCells count="1">
    <mergeCell ref="B4:C4"/>
  </mergeCells>
  <hyperlinks>
    <hyperlink ref="B1" r:id="rId1" xr:uid="{A96D0B8A-7CDA-47C0-A201-45AB71408F30}"/>
    <hyperlink ref="B2" r:id="rId2" xr:uid="{779BBEAE-AD45-4381-A441-F55E82CF6D14}"/>
    <hyperlink ref="B3" r:id="rId3" xr:uid="{7F0C709D-275D-414D-ACBB-99C8A490D27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2D76A-4FF7-45C9-B58E-8EE7C5B25FF3}">
  <dimension ref="A1:M266"/>
  <sheetViews>
    <sheetView workbookViewId="0"/>
  </sheetViews>
  <sheetFormatPr defaultRowHeight="15.6" x14ac:dyDescent="0.3"/>
  <cols>
    <col min="1" max="1" width="14.59765625" customWidth="1"/>
    <col min="7" max="7" width="12.5" customWidth="1"/>
  </cols>
  <sheetData>
    <row r="1" spans="1:13" ht="18" x14ac:dyDescent="0.35">
      <c r="A1" s="79" t="s">
        <v>70</v>
      </c>
      <c r="B1" s="31" t="s">
        <v>71</v>
      </c>
    </row>
    <row r="2" spans="1:13" ht="18" x14ac:dyDescent="0.35">
      <c r="A2" s="79" t="s">
        <v>72</v>
      </c>
      <c r="B2" s="31" t="s">
        <v>73</v>
      </c>
    </row>
    <row r="3" spans="1:13" ht="18" x14ac:dyDescent="0.35">
      <c r="A3" s="79" t="s">
        <v>74</v>
      </c>
      <c r="B3" s="31" t="s">
        <v>75</v>
      </c>
    </row>
    <row r="4" spans="1:13" ht="23.4" x14ac:dyDescent="0.45">
      <c r="B4" s="80" t="s">
        <v>72</v>
      </c>
      <c r="D4" s="73" t="s">
        <v>70</v>
      </c>
      <c r="G4" s="73" t="s">
        <v>63</v>
      </c>
      <c r="L4" s="80"/>
    </row>
    <row r="5" spans="1:13" ht="31.2" x14ac:dyDescent="0.3">
      <c r="A5" t="s">
        <v>64</v>
      </c>
      <c r="B5" s="38" t="s">
        <v>76</v>
      </c>
      <c r="C5" t="s">
        <v>66</v>
      </c>
      <c r="D5" s="38" t="s">
        <v>65</v>
      </c>
      <c r="E5" t="s">
        <v>66</v>
      </c>
      <c r="G5">
        <f>SLOPE(C6:C265,E6:E265)</f>
        <v>1.5717645027127403</v>
      </c>
    </row>
    <row r="6" spans="1:13" x14ac:dyDescent="0.3">
      <c r="A6" s="74">
        <v>44143</v>
      </c>
      <c r="B6">
        <v>56.89</v>
      </c>
      <c r="C6" s="63">
        <f t="shared" ref="C6:C69" si="0">(B6-B7)/B7</f>
        <v>-2.4687124978570167E-2</v>
      </c>
      <c r="D6">
        <v>994.29</v>
      </c>
      <c r="E6" s="63">
        <f t="shared" ref="E6:E69" si="1">(D6-D7)/D7</f>
        <v>7.4652515077495013E-2</v>
      </c>
      <c r="K6" s="74"/>
      <c r="M6" s="63"/>
    </row>
    <row r="7" spans="1:13" x14ac:dyDescent="0.3">
      <c r="A7" s="74">
        <v>44136</v>
      </c>
      <c r="B7">
        <v>58.33</v>
      </c>
      <c r="C7" s="63">
        <f t="shared" si="0"/>
        <v>0.1146569845213071</v>
      </c>
      <c r="D7">
        <v>925.22</v>
      </c>
      <c r="E7" s="63">
        <f t="shared" si="1"/>
        <v>5.5476334432288749E-2</v>
      </c>
      <c r="G7" s="36" t="s">
        <v>67</v>
      </c>
      <c r="H7" s="81">
        <f>G5*2/3+1/3</f>
        <v>1.3811763351418267</v>
      </c>
      <c r="K7" s="74"/>
      <c r="M7" s="63"/>
    </row>
    <row r="8" spans="1:13" x14ac:dyDescent="0.3">
      <c r="A8" s="74">
        <v>44129</v>
      </c>
      <c r="B8">
        <v>52.33</v>
      </c>
      <c r="C8" s="63">
        <f t="shared" si="0"/>
        <v>-4.1864890580399407E-3</v>
      </c>
      <c r="D8">
        <v>876.59</v>
      </c>
      <c r="E8" s="63">
        <f t="shared" si="1"/>
        <v>-6.118536606263119E-2</v>
      </c>
      <c r="G8" s="36" t="s">
        <v>25</v>
      </c>
      <c r="H8" s="59">
        <f>205000/131905</f>
        <v>1.554148819225958</v>
      </c>
      <c r="K8" s="74"/>
      <c r="M8" s="63"/>
    </row>
    <row r="9" spans="1:13" x14ac:dyDescent="0.3">
      <c r="A9" s="74">
        <v>44122</v>
      </c>
      <c r="B9">
        <v>52.55</v>
      </c>
      <c r="C9" s="63">
        <f t="shared" si="0"/>
        <v>2.8778386844165994E-2</v>
      </c>
      <c r="D9">
        <v>933.72</v>
      </c>
      <c r="E9" s="63">
        <f t="shared" si="1"/>
        <v>1.0836734472940632E-2</v>
      </c>
      <c r="G9" s="36" t="s">
        <v>56</v>
      </c>
      <c r="H9" s="82">
        <v>0.28199999999999997</v>
      </c>
      <c r="K9" s="74"/>
      <c r="M9" s="63"/>
    </row>
    <row r="10" spans="1:13" x14ac:dyDescent="0.3">
      <c r="A10" s="74">
        <v>44115</v>
      </c>
      <c r="B10">
        <v>51.08</v>
      </c>
      <c r="C10" s="63">
        <f t="shared" si="0"/>
        <v>7.2208228379512962E-2</v>
      </c>
      <c r="D10">
        <v>923.71</v>
      </c>
      <c r="E10" s="63">
        <f t="shared" si="1"/>
        <v>-2.6776363381163888E-3</v>
      </c>
      <c r="G10" s="36" t="s">
        <v>27</v>
      </c>
      <c r="H10" s="59">
        <f>(617056-560154)/(1230593-1088205)</f>
        <v>0.39962637300896142</v>
      </c>
      <c r="K10" s="74"/>
      <c r="M10" s="63"/>
    </row>
    <row r="11" spans="1:13" x14ac:dyDescent="0.3">
      <c r="A11" s="74">
        <v>44108</v>
      </c>
      <c r="B11">
        <v>47.64</v>
      </c>
      <c r="C11" s="63">
        <f t="shared" si="0"/>
        <v>3.610265332753379E-2</v>
      </c>
      <c r="D11">
        <v>926.19</v>
      </c>
      <c r="E11" s="63">
        <f t="shared" si="1"/>
        <v>5.6594948550046785E-2</v>
      </c>
      <c r="K11" s="74"/>
      <c r="M11" s="63"/>
    </row>
    <row r="12" spans="1:13" x14ac:dyDescent="0.3">
      <c r="A12" s="74">
        <v>44101</v>
      </c>
      <c r="B12">
        <v>45.98</v>
      </c>
      <c r="C12" s="63">
        <f t="shared" si="0"/>
        <v>7.883622712341623E-2</v>
      </c>
      <c r="D12">
        <v>876.58</v>
      </c>
      <c r="E12" s="63">
        <f t="shared" si="1"/>
        <v>4.988442144850478E-2</v>
      </c>
      <c r="K12" s="74"/>
      <c r="M12" s="63"/>
    </row>
    <row r="13" spans="1:13" x14ac:dyDescent="0.3">
      <c r="A13" s="74">
        <v>44094</v>
      </c>
      <c r="B13">
        <v>42.62</v>
      </c>
      <c r="C13" s="63">
        <f t="shared" si="0"/>
        <v>2.0349533157768596E-2</v>
      </c>
      <c r="D13">
        <v>834.93</v>
      </c>
      <c r="E13" s="63">
        <f t="shared" si="1"/>
        <v>-4.0938695337537585E-2</v>
      </c>
      <c r="K13" s="74"/>
      <c r="M13" s="63"/>
    </row>
    <row r="14" spans="1:13" x14ac:dyDescent="0.3">
      <c r="A14" s="74">
        <v>44087</v>
      </c>
      <c r="B14">
        <v>41.77</v>
      </c>
      <c r="C14" s="63">
        <f t="shared" si="0"/>
        <v>-5.239342700642983E-3</v>
      </c>
      <c r="D14">
        <v>870.57</v>
      </c>
      <c r="E14" s="63">
        <f t="shared" si="1"/>
        <v>1.002401587135858E-2</v>
      </c>
      <c r="K14" s="74"/>
      <c r="M14" s="63"/>
    </row>
    <row r="15" spans="1:13" x14ac:dyDescent="0.3">
      <c r="A15" s="74">
        <v>44080</v>
      </c>
      <c r="B15">
        <v>41.99</v>
      </c>
      <c r="C15" s="63">
        <f t="shared" si="0"/>
        <v>8.3612903225806501E-2</v>
      </c>
      <c r="D15">
        <v>861.93</v>
      </c>
      <c r="E15" s="63">
        <f t="shared" si="1"/>
        <v>-3.3504894540316882E-2</v>
      </c>
      <c r="K15" s="74"/>
      <c r="M15" s="63"/>
    </row>
    <row r="16" spans="1:13" x14ac:dyDescent="0.3">
      <c r="A16" s="74">
        <v>44073</v>
      </c>
      <c r="B16">
        <v>38.75</v>
      </c>
      <c r="C16" s="63">
        <f t="shared" si="0"/>
        <v>-5.8094312105007304E-2</v>
      </c>
      <c r="D16">
        <v>891.81</v>
      </c>
      <c r="E16" s="63">
        <f t="shared" si="1"/>
        <v>-2.215960176311927E-2</v>
      </c>
      <c r="K16" s="74"/>
      <c r="M16" s="63"/>
    </row>
    <row r="17" spans="1:13" x14ac:dyDescent="0.3">
      <c r="A17" s="74">
        <v>44066</v>
      </c>
      <c r="B17">
        <v>41.14</v>
      </c>
      <c r="C17" s="63">
        <f t="shared" si="0"/>
        <v>7.8940466824023017E-2</v>
      </c>
      <c r="D17">
        <v>912.02</v>
      </c>
      <c r="E17" s="63">
        <f t="shared" si="1"/>
        <v>1.9312873013389333E-2</v>
      </c>
      <c r="K17" s="74"/>
      <c r="M17" s="63"/>
    </row>
    <row r="18" spans="1:13" x14ac:dyDescent="0.3">
      <c r="A18" s="74">
        <v>44059</v>
      </c>
      <c r="B18">
        <v>38.130000000000003</v>
      </c>
      <c r="C18" s="63">
        <f t="shared" si="0"/>
        <v>-3.4439098505950859E-2</v>
      </c>
      <c r="D18">
        <v>894.74</v>
      </c>
      <c r="E18" s="63">
        <f t="shared" si="1"/>
        <v>-2.5231506700076227E-2</v>
      </c>
      <c r="K18" s="74"/>
      <c r="M18" s="63"/>
    </row>
    <row r="19" spans="1:13" x14ac:dyDescent="0.3">
      <c r="A19" s="74">
        <v>44052</v>
      </c>
      <c r="B19">
        <v>39.49</v>
      </c>
      <c r="C19" s="63">
        <f t="shared" si="0"/>
        <v>2.3322104172065265E-2</v>
      </c>
      <c r="D19">
        <v>917.9</v>
      </c>
      <c r="E19" s="63">
        <f t="shared" si="1"/>
        <v>6.8336130398060904E-3</v>
      </c>
      <c r="K19" s="74"/>
      <c r="M19" s="63"/>
    </row>
    <row r="20" spans="1:13" x14ac:dyDescent="0.3">
      <c r="A20" s="74">
        <v>44045</v>
      </c>
      <c r="B20">
        <v>38.590000000000003</v>
      </c>
      <c r="C20" s="63">
        <f t="shared" si="0"/>
        <v>7.3734001112966213E-2</v>
      </c>
      <c r="D20">
        <v>911.67</v>
      </c>
      <c r="E20" s="63">
        <f t="shared" si="1"/>
        <v>5.34909519517437E-2</v>
      </c>
      <c r="K20" s="74"/>
      <c r="M20" s="63"/>
    </row>
    <row r="21" spans="1:13" x14ac:dyDescent="0.3">
      <c r="A21" s="74">
        <v>44038</v>
      </c>
      <c r="B21">
        <v>35.94</v>
      </c>
      <c r="C21" s="63">
        <f t="shared" si="0"/>
        <v>8.7005332584898995E-3</v>
      </c>
      <c r="D21">
        <v>865.38</v>
      </c>
      <c r="E21" s="63">
        <f t="shared" si="1"/>
        <v>1.6193238530278611E-2</v>
      </c>
      <c r="K21" s="74"/>
      <c r="M21" s="63"/>
    </row>
    <row r="22" spans="1:13" x14ac:dyDescent="0.3">
      <c r="A22" s="74">
        <v>44031</v>
      </c>
      <c r="B22">
        <v>35.630000000000003</v>
      </c>
      <c r="C22" s="63">
        <f t="shared" si="0"/>
        <v>2.5028768699654907E-2</v>
      </c>
      <c r="D22">
        <v>851.59</v>
      </c>
      <c r="E22" s="63">
        <f t="shared" si="1"/>
        <v>5.20550532354409E-3</v>
      </c>
      <c r="K22" s="74"/>
      <c r="M22" s="63"/>
    </row>
    <row r="23" spans="1:13" x14ac:dyDescent="0.3">
      <c r="A23" s="74">
        <v>44024</v>
      </c>
      <c r="B23">
        <v>34.76</v>
      </c>
      <c r="C23" s="63">
        <f t="shared" si="0"/>
        <v>-2.1947101857062497E-2</v>
      </c>
      <c r="D23">
        <v>847.18</v>
      </c>
      <c r="E23" s="63">
        <f t="shared" si="1"/>
        <v>3.6470631415393209E-2</v>
      </c>
      <c r="K23" s="74"/>
      <c r="M23" s="63"/>
    </row>
    <row r="24" spans="1:13" x14ac:dyDescent="0.3">
      <c r="A24" s="74">
        <v>44017</v>
      </c>
      <c r="B24">
        <v>35.54</v>
      </c>
      <c r="C24" s="63">
        <f t="shared" si="0"/>
        <v>-1.0027855153203327E-2</v>
      </c>
      <c r="D24">
        <v>817.37</v>
      </c>
      <c r="E24" s="63">
        <f t="shared" si="1"/>
        <v>-7.9859214758177567E-3</v>
      </c>
      <c r="K24" s="74"/>
      <c r="M24" s="63"/>
    </row>
    <row r="25" spans="1:13" x14ac:dyDescent="0.3">
      <c r="A25" s="74">
        <v>44010</v>
      </c>
      <c r="B25">
        <v>35.9</v>
      </c>
      <c r="C25" s="63">
        <f t="shared" si="0"/>
        <v>9.1517178473700153E-2</v>
      </c>
      <c r="D25">
        <v>823.95</v>
      </c>
      <c r="E25" s="63">
        <f t="shared" si="1"/>
        <v>4.4707045860857865E-2</v>
      </c>
      <c r="K25" s="74"/>
      <c r="M25" s="63"/>
    </row>
    <row r="26" spans="1:13" x14ac:dyDescent="0.3">
      <c r="A26" s="74">
        <v>44003</v>
      </c>
      <c r="B26">
        <v>32.89</v>
      </c>
      <c r="C26" s="63">
        <f t="shared" si="0"/>
        <v>1.1688711165795219E-2</v>
      </c>
      <c r="D26">
        <v>788.69</v>
      </c>
      <c r="E26" s="63">
        <f t="shared" si="1"/>
        <v>-3.6726268992134367E-2</v>
      </c>
      <c r="K26" s="74"/>
      <c r="M26" s="63"/>
    </row>
    <row r="27" spans="1:13" x14ac:dyDescent="0.3">
      <c r="A27" s="74">
        <v>43996</v>
      </c>
      <c r="B27">
        <v>32.51</v>
      </c>
      <c r="C27" s="63">
        <f t="shared" si="0"/>
        <v>6.033920417482054E-2</v>
      </c>
      <c r="D27">
        <v>818.76</v>
      </c>
      <c r="E27" s="63">
        <f t="shared" si="1"/>
        <v>7.717018055606816E-3</v>
      </c>
      <c r="K27" s="74"/>
      <c r="M27" s="63"/>
    </row>
    <row r="28" spans="1:13" x14ac:dyDescent="0.3">
      <c r="A28" s="74">
        <v>43989</v>
      </c>
      <c r="B28">
        <v>30.66</v>
      </c>
      <c r="C28" s="63">
        <f t="shared" si="0"/>
        <v>-9.2630955904113618E-2</v>
      </c>
      <c r="D28">
        <v>812.49</v>
      </c>
      <c r="E28" s="63">
        <f t="shared" si="1"/>
        <v>-9.656077301991485E-2</v>
      </c>
      <c r="K28" s="74"/>
      <c r="M28" s="63"/>
    </row>
    <row r="29" spans="1:13" x14ac:dyDescent="0.3">
      <c r="A29" s="74">
        <v>43982</v>
      </c>
      <c r="B29">
        <v>33.79</v>
      </c>
      <c r="C29" s="63">
        <f t="shared" si="0"/>
        <v>0.17940663176265273</v>
      </c>
      <c r="D29">
        <v>899.33</v>
      </c>
      <c r="E29" s="63">
        <f t="shared" si="1"/>
        <v>0.1198092415733835</v>
      </c>
      <c r="K29" s="74"/>
      <c r="M29" s="63"/>
    </row>
    <row r="30" spans="1:13" x14ac:dyDescent="0.3">
      <c r="A30" s="74">
        <v>43975</v>
      </c>
      <c r="B30">
        <v>28.65</v>
      </c>
      <c r="C30" s="63">
        <f t="shared" si="0"/>
        <v>7.2631973043803727E-2</v>
      </c>
      <c r="D30">
        <v>803.11</v>
      </c>
      <c r="E30" s="63">
        <f t="shared" si="1"/>
        <v>3.5816544999613051E-2</v>
      </c>
      <c r="K30" s="74"/>
      <c r="M30" s="63"/>
    </row>
    <row r="31" spans="1:13" x14ac:dyDescent="0.3">
      <c r="A31" s="74">
        <v>43968</v>
      </c>
      <c r="B31">
        <v>26.71</v>
      </c>
      <c r="C31" s="63">
        <f t="shared" si="0"/>
        <v>0.11291666666666671</v>
      </c>
      <c r="D31">
        <v>775.34</v>
      </c>
      <c r="E31" s="63">
        <f t="shared" si="1"/>
        <v>8.8379797299194304E-2</v>
      </c>
      <c r="K31" s="74"/>
      <c r="M31" s="63"/>
    </row>
    <row r="32" spans="1:13" x14ac:dyDescent="0.3">
      <c r="A32" s="74">
        <v>43961</v>
      </c>
      <c r="B32">
        <v>24</v>
      </c>
      <c r="C32" s="63">
        <f t="shared" si="0"/>
        <v>-4.0383846461415497E-2</v>
      </c>
      <c r="D32">
        <v>712.38</v>
      </c>
      <c r="E32" s="63">
        <f t="shared" si="1"/>
        <v>-7.5875309714997355E-2</v>
      </c>
      <c r="K32" s="74"/>
      <c r="M32" s="63"/>
    </row>
    <row r="33" spans="1:13" x14ac:dyDescent="0.3">
      <c r="A33" s="74">
        <v>43954</v>
      </c>
      <c r="B33">
        <v>25.01</v>
      </c>
      <c r="C33" s="63">
        <f t="shared" si="0"/>
        <v>0.13321250566379705</v>
      </c>
      <c r="D33">
        <v>770.87</v>
      </c>
      <c r="E33" s="63">
        <f t="shared" si="1"/>
        <v>4.1688062484797742E-2</v>
      </c>
      <c r="K33" s="74"/>
      <c r="M33" s="63"/>
    </row>
    <row r="34" spans="1:13" x14ac:dyDescent="0.3">
      <c r="A34" s="74">
        <v>43947</v>
      </c>
      <c r="B34">
        <v>22.07</v>
      </c>
      <c r="C34" s="63">
        <f t="shared" si="0"/>
        <v>2.6034402603440199E-2</v>
      </c>
      <c r="D34">
        <v>740.02</v>
      </c>
      <c r="E34" s="63">
        <f t="shared" si="1"/>
        <v>3.4790390692731488E-2</v>
      </c>
      <c r="K34" s="74"/>
      <c r="M34" s="63"/>
    </row>
    <row r="35" spans="1:13" x14ac:dyDescent="0.3">
      <c r="A35" s="74">
        <v>43940</v>
      </c>
      <c r="B35">
        <v>21.51</v>
      </c>
      <c r="C35" s="63">
        <f t="shared" si="0"/>
        <v>-7.3643410852713059E-2</v>
      </c>
      <c r="D35">
        <v>715.14</v>
      </c>
      <c r="E35" s="63">
        <f t="shared" si="1"/>
        <v>-1.029643776467665E-2</v>
      </c>
      <c r="K35" s="74"/>
      <c r="M35" s="63"/>
    </row>
    <row r="36" spans="1:13" x14ac:dyDescent="0.3">
      <c r="A36" s="74">
        <v>43933</v>
      </c>
      <c r="B36">
        <v>23.22</v>
      </c>
      <c r="C36" s="63">
        <f t="shared" si="0"/>
        <v>0.11420345489443373</v>
      </c>
      <c r="D36">
        <v>722.58</v>
      </c>
      <c r="E36" s="63">
        <f t="shared" si="1"/>
        <v>-2.7784131426341747E-2</v>
      </c>
      <c r="K36" s="74"/>
      <c r="M36" s="63"/>
    </row>
    <row r="37" spans="1:13" x14ac:dyDescent="0.3">
      <c r="A37" s="74">
        <v>43926</v>
      </c>
      <c r="B37">
        <v>20.84</v>
      </c>
      <c r="C37" s="63">
        <f t="shared" si="0"/>
        <v>0.41672331747110802</v>
      </c>
      <c r="D37">
        <v>743.23</v>
      </c>
      <c r="E37" s="63">
        <f t="shared" si="1"/>
        <v>0.19423154173696472</v>
      </c>
      <c r="K37" s="74"/>
      <c r="M37" s="63"/>
    </row>
    <row r="38" spans="1:13" x14ac:dyDescent="0.3">
      <c r="A38" s="74">
        <v>43919</v>
      </c>
      <c r="B38">
        <v>14.71</v>
      </c>
      <c r="C38" s="63">
        <f t="shared" si="0"/>
        <v>-0.1841375485302274</v>
      </c>
      <c r="D38">
        <v>622.35</v>
      </c>
      <c r="E38" s="63">
        <f t="shared" si="1"/>
        <v>-7.0953006508628375E-2</v>
      </c>
      <c r="K38" s="74"/>
      <c r="M38" s="63"/>
    </row>
    <row r="39" spans="1:13" x14ac:dyDescent="0.3">
      <c r="A39" s="74">
        <v>43912</v>
      </c>
      <c r="B39">
        <v>18.03</v>
      </c>
      <c r="C39" s="63">
        <f t="shared" si="0"/>
        <v>0.67409470752089151</v>
      </c>
      <c r="D39">
        <v>669.88</v>
      </c>
      <c r="E39" s="63">
        <f t="shared" si="1"/>
        <v>0.10799053904298775</v>
      </c>
      <c r="K39" s="74"/>
      <c r="M39" s="63"/>
    </row>
    <row r="40" spans="1:13" x14ac:dyDescent="0.3">
      <c r="A40" s="74">
        <v>43905</v>
      </c>
      <c r="B40">
        <v>10.77</v>
      </c>
      <c r="C40" s="63">
        <f t="shared" si="0"/>
        <v>-0.44312306101344368</v>
      </c>
      <c r="D40">
        <v>604.59</v>
      </c>
      <c r="E40" s="63">
        <f t="shared" si="1"/>
        <v>-0.167208463043059</v>
      </c>
      <c r="K40" s="74"/>
      <c r="M40" s="63"/>
    </row>
    <row r="41" spans="1:13" x14ac:dyDescent="0.3">
      <c r="A41" s="74">
        <v>43898</v>
      </c>
      <c r="B41">
        <v>19.34</v>
      </c>
      <c r="C41" s="63">
        <f t="shared" si="0"/>
        <v>-0.20181593066446557</v>
      </c>
      <c r="D41">
        <v>725.98</v>
      </c>
      <c r="E41" s="63">
        <f t="shared" si="1"/>
        <v>-0.16284594095940963</v>
      </c>
      <c r="K41" s="74"/>
      <c r="M41" s="63"/>
    </row>
    <row r="42" spans="1:13" x14ac:dyDescent="0.3">
      <c r="A42" s="74">
        <v>43891</v>
      </c>
      <c r="B42">
        <v>24.23</v>
      </c>
      <c r="C42" s="63">
        <f t="shared" si="0"/>
        <v>-7.4130683989300769E-2</v>
      </c>
      <c r="D42">
        <v>867.2</v>
      </c>
      <c r="E42" s="63">
        <f t="shared" si="1"/>
        <v>-1.9869346052125869E-2</v>
      </c>
      <c r="K42" s="74"/>
      <c r="M42" s="63"/>
    </row>
    <row r="43" spans="1:13" x14ac:dyDescent="0.3">
      <c r="A43" s="74">
        <v>43884</v>
      </c>
      <c r="B43">
        <v>26.17</v>
      </c>
      <c r="C43" s="63">
        <f t="shared" si="0"/>
        <v>-0.28692098092643054</v>
      </c>
      <c r="D43">
        <v>884.78</v>
      </c>
      <c r="E43" s="63">
        <f t="shared" si="1"/>
        <v>-0.12365048235969972</v>
      </c>
      <c r="K43" s="74"/>
      <c r="M43" s="63"/>
    </row>
    <row r="44" spans="1:13" x14ac:dyDescent="0.3">
      <c r="A44" s="74">
        <v>43877</v>
      </c>
      <c r="B44">
        <v>36.700000000000003</v>
      </c>
      <c r="C44" s="63">
        <f t="shared" si="0"/>
        <v>-1.6349504154382188E-2</v>
      </c>
      <c r="D44">
        <v>1009.62</v>
      </c>
      <c r="E44" s="63">
        <f t="shared" si="1"/>
        <v>-8.4948000039282087E-3</v>
      </c>
      <c r="K44" s="74"/>
      <c r="M44" s="63"/>
    </row>
    <row r="45" spans="1:13" x14ac:dyDescent="0.3">
      <c r="A45" s="74">
        <v>43870</v>
      </c>
      <c r="B45">
        <v>37.31</v>
      </c>
      <c r="C45" s="63">
        <f t="shared" si="0"/>
        <v>-1.4006342494714616E-2</v>
      </c>
      <c r="D45">
        <v>1018.27</v>
      </c>
      <c r="E45" s="63">
        <f t="shared" si="1"/>
        <v>1.6186817025098575E-2</v>
      </c>
      <c r="K45" s="74"/>
      <c r="M45" s="63"/>
    </row>
    <row r="46" spans="1:13" x14ac:dyDescent="0.3">
      <c r="A46" s="74">
        <v>43863</v>
      </c>
      <c r="B46">
        <v>37.840000000000003</v>
      </c>
      <c r="C46" s="63">
        <f t="shared" si="0"/>
        <v>-1.8464785017144074E-3</v>
      </c>
      <c r="D46">
        <v>1002.05</v>
      </c>
      <c r="E46" s="63">
        <f t="shared" si="1"/>
        <v>2.2666966035270984E-2</v>
      </c>
      <c r="K46" s="74"/>
      <c r="M46" s="63"/>
    </row>
    <row r="47" spans="1:13" x14ac:dyDescent="0.3">
      <c r="A47" s="74">
        <v>43856</v>
      </c>
      <c r="B47">
        <v>37.909999999999997</v>
      </c>
      <c r="C47" s="63">
        <f t="shared" si="0"/>
        <v>-8.1415071480494455E-2</v>
      </c>
      <c r="D47">
        <v>979.84</v>
      </c>
      <c r="E47" s="63">
        <f t="shared" si="1"/>
        <v>-3.5571566369416704E-2</v>
      </c>
      <c r="K47" s="74"/>
      <c r="M47" s="63"/>
    </row>
    <row r="48" spans="1:13" x14ac:dyDescent="0.3">
      <c r="A48" s="74">
        <v>43849</v>
      </c>
      <c r="B48">
        <v>41.27</v>
      </c>
      <c r="C48" s="63">
        <f t="shared" si="0"/>
        <v>-7.4555074555073394E-3</v>
      </c>
      <c r="D48">
        <v>1015.98</v>
      </c>
      <c r="E48" s="63">
        <f t="shared" si="1"/>
        <v>-2.2419367254252903E-2</v>
      </c>
      <c r="K48" s="74"/>
      <c r="M48" s="63"/>
    </row>
    <row r="49" spans="1:13" x14ac:dyDescent="0.3">
      <c r="A49" s="74">
        <v>43842</v>
      </c>
      <c r="B49">
        <v>41.58</v>
      </c>
      <c r="C49" s="63">
        <f t="shared" si="0"/>
        <v>-3.0543250174865987E-2</v>
      </c>
      <c r="D49">
        <v>1039.28</v>
      </c>
      <c r="E49" s="63">
        <f t="shared" si="1"/>
        <v>2.8135016421985615E-2</v>
      </c>
      <c r="K49" s="74"/>
      <c r="M49" s="63"/>
    </row>
    <row r="50" spans="1:13" x14ac:dyDescent="0.3">
      <c r="A50" s="74">
        <v>43835</v>
      </c>
      <c r="B50">
        <v>42.89</v>
      </c>
      <c r="C50" s="63">
        <f t="shared" si="0"/>
        <v>1.9249049429657848E-2</v>
      </c>
      <c r="D50">
        <v>1010.84</v>
      </c>
      <c r="E50" s="63">
        <f t="shared" si="1"/>
        <v>-9.8831457592586346E-3</v>
      </c>
      <c r="K50" s="74"/>
      <c r="M50" s="63"/>
    </row>
    <row r="51" spans="1:13" x14ac:dyDescent="0.3">
      <c r="A51" s="74">
        <v>43828</v>
      </c>
      <c r="B51">
        <v>42.08</v>
      </c>
      <c r="C51" s="63">
        <f t="shared" si="0"/>
        <v>1.9873969946679601E-2</v>
      </c>
      <c r="D51">
        <v>1020.93</v>
      </c>
      <c r="E51" s="63">
        <f t="shared" si="1"/>
        <v>2.0218477332730822E-3</v>
      </c>
      <c r="K51" s="74"/>
      <c r="M51" s="63"/>
    </row>
    <row r="52" spans="1:13" x14ac:dyDescent="0.3">
      <c r="A52" s="74">
        <v>43821</v>
      </c>
      <c r="B52">
        <v>41.26</v>
      </c>
      <c r="C52" s="63">
        <f t="shared" si="0"/>
        <v>2.3567353014140306E-2</v>
      </c>
      <c r="D52">
        <v>1018.87</v>
      </c>
      <c r="E52" s="63">
        <f t="shared" si="1"/>
        <v>-3.9203034569059818E-3</v>
      </c>
      <c r="K52" s="74"/>
      <c r="M52" s="63"/>
    </row>
    <row r="53" spans="1:13" x14ac:dyDescent="0.3">
      <c r="A53" s="74">
        <v>43814</v>
      </c>
      <c r="B53">
        <v>40.31</v>
      </c>
      <c r="C53" s="63">
        <f t="shared" si="0"/>
        <v>0.11600221483942429</v>
      </c>
      <c r="D53">
        <v>1022.88</v>
      </c>
      <c r="E53" s="63">
        <f t="shared" si="1"/>
        <v>2.0034104847475576E-2</v>
      </c>
      <c r="K53" s="74"/>
      <c r="M53" s="63"/>
    </row>
    <row r="54" spans="1:13" x14ac:dyDescent="0.3">
      <c r="A54" s="74">
        <v>43807</v>
      </c>
      <c r="B54">
        <v>36.119999999999997</v>
      </c>
      <c r="C54" s="63">
        <f t="shared" si="0"/>
        <v>1.8612521150592119E-2</v>
      </c>
      <c r="D54">
        <v>1002.79</v>
      </c>
      <c r="E54" s="63">
        <f t="shared" si="1"/>
        <v>6.5859718798955038E-4</v>
      </c>
      <c r="K54" s="74"/>
      <c r="M54" s="63"/>
    </row>
    <row r="55" spans="1:13" x14ac:dyDescent="0.3">
      <c r="A55" s="74">
        <v>43800</v>
      </c>
      <c r="B55">
        <v>35.46</v>
      </c>
      <c r="C55" s="63">
        <f t="shared" si="0"/>
        <v>1.6045845272206368E-2</v>
      </c>
      <c r="D55">
        <v>1002.13</v>
      </c>
      <c r="E55" s="63">
        <f t="shared" si="1"/>
        <v>8.6763092470131201E-3</v>
      </c>
      <c r="K55" s="74"/>
      <c r="M55" s="63"/>
    </row>
    <row r="56" spans="1:13" x14ac:dyDescent="0.3">
      <c r="A56" s="74">
        <v>43793</v>
      </c>
      <c r="B56">
        <v>34.9</v>
      </c>
      <c r="C56" s="63">
        <f t="shared" si="0"/>
        <v>2.0169541069862545E-2</v>
      </c>
      <c r="D56">
        <v>993.51</v>
      </c>
      <c r="E56" s="63">
        <f t="shared" si="1"/>
        <v>2.1992943330624501E-2</v>
      </c>
      <c r="K56" s="74"/>
      <c r="M56" s="63"/>
    </row>
    <row r="57" spans="1:13" x14ac:dyDescent="0.3">
      <c r="A57" s="74">
        <v>43786</v>
      </c>
      <c r="B57">
        <v>34.21</v>
      </c>
      <c r="C57" s="63">
        <f t="shared" si="0"/>
        <v>-6.6830332787779487E-2</v>
      </c>
      <c r="D57">
        <v>972.13</v>
      </c>
      <c r="E57" s="63">
        <f t="shared" si="1"/>
        <v>-1.0766146676028574E-2</v>
      </c>
      <c r="K57" s="74"/>
      <c r="M57" s="63"/>
    </row>
    <row r="58" spans="1:13" x14ac:dyDescent="0.3">
      <c r="A58" s="74">
        <v>43779</v>
      </c>
      <c r="B58">
        <v>36.659999999999997</v>
      </c>
      <c r="C58" s="63">
        <f t="shared" si="0"/>
        <v>3.093363329583786E-2</v>
      </c>
      <c r="D58">
        <v>982.71</v>
      </c>
      <c r="E58" s="63">
        <f t="shared" si="1"/>
        <v>-5.9176984705024572E-3</v>
      </c>
      <c r="K58" s="74"/>
      <c r="M58" s="63"/>
    </row>
    <row r="59" spans="1:13" x14ac:dyDescent="0.3">
      <c r="A59" s="74">
        <v>43772</v>
      </c>
      <c r="B59">
        <v>35.56</v>
      </c>
      <c r="C59" s="63">
        <f t="shared" si="0"/>
        <v>-1.2770682953914515E-2</v>
      </c>
      <c r="D59">
        <v>988.56</v>
      </c>
      <c r="E59" s="63">
        <f t="shared" si="1"/>
        <v>8.3025642071765018E-3</v>
      </c>
      <c r="K59" s="74"/>
      <c r="M59" s="63"/>
    </row>
    <row r="60" spans="1:13" x14ac:dyDescent="0.3">
      <c r="A60" s="74">
        <v>43765</v>
      </c>
      <c r="B60">
        <v>36.020000000000003</v>
      </c>
      <c r="C60" s="63">
        <f t="shared" si="0"/>
        <v>6.8842729970326408E-2</v>
      </c>
      <c r="D60">
        <v>980.42</v>
      </c>
      <c r="E60" s="63">
        <f t="shared" si="1"/>
        <v>1.2705036565714947E-2</v>
      </c>
      <c r="K60" s="74"/>
      <c r="M60" s="63"/>
    </row>
    <row r="61" spans="1:13" x14ac:dyDescent="0.3">
      <c r="A61" s="74">
        <v>43758</v>
      </c>
      <c r="B61">
        <v>33.700000000000003</v>
      </c>
      <c r="C61" s="63">
        <f t="shared" si="0"/>
        <v>2.7752363525465194E-2</v>
      </c>
      <c r="D61">
        <v>968.12</v>
      </c>
      <c r="E61" s="63">
        <f t="shared" si="1"/>
        <v>1.8676936351105358E-2</v>
      </c>
      <c r="K61" s="74"/>
      <c r="M61" s="63"/>
    </row>
    <row r="62" spans="1:13" x14ac:dyDescent="0.3">
      <c r="A62" s="74">
        <v>43751</v>
      </c>
      <c r="B62">
        <v>32.79</v>
      </c>
      <c r="C62" s="63">
        <f t="shared" si="0"/>
        <v>6.2540505508749178E-2</v>
      </c>
      <c r="D62">
        <v>950.37</v>
      </c>
      <c r="E62" s="63">
        <f t="shared" si="1"/>
        <v>1.5786660966224862E-2</v>
      </c>
      <c r="K62" s="74"/>
      <c r="M62" s="63"/>
    </row>
    <row r="63" spans="1:13" x14ac:dyDescent="0.3">
      <c r="A63" s="74">
        <v>43744</v>
      </c>
      <c r="B63">
        <v>30.86</v>
      </c>
      <c r="C63" s="63">
        <f t="shared" si="0"/>
        <v>7.1527777777777732E-2</v>
      </c>
      <c r="D63">
        <v>935.6</v>
      </c>
      <c r="E63" s="63">
        <f t="shared" si="1"/>
        <v>5.5241493454850138E-3</v>
      </c>
      <c r="K63" s="74"/>
      <c r="M63" s="63"/>
    </row>
    <row r="64" spans="1:13" x14ac:dyDescent="0.3">
      <c r="A64" s="74">
        <v>43737</v>
      </c>
      <c r="B64">
        <v>28.8</v>
      </c>
      <c r="C64" s="63">
        <f t="shared" si="0"/>
        <v>4.72727272727273E-2</v>
      </c>
      <c r="D64">
        <v>930.46</v>
      </c>
      <c r="E64" s="63">
        <f t="shared" si="1"/>
        <v>-1.6749268210205864E-2</v>
      </c>
      <c r="K64" s="74"/>
      <c r="M64" s="63"/>
    </row>
    <row r="65" spans="1:13" x14ac:dyDescent="0.3">
      <c r="A65" s="74">
        <v>43730</v>
      </c>
      <c r="B65">
        <v>27.5</v>
      </c>
      <c r="C65" s="63">
        <f t="shared" si="0"/>
        <v>1.8141429100333152E-2</v>
      </c>
      <c r="D65">
        <v>946.31</v>
      </c>
      <c r="E65" s="63">
        <f t="shared" si="1"/>
        <v>-1.6422238621363532E-2</v>
      </c>
      <c r="K65" s="74"/>
      <c r="M65" s="63"/>
    </row>
    <row r="66" spans="1:13" x14ac:dyDescent="0.3">
      <c r="A66" s="74">
        <v>43723</v>
      </c>
      <c r="B66">
        <v>27.01</v>
      </c>
      <c r="C66" s="63">
        <f t="shared" si="0"/>
        <v>-5.4271708683473294E-2</v>
      </c>
      <c r="D66">
        <v>962.11</v>
      </c>
      <c r="E66" s="63">
        <f t="shared" si="1"/>
        <v>-1.4181054357292926E-2</v>
      </c>
      <c r="K66" s="74"/>
      <c r="M66" s="63"/>
    </row>
    <row r="67" spans="1:13" x14ac:dyDescent="0.3">
      <c r="A67" s="74">
        <v>43716</v>
      </c>
      <c r="B67">
        <v>28.56</v>
      </c>
      <c r="C67" s="63">
        <f t="shared" si="0"/>
        <v>0.16428862617203413</v>
      </c>
      <c r="D67">
        <v>975.95</v>
      </c>
      <c r="E67" s="63">
        <f t="shared" si="1"/>
        <v>4.9284493231983348E-2</v>
      </c>
      <c r="K67" s="74"/>
      <c r="M67" s="63"/>
    </row>
    <row r="68" spans="1:13" x14ac:dyDescent="0.3">
      <c r="A68" s="74">
        <v>43709</v>
      </c>
      <c r="B68">
        <v>24.53</v>
      </c>
      <c r="C68" s="63">
        <f t="shared" si="0"/>
        <v>0.10000000000000002</v>
      </c>
      <c r="D68">
        <v>930.11</v>
      </c>
      <c r="E68" s="63">
        <f t="shared" si="1"/>
        <v>1.2375644904978562E-2</v>
      </c>
      <c r="K68" s="74"/>
      <c r="M68" s="63"/>
    </row>
    <row r="69" spans="1:13" x14ac:dyDescent="0.3">
      <c r="A69" s="74">
        <v>43702</v>
      </c>
      <c r="B69">
        <v>22.3</v>
      </c>
      <c r="C69" s="63">
        <f t="shared" si="0"/>
        <v>-3.588413316039768E-2</v>
      </c>
      <c r="D69">
        <v>918.74</v>
      </c>
      <c r="E69" s="63">
        <f t="shared" si="1"/>
        <v>2.4807585052983836E-2</v>
      </c>
      <c r="K69" s="74"/>
      <c r="M69" s="63"/>
    </row>
    <row r="70" spans="1:13" x14ac:dyDescent="0.3">
      <c r="A70" s="74">
        <v>43695</v>
      </c>
      <c r="B70">
        <v>23.13</v>
      </c>
      <c r="C70" s="63">
        <f t="shared" ref="C70:C133" si="2">(B70-B71)/B71</f>
        <v>-4.6971569839307808E-2</v>
      </c>
      <c r="D70">
        <v>896.5</v>
      </c>
      <c r="E70" s="63">
        <f t="shared" ref="E70:E133" si="3">(D70-D71)/D71</f>
        <v>-2.5140819033948811E-2</v>
      </c>
      <c r="K70" s="74"/>
      <c r="M70" s="63"/>
    </row>
    <row r="71" spans="1:13" x14ac:dyDescent="0.3">
      <c r="A71" s="74">
        <v>43688</v>
      </c>
      <c r="B71">
        <v>24.27</v>
      </c>
      <c r="C71" s="63">
        <f t="shared" si="2"/>
        <v>-2.2946859903381654E-2</v>
      </c>
      <c r="D71">
        <v>919.62</v>
      </c>
      <c r="E71" s="63">
        <f t="shared" si="3"/>
        <v>-1.1958098307816273E-2</v>
      </c>
      <c r="K71" s="74"/>
      <c r="M71" s="63"/>
    </row>
    <row r="72" spans="1:13" x14ac:dyDescent="0.3">
      <c r="A72" s="74">
        <v>43681</v>
      </c>
      <c r="B72">
        <v>24.84</v>
      </c>
      <c r="C72" s="63">
        <f t="shared" si="2"/>
        <v>1.4291547570436972E-2</v>
      </c>
      <c r="D72">
        <v>930.75</v>
      </c>
      <c r="E72" s="63">
        <f t="shared" si="3"/>
        <v>-7.8772891039716741E-3</v>
      </c>
      <c r="K72" s="74"/>
      <c r="M72" s="63"/>
    </row>
    <row r="73" spans="1:13" x14ac:dyDescent="0.3">
      <c r="A73" s="74">
        <v>43674</v>
      </c>
      <c r="B73">
        <v>24.49</v>
      </c>
      <c r="C73" s="63">
        <f t="shared" si="2"/>
        <v>3.4643008027038305E-2</v>
      </c>
      <c r="D73">
        <v>938.14</v>
      </c>
      <c r="E73" s="63">
        <f t="shared" si="3"/>
        <v>-2.5319217462675719E-2</v>
      </c>
      <c r="K73" s="74"/>
      <c r="M73" s="63"/>
    </row>
    <row r="74" spans="1:13" x14ac:dyDescent="0.3">
      <c r="A74" s="74">
        <v>43667</v>
      </c>
      <c r="B74">
        <v>23.67</v>
      </c>
      <c r="C74" s="63">
        <f t="shared" si="2"/>
        <v>2.3346303501945644E-2</v>
      </c>
      <c r="D74">
        <v>962.51</v>
      </c>
      <c r="E74" s="63">
        <f t="shared" si="3"/>
        <v>2.3467738505380392E-2</v>
      </c>
      <c r="K74" s="74"/>
      <c r="M74" s="63"/>
    </row>
    <row r="75" spans="1:13" x14ac:dyDescent="0.3">
      <c r="A75" s="74">
        <v>43660</v>
      </c>
      <c r="B75">
        <v>23.13</v>
      </c>
      <c r="C75" s="63">
        <f t="shared" si="2"/>
        <v>0.10353053435114494</v>
      </c>
      <c r="D75">
        <v>940.44</v>
      </c>
      <c r="E75" s="63">
        <f t="shared" si="3"/>
        <v>-1.2692513621618131E-2</v>
      </c>
      <c r="K75" s="74"/>
      <c r="M75" s="63"/>
    </row>
    <row r="76" spans="1:13" x14ac:dyDescent="0.3">
      <c r="A76" s="74">
        <v>43653</v>
      </c>
      <c r="B76">
        <v>20.96</v>
      </c>
      <c r="C76" s="63">
        <f t="shared" si="2"/>
        <v>3.098868666994602E-2</v>
      </c>
      <c r="D76">
        <v>952.53</v>
      </c>
      <c r="E76" s="63">
        <f t="shared" si="3"/>
        <v>-6.1455311867448367E-3</v>
      </c>
      <c r="K76" s="74"/>
      <c r="M76" s="63"/>
    </row>
    <row r="77" spans="1:13" x14ac:dyDescent="0.3">
      <c r="A77" s="74">
        <v>43646</v>
      </c>
      <c r="B77">
        <v>20.329999999999998</v>
      </c>
      <c r="C77" s="63">
        <f t="shared" si="2"/>
        <v>2.9367088607594849E-2</v>
      </c>
      <c r="D77">
        <v>958.42</v>
      </c>
      <c r="E77" s="63">
        <f t="shared" si="3"/>
        <v>5.4235510097036029E-3</v>
      </c>
      <c r="K77" s="74"/>
      <c r="M77" s="63"/>
    </row>
    <row r="78" spans="1:13" x14ac:dyDescent="0.3">
      <c r="A78" s="74">
        <v>43639</v>
      </c>
      <c r="B78">
        <v>19.75</v>
      </c>
      <c r="C78" s="63">
        <f t="shared" si="2"/>
        <v>2.0144628099173584E-2</v>
      </c>
      <c r="D78">
        <v>953.25</v>
      </c>
      <c r="E78" s="63">
        <f t="shared" si="3"/>
        <v>1.7288298383223998E-2</v>
      </c>
      <c r="K78" s="74"/>
      <c r="M78" s="63"/>
    </row>
    <row r="79" spans="1:13" x14ac:dyDescent="0.3">
      <c r="A79" s="74">
        <v>43632</v>
      </c>
      <c r="B79">
        <v>19.36</v>
      </c>
      <c r="C79" s="63">
        <f t="shared" si="2"/>
        <v>3.0335284725918059E-2</v>
      </c>
      <c r="D79">
        <v>937.05</v>
      </c>
      <c r="E79" s="63">
        <f t="shared" si="3"/>
        <v>1.4595536884047668E-2</v>
      </c>
      <c r="K79" s="74"/>
      <c r="M79" s="63"/>
    </row>
    <row r="80" spans="1:13" x14ac:dyDescent="0.3">
      <c r="A80" s="74">
        <v>43625</v>
      </c>
      <c r="B80">
        <v>18.79</v>
      </c>
      <c r="C80" s="63">
        <f t="shared" si="2"/>
        <v>-3.3933161953727517E-2</v>
      </c>
      <c r="D80">
        <v>923.57</v>
      </c>
      <c r="E80" s="63">
        <f t="shared" si="3"/>
        <v>4.0004783180598372E-3</v>
      </c>
      <c r="K80" s="74"/>
      <c r="M80" s="63"/>
    </row>
    <row r="81" spans="1:13" x14ac:dyDescent="0.3">
      <c r="A81" s="74">
        <v>43618</v>
      </c>
      <c r="B81">
        <v>19.45</v>
      </c>
      <c r="C81" s="63">
        <f t="shared" si="2"/>
        <v>6.7287784679088509E-3</v>
      </c>
      <c r="D81">
        <v>919.89</v>
      </c>
      <c r="E81" s="63">
        <f t="shared" si="3"/>
        <v>3.5072913853632141E-2</v>
      </c>
      <c r="K81" s="74"/>
      <c r="M81" s="63"/>
    </row>
    <row r="82" spans="1:13" x14ac:dyDescent="0.3">
      <c r="A82" s="74">
        <v>43611</v>
      </c>
      <c r="B82">
        <v>19.32</v>
      </c>
      <c r="C82" s="63">
        <f t="shared" si="2"/>
        <v>-0.12181818181818181</v>
      </c>
      <c r="D82">
        <v>888.72</v>
      </c>
      <c r="E82" s="63">
        <f t="shared" si="3"/>
        <v>-3.1410074765132787E-2</v>
      </c>
      <c r="K82" s="74"/>
      <c r="M82" s="63"/>
    </row>
    <row r="83" spans="1:13" x14ac:dyDescent="0.3">
      <c r="A83" s="74">
        <v>43604</v>
      </c>
      <c r="B83">
        <v>22</v>
      </c>
      <c r="C83" s="63">
        <f t="shared" si="2"/>
        <v>-1.1235955056179775E-2</v>
      </c>
      <c r="D83">
        <v>917.54</v>
      </c>
      <c r="E83" s="63">
        <f t="shared" si="3"/>
        <v>-1.8211778804999124E-2</v>
      </c>
      <c r="K83" s="74"/>
      <c r="M83" s="63"/>
    </row>
    <row r="84" spans="1:13" x14ac:dyDescent="0.3">
      <c r="A84" s="74">
        <v>43597</v>
      </c>
      <c r="B84">
        <v>22.25</v>
      </c>
      <c r="C84" s="63">
        <f t="shared" si="2"/>
        <v>-4.2186827378390031E-2</v>
      </c>
      <c r="D84">
        <v>934.56</v>
      </c>
      <c r="E84" s="63">
        <f t="shared" si="3"/>
        <v>-3.0830974084559645E-2</v>
      </c>
      <c r="K84" s="74"/>
      <c r="M84" s="63"/>
    </row>
    <row r="85" spans="1:13" x14ac:dyDescent="0.3">
      <c r="A85" s="74">
        <v>43590</v>
      </c>
      <c r="B85">
        <v>23.23</v>
      </c>
      <c r="C85" s="63">
        <f t="shared" si="2"/>
        <v>-0.20390678546949964</v>
      </c>
      <c r="D85">
        <v>964.29</v>
      </c>
      <c r="E85" s="63">
        <f t="shared" si="3"/>
        <v>-2.5201674046218297E-2</v>
      </c>
      <c r="K85" s="74"/>
      <c r="M85" s="63"/>
    </row>
    <row r="86" spans="1:13" x14ac:dyDescent="0.3">
      <c r="A86" s="74">
        <v>43583</v>
      </c>
      <c r="B86">
        <v>29.18</v>
      </c>
      <c r="C86" s="63">
        <f t="shared" si="2"/>
        <v>5.9549745824255651E-2</v>
      </c>
      <c r="D86">
        <v>989.22</v>
      </c>
      <c r="E86" s="63">
        <f t="shared" si="3"/>
        <v>1.6805945295877169E-2</v>
      </c>
      <c r="K86" s="74"/>
      <c r="M86" s="63"/>
    </row>
    <row r="87" spans="1:13" x14ac:dyDescent="0.3">
      <c r="A87" s="74">
        <v>43576</v>
      </c>
      <c r="B87">
        <v>27.54</v>
      </c>
      <c r="C87" s="63">
        <f t="shared" si="2"/>
        <v>5.1094890510949113E-3</v>
      </c>
      <c r="D87">
        <v>972.87</v>
      </c>
      <c r="E87" s="63">
        <f t="shared" si="3"/>
        <v>1.0606029127625576E-2</v>
      </c>
      <c r="K87" s="74"/>
      <c r="M87" s="63"/>
    </row>
    <row r="88" spans="1:13" x14ac:dyDescent="0.3">
      <c r="A88" s="74">
        <v>43569</v>
      </c>
      <c r="B88">
        <v>27.4</v>
      </c>
      <c r="C88" s="63">
        <f t="shared" si="2"/>
        <v>3.2403918613413692E-2</v>
      </c>
      <c r="D88">
        <v>962.66</v>
      </c>
      <c r="E88" s="63">
        <f t="shared" si="3"/>
        <v>-7.4749203534348546E-3</v>
      </c>
      <c r="K88" s="74"/>
      <c r="M88" s="63"/>
    </row>
    <row r="89" spans="1:13" x14ac:dyDescent="0.3">
      <c r="A89" s="74">
        <v>43562</v>
      </c>
      <c r="B89">
        <v>26.54</v>
      </c>
      <c r="C89" s="63">
        <f t="shared" si="2"/>
        <v>-1.1290929619872463E-3</v>
      </c>
      <c r="D89">
        <v>969.91</v>
      </c>
      <c r="E89" s="63">
        <f t="shared" si="3"/>
        <v>3.8917352377995044E-3</v>
      </c>
      <c r="K89" s="74"/>
      <c r="M89" s="63"/>
    </row>
    <row r="90" spans="1:13" x14ac:dyDescent="0.3">
      <c r="A90" s="74">
        <v>43555</v>
      </c>
      <c r="B90">
        <v>26.57</v>
      </c>
      <c r="C90" s="63">
        <f t="shared" si="2"/>
        <v>3.184466019417477E-2</v>
      </c>
      <c r="D90">
        <v>966.15</v>
      </c>
      <c r="E90" s="63">
        <f t="shared" si="3"/>
        <v>2.8585116576173773E-2</v>
      </c>
      <c r="K90" s="74"/>
      <c r="M90" s="63"/>
    </row>
    <row r="91" spans="1:13" x14ac:dyDescent="0.3">
      <c r="A91" s="74">
        <v>43548</v>
      </c>
      <c r="B91">
        <v>25.75</v>
      </c>
      <c r="C91" s="63">
        <f t="shared" si="2"/>
        <v>2.5896414342629424E-2</v>
      </c>
      <c r="D91">
        <v>939.3</v>
      </c>
      <c r="E91" s="63">
        <f t="shared" si="3"/>
        <v>2.3102310231023018E-2</v>
      </c>
      <c r="K91" s="74"/>
      <c r="M91" s="63"/>
    </row>
    <row r="92" spans="1:13" x14ac:dyDescent="0.3">
      <c r="A92" s="74">
        <v>43541</v>
      </c>
      <c r="B92">
        <v>25.1</v>
      </c>
      <c r="C92" s="63">
        <f t="shared" si="2"/>
        <v>7.2231139646869863E-3</v>
      </c>
      <c r="D92">
        <v>918.09</v>
      </c>
      <c r="E92" s="63">
        <f t="shared" si="3"/>
        <v>-3.0783847980997592E-2</v>
      </c>
      <c r="K92" s="74"/>
      <c r="M92" s="63"/>
    </row>
    <row r="93" spans="1:13" x14ac:dyDescent="0.3">
      <c r="A93" s="74">
        <v>43534</v>
      </c>
      <c r="B93">
        <v>24.92</v>
      </c>
      <c r="C93" s="63">
        <f t="shared" si="2"/>
        <v>-1.0325655281969739E-2</v>
      </c>
      <c r="D93">
        <v>947.25</v>
      </c>
      <c r="E93" s="63">
        <f t="shared" si="3"/>
        <v>1.3990879701984683E-2</v>
      </c>
      <c r="K93" s="74"/>
      <c r="M93" s="63"/>
    </row>
    <row r="94" spans="1:13" x14ac:dyDescent="0.3">
      <c r="A94" s="74">
        <v>43527</v>
      </c>
      <c r="B94">
        <v>25.18</v>
      </c>
      <c r="C94" s="63">
        <f t="shared" si="2"/>
        <v>2.3885350318470829E-3</v>
      </c>
      <c r="D94">
        <v>934.18</v>
      </c>
      <c r="E94" s="63">
        <f t="shared" si="3"/>
        <v>-4.5576681412764754E-2</v>
      </c>
      <c r="K94" s="74"/>
      <c r="M94" s="63"/>
    </row>
    <row r="95" spans="1:13" x14ac:dyDescent="0.3">
      <c r="A95" s="74">
        <v>43520</v>
      </c>
      <c r="B95">
        <v>25.12</v>
      </c>
      <c r="C95" s="63">
        <f t="shared" si="2"/>
        <v>-0.11142553944110359</v>
      </c>
      <c r="D95">
        <v>978.79</v>
      </c>
      <c r="E95" s="63">
        <f t="shared" si="3"/>
        <v>-8.6094258019426915E-3</v>
      </c>
      <c r="K95" s="74"/>
      <c r="M95" s="63"/>
    </row>
    <row r="96" spans="1:13" x14ac:dyDescent="0.3">
      <c r="A96" s="74">
        <v>43513</v>
      </c>
      <c r="B96">
        <v>28.27</v>
      </c>
      <c r="C96" s="63">
        <f t="shared" si="2"/>
        <v>1.4716439339554924E-2</v>
      </c>
      <c r="D96">
        <v>987.29</v>
      </c>
      <c r="E96" s="63">
        <f t="shared" si="3"/>
        <v>1.2355932898568511E-2</v>
      </c>
      <c r="K96" s="74"/>
      <c r="M96" s="63"/>
    </row>
    <row r="97" spans="1:13" x14ac:dyDescent="0.3">
      <c r="A97" s="74">
        <v>43506</v>
      </c>
      <c r="B97">
        <v>27.86</v>
      </c>
      <c r="C97" s="63">
        <f t="shared" si="2"/>
        <v>2.9944547134935256E-2</v>
      </c>
      <c r="D97">
        <v>975.24</v>
      </c>
      <c r="E97" s="63">
        <f t="shared" si="3"/>
        <v>4.3495008506403851E-2</v>
      </c>
      <c r="K97" s="74"/>
      <c r="M97" s="63"/>
    </row>
    <row r="98" spans="1:13" x14ac:dyDescent="0.3">
      <c r="A98" s="74">
        <v>43499</v>
      </c>
      <c r="B98">
        <v>27.05</v>
      </c>
      <c r="C98" s="63">
        <f t="shared" si="2"/>
        <v>-7.3394495412843772E-3</v>
      </c>
      <c r="D98">
        <v>934.59</v>
      </c>
      <c r="E98" s="63">
        <f t="shared" si="3"/>
        <v>1.0818569378092835E-3</v>
      </c>
      <c r="K98" s="74"/>
      <c r="M98" s="63"/>
    </row>
    <row r="99" spans="1:13" x14ac:dyDescent="0.3">
      <c r="A99" s="74">
        <v>43492</v>
      </c>
      <c r="B99">
        <v>27.25</v>
      </c>
      <c r="C99" s="63">
        <f t="shared" si="2"/>
        <v>-5.7093425605536284E-2</v>
      </c>
      <c r="D99">
        <v>933.58</v>
      </c>
      <c r="E99" s="63">
        <f t="shared" si="3"/>
        <v>1.1484539209950403E-2</v>
      </c>
      <c r="K99" s="74"/>
      <c r="M99" s="63"/>
    </row>
    <row r="100" spans="1:13" x14ac:dyDescent="0.3">
      <c r="A100" s="74">
        <v>43485</v>
      </c>
      <c r="B100">
        <v>28.9</v>
      </c>
      <c r="C100" s="63">
        <f t="shared" si="2"/>
        <v>-1.66723375297721E-2</v>
      </c>
      <c r="D100">
        <v>922.98</v>
      </c>
      <c r="E100" s="63">
        <f t="shared" si="3"/>
        <v>-1.4065001947461317E-3</v>
      </c>
      <c r="K100" s="74"/>
      <c r="M100" s="63"/>
    </row>
    <row r="101" spans="1:13" x14ac:dyDescent="0.3">
      <c r="A101" s="74">
        <v>43478</v>
      </c>
      <c r="B101">
        <v>29.39</v>
      </c>
      <c r="C101" s="63">
        <f t="shared" si="2"/>
        <v>-5.0710594315245487E-2</v>
      </c>
      <c r="D101">
        <v>924.28</v>
      </c>
      <c r="E101" s="63">
        <f t="shared" si="3"/>
        <v>2.4666585368557589E-2</v>
      </c>
      <c r="K101" s="74"/>
      <c r="M101" s="63"/>
    </row>
    <row r="102" spans="1:13" x14ac:dyDescent="0.3">
      <c r="A102" s="74">
        <v>43471</v>
      </c>
      <c r="B102">
        <v>30.96</v>
      </c>
      <c r="C102" s="63">
        <f t="shared" si="2"/>
        <v>0.11728617827499098</v>
      </c>
      <c r="D102">
        <v>902.03</v>
      </c>
      <c r="E102" s="63">
        <f t="shared" si="3"/>
        <v>4.6050190184618145E-2</v>
      </c>
      <c r="K102" s="74"/>
      <c r="M102" s="63"/>
    </row>
    <row r="103" spans="1:13" x14ac:dyDescent="0.3">
      <c r="A103" s="74">
        <v>43464</v>
      </c>
      <c r="B103">
        <v>27.71</v>
      </c>
      <c r="C103" s="63">
        <f t="shared" si="2"/>
        <v>4.0165165165165176E-2</v>
      </c>
      <c r="D103">
        <v>862.32</v>
      </c>
      <c r="E103" s="63">
        <f t="shared" si="3"/>
        <v>2.6314849858963846E-2</v>
      </c>
      <c r="K103" s="74"/>
      <c r="M103" s="63"/>
    </row>
    <row r="104" spans="1:13" x14ac:dyDescent="0.3">
      <c r="A104" s="74">
        <v>43457</v>
      </c>
      <c r="B104">
        <v>26.64</v>
      </c>
      <c r="C104" s="63">
        <f t="shared" si="2"/>
        <v>9.0016366612111265E-2</v>
      </c>
      <c r="D104">
        <v>840.21</v>
      </c>
      <c r="E104" s="63">
        <f t="shared" si="3"/>
        <v>3.779597584021939E-2</v>
      </c>
      <c r="K104" s="74"/>
      <c r="M104" s="63"/>
    </row>
    <row r="105" spans="1:13" x14ac:dyDescent="0.3">
      <c r="A105" s="74">
        <v>43450</v>
      </c>
      <c r="B105">
        <v>24.44</v>
      </c>
      <c r="C105" s="63">
        <f t="shared" si="2"/>
        <v>-3.7416305632138609E-2</v>
      </c>
      <c r="D105">
        <v>809.61</v>
      </c>
      <c r="E105" s="63">
        <f t="shared" si="3"/>
        <v>-7.8008449966405116E-2</v>
      </c>
      <c r="K105" s="74"/>
      <c r="M105" s="63"/>
    </row>
    <row r="106" spans="1:13" x14ac:dyDescent="0.3">
      <c r="A106" s="74">
        <v>43443</v>
      </c>
      <c r="B106">
        <v>25.39</v>
      </c>
      <c r="C106" s="63">
        <f t="shared" si="2"/>
        <v>1.5600000000000024E-2</v>
      </c>
      <c r="D106">
        <v>878.11</v>
      </c>
      <c r="E106" s="63">
        <f t="shared" si="3"/>
        <v>-2.9991383690873317E-2</v>
      </c>
      <c r="K106" s="74"/>
      <c r="M106" s="63"/>
    </row>
    <row r="107" spans="1:13" x14ac:dyDescent="0.3">
      <c r="A107" s="74">
        <v>43436</v>
      </c>
      <c r="B107">
        <v>25</v>
      </c>
      <c r="C107" s="63">
        <f t="shared" si="2"/>
        <v>-0.10071942446043168</v>
      </c>
      <c r="D107">
        <v>905.26</v>
      </c>
      <c r="E107" s="63">
        <f t="shared" si="3"/>
        <v>-5.9909652629939303E-2</v>
      </c>
      <c r="K107" s="74"/>
      <c r="M107" s="63"/>
    </row>
    <row r="108" spans="1:13" x14ac:dyDescent="0.3">
      <c r="A108" s="74">
        <v>43429</v>
      </c>
      <c r="B108">
        <v>27.8</v>
      </c>
      <c r="C108" s="63">
        <f t="shared" si="2"/>
        <v>8.5513471300273383E-2</v>
      </c>
      <c r="D108">
        <v>962.95</v>
      </c>
      <c r="E108" s="63">
        <f t="shared" si="3"/>
        <v>2.7080933486923611E-2</v>
      </c>
      <c r="K108" s="74"/>
      <c r="M108" s="63"/>
    </row>
    <row r="109" spans="1:13" x14ac:dyDescent="0.3">
      <c r="A109" s="74">
        <v>43422</v>
      </c>
      <c r="B109">
        <v>25.61</v>
      </c>
      <c r="C109" s="63">
        <f t="shared" si="2"/>
        <v>-6.2591508052708675E-2</v>
      </c>
      <c r="D109">
        <v>937.56</v>
      </c>
      <c r="E109" s="63">
        <f t="shared" si="3"/>
        <v>-2.4837743384922728E-2</v>
      </c>
      <c r="K109" s="74"/>
      <c r="M109" s="63"/>
    </row>
    <row r="110" spans="1:13" x14ac:dyDescent="0.3">
      <c r="A110" s="74">
        <v>43415</v>
      </c>
      <c r="B110">
        <v>27.32</v>
      </c>
      <c r="C110" s="63">
        <f t="shared" si="2"/>
        <v>7.6862435947970015E-2</v>
      </c>
      <c r="D110">
        <v>961.44</v>
      </c>
      <c r="E110" s="63">
        <f t="shared" si="3"/>
        <v>-1.1525214619852901E-2</v>
      </c>
      <c r="K110" s="74"/>
      <c r="M110" s="63"/>
    </row>
    <row r="111" spans="1:13" x14ac:dyDescent="0.3">
      <c r="A111" s="74">
        <v>43408</v>
      </c>
      <c r="B111">
        <v>25.37</v>
      </c>
      <c r="C111" s="63">
        <f t="shared" si="2"/>
        <v>0.20408163265306126</v>
      </c>
      <c r="D111">
        <v>972.65</v>
      </c>
      <c r="E111" s="63">
        <f t="shared" si="3"/>
        <v>-8.0129028281435003E-4</v>
      </c>
      <c r="K111" s="74"/>
      <c r="M111" s="63"/>
    </row>
    <row r="112" spans="1:13" x14ac:dyDescent="0.3">
      <c r="A112" s="74">
        <v>43401</v>
      </c>
      <c r="B112">
        <v>21.07</v>
      </c>
      <c r="C112" s="63">
        <f t="shared" si="2"/>
        <v>7.0086338242762766E-2</v>
      </c>
      <c r="D112">
        <v>973.43</v>
      </c>
      <c r="E112" s="63">
        <f t="shared" si="3"/>
        <v>4.4284718124765296E-2</v>
      </c>
      <c r="K112" s="74"/>
      <c r="M112" s="63"/>
    </row>
    <row r="113" spans="1:13" x14ac:dyDescent="0.3">
      <c r="A113" s="74">
        <v>43394</v>
      </c>
      <c r="B113">
        <v>19.690000000000001</v>
      </c>
      <c r="C113" s="63">
        <f t="shared" si="2"/>
        <v>6.4899945916711901E-2</v>
      </c>
      <c r="D113">
        <v>932.15</v>
      </c>
      <c r="E113" s="63">
        <f t="shared" si="3"/>
        <v>-3.1089537035112125E-2</v>
      </c>
      <c r="K113" s="74"/>
      <c r="M113" s="63"/>
    </row>
    <row r="114" spans="1:13" x14ac:dyDescent="0.3">
      <c r="A114" s="74">
        <v>43387</v>
      </c>
      <c r="B114">
        <v>18.489999999999998</v>
      </c>
      <c r="C114" s="63">
        <f t="shared" si="2"/>
        <v>-7.2718154463390305E-2</v>
      </c>
      <c r="D114">
        <v>962.06</v>
      </c>
      <c r="E114" s="63">
        <f t="shared" si="3"/>
        <v>-3.4390602664236365E-3</v>
      </c>
      <c r="K114" s="74"/>
      <c r="M114" s="63"/>
    </row>
    <row r="115" spans="1:13" x14ac:dyDescent="0.3">
      <c r="A115" s="74">
        <v>43380</v>
      </c>
      <c r="B115">
        <v>19.940000000000001</v>
      </c>
      <c r="C115" s="63">
        <f t="shared" si="2"/>
        <v>4.2341871406168442E-2</v>
      </c>
      <c r="D115">
        <v>965.38</v>
      </c>
      <c r="E115" s="63">
        <f t="shared" si="3"/>
        <v>-5.4170299901045361E-2</v>
      </c>
      <c r="K115" s="74"/>
      <c r="M115" s="63"/>
    </row>
    <row r="116" spans="1:13" x14ac:dyDescent="0.3">
      <c r="A116" s="74">
        <v>43373</v>
      </c>
      <c r="B116">
        <v>19.13</v>
      </c>
      <c r="C116" s="63">
        <f t="shared" si="2"/>
        <v>-0.10145608266791922</v>
      </c>
      <c r="D116">
        <v>1020.67</v>
      </c>
      <c r="E116" s="63">
        <f t="shared" si="3"/>
        <v>-3.8844734066596456E-2</v>
      </c>
      <c r="K116" s="74"/>
      <c r="M116" s="63"/>
    </row>
    <row r="117" spans="1:13" x14ac:dyDescent="0.3">
      <c r="A117" s="74">
        <v>43366</v>
      </c>
      <c r="B117">
        <v>21.29</v>
      </c>
      <c r="C117" s="63">
        <f t="shared" si="2"/>
        <v>-1.0687732342007455E-2</v>
      </c>
      <c r="D117">
        <v>1061.92</v>
      </c>
      <c r="E117" s="63">
        <f t="shared" si="3"/>
        <v>-1.1569786382463663E-2</v>
      </c>
      <c r="K117" s="74"/>
      <c r="M117" s="63"/>
    </row>
    <row r="118" spans="1:13" x14ac:dyDescent="0.3">
      <c r="A118" s="74">
        <v>43359</v>
      </c>
      <c r="B118">
        <v>21.52</v>
      </c>
      <c r="C118" s="63">
        <f t="shared" si="2"/>
        <v>4.6685340802986863E-3</v>
      </c>
      <c r="D118">
        <v>1074.3499999999999</v>
      </c>
      <c r="E118" s="63">
        <f t="shared" si="3"/>
        <v>-1.1046163759377734E-2</v>
      </c>
      <c r="K118" s="74"/>
      <c r="M118" s="63"/>
    </row>
    <row r="119" spans="1:13" x14ac:dyDescent="0.3">
      <c r="A119" s="74">
        <v>43352</v>
      </c>
      <c r="B119">
        <v>21.42</v>
      </c>
      <c r="C119" s="63">
        <f t="shared" si="2"/>
        <v>1.4204545454545487E-2</v>
      </c>
      <c r="D119">
        <v>1086.3499999999999</v>
      </c>
      <c r="E119" s="63">
        <f t="shared" si="3"/>
        <v>4.8096933820467262E-3</v>
      </c>
      <c r="K119" s="74"/>
      <c r="M119" s="63"/>
    </row>
    <row r="120" spans="1:13" x14ac:dyDescent="0.3">
      <c r="A120" s="74">
        <v>43345</v>
      </c>
      <c r="B120">
        <v>21.12</v>
      </c>
      <c r="C120" s="63">
        <f t="shared" si="2"/>
        <v>2.2265246853823854E-2</v>
      </c>
      <c r="D120">
        <v>1081.1500000000001</v>
      </c>
      <c r="E120" s="63">
        <f t="shared" si="3"/>
        <v>-1.5668815324665693E-2</v>
      </c>
      <c r="K120" s="74"/>
      <c r="M120" s="63"/>
    </row>
    <row r="121" spans="1:13" x14ac:dyDescent="0.3">
      <c r="A121" s="74">
        <v>43338</v>
      </c>
      <c r="B121">
        <v>20.66</v>
      </c>
      <c r="C121" s="63">
        <f t="shared" si="2"/>
        <v>1.0763209393346324E-2</v>
      </c>
      <c r="D121">
        <v>1098.3599999999999</v>
      </c>
      <c r="E121" s="63">
        <f t="shared" si="3"/>
        <v>6.2388346846227348E-3</v>
      </c>
      <c r="K121" s="74"/>
      <c r="M121" s="63"/>
    </row>
    <row r="122" spans="1:13" x14ac:dyDescent="0.3">
      <c r="A122" s="74">
        <v>43331</v>
      </c>
      <c r="B122">
        <v>20.440000000000001</v>
      </c>
      <c r="C122" s="63">
        <f t="shared" si="2"/>
        <v>9.4804499196572009E-2</v>
      </c>
      <c r="D122">
        <v>1091.55</v>
      </c>
      <c r="E122" s="63">
        <f t="shared" si="3"/>
        <v>1.7676838307274949E-2</v>
      </c>
      <c r="K122" s="74"/>
      <c r="M122" s="63"/>
    </row>
    <row r="123" spans="1:13" x14ac:dyDescent="0.3">
      <c r="A123" s="74">
        <v>43324</v>
      </c>
      <c r="B123">
        <v>18.670000000000002</v>
      </c>
      <c r="C123" s="63">
        <f t="shared" si="2"/>
        <v>7.5553157042633871E-3</v>
      </c>
      <c r="D123">
        <v>1072.5899999999999</v>
      </c>
      <c r="E123" s="63">
        <f t="shared" si="3"/>
        <v>1.0390368891065952E-2</v>
      </c>
      <c r="K123" s="74"/>
      <c r="M123" s="63"/>
    </row>
    <row r="124" spans="1:13" x14ac:dyDescent="0.3">
      <c r="A124" s="74">
        <v>43317</v>
      </c>
      <c r="B124">
        <v>18.53</v>
      </c>
      <c r="C124" s="63">
        <f t="shared" si="2"/>
        <v>3.0589543937708605E-2</v>
      </c>
      <c r="D124">
        <v>1061.56</v>
      </c>
      <c r="E124" s="63">
        <f t="shared" si="3"/>
        <v>7.545486470325876E-3</v>
      </c>
      <c r="K124" s="74"/>
      <c r="M124" s="63"/>
    </row>
    <row r="125" spans="1:13" x14ac:dyDescent="0.3">
      <c r="A125" s="74">
        <v>43310</v>
      </c>
      <c r="B125">
        <v>17.98</v>
      </c>
      <c r="C125" s="63">
        <f t="shared" si="2"/>
        <v>-5.5309734513273165E-3</v>
      </c>
      <c r="D125">
        <v>1053.6099999999999</v>
      </c>
      <c r="E125" s="63">
        <f t="shared" si="3"/>
        <v>1.1821761259963455E-2</v>
      </c>
      <c r="K125" s="74"/>
      <c r="M125" s="63"/>
    </row>
    <row r="126" spans="1:13" x14ac:dyDescent="0.3">
      <c r="A126" s="74">
        <v>43303</v>
      </c>
      <c r="B126">
        <v>18.079999999999998</v>
      </c>
      <c r="C126" s="63">
        <f t="shared" si="2"/>
        <v>2.4362606232294602E-2</v>
      </c>
      <c r="D126">
        <v>1041.3</v>
      </c>
      <c r="E126" s="63">
        <f t="shared" si="3"/>
        <v>-1.3911116582543447E-2</v>
      </c>
      <c r="K126" s="74"/>
      <c r="M126" s="63"/>
    </row>
    <row r="127" spans="1:13" x14ac:dyDescent="0.3">
      <c r="A127" s="74">
        <v>43296</v>
      </c>
      <c r="B127">
        <v>17.649999999999999</v>
      </c>
      <c r="C127" s="63">
        <f t="shared" si="2"/>
        <v>3.0957943925233503E-2</v>
      </c>
      <c r="D127">
        <v>1055.99</v>
      </c>
      <c r="E127" s="63">
        <f t="shared" si="3"/>
        <v>9.7340817165642562E-3</v>
      </c>
      <c r="K127" s="74"/>
      <c r="M127" s="63"/>
    </row>
    <row r="128" spans="1:13" x14ac:dyDescent="0.3">
      <c r="A128" s="74">
        <v>43289</v>
      </c>
      <c r="B128">
        <v>17.12</v>
      </c>
      <c r="C128" s="63">
        <f t="shared" si="2"/>
        <v>2.2700119474313177E-2</v>
      </c>
      <c r="D128">
        <v>1045.81</v>
      </c>
      <c r="E128" s="63">
        <f t="shared" si="3"/>
        <v>-3.9335581080824703E-3</v>
      </c>
      <c r="K128" s="74"/>
      <c r="M128" s="63"/>
    </row>
    <row r="129" spans="1:13" x14ac:dyDescent="0.3">
      <c r="A129" s="74">
        <v>43282</v>
      </c>
      <c r="B129">
        <v>16.739999999999998</v>
      </c>
      <c r="C129" s="63">
        <f t="shared" si="2"/>
        <v>-4.9403747870528168E-2</v>
      </c>
      <c r="D129">
        <v>1049.94</v>
      </c>
      <c r="E129" s="63">
        <f t="shared" si="3"/>
        <v>3.2003774400912205E-2</v>
      </c>
      <c r="K129" s="74"/>
      <c r="M129" s="63"/>
    </row>
    <row r="130" spans="1:13" x14ac:dyDescent="0.3">
      <c r="A130" s="74">
        <v>43275</v>
      </c>
      <c r="B130">
        <v>17.61</v>
      </c>
      <c r="C130" s="63">
        <f t="shared" si="2"/>
        <v>-2.2209883398112275E-2</v>
      </c>
      <c r="D130">
        <v>1017.38</v>
      </c>
      <c r="E130" s="63">
        <f t="shared" si="3"/>
        <v>-2.4170807036390428E-2</v>
      </c>
      <c r="K130" s="74"/>
      <c r="M130" s="63"/>
    </row>
    <row r="131" spans="1:13" x14ac:dyDescent="0.3">
      <c r="A131" s="74">
        <v>43268</v>
      </c>
      <c r="B131">
        <v>18.010000000000002</v>
      </c>
      <c r="C131" s="63">
        <f t="shared" si="2"/>
        <v>-3.4833869239013854E-2</v>
      </c>
      <c r="D131">
        <v>1042.58</v>
      </c>
      <c r="E131" s="63">
        <f t="shared" si="3"/>
        <v>2.9243703945975755E-3</v>
      </c>
      <c r="K131" s="74"/>
      <c r="M131" s="63"/>
    </row>
    <row r="132" spans="1:13" x14ac:dyDescent="0.3">
      <c r="A132" s="74">
        <v>43261</v>
      </c>
      <c r="B132">
        <v>18.66</v>
      </c>
      <c r="C132" s="63">
        <f t="shared" si="2"/>
        <v>-2.2524882137244615E-2</v>
      </c>
      <c r="D132">
        <v>1039.54</v>
      </c>
      <c r="E132" s="63">
        <f t="shared" si="3"/>
        <v>8.954275425810109E-4</v>
      </c>
      <c r="K132" s="74"/>
      <c r="M132" s="63"/>
    </row>
    <row r="133" spans="1:13" x14ac:dyDescent="0.3">
      <c r="A133" s="74">
        <v>43254</v>
      </c>
      <c r="B133">
        <v>19.09</v>
      </c>
      <c r="C133" s="63">
        <f t="shared" si="2"/>
        <v>4.5454545454545359E-2</v>
      </c>
      <c r="D133">
        <v>1038.6099999999999</v>
      </c>
      <c r="E133" s="63">
        <f t="shared" si="3"/>
        <v>2.2686767037230174E-2</v>
      </c>
      <c r="K133" s="74"/>
      <c r="M133" s="63"/>
    </row>
    <row r="134" spans="1:13" x14ac:dyDescent="0.3">
      <c r="A134" s="74">
        <v>43247</v>
      </c>
      <c r="B134">
        <v>18.260000000000002</v>
      </c>
      <c r="C134" s="63">
        <f t="shared" ref="C134:C197" si="4">(B134-B135)/B135</f>
        <v>5.6712962962962986E-2</v>
      </c>
      <c r="D134">
        <v>1015.57</v>
      </c>
      <c r="E134" s="63">
        <f t="shared" ref="E134:E197" si="5">(D134-D135)/D135</f>
        <v>1.0879519031693008E-2</v>
      </c>
      <c r="K134" s="74"/>
      <c r="M134" s="63"/>
    </row>
    <row r="135" spans="1:13" x14ac:dyDescent="0.3">
      <c r="A135" s="74">
        <v>43240</v>
      </c>
      <c r="B135">
        <v>17.28</v>
      </c>
      <c r="C135" s="63">
        <f t="shared" si="4"/>
        <v>5.2375152253349537E-2</v>
      </c>
      <c r="D135">
        <v>1004.64</v>
      </c>
      <c r="E135" s="63">
        <f t="shared" si="5"/>
        <v>2.0646937370956005E-3</v>
      </c>
      <c r="K135" s="74"/>
      <c r="M135" s="63"/>
    </row>
    <row r="136" spans="1:13" x14ac:dyDescent="0.3">
      <c r="A136" s="74">
        <v>43233</v>
      </c>
      <c r="B136">
        <v>16.420000000000002</v>
      </c>
      <c r="C136" s="63">
        <f t="shared" si="4"/>
        <v>2.6250000000000107E-2</v>
      </c>
      <c r="D136">
        <v>1002.57</v>
      </c>
      <c r="E136" s="63">
        <f t="shared" si="5"/>
        <v>1.5908883642222427E-2</v>
      </c>
      <c r="K136" s="74"/>
      <c r="M136" s="63"/>
    </row>
    <row r="137" spans="1:13" x14ac:dyDescent="0.3">
      <c r="A137" s="74">
        <v>43226</v>
      </c>
      <c r="B137">
        <v>16</v>
      </c>
      <c r="C137" s="63">
        <f t="shared" si="4"/>
        <v>3.6941023979261196E-2</v>
      </c>
      <c r="D137">
        <v>986.87</v>
      </c>
      <c r="E137" s="63">
        <f t="shared" si="5"/>
        <v>2.9147374129228763E-2</v>
      </c>
      <c r="K137" s="74"/>
      <c r="M137" s="63"/>
    </row>
    <row r="138" spans="1:13" x14ac:dyDescent="0.3">
      <c r="A138" s="74">
        <v>43219</v>
      </c>
      <c r="B138">
        <v>15.43</v>
      </c>
      <c r="C138" s="63">
        <f t="shared" si="4"/>
        <v>-3.5021888680425294E-2</v>
      </c>
      <c r="D138">
        <v>958.92</v>
      </c>
      <c r="E138" s="63">
        <f t="shared" si="5"/>
        <v>2.8655692442845584E-3</v>
      </c>
      <c r="K138" s="74"/>
      <c r="M138" s="63"/>
    </row>
    <row r="139" spans="1:13" x14ac:dyDescent="0.3">
      <c r="A139" s="74">
        <v>43212</v>
      </c>
      <c r="B139">
        <v>15.99</v>
      </c>
      <c r="C139" s="63">
        <f t="shared" si="4"/>
        <v>2.6315789473684219E-2</v>
      </c>
      <c r="D139">
        <v>956.18</v>
      </c>
      <c r="E139" s="63">
        <f t="shared" si="5"/>
        <v>-5.8018632507070801E-3</v>
      </c>
      <c r="K139" s="74"/>
      <c r="M139" s="63"/>
    </row>
    <row r="140" spans="1:13" x14ac:dyDescent="0.3">
      <c r="A140" s="74">
        <v>43205</v>
      </c>
      <c r="B140">
        <v>15.58</v>
      </c>
      <c r="C140" s="63">
        <f t="shared" si="4"/>
        <v>-4.2409342347879506E-2</v>
      </c>
      <c r="D140">
        <v>961.76</v>
      </c>
      <c r="E140" s="63">
        <f t="shared" si="5"/>
        <v>9.4356455387974107E-3</v>
      </c>
      <c r="K140" s="74"/>
      <c r="M140" s="63"/>
    </row>
    <row r="141" spans="1:13" x14ac:dyDescent="0.3">
      <c r="A141" s="74">
        <v>43198</v>
      </c>
      <c r="B141">
        <v>16.27</v>
      </c>
      <c r="C141" s="63">
        <f t="shared" si="4"/>
        <v>-1.8697225572979419E-2</v>
      </c>
      <c r="D141">
        <v>952.77</v>
      </c>
      <c r="E141" s="63">
        <f t="shared" si="5"/>
        <v>1.9779725781074418E-2</v>
      </c>
      <c r="K141" s="74"/>
      <c r="M141" s="63"/>
    </row>
    <row r="142" spans="1:13" x14ac:dyDescent="0.3">
      <c r="A142" s="74">
        <v>43191</v>
      </c>
      <c r="B142">
        <v>16.579999999999998</v>
      </c>
      <c r="C142" s="63">
        <f t="shared" si="4"/>
        <v>2.0307692307692204E-2</v>
      </c>
      <c r="D142">
        <v>934.29</v>
      </c>
      <c r="E142" s="63">
        <f t="shared" si="5"/>
        <v>-4.4434499072950077E-3</v>
      </c>
      <c r="K142" s="74"/>
      <c r="M142" s="63"/>
    </row>
    <row r="143" spans="1:13" x14ac:dyDescent="0.3">
      <c r="A143" s="74">
        <v>43184</v>
      </c>
      <c r="B143">
        <v>16.25</v>
      </c>
      <c r="C143" s="63">
        <f t="shared" si="4"/>
        <v>5.4510058403633994E-2</v>
      </c>
      <c r="D143">
        <v>938.46</v>
      </c>
      <c r="E143" s="63">
        <f t="shared" si="5"/>
        <v>1.6617557847300495E-2</v>
      </c>
      <c r="K143" s="74"/>
      <c r="M143" s="63"/>
    </row>
    <row r="144" spans="1:13" x14ac:dyDescent="0.3">
      <c r="A144" s="74">
        <v>43177</v>
      </c>
      <c r="B144">
        <v>15.41</v>
      </c>
      <c r="C144" s="63">
        <f t="shared" si="4"/>
        <v>3.6314727639542764E-2</v>
      </c>
      <c r="D144">
        <v>923.12</v>
      </c>
      <c r="E144" s="63">
        <f t="shared" si="5"/>
        <v>-4.7789984011552981E-2</v>
      </c>
      <c r="K144" s="74"/>
      <c r="M144" s="63"/>
    </row>
    <row r="145" spans="1:13" x14ac:dyDescent="0.3">
      <c r="A145" s="74">
        <v>43170</v>
      </c>
      <c r="B145">
        <v>14.87</v>
      </c>
      <c r="C145" s="63">
        <f t="shared" si="4"/>
        <v>4.8660084626234099E-2</v>
      </c>
      <c r="D145">
        <v>969.45</v>
      </c>
      <c r="E145" s="63">
        <f t="shared" si="5"/>
        <v>-8.3482777812127207E-4</v>
      </c>
      <c r="K145" s="74"/>
      <c r="M145" s="63"/>
    </row>
    <row r="146" spans="1:13" x14ac:dyDescent="0.3">
      <c r="A146" s="74">
        <v>43163</v>
      </c>
      <c r="B146">
        <v>14.18</v>
      </c>
      <c r="C146" s="63">
        <f t="shared" si="4"/>
        <v>4.0352164343360156E-2</v>
      </c>
      <c r="D146">
        <v>970.26</v>
      </c>
      <c r="E146" s="63">
        <f t="shared" si="5"/>
        <v>4.0292490457606085E-2</v>
      </c>
      <c r="K146" s="74"/>
      <c r="M146" s="63"/>
    </row>
    <row r="147" spans="1:13" x14ac:dyDescent="0.3">
      <c r="A147" s="74">
        <v>43156</v>
      </c>
      <c r="B147">
        <v>13.63</v>
      </c>
      <c r="C147" s="63">
        <f t="shared" si="4"/>
        <v>-7.2833211944646498E-3</v>
      </c>
      <c r="D147">
        <v>932.68</v>
      </c>
      <c r="E147" s="63">
        <f t="shared" si="5"/>
        <v>-1.4653214304579795E-2</v>
      </c>
      <c r="K147" s="74"/>
      <c r="M147" s="63"/>
    </row>
    <row r="148" spans="1:13" x14ac:dyDescent="0.3">
      <c r="A148" s="74">
        <v>43149</v>
      </c>
      <c r="B148">
        <v>13.73</v>
      </c>
      <c r="C148" s="63">
        <f t="shared" si="4"/>
        <v>3.6226415094339652E-2</v>
      </c>
      <c r="D148">
        <v>946.55</v>
      </c>
      <c r="E148" s="63">
        <f t="shared" si="5"/>
        <v>4.7768165171700018E-3</v>
      </c>
      <c r="K148" s="74"/>
      <c r="M148" s="63"/>
    </row>
    <row r="149" spans="1:13" x14ac:dyDescent="0.3">
      <c r="A149" s="74">
        <v>43142</v>
      </c>
      <c r="B149">
        <v>13.25</v>
      </c>
      <c r="C149" s="63">
        <f t="shared" si="4"/>
        <v>2.8726708074534098E-2</v>
      </c>
      <c r="D149">
        <v>942.05</v>
      </c>
      <c r="E149" s="63">
        <f t="shared" si="5"/>
        <v>4.3475852902082411E-2</v>
      </c>
      <c r="K149" s="74"/>
      <c r="M149" s="63"/>
    </row>
    <row r="150" spans="1:13" x14ac:dyDescent="0.3">
      <c r="A150" s="74">
        <v>43135</v>
      </c>
      <c r="B150">
        <v>12.88</v>
      </c>
      <c r="C150" s="63">
        <f t="shared" si="4"/>
        <v>-4.3801039346696352E-2</v>
      </c>
      <c r="D150">
        <v>902.8</v>
      </c>
      <c r="E150" s="63">
        <f t="shared" si="5"/>
        <v>-4.3127113164951464E-2</v>
      </c>
      <c r="K150" s="74"/>
      <c r="M150" s="63"/>
    </row>
    <row r="151" spans="1:13" x14ac:dyDescent="0.3">
      <c r="A151" s="74">
        <v>43128</v>
      </c>
      <c r="B151">
        <v>13.47</v>
      </c>
      <c r="C151" s="63">
        <f t="shared" si="4"/>
        <v>-2.5325615050651205E-2</v>
      </c>
      <c r="D151">
        <v>943.49</v>
      </c>
      <c r="E151" s="63">
        <f t="shared" si="5"/>
        <v>-3.6832487724205561E-2</v>
      </c>
      <c r="K151" s="74"/>
      <c r="M151" s="63"/>
    </row>
    <row r="152" spans="1:13" x14ac:dyDescent="0.3">
      <c r="A152" s="74">
        <v>43121</v>
      </c>
      <c r="B152">
        <v>13.82</v>
      </c>
      <c r="C152" s="63">
        <f t="shared" si="4"/>
        <v>-1.0028653295128981E-2</v>
      </c>
      <c r="D152">
        <v>979.57</v>
      </c>
      <c r="E152" s="63">
        <f t="shared" si="5"/>
        <v>3.5858083948897106E-3</v>
      </c>
      <c r="K152" s="74"/>
      <c r="M152" s="63"/>
    </row>
    <row r="153" spans="1:13" x14ac:dyDescent="0.3">
      <c r="A153" s="74">
        <v>43114</v>
      </c>
      <c r="B153">
        <v>13.96</v>
      </c>
      <c r="C153" s="63">
        <f t="shared" si="4"/>
        <v>2.4963289280470018E-2</v>
      </c>
      <c r="D153">
        <v>976.07</v>
      </c>
      <c r="E153" s="63">
        <f t="shared" si="5"/>
        <v>7.1194940000207305E-3</v>
      </c>
      <c r="K153" s="74"/>
      <c r="M153" s="63"/>
    </row>
    <row r="154" spans="1:13" x14ac:dyDescent="0.3">
      <c r="A154" s="74">
        <v>43107</v>
      </c>
      <c r="B154">
        <v>13.62</v>
      </c>
      <c r="C154" s="63">
        <f t="shared" si="4"/>
        <v>0.11639344262295082</v>
      </c>
      <c r="D154">
        <v>969.17</v>
      </c>
      <c r="E154" s="63">
        <f t="shared" si="5"/>
        <v>2.1060283613224057E-2</v>
      </c>
      <c r="K154" s="74"/>
      <c r="M154" s="63"/>
    </row>
    <row r="155" spans="1:13" x14ac:dyDescent="0.3">
      <c r="A155" s="74">
        <v>43100</v>
      </c>
      <c r="B155">
        <v>12.2</v>
      </c>
      <c r="C155" s="63">
        <f t="shared" si="4"/>
        <v>-3.4810126582278583E-2</v>
      </c>
      <c r="D155">
        <v>949.18</v>
      </c>
      <c r="E155" s="63">
        <f t="shared" si="5"/>
        <v>1.3799585585200648E-2</v>
      </c>
      <c r="K155" s="74"/>
      <c r="M155" s="63"/>
    </row>
    <row r="156" spans="1:13" x14ac:dyDescent="0.3">
      <c r="A156" s="74">
        <v>43093</v>
      </c>
      <c r="B156">
        <v>12.64</v>
      </c>
      <c r="C156" s="63">
        <f t="shared" si="4"/>
        <v>-2.6194144838212623E-2</v>
      </c>
      <c r="D156">
        <v>936.26</v>
      </c>
      <c r="E156" s="63">
        <f t="shared" si="5"/>
        <v>-3.2788979496242475E-3</v>
      </c>
      <c r="K156" s="74"/>
      <c r="M156" s="63"/>
    </row>
    <row r="157" spans="1:13" x14ac:dyDescent="0.3">
      <c r="A157" s="74">
        <v>43086</v>
      </c>
      <c r="B157">
        <v>12.98</v>
      </c>
      <c r="C157" s="63">
        <f t="shared" si="4"/>
        <v>3.4262948207171288E-2</v>
      </c>
      <c r="D157">
        <v>939.34</v>
      </c>
      <c r="E157" s="63">
        <f t="shared" si="5"/>
        <v>7.194707440249656E-3</v>
      </c>
      <c r="K157" s="74"/>
      <c r="M157" s="63"/>
    </row>
    <row r="158" spans="1:13" x14ac:dyDescent="0.3">
      <c r="A158" s="74">
        <v>43079</v>
      </c>
      <c r="B158">
        <v>12.55</v>
      </c>
      <c r="C158" s="63">
        <f t="shared" si="4"/>
        <v>0.15137614678899086</v>
      </c>
      <c r="D158">
        <v>932.63</v>
      </c>
      <c r="E158" s="63">
        <f t="shared" si="5"/>
        <v>4.8701123789205826E-3</v>
      </c>
      <c r="K158" s="74"/>
      <c r="M158" s="63"/>
    </row>
    <row r="159" spans="1:13" x14ac:dyDescent="0.3">
      <c r="A159" s="74">
        <v>43072</v>
      </c>
      <c r="B159">
        <v>10.9</v>
      </c>
      <c r="C159" s="63">
        <f t="shared" si="4"/>
        <v>1.3953488372093056E-2</v>
      </c>
      <c r="D159">
        <v>928.11</v>
      </c>
      <c r="E159" s="63">
        <f t="shared" si="5"/>
        <v>-9.8153225720411953E-3</v>
      </c>
      <c r="K159" s="74"/>
      <c r="M159" s="63"/>
    </row>
    <row r="160" spans="1:13" x14ac:dyDescent="0.3">
      <c r="A160" s="74">
        <v>43065</v>
      </c>
      <c r="B160">
        <v>10.75</v>
      </c>
      <c r="C160" s="63">
        <f t="shared" si="4"/>
        <v>-2.5385312783318167E-2</v>
      </c>
      <c r="D160">
        <v>937.31</v>
      </c>
      <c r="E160" s="63">
        <f t="shared" si="5"/>
        <v>1.0849285521703904E-2</v>
      </c>
      <c r="K160" s="74"/>
      <c r="M160" s="63"/>
    </row>
    <row r="161" spans="1:13" x14ac:dyDescent="0.3">
      <c r="A161" s="74">
        <v>43058</v>
      </c>
      <c r="B161">
        <v>11.03</v>
      </c>
      <c r="C161" s="63">
        <f t="shared" si="4"/>
        <v>2.9878618113912091E-2</v>
      </c>
      <c r="D161">
        <v>927.25</v>
      </c>
      <c r="E161" s="63">
        <f t="shared" si="5"/>
        <v>2.0178015425069626E-2</v>
      </c>
      <c r="K161" s="74"/>
      <c r="M161" s="63"/>
    </row>
    <row r="162" spans="1:13" x14ac:dyDescent="0.3">
      <c r="A162" s="74">
        <v>43051</v>
      </c>
      <c r="B162">
        <v>10.71</v>
      </c>
      <c r="C162" s="63">
        <f t="shared" si="4"/>
        <v>1.4204545454545487E-2</v>
      </c>
      <c r="D162">
        <v>908.91</v>
      </c>
      <c r="E162" s="63">
        <f t="shared" si="5"/>
        <v>1.6939481074549366E-2</v>
      </c>
      <c r="K162" s="74"/>
      <c r="M162" s="63"/>
    </row>
    <row r="163" spans="1:13" x14ac:dyDescent="0.3">
      <c r="A163" s="74">
        <v>43044</v>
      </c>
      <c r="B163">
        <v>10.56</v>
      </c>
      <c r="C163" s="63">
        <f t="shared" si="4"/>
        <v>0.15536105032822756</v>
      </c>
      <c r="D163">
        <v>893.77</v>
      </c>
      <c r="E163" s="63">
        <f t="shared" si="5"/>
        <v>-7.8922831009679579E-3</v>
      </c>
      <c r="K163" s="74"/>
      <c r="M163" s="63"/>
    </row>
    <row r="164" spans="1:13" x14ac:dyDescent="0.3">
      <c r="A164" s="74">
        <v>43037</v>
      </c>
      <c r="B164">
        <v>9.14</v>
      </c>
      <c r="C164" s="63">
        <f t="shared" si="4"/>
        <v>-0.13935969868173245</v>
      </c>
      <c r="D164">
        <v>900.88</v>
      </c>
      <c r="E164" s="63">
        <f t="shared" si="5"/>
        <v>-1.6968017197167218E-2</v>
      </c>
      <c r="K164" s="74"/>
      <c r="M164" s="63"/>
    </row>
    <row r="165" spans="1:13" x14ac:dyDescent="0.3">
      <c r="A165" s="74">
        <v>43030</v>
      </c>
      <c r="B165">
        <v>10.62</v>
      </c>
      <c r="C165" s="63">
        <f t="shared" si="4"/>
        <v>1.1428571428571354E-2</v>
      </c>
      <c r="D165">
        <v>916.43</v>
      </c>
      <c r="E165" s="63">
        <f t="shared" si="5"/>
        <v>2.9329685362516553E-3</v>
      </c>
      <c r="K165" s="74"/>
      <c r="M165" s="63"/>
    </row>
    <row r="166" spans="1:13" x14ac:dyDescent="0.3">
      <c r="A166" s="74">
        <v>43023</v>
      </c>
      <c r="B166">
        <v>10.5</v>
      </c>
      <c r="C166" s="63">
        <f t="shared" si="4"/>
        <v>0.10178384050367269</v>
      </c>
      <c r="D166">
        <v>913.75</v>
      </c>
      <c r="E166" s="63">
        <f t="shared" si="5"/>
        <v>5.9226966984818911E-3</v>
      </c>
      <c r="K166" s="74"/>
      <c r="M166" s="63"/>
    </row>
    <row r="167" spans="1:13" x14ac:dyDescent="0.3">
      <c r="A167" s="74">
        <v>43016</v>
      </c>
      <c r="B167">
        <v>9.5299999999999994</v>
      </c>
      <c r="C167" s="63">
        <f t="shared" si="4"/>
        <v>-2.1560574948665385E-2</v>
      </c>
      <c r="D167">
        <v>908.37</v>
      </c>
      <c r="E167" s="63">
        <f t="shared" si="5"/>
        <v>-7.3652347805181987E-3</v>
      </c>
      <c r="K167" s="74"/>
      <c r="M167" s="63"/>
    </row>
    <row r="168" spans="1:13" x14ac:dyDescent="0.3">
      <c r="A168" s="74">
        <v>43009</v>
      </c>
      <c r="B168">
        <v>9.74</v>
      </c>
      <c r="C168" s="63">
        <f t="shared" si="4"/>
        <v>4.1237113402062811E-3</v>
      </c>
      <c r="D168">
        <v>915.11</v>
      </c>
      <c r="E168" s="63">
        <f t="shared" si="5"/>
        <v>1.2312219296887094E-2</v>
      </c>
      <c r="K168" s="74"/>
      <c r="M168" s="63"/>
    </row>
    <row r="169" spans="1:13" x14ac:dyDescent="0.3">
      <c r="A169" s="74">
        <v>43002</v>
      </c>
      <c r="B169">
        <v>9.6999999999999993</v>
      </c>
      <c r="C169" s="63">
        <f t="shared" si="4"/>
        <v>7.300884955752214E-2</v>
      </c>
      <c r="D169">
        <v>903.98</v>
      </c>
      <c r="E169" s="63">
        <f t="shared" si="5"/>
        <v>3.3273514922217029E-2</v>
      </c>
      <c r="K169" s="74"/>
      <c r="M169" s="63"/>
    </row>
    <row r="170" spans="1:13" x14ac:dyDescent="0.3">
      <c r="A170" s="74">
        <v>42995</v>
      </c>
      <c r="B170">
        <v>9.0399999999999991</v>
      </c>
      <c r="C170" s="63">
        <f t="shared" si="4"/>
        <v>-6.593406593406648E-3</v>
      </c>
      <c r="D170">
        <v>874.87</v>
      </c>
      <c r="E170" s="63">
        <f t="shared" si="5"/>
        <v>1.6298034477951737E-2</v>
      </c>
      <c r="K170" s="74"/>
      <c r="M170" s="63"/>
    </row>
    <row r="171" spans="1:13" x14ac:dyDescent="0.3">
      <c r="A171" s="74">
        <v>42988</v>
      </c>
      <c r="B171">
        <v>9.1</v>
      </c>
      <c r="C171" s="63">
        <f t="shared" si="4"/>
        <v>-2.8815368196371354E-2</v>
      </c>
      <c r="D171">
        <v>860.84</v>
      </c>
      <c r="E171" s="63">
        <f t="shared" si="5"/>
        <v>2.6128832308205875E-2</v>
      </c>
      <c r="K171" s="74"/>
      <c r="M171" s="63"/>
    </row>
    <row r="172" spans="1:13" x14ac:dyDescent="0.3">
      <c r="A172" s="74">
        <v>42981</v>
      </c>
      <c r="B172">
        <v>9.3699999999999992</v>
      </c>
      <c r="C172" s="63">
        <f t="shared" si="4"/>
        <v>3.995560488346276E-2</v>
      </c>
      <c r="D172">
        <v>838.92</v>
      </c>
      <c r="E172" s="63">
        <f t="shared" si="5"/>
        <v>-9.5980166460067247E-3</v>
      </c>
      <c r="K172" s="74"/>
      <c r="M172" s="63"/>
    </row>
    <row r="173" spans="1:13" x14ac:dyDescent="0.3">
      <c r="A173" s="74">
        <v>42974</v>
      </c>
      <c r="B173">
        <v>9.01</v>
      </c>
      <c r="C173" s="63">
        <f t="shared" si="4"/>
        <v>1.1223344556677849E-2</v>
      </c>
      <c r="D173">
        <v>847.05</v>
      </c>
      <c r="E173" s="63">
        <f t="shared" si="5"/>
        <v>2.3439859844136986E-2</v>
      </c>
      <c r="K173" s="74"/>
      <c r="M173" s="63"/>
    </row>
    <row r="174" spans="1:13" x14ac:dyDescent="0.3">
      <c r="A174" s="74">
        <v>42967</v>
      </c>
      <c r="B174">
        <v>8.91</v>
      </c>
      <c r="C174" s="63">
        <f t="shared" si="4"/>
        <v>3.3783783783783061E-3</v>
      </c>
      <c r="D174">
        <v>827.65</v>
      </c>
      <c r="E174" s="63">
        <f t="shared" si="5"/>
        <v>1.1327256286810507E-2</v>
      </c>
      <c r="K174" s="74"/>
      <c r="M174" s="63"/>
    </row>
    <row r="175" spans="1:13" x14ac:dyDescent="0.3">
      <c r="A175" s="74">
        <v>42960</v>
      </c>
      <c r="B175">
        <v>8.8800000000000008</v>
      </c>
      <c r="C175" s="63">
        <f t="shared" si="4"/>
        <v>-3.5830618892508145E-2</v>
      </c>
      <c r="D175">
        <v>818.38</v>
      </c>
      <c r="E175" s="63">
        <f t="shared" si="5"/>
        <v>-1.5198373064102714E-2</v>
      </c>
      <c r="K175" s="74"/>
      <c r="M175" s="63"/>
    </row>
    <row r="176" spans="1:13" x14ac:dyDescent="0.3">
      <c r="A176" s="74">
        <v>42953</v>
      </c>
      <c r="B176">
        <v>9.2100000000000009</v>
      </c>
      <c r="C176" s="63">
        <f t="shared" si="4"/>
        <v>0.15994962216624689</v>
      </c>
      <c r="D176">
        <v>831.01</v>
      </c>
      <c r="E176" s="63">
        <f t="shared" si="5"/>
        <v>-2.7603557219751967E-2</v>
      </c>
      <c r="K176" s="74"/>
      <c r="M176" s="63"/>
    </row>
    <row r="177" spans="1:13" x14ac:dyDescent="0.3">
      <c r="A177" s="74">
        <v>42946</v>
      </c>
      <c r="B177">
        <v>7.94</v>
      </c>
      <c r="C177" s="63">
        <f t="shared" si="4"/>
        <v>-1.2578616352200991E-3</v>
      </c>
      <c r="D177">
        <v>854.6</v>
      </c>
      <c r="E177" s="63">
        <f t="shared" si="5"/>
        <v>-1.202312138728321E-2</v>
      </c>
      <c r="K177" s="74"/>
      <c r="M177" s="63"/>
    </row>
    <row r="178" spans="1:13" x14ac:dyDescent="0.3">
      <c r="A178" s="74">
        <v>42939</v>
      </c>
      <c r="B178">
        <v>7.95</v>
      </c>
      <c r="C178" s="63">
        <f t="shared" si="4"/>
        <v>2.0539152759948671E-2</v>
      </c>
      <c r="D178">
        <v>865</v>
      </c>
      <c r="E178" s="63">
        <f t="shared" si="5"/>
        <v>-3.7431615318168731E-3</v>
      </c>
      <c r="K178" s="74"/>
      <c r="M178" s="63"/>
    </row>
    <row r="179" spans="1:13" x14ac:dyDescent="0.3">
      <c r="A179" s="74">
        <v>42932</v>
      </c>
      <c r="B179">
        <v>7.79</v>
      </c>
      <c r="C179" s="63">
        <f t="shared" si="4"/>
        <v>3.728362183754997E-2</v>
      </c>
      <c r="D179">
        <v>868.25</v>
      </c>
      <c r="E179" s="63">
        <f t="shared" si="5"/>
        <v>6.4332908311115732E-3</v>
      </c>
      <c r="K179" s="74"/>
      <c r="M179" s="63"/>
    </row>
    <row r="180" spans="1:13" x14ac:dyDescent="0.3">
      <c r="A180" s="74">
        <v>42925</v>
      </c>
      <c r="B180">
        <v>7.51</v>
      </c>
      <c r="C180" s="63">
        <f t="shared" si="4"/>
        <v>-1.1842105263157876E-2</v>
      </c>
      <c r="D180">
        <v>862.7</v>
      </c>
      <c r="E180" s="63">
        <f t="shared" si="5"/>
        <v>9.3245820317527494E-3</v>
      </c>
      <c r="K180" s="74"/>
      <c r="M180" s="63"/>
    </row>
    <row r="181" spans="1:13" x14ac:dyDescent="0.3">
      <c r="A181" s="74">
        <v>42918</v>
      </c>
      <c r="B181">
        <v>7.6</v>
      </c>
      <c r="C181" s="63">
        <f t="shared" si="4"/>
        <v>-1.4267185473411196E-2</v>
      </c>
      <c r="D181">
        <v>854.73</v>
      </c>
      <c r="E181" s="63">
        <f t="shared" si="5"/>
        <v>-1.3086405328036508E-3</v>
      </c>
      <c r="K181" s="74"/>
      <c r="M181" s="63"/>
    </row>
    <row r="182" spans="1:13" x14ac:dyDescent="0.3">
      <c r="A182" s="74">
        <v>42911</v>
      </c>
      <c r="B182">
        <v>7.71</v>
      </c>
      <c r="C182" s="63">
        <f t="shared" si="4"/>
        <v>3.9083557951482488E-2</v>
      </c>
      <c r="D182">
        <v>855.85</v>
      </c>
      <c r="E182" s="63">
        <f t="shared" si="5"/>
        <v>3.1412262503370532E-3</v>
      </c>
      <c r="K182" s="74"/>
      <c r="M182" s="63"/>
    </row>
    <row r="183" spans="1:13" x14ac:dyDescent="0.3">
      <c r="A183" s="74">
        <v>42904</v>
      </c>
      <c r="B183">
        <v>7.42</v>
      </c>
      <c r="C183" s="63">
        <f t="shared" si="4"/>
        <v>2.3448275862068955E-2</v>
      </c>
      <c r="D183">
        <v>853.17</v>
      </c>
      <c r="E183" s="63">
        <f t="shared" si="5"/>
        <v>5.6292439221745829E-4</v>
      </c>
      <c r="K183" s="74"/>
      <c r="M183" s="63"/>
    </row>
    <row r="184" spans="1:13" x14ac:dyDescent="0.3">
      <c r="A184" s="74">
        <v>42897</v>
      </c>
      <c r="B184">
        <v>7.25</v>
      </c>
      <c r="C184" s="63">
        <f t="shared" si="4"/>
        <v>1.2569832402234617E-2</v>
      </c>
      <c r="D184">
        <v>852.69</v>
      </c>
      <c r="E184" s="63">
        <f t="shared" si="5"/>
        <v>-1.3215910011456828E-2</v>
      </c>
      <c r="K184" s="74"/>
      <c r="M184" s="63"/>
    </row>
    <row r="185" spans="1:13" x14ac:dyDescent="0.3">
      <c r="A185" s="74">
        <v>42890</v>
      </c>
      <c r="B185">
        <v>7.16</v>
      </c>
      <c r="C185" s="63">
        <f t="shared" si="4"/>
        <v>3.1700288184438E-2</v>
      </c>
      <c r="D185">
        <v>864.11</v>
      </c>
      <c r="E185" s="63">
        <f t="shared" si="5"/>
        <v>1.4320761582796359E-2</v>
      </c>
      <c r="K185" s="74"/>
      <c r="M185" s="63"/>
    </row>
    <row r="186" spans="1:13" x14ac:dyDescent="0.3">
      <c r="A186" s="74">
        <v>42883</v>
      </c>
      <c r="B186">
        <v>6.94</v>
      </c>
      <c r="C186" s="63">
        <f t="shared" si="4"/>
        <v>5.3110773899848335E-2</v>
      </c>
      <c r="D186">
        <v>851.91</v>
      </c>
      <c r="E186" s="63">
        <f t="shared" si="5"/>
        <v>1.7205970149253694E-2</v>
      </c>
      <c r="K186" s="74"/>
      <c r="M186" s="63"/>
    </row>
    <row r="187" spans="1:13" x14ac:dyDescent="0.3">
      <c r="A187" s="74">
        <v>42876</v>
      </c>
      <c r="B187">
        <v>6.59</v>
      </c>
      <c r="C187" s="63">
        <f t="shared" si="4"/>
        <v>1.8547140649149939E-2</v>
      </c>
      <c r="D187">
        <v>837.5</v>
      </c>
      <c r="E187" s="63">
        <f t="shared" si="5"/>
        <v>1.1326860841423942E-2</v>
      </c>
      <c r="K187" s="74"/>
      <c r="M187" s="63"/>
    </row>
    <row r="188" spans="1:13" x14ac:dyDescent="0.3">
      <c r="A188" s="74">
        <v>42869</v>
      </c>
      <c r="B188">
        <v>6.47</v>
      </c>
      <c r="C188" s="63">
        <f t="shared" si="4"/>
        <v>-5.4093567251462006E-2</v>
      </c>
      <c r="D188">
        <v>828.12</v>
      </c>
      <c r="E188" s="63">
        <f t="shared" si="5"/>
        <v>-1.2426360102082142E-2</v>
      </c>
      <c r="K188" s="74"/>
      <c r="M188" s="63"/>
    </row>
    <row r="189" spans="1:13" x14ac:dyDescent="0.3">
      <c r="A189" s="74">
        <v>42862</v>
      </c>
      <c r="B189">
        <v>6.84</v>
      </c>
      <c r="C189" s="63">
        <f t="shared" si="4"/>
        <v>0.15151515151515141</v>
      </c>
      <c r="D189">
        <v>838.54</v>
      </c>
      <c r="E189" s="63">
        <f t="shared" si="5"/>
        <v>-1.2273840934790888E-2</v>
      </c>
      <c r="K189" s="74"/>
      <c r="M189" s="63"/>
    </row>
    <row r="190" spans="1:13" x14ac:dyDescent="0.3">
      <c r="A190" s="74">
        <v>42855</v>
      </c>
      <c r="B190">
        <v>5.94</v>
      </c>
      <c r="C190" s="63">
        <f t="shared" si="4"/>
        <v>-4.6548956661316213E-2</v>
      </c>
      <c r="D190">
        <v>848.96</v>
      </c>
      <c r="E190" s="63">
        <f t="shared" si="5"/>
        <v>-2.8190189813944479E-3</v>
      </c>
      <c r="K190" s="74"/>
      <c r="M190" s="63"/>
    </row>
    <row r="191" spans="1:13" x14ac:dyDescent="0.3">
      <c r="A191" s="74">
        <v>42848</v>
      </c>
      <c r="B191">
        <v>6.23</v>
      </c>
      <c r="C191" s="63">
        <f t="shared" si="4"/>
        <v>2.298850574712653E-2</v>
      </c>
      <c r="D191">
        <v>851.36</v>
      </c>
      <c r="E191" s="63">
        <f t="shared" si="5"/>
        <v>1.42966069386199E-2</v>
      </c>
      <c r="K191" s="74"/>
      <c r="M191" s="63"/>
    </row>
    <row r="192" spans="1:13" x14ac:dyDescent="0.3">
      <c r="A192" s="74">
        <v>42841</v>
      </c>
      <c r="B192">
        <v>6.09</v>
      </c>
      <c r="C192" s="63">
        <f t="shared" si="4"/>
        <v>0</v>
      </c>
      <c r="D192">
        <v>839.36</v>
      </c>
      <c r="E192" s="63">
        <f t="shared" si="5"/>
        <v>2.910669184178908E-2</v>
      </c>
      <c r="K192" s="74"/>
      <c r="M192" s="63"/>
    </row>
    <row r="193" spans="1:13" x14ac:dyDescent="0.3">
      <c r="A193" s="74">
        <v>42834</v>
      </c>
      <c r="B193">
        <v>6.09</v>
      </c>
      <c r="C193" s="63">
        <f t="shared" si="4"/>
        <v>-6.1633281972265079E-2</v>
      </c>
      <c r="D193">
        <v>815.62</v>
      </c>
      <c r="E193" s="63">
        <f t="shared" si="5"/>
        <v>-1.434458422458278E-2</v>
      </c>
      <c r="K193" s="74"/>
      <c r="M193" s="63"/>
    </row>
    <row r="194" spans="1:13" x14ac:dyDescent="0.3">
      <c r="A194" s="74">
        <v>42827</v>
      </c>
      <c r="B194">
        <v>6.49</v>
      </c>
      <c r="C194" s="63">
        <f t="shared" si="4"/>
        <v>-8.2036775106082038E-2</v>
      </c>
      <c r="D194">
        <v>827.49</v>
      </c>
      <c r="E194" s="63">
        <f t="shared" si="5"/>
        <v>-1.9759053271260471E-2</v>
      </c>
      <c r="K194" s="74"/>
      <c r="M194" s="63"/>
    </row>
    <row r="195" spans="1:13" x14ac:dyDescent="0.3">
      <c r="A195" s="74">
        <v>42820</v>
      </c>
      <c r="B195">
        <v>7.07</v>
      </c>
      <c r="C195" s="63">
        <f t="shared" si="4"/>
        <v>6.1561561561561583E-2</v>
      </c>
      <c r="D195">
        <v>844.17</v>
      </c>
      <c r="E195" s="63">
        <f t="shared" si="5"/>
        <v>2.2517502846483583E-2</v>
      </c>
      <c r="K195" s="74"/>
      <c r="M195" s="63"/>
    </row>
    <row r="196" spans="1:13" x14ac:dyDescent="0.3">
      <c r="A196" s="74">
        <v>42813</v>
      </c>
      <c r="B196">
        <v>6.66</v>
      </c>
      <c r="C196" s="63">
        <f t="shared" si="4"/>
        <v>-2.0588235294117602E-2</v>
      </c>
      <c r="D196">
        <v>825.58</v>
      </c>
      <c r="E196" s="63">
        <f t="shared" si="5"/>
        <v>-2.8203498363820332E-2</v>
      </c>
      <c r="K196" s="74"/>
      <c r="M196" s="63"/>
    </row>
    <row r="197" spans="1:13" x14ac:dyDescent="0.3">
      <c r="A197" s="74">
        <v>42806</v>
      </c>
      <c r="B197">
        <v>6.8</v>
      </c>
      <c r="C197" s="63">
        <f t="shared" si="4"/>
        <v>1.0401188707280741E-2</v>
      </c>
      <c r="D197">
        <v>849.54</v>
      </c>
      <c r="E197" s="63">
        <f t="shared" si="5"/>
        <v>2.320931745094967E-2</v>
      </c>
      <c r="K197" s="74"/>
      <c r="M197" s="63"/>
    </row>
    <row r="198" spans="1:13" x14ac:dyDescent="0.3">
      <c r="A198" s="74">
        <v>42799</v>
      </c>
      <c r="B198">
        <v>6.73</v>
      </c>
      <c r="C198" s="63">
        <f t="shared" ref="C198:C261" si="6">(B198-B199)/B199</f>
        <v>-4.6742209631727934E-2</v>
      </c>
      <c r="D198">
        <v>830.27</v>
      </c>
      <c r="E198" s="63">
        <f t="shared" ref="E198:E261" si="7">(D198-D199)/D199</f>
        <v>-2.2498763804186601E-2</v>
      </c>
      <c r="K198" s="74"/>
      <c r="M198" s="63"/>
    </row>
    <row r="199" spans="1:13" x14ac:dyDescent="0.3">
      <c r="A199" s="74">
        <v>42792</v>
      </c>
      <c r="B199">
        <v>7.06</v>
      </c>
      <c r="C199" s="63">
        <f t="shared" si="6"/>
        <v>6.0060060060059976E-2</v>
      </c>
      <c r="D199">
        <v>849.38</v>
      </c>
      <c r="E199" s="63">
        <f t="shared" si="7"/>
        <v>-4.4655938302137375E-3</v>
      </c>
      <c r="K199" s="74"/>
      <c r="M199" s="63"/>
    </row>
    <row r="200" spans="1:13" x14ac:dyDescent="0.3">
      <c r="A200" s="74">
        <v>42785</v>
      </c>
      <c r="B200">
        <v>6.66</v>
      </c>
      <c r="C200" s="63">
        <f t="shared" si="6"/>
        <v>-4.5845272206303765E-2</v>
      </c>
      <c r="D200">
        <v>853.19</v>
      </c>
      <c r="E200" s="63">
        <f t="shared" si="7"/>
        <v>-2.2336568822359584E-3</v>
      </c>
      <c r="K200" s="74"/>
      <c r="M200" s="63"/>
    </row>
    <row r="201" spans="1:13" x14ac:dyDescent="0.3">
      <c r="A201" s="74">
        <v>42778</v>
      </c>
      <c r="B201">
        <v>6.98</v>
      </c>
      <c r="C201" s="63">
        <f t="shared" si="6"/>
        <v>-1.8284106891701811E-2</v>
      </c>
      <c r="D201">
        <v>855.1</v>
      </c>
      <c r="E201" s="63">
        <f t="shared" si="7"/>
        <v>6.4262511181206591E-3</v>
      </c>
      <c r="K201" s="74"/>
      <c r="M201" s="63"/>
    </row>
    <row r="202" spans="1:13" x14ac:dyDescent="0.3">
      <c r="A202" s="74">
        <v>42771</v>
      </c>
      <c r="B202">
        <v>7.11</v>
      </c>
      <c r="C202" s="63">
        <f t="shared" si="6"/>
        <v>5.0221565731167025E-2</v>
      </c>
      <c r="D202">
        <v>849.64</v>
      </c>
      <c r="E202" s="63">
        <f t="shared" si="7"/>
        <v>9.8652150141440489E-3</v>
      </c>
      <c r="K202" s="74"/>
      <c r="M202" s="63"/>
    </row>
    <row r="203" spans="1:13" x14ac:dyDescent="0.3">
      <c r="A203" s="74">
        <v>42764</v>
      </c>
      <c r="B203">
        <v>6.77</v>
      </c>
      <c r="C203" s="63">
        <f t="shared" si="6"/>
        <v>-6.2326869806094212E-2</v>
      </c>
      <c r="D203">
        <v>841.34</v>
      </c>
      <c r="E203" s="63">
        <f t="shared" si="7"/>
        <v>3.5545589007109336E-3</v>
      </c>
      <c r="K203" s="74"/>
      <c r="M203" s="63"/>
    </row>
    <row r="204" spans="1:13" x14ac:dyDescent="0.3">
      <c r="A204" s="74">
        <v>42757</v>
      </c>
      <c r="B204">
        <v>7.22</v>
      </c>
      <c r="C204" s="63">
        <f t="shared" si="6"/>
        <v>8.3798882681563706E-3</v>
      </c>
      <c r="D204">
        <v>838.36</v>
      </c>
      <c r="E204" s="63">
        <f t="shared" si="7"/>
        <v>1.3050413263086747E-2</v>
      </c>
      <c r="K204" s="74"/>
      <c r="M204" s="63"/>
    </row>
    <row r="205" spans="1:13" x14ac:dyDescent="0.3">
      <c r="A205" s="74">
        <v>42750</v>
      </c>
      <c r="B205">
        <v>7.16</v>
      </c>
      <c r="C205" s="63">
        <f t="shared" si="6"/>
        <v>1.272984441301271E-2</v>
      </c>
      <c r="D205">
        <v>827.56</v>
      </c>
      <c r="E205" s="63">
        <f t="shared" si="7"/>
        <v>-1.4645298025861534E-2</v>
      </c>
      <c r="K205" s="74"/>
      <c r="M205" s="63"/>
    </row>
    <row r="206" spans="1:13" x14ac:dyDescent="0.3">
      <c r="A206" s="74">
        <v>42743</v>
      </c>
      <c r="B206">
        <v>7.07</v>
      </c>
      <c r="C206" s="63">
        <f t="shared" si="6"/>
        <v>1.000000000000004E-2</v>
      </c>
      <c r="D206">
        <v>839.86</v>
      </c>
      <c r="E206" s="63">
        <f t="shared" si="7"/>
        <v>-3.6897294595134966E-4</v>
      </c>
      <c r="K206" s="74"/>
      <c r="M206" s="63"/>
    </row>
    <row r="207" spans="1:13" x14ac:dyDescent="0.3">
      <c r="A207" s="74">
        <v>42736</v>
      </c>
      <c r="B207">
        <v>7</v>
      </c>
      <c r="C207" s="63">
        <f t="shared" si="6"/>
        <v>2.0408163265306076E-2</v>
      </c>
      <c r="D207">
        <v>840.17</v>
      </c>
      <c r="E207" s="63">
        <f t="shared" si="7"/>
        <v>2.6373573917608511E-3</v>
      </c>
      <c r="K207" s="74"/>
      <c r="M207" s="63"/>
    </row>
    <row r="208" spans="1:13" x14ac:dyDescent="0.3">
      <c r="A208" s="74">
        <v>42729</v>
      </c>
      <c r="B208">
        <v>6.86</v>
      </c>
      <c r="C208" s="63">
        <f t="shared" si="6"/>
        <v>8.8235294117647786E-3</v>
      </c>
      <c r="D208">
        <v>837.96</v>
      </c>
      <c r="E208" s="63">
        <f t="shared" si="7"/>
        <v>-8.3548318382996208E-3</v>
      </c>
      <c r="K208" s="74"/>
      <c r="M208" s="63"/>
    </row>
    <row r="209" spans="1:13" x14ac:dyDescent="0.3">
      <c r="A209" s="74">
        <v>42722</v>
      </c>
      <c r="B209">
        <v>6.8</v>
      </c>
      <c r="C209" s="63">
        <f t="shared" si="6"/>
        <v>-4.0902679830747538E-2</v>
      </c>
      <c r="D209">
        <v>845.02</v>
      </c>
      <c r="E209" s="63">
        <f t="shared" si="7"/>
        <v>3.5390242743812863E-3</v>
      </c>
      <c r="K209" s="74"/>
      <c r="M209" s="63"/>
    </row>
    <row r="210" spans="1:13" x14ac:dyDescent="0.3">
      <c r="A210" s="74">
        <v>42715</v>
      </c>
      <c r="B210">
        <v>7.09</v>
      </c>
      <c r="C210" s="63">
        <f t="shared" si="6"/>
        <v>-6.8331143232588751E-2</v>
      </c>
      <c r="D210">
        <v>842.04</v>
      </c>
      <c r="E210" s="63">
        <f t="shared" si="7"/>
        <v>-1.8029154518950478E-2</v>
      </c>
      <c r="K210" s="74"/>
      <c r="M210" s="63"/>
    </row>
    <row r="211" spans="1:13" x14ac:dyDescent="0.3">
      <c r="A211" s="74">
        <v>42708</v>
      </c>
      <c r="B211">
        <v>7.61</v>
      </c>
      <c r="C211" s="63">
        <f t="shared" si="6"/>
        <v>3.2564450474898261E-2</v>
      </c>
      <c r="D211">
        <v>857.5</v>
      </c>
      <c r="E211" s="63">
        <f t="shared" si="7"/>
        <v>5.9492185086798016E-2</v>
      </c>
      <c r="K211" s="74"/>
      <c r="M211" s="63"/>
    </row>
    <row r="212" spans="1:13" x14ac:dyDescent="0.3">
      <c r="A212" s="74">
        <v>42701</v>
      </c>
      <c r="B212">
        <v>7.37</v>
      </c>
      <c r="C212" s="63">
        <f t="shared" si="6"/>
        <v>-0.12261904761904764</v>
      </c>
      <c r="D212">
        <v>809.35</v>
      </c>
      <c r="E212" s="63">
        <f t="shared" si="7"/>
        <v>-1.9302539744086796E-2</v>
      </c>
      <c r="K212" s="74"/>
      <c r="M212" s="63"/>
    </row>
    <row r="213" spans="1:13" x14ac:dyDescent="0.3">
      <c r="A213" s="74">
        <v>42694</v>
      </c>
      <c r="B213">
        <v>8.4</v>
      </c>
      <c r="C213" s="63">
        <f t="shared" si="6"/>
        <v>1.3268998793727529E-2</v>
      </c>
      <c r="D213">
        <v>825.28</v>
      </c>
      <c r="E213" s="63">
        <f t="shared" si="7"/>
        <v>2.7745952677459492E-2</v>
      </c>
      <c r="K213" s="74"/>
      <c r="M213" s="63"/>
    </row>
    <row r="214" spans="1:13" x14ac:dyDescent="0.3">
      <c r="A214" s="74">
        <v>42687</v>
      </c>
      <c r="B214">
        <v>8.2899999999999991</v>
      </c>
      <c r="C214" s="63">
        <f t="shared" si="6"/>
        <v>-3.0409356725146379E-2</v>
      </c>
      <c r="D214">
        <v>803</v>
      </c>
      <c r="E214" s="63">
        <f t="shared" si="7"/>
        <v>2.7064360994576854E-2</v>
      </c>
      <c r="K214" s="74"/>
      <c r="M214" s="63"/>
    </row>
    <row r="215" spans="1:13" x14ac:dyDescent="0.3">
      <c r="A215" s="74">
        <v>42680</v>
      </c>
      <c r="B215">
        <v>8.5500000000000007</v>
      </c>
      <c r="C215" s="63">
        <f t="shared" si="6"/>
        <v>0.13395225464190991</v>
      </c>
      <c r="D215">
        <v>781.84</v>
      </c>
      <c r="E215" s="63">
        <f t="shared" si="7"/>
        <v>0.10558988644880309</v>
      </c>
      <c r="K215" s="74"/>
      <c r="M215" s="63"/>
    </row>
    <row r="216" spans="1:13" x14ac:dyDescent="0.3">
      <c r="A216" s="74">
        <v>42673</v>
      </c>
      <c r="B216">
        <v>7.54</v>
      </c>
      <c r="C216" s="63">
        <f t="shared" si="6"/>
        <v>-3.5805626598465506E-2</v>
      </c>
      <c r="D216">
        <v>707.17</v>
      </c>
      <c r="E216" s="63">
        <f t="shared" si="7"/>
        <v>-1.5947010283456072E-2</v>
      </c>
      <c r="K216" s="74"/>
      <c r="M216" s="63"/>
    </row>
    <row r="217" spans="1:13" x14ac:dyDescent="0.3">
      <c r="A217" s="74">
        <v>42666</v>
      </c>
      <c r="B217">
        <v>7.82</v>
      </c>
      <c r="C217" s="63">
        <f t="shared" si="6"/>
        <v>-5.0890585241730327E-3</v>
      </c>
      <c r="D217">
        <v>718.63</v>
      </c>
      <c r="E217" s="63">
        <f t="shared" si="7"/>
        <v>-2.0793306898854041E-2</v>
      </c>
      <c r="K217" s="74"/>
      <c r="M217" s="63"/>
    </row>
    <row r="218" spans="1:13" x14ac:dyDescent="0.3">
      <c r="A218" s="74">
        <v>42659</v>
      </c>
      <c r="B218">
        <v>7.86</v>
      </c>
      <c r="C218" s="63">
        <f t="shared" si="6"/>
        <v>-5.0724637681159306E-2</v>
      </c>
      <c r="D218">
        <v>733.89</v>
      </c>
      <c r="E218" s="63">
        <f t="shared" si="7"/>
        <v>-3.7872617690177064E-3</v>
      </c>
      <c r="K218" s="74"/>
      <c r="M218" s="63"/>
    </row>
    <row r="219" spans="1:13" x14ac:dyDescent="0.3">
      <c r="A219" s="74">
        <v>42652</v>
      </c>
      <c r="B219">
        <v>8.2799999999999994</v>
      </c>
      <c r="C219" s="63">
        <f t="shared" si="6"/>
        <v>-2.5882352941176547E-2</v>
      </c>
      <c r="D219">
        <v>736.68</v>
      </c>
      <c r="E219" s="63">
        <f t="shared" si="7"/>
        <v>-1.6527380984166819E-2</v>
      </c>
      <c r="K219" s="74"/>
      <c r="M219" s="63"/>
    </row>
    <row r="220" spans="1:13" x14ac:dyDescent="0.3">
      <c r="A220" s="74">
        <v>42645</v>
      </c>
      <c r="B220">
        <v>8.5</v>
      </c>
      <c r="C220" s="63">
        <f t="shared" si="6"/>
        <v>2.4096385542168586E-2</v>
      </c>
      <c r="D220">
        <v>749.06</v>
      </c>
      <c r="E220" s="63">
        <f t="shared" si="7"/>
        <v>-1.0358039371119081E-2</v>
      </c>
      <c r="K220" s="74"/>
      <c r="M220" s="63"/>
    </row>
    <row r="221" spans="1:13" x14ac:dyDescent="0.3">
      <c r="A221" s="74">
        <v>42638</v>
      </c>
      <c r="B221">
        <v>8.3000000000000007</v>
      </c>
      <c r="C221" s="63">
        <f t="shared" si="6"/>
        <v>-2.2379269729092991E-2</v>
      </c>
      <c r="D221">
        <v>756.9</v>
      </c>
      <c r="E221" s="63">
        <f t="shared" si="7"/>
        <v>-3.2789475763441828E-3</v>
      </c>
      <c r="K221" s="74"/>
      <c r="M221" s="63"/>
    </row>
    <row r="222" spans="1:13" x14ac:dyDescent="0.3">
      <c r="A222" s="74">
        <v>42631</v>
      </c>
      <c r="B222">
        <v>8.49</v>
      </c>
      <c r="C222" s="63">
        <f t="shared" si="6"/>
        <v>3.1591737545564977E-2</v>
      </c>
      <c r="D222">
        <v>759.39</v>
      </c>
      <c r="E222" s="63">
        <f t="shared" si="7"/>
        <v>2.5509790681971622E-2</v>
      </c>
      <c r="K222" s="74"/>
      <c r="M222" s="63"/>
    </row>
    <row r="223" spans="1:13" x14ac:dyDescent="0.3">
      <c r="A223" s="74">
        <v>42624</v>
      </c>
      <c r="B223">
        <v>8.23</v>
      </c>
      <c r="C223" s="63">
        <f t="shared" si="6"/>
        <v>-3.6299765807962382E-2</v>
      </c>
      <c r="D223">
        <v>740.5</v>
      </c>
      <c r="E223" s="63">
        <f t="shared" si="7"/>
        <v>7.1624525318590303E-4</v>
      </c>
      <c r="K223" s="74"/>
      <c r="M223" s="63"/>
    </row>
    <row r="224" spans="1:13" x14ac:dyDescent="0.3">
      <c r="A224" s="74">
        <v>42617</v>
      </c>
      <c r="B224">
        <v>8.5399999999999991</v>
      </c>
      <c r="C224" s="63">
        <f t="shared" si="6"/>
        <v>2.347417840375537E-3</v>
      </c>
      <c r="D224">
        <v>739.97</v>
      </c>
      <c r="E224" s="63">
        <f t="shared" si="7"/>
        <v>-2.8745061493430608E-2</v>
      </c>
      <c r="K224" s="74"/>
      <c r="M224" s="63"/>
    </row>
    <row r="225" spans="1:13" x14ac:dyDescent="0.3">
      <c r="A225" s="74">
        <v>42610</v>
      </c>
      <c r="B225">
        <v>8.52</v>
      </c>
      <c r="C225" s="63">
        <f t="shared" si="6"/>
        <v>-9.3023255813953574E-3</v>
      </c>
      <c r="D225">
        <v>761.87</v>
      </c>
      <c r="E225" s="63">
        <f t="shared" si="7"/>
        <v>1.3246266175473177E-2</v>
      </c>
      <c r="K225" s="74"/>
      <c r="M225" s="63"/>
    </row>
    <row r="226" spans="1:13" x14ac:dyDescent="0.3">
      <c r="A226" s="74">
        <v>42603</v>
      </c>
      <c r="B226">
        <v>8.6</v>
      </c>
      <c r="C226" s="63">
        <f t="shared" si="6"/>
        <v>-1.1494252873563178E-2</v>
      </c>
      <c r="D226">
        <v>751.91</v>
      </c>
      <c r="E226" s="63">
        <f t="shared" si="7"/>
        <v>4.0862656072643989E-3</v>
      </c>
      <c r="K226" s="74"/>
      <c r="M226" s="63"/>
    </row>
    <row r="227" spans="1:13" x14ac:dyDescent="0.3">
      <c r="A227" s="74">
        <v>42596</v>
      </c>
      <c r="B227">
        <v>8.6999999999999993</v>
      </c>
      <c r="C227" s="63">
        <f t="shared" si="6"/>
        <v>9.28074245939676E-3</v>
      </c>
      <c r="D227">
        <v>748.85</v>
      </c>
      <c r="E227" s="63">
        <f t="shared" si="7"/>
        <v>6.3024080842830239E-3</v>
      </c>
      <c r="K227" s="74"/>
      <c r="M227" s="63"/>
    </row>
    <row r="228" spans="1:13" x14ac:dyDescent="0.3">
      <c r="A228" s="74">
        <v>42589</v>
      </c>
      <c r="B228">
        <v>8.6199999999999992</v>
      </c>
      <c r="C228" s="63">
        <f t="shared" si="6"/>
        <v>3.3573141486810475E-2</v>
      </c>
      <c r="D228">
        <v>744.16</v>
      </c>
      <c r="E228" s="63">
        <f t="shared" si="7"/>
        <v>-3.3615921357493818E-3</v>
      </c>
      <c r="K228" s="74"/>
      <c r="M228" s="63"/>
    </row>
    <row r="229" spans="1:13" x14ac:dyDescent="0.3">
      <c r="A229" s="74">
        <v>42582</v>
      </c>
      <c r="B229">
        <v>8.34</v>
      </c>
      <c r="C229" s="63">
        <f t="shared" si="6"/>
        <v>-0.26390114739629306</v>
      </c>
      <c r="D229">
        <v>746.67</v>
      </c>
      <c r="E229" s="63">
        <f t="shared" si="7"/>
        <v>3.6156885937793232E-3</v>
      </c>
      <c r="K229" s="74"/>
      <c r="M229" s="63"/>
    </row>
    <row r="230" spans="1:13" x14ac:dyDescent="0.3">
      <c r="A230" s="74">
        <v>42575</v>
      </c>
      <c r="B230">
        <v>11.33</v>
      </c>
      <c r="C230" s="63">
        <f t="shared" si="6"/>
        <v>-1.7346053772766636E-2</v>
      </c>
      <c r="D230">
        <v>743.98</v>
      </c>
      <c r="E230" s="63">
        <f t="shared" si="7"/>
        <v>2.8576820424338883E-3</v>
      </c>
      <c r="K230" s="74"/>
      <c r="M230" s="63"/>
    </row>
    <row r="231" spans="1:13" x14ac:dyDescent="0.3">
      <c r="A231" s="74">
        <v>42568</v>
      </c>
      <c r="B231">
        <v>11.53</v>
      </c>
      <c r="C231" s="63">
        <f t="shared" si="6"/>
        <v>-5.2588331963845568E-2</v>
      </c>
      <c r="D231">
        <v>741.86</v>
      </c>
      <c r="E231" s="63">
        <f t="shared" si="7"/>
        <v>1.5390430932065912E-3</v>
      </c>
      <c r="K231" s="74"/>
      <c r="M231" s="63"/>
    </row>
    <row r="232" spans="1:13" x14ac:dyDescent="0.3">
      <c r="A232" s="74">
        <v>42561</v>
      </c>
      <c r="B232">
        <v>12.17</v>
      </c>
      <c r="C232" s="63">
        <f t="shared" si="6"/>
        <v>3.7510656436487592E-2</v>
      </c>
      <c r="D232">
        <v>740.72</v>
      </c>
      <c r="E232" s="63">
        <f t="shared" si="7"/>
        <v>2.5359911406423106E-2</v>
      </c>
      <c r="K232" s="74"/>
      <c r="M232" s="63"/>
    </row>
    <row r="233" spans="1:13" x14ac:dyDescent="0.3">
      <c r="A233" s="74">
        <v>42554</v>
      </c>
      <c r="B233">
        <v>11.73</v>
      </c>
      <c r="C233" s="63">
        <f t="shared" si="6"/>
        <v>3.1662269129287705E-2</v>
      </c>
      <c r="D233">
        <v>722.4</v>
      </c>
      <c r="E233" s="63">
        <f t="shared" si="7"/>
        <v>1.7221228719883998E-2</v>
      </c>
      <c r="K233" s="74"/>
      <c r="M233" s="63"/>
    </row>
    <row r="234" spans="1:13" x14ac:dyDescent="0.3">
      <c r="A234" s="74">
        <v>42547</v>
      </c>
      <c r="B234">
        <v>11.37</v>
      </c>
      <c r="C234" s="63">
        <f t="shared" si="6"/>
        <v>4.889298892988924E-2</v>
      </c>
      <c r="D234">
        <v>710.17</v>
      </c>
      <c r="E234" s="63">
        <f t="shared" si="7"/>
        <v>2.6242395341107741E-2</v>
      </c>
      <c r="K234" s="74"/>
      <c r="M234" s="63"/>
    </row>
    <row r="235" spans="1:13" x14ac:dyDescent="0.3">
      <c r="A235" s="74">
        <v>42540</v>
      </c>
      <c r="B235">
        <v>10.84</v>
      </c>
      <c r="C235" s="63">
        <f t="shared" si="6"/>
        <v>-9.2165898617509558E-4</v>
      </c>
      <c r="D235">
        <v>692.01</v>
      </c>
      <c r="E235" s="63">
        <f t="shared" si="7"/>
        <v>-1.3500028511147897E-2</v>
      </c>
      <c r="K235" s="74"/>
      <c r="M235" s="63"/>
    </row>
    <row r="236" spans="1:13" x14ac:dyDescent="0.3">
      <c r="A236" s="74">
        <v>42533</v>
      </c>
      <c r="B236">
        <v>10.85</v>
      </c>
      <c r="C236" s="63">
        <f t="shared" si="6"/>
        <v>1.2126865671641698E-2</v>
      </c>
      <c r="D236">
        <v>701.48</v>
      </c>
      <c r="E236" s="63">
        <f t="shared" si="7"/>
        <v>-1.5577198349659017E-2</v>
      </c>
      <c r="K236" s="74"/>
      <c r="M236" s="63"/>
    </row>
    <row r="237" spans="1:13" x14ac:dyDescent="0.3">
      <c r="A237" s="74">
        <v>42526</v>
      </c>
      <c r="B237">
        <v>10.72</v>
      </c>
      <c r="C237" s="63">
        <f t="shared" si="6"/>
        <v>4.483430799220281E-2</v>
      </c>
      <c r="D237">
        <v>712.58</v>
      </c>
      <c r="E237" s="63">
        <f t="shared" si="7"/>
        <v>4.2703121696851341E-3</v>
      </c>
      <c r="K237" s="74"/>
      <c r="M237" s="63"/>
    </row>
    <row r="238" spans="1:13" x14ac:dyDescent="0.3">
      <c r="A238" s="74">
        <v>42519</v>
      </c>
      <c r="B238">
        <v>10.26</v>
      </c>
      <c r="C238" s="63">
        <f t="shared" si="6"/>
        <v>4.2682926829268289E-2</v>
      </c>
      <c r="D238">
        <v>709.55</v>
      </c>
      <c r="E238" s="63">
        <f t="shared" si="7"/>
        <v>9.5326172013942261E-3</v>
      </c>
      <c r="K238" s="74"/>
      <c r="M238" s="63"/>
    </row>
    <row r="239" spans="1:13" x14ac:dyDescent="0.3">
      <c r="A239" s="74">
        <v>42512</v>
      </c>
      <c r="B239">
        <v>9.84</v>
      </c>
      <c r="C239" s="63">
        <f t="shared" si="6"/>
        <v>6.4935064935064901E-2</v>
      </c>
      <c r="D239">
        <v>702.85</v>
      </c>
      <c r="E239" s="63">
        <f t="shared" si="7"/>
        <v>3.2251905594148887E-2</v>
      </c>
      <c r="K239" s="74"/>
      <c r="M239" s="63"/>
    </row>
    <row r="240" spans="1:13" x14ac:dyDescent="0.3">
      <c r="A240" s="74">
        <v>42505</v>
      </c>
      <c r="B240">
        <v>9.24</v>
      </c>
      <c r="C240" s="63">
        <f t="shared" si="6"/>
        <v>3.2573289902279434E-3</v>
      </c>
      <c r="D240">
        <v>680.89</v>
      </c>
      <c r="E240" s="63">
        <f t="shared" si="7"/>
        <v>5.3004576996899923E-3</v>
      </c>
      <c r="K240" s="74"/>
      <c r="M240" s="63"/>
    </row>
    <row r="241" spans="1:13" x14ac:dyDescent="0.3">
      <c r="A241" s="74">
        <v>42498</v>
      </c>
      <c r="B241">
        <v>9.2100000000000009</v>
      </c>
      <c r="C241" s="63">
        <f t="shared" si="6"/>
        <v>0.14267990074441692</v>
      </c>
      <c r="D241">
        <v>677.3</v>
      </c>
      <c r="E241" s="63">
        <f t="shared" si="7"/>
        <v>-1.5452153562135676E-2</v>
      </c>
      <c r="K241" s="74"/>
      <c r="M241" s="63"/>
    </row>
    <row r="242" spans="1:13" x14ac:dyDescent="0.3">
      <c r="A242" s="74">
        <v>42491</v>
      </c>
      <c r="B242">
        <v>8.06</v>
      </c>
      <c r="C242" s="63">
        <f t="shared" si="6"/>
        <v>-3.4730538922155586E-2</v>
      </c>
      <c r="D242">
        <v>687.93</v>
      </c>
      <c r="E242" s="63">
        <f t="shared" si="7"/>
        <v>-9.5456116102280528E-3</v>
      </c>
      <c r="K242" s="74"/>
      <c r="M242" s="63"/>
    </row>
    <row r="243" spans="1:13" x14ac:dyDescent="0.3">
      <c r="A243" s="74">
        <v>42484</v>
      </c>
      <c r="B243">
        <v>8.35</v>
      </c>
      <c r="C243" s="63">
        <f t="shared" si="6"/>
        <v>-0.15055951169888102</v>
      </c>
      <c r="D243">
        <v>694.56</v>
      </c>
      <c r="E243" s="63">
        <f t="shared" si="7"/>
        <v>-1.0739210938612843E-2</v>
      </c>
      <c r="K243" s="74"/>
      <c r="M243" s="63"/>
    </row>
    <row r="244" spans="1:13" x14ac:dyDescent="0.3">
      <c r="A244" s="74">
        <v>42477</v>
      </c>
      <c r="B244">
        <v>9.83</v>
      </c>
      <c r="C244" s="63">
        <f t="shared" si="6"/>
        <v>1.7598343685300201E-2</v>
      </c>
      <c r="D244">
        <v>702.1</v>
      </c>
      <c r="E244" s="63">
        <f t="shared" si="7"/>
        <v>1.3672523569582646E-2</v>
      </c>
      <c r="K244" s="74"/>
      <c r="M244" s="63"/>
    </row>
    <row r="245" spans="1:13" x14ac:dyDescent="0.3">
      <c r="A245" s="74">
        <v>42470</v>
      </c>
      <c r="B245">
        <v>9.66</v>
      </c>
      <c r="C245" s="63">
        <f t="shared" si="6"/>
        <v>0.10526315789473684</v>
      </c>
      <c r="D245">
        <v>692.63</v>
      </c>
      <c r="E245" s="63">
        <f t="shared" si="7"/>
        <v>3.0055619999405189E-2</v>
      </c>
      <c r="K245" s="74"/>
      <c r="M245" s="63"/>
    </row>
    <row r="246" spans="1:13" x14ac:dyDescent="0.3">
      <c r="A246" s="74">
        <v>42463</v>
      </c>
      <c r="B246">
        <v>8.74</v>
      </c>
      <c r="C246" s="63">
        <f t="shared" si="6"/>
        <v>-7.0212765957446827E-2</v>
      </c>
      <c r="D246">
        <v>672.42</v>
      </c>
      <c r="E246" s="63">
        <f t="shared" si="7"/>
        <v>-2.2787385554425322E-2</v>
      </c>
      <c r="K246" s="74"/>
      <c r="M246" s="63"/>
    </row>
    <row r="247" spans="1:13" x14ac:dyDescent="0.3">
      <c r="A247" s="74">
        <v>42456</v>
      </c>
      <c r="B247">
        <v>9.4</v>
      </c>
      <c r="C247" s="63">
        <f t="shared" si="6"/>
        <v>2.0629750271444026E-2</v>
      </c>
      <c r="D247">
        <v>688.1</v>
      </c>
      <c r="E247" s="63">
        <f t="shared" si="7"/>
        <v>3.2748994416761795E-2</v>
      </c>
      <c r="K247" s="74"/>
      <c r="M247" s="63"/>
    </row>
    <row r="248" spans="1:13" x14ac:dyDescent="0.3">
      <c r="A248" s="74">
        <v>42449</v>
      </c>
      <c r="B248">
        <v>9.2100000000000009</v>
      </c>
      <c r="C248" s="63">
        <f t="shared" si="6"/>
        <v>-8.1754735792621991E-2</v>
      </c>
      <c r="D248">
        <v>666.28</v>
      </c>
      <c r="E248" s="63">
        <f t="shared" si="7"/>
        <v>-1.84298531209947E-2</v>
      </c>
      <c r="K248" s="74"/>
      <c r="M248" s="63"/>
    </row>
    <row r="249" spans="1:13" x14ac:dyDescent="0.3">
      <c r="A249" s="74">
        <v>42442</v>
      </c>
      <c r="B249">
        <v>10.029999999999999</v>
      </c>
      <c r="C249" s="63">
        <f t="shared" si="6"/>
        <v>3.6157024793388393E-2</v>
      </c>
      <c r="D249">
        <v>678.79</v>
      </c>
      <c r="E249" s="63">
        <f t="shared" si="7"/>
        <v>1.45427913789496E-2</v>
      </c>
      <c r="K249" s="74"/>
      <c r="M249" s="63"/>
    </row>
    <row r="250" spans="1:13" x14ac:dyDescent="0.3">
      <c r="A250" s="74">
        <v>42435</v>
      </c>
      <c r="B250">
        <v>9.68</v>
      </c>
      <c r="C250" s="63">
        <f t="shared" si="6"/>
        <v>-2.2222222222222286E-2</v>
      </c>
      <c r="D250">
        <v>669.06</v>
      </c>
      <c r="E250" s="63">
        <f t="shared" si="7"/>
        <v>7.1502762264605384E-3</v>
      </c>
      <c r="K250" s="74"/>
      <c r="M250" s="63"/>
    </row>
    <row r="251" spans="1:13" x14ac:dyDescent="0.3">
      <c r="A251" s="74">
        <v>42428</v>
      </c>
      <c r="B251">
        <v>9.9</v>
      </c>
      <c r="C251" s="63">
        <f t="shared" si="6"/>
        <v>1.3306038894575311E-2</v>
      </c>
      <c r="D251">
        <v>664.31</v>
      </c>
      <c r="E251" s="63">
        <f t="shared" si="7"/>
        <v>4.2185686046876454E-2</v>
      </c>
      <c r="K251" s="74"/>
      <c r="M251" s="63"/>
    </row>
    <row r="252" spans="1:13" x14ac:dyDescent="0.3">
      <c r="A252" s="74">
        <v>42421</v>
      </c>
      <c r="B252">
        <v>9.77</v>
      </c>
      <c r="C252" s="63">
        <f t="shared" si="6"/>
        <v>4.6038543897216247E-2</v>
      </c>
      <c r="D252">
        <v>637.41999999999996</v>
      </c>
      <c r="E252" s="63">
        <f t="shared" si="7"/>
        <v>2.7632682014574042E-2</v>
      </c>
      <c r="K252" s="74"/>
      <c r="M252" s="63"/>
    </row>
    <row r="253" spans="1:13" x14ac:dyDescent="0.3">
      <c r="A253" s="74">
        <v>42414</v>
      </c>
      <c r="B253">
        <v>9.34</v>
      </c>
      <c r="C253" s="63">
        <f t="shared" si="6"/>
        <v>2.1881838074398169E-2</v>
      </c>
      <c r="D253">
        <v>620.28</v>
      </c>
      <c r="E253" s="63">
        <f t="shared" si="7"/>
        <v>3.6356345652609756E-2</v>
      </c>
      <c r="K253" s="74"/>
      <c r="M253" s="63"/>
    </row>
    <row r="254" spans="1:13" x14ac:dyDescent="0.3">
      <c r="A254" s="74">
        <v>42407</v>
      </c>
      <c r="B254">
        <v>9.14</v>
      </c>
      <c r="C254" s="63">
        <f t="shared" si="6"/>
        <v>6.2790697674418708E-2</v>
      </c>
      <c r="D254">
        <v>598.52</v>
      </c>
      <c r="E254" s="63">
        <f t="shared" si="7"/>
        <v>-1.0972304844999647E-2</v>
      </c>
      <c r="K254" s="74"/>
      <c r="M254" s="63"/>
    </row>
    <row r="255" spans="1:13" x14ac:dyDescent="0.3">
      <c r="A255" s="74">
        <v>42400</v>
      </c>
      <c r="B255">
        <v>8.6</v>
      </c>
      <c r="C255" s="63">
        <f t="shared" si="6"/>
        <v>-6.6232356134636391E-2</v>
      </c>
      <c r="D255">
        <v>605.16</v>
      </c>
      <c r="E255" s="63">
        <f t="shared" si="7"/>
        <v>-3.9352329549964406E-2</v>
      </c>
      <c r="K255" s="74"/>
      <c r="M255" s="63"/>
    </row>
    <row r="256" spans="1:13" x14ac:dyDescent="0.3">
      <c r="A256" s="74">
        <v>42393</v>
      </c>
      <c r="B256">
        <v>9.2100000000000009</v>
      </c>
      <c r="C256" s="63">
        <f t="shared" si="6"/>
        <v>4.5402951191827509E-2</v>
      </c>
      <c r="D256">
        <v>629.95000000000005</v>
      </c>
      <c r="E256" s="63">
        <f t="shared" si="7"/>
        <v>2.4358911816836623E-2</v>
      </c>
      <c r="K256" s="74"/>
      <c r="M256" s="63"/>
    </row>
    <row r="257" spans="1:13" x14ac:dyDescent="0.3">
      <c r="A257" s="74">
        <v>42386</v>
      </c>
      <c r="B257">
        <v>8.81</v>
      </c>
      <c r="C257" s="63">
        <f t="shared" si="6"/>
        <v>9.1638029782359753E-3</v>
      </c>
      <c r="D257">
        <v>614.97</v>
      </c>
      <c r="E257" s="63">
        <f t="shared" si="7"/>
        <v>1.0416837816078786E-2</v>
      </c>
      <c r="K257" s="74"/>
      <c r="M257" s="63"/>
    </row>
    <row r="258" spans="1:13" x14ac:dyDescent="0.3">
      <c r="A258" s="74">
        <v>42379</v>
      </c>
      <c r="B258">
        <v>8.73</v>
      </c>
      <c r="C258" s="63">
        <f t="shared" si="6"/>
        <v>-4.3811610076670351E-2</v>
      </c>
      <c r="D258">
        <v>608.63</v>
      </c>
      <c r="E258" s="63">
        <f t="shared" si="7"/>
        <v>-2.3723974206794722E-2</v>
      </c>
      <c r="K258" s="74"/>
      <c r="M258" s="63"/>
    </row>
    <row r="259" spans="1:13" x14ac:dyDescent="0.3">
      <c r="A259" s="74">
        <v>42372</v>
      </c>
      <c r="B259">
        <v>9.1300000000000008</v>
      </c>
      <c r="C259" s="63">
        <f t="shared" si="6"/>
        <v>-0.10839843749999994</v>
      </c>
      <c r="D259">
        <v>623.41999999999996</v>
      </c>
      <c r="E259" s="63">
        <f t="shared" si="7"/>
        <v>-7.1932592967517264E-2</v>
      </c>
      <c r="K259" s="74"/>
      <c r="M259" s="63"/>
    </row>
    <row r="260" spans="1:13" x14ac:dyDescent="0.3">
      <c r="A260" s="74">
        <v>42365</v>
      </c>
      <c r="B260">
        <v>10.24</v>
      </c>
      <c r="C260" s="63">
        <f t="shared" si="6"/>
        <v>-3.1220435193945132E-2</v>
      </c>
      <c r="D260">
        <v>671.74</v>
      </c>
      <c r="E260" s="63">
        <f t="shared" si="7"/>
        <v>-1.6845956824002913E-2</v>
      </c>
      <c r="K260" s="74"/>
      <c r="M260" s="63"/>
    </row>
    <row r="261" spans="1:13" x14ac:dyDescent="0.3">
      <c r="A261" s="74">
        <v>42358</v>
      </c>
      <c r="B261">
        <v>10.57</v>
      </c>
      <c r="C261" s="63">
        <f t="shared" si="6"/>
        <v>2.82101167315176E-2</v>
      </c>
      <c r="D261">
        <v>683.25</v>
      </c>
      <c r="E261" s="63">
        <f t="shared" si="7"/>
        <v>3.1040622925092128E-2</v>
      </c>
      <c r="K261" s="74"/>
      <c r="M261" s="63"/>
    </row>
    <row r="262" spans="1:13" x14ac:dyDescent="0.3">
      <c r="A262" s="74">
        <v>42351</v>
      </c>
      <c r="B262">
        <v>10.28</v>
      </c>
      <c r="C262" s="63">
        <f t="shared" ref="C262:C265" si="8">(B262-B263)/B263</f>
        <v>-7.2202166064982018E-2</v>
      </c>
      <c r="D262">
        <v>662.68</v>
      </c>
      <c r="E262" s="63">
        <f t="shared" ref="E262:E266" si="9">(D262-D263)/D263</f>
        <v>-5.1044919529187049E-3</v>
      </c>
      <c r="K262" s="74"/>
      <c r="M262" s="63"/>
    </row>
    <row r="263" spans="1:13" x14ac:dyDescent="0.3">
      <c r="A263" s="74">
        <v>42344</v>
      </c>
      <c r="B263">
        <v>11.08</v>
      </c>
      <c r="C263" s="63">
        <f t="shared" si="8"/>
        <v>4.331450094161967E-2</v>
      </c>
      <c r="D263">
        <v>666.08</v>
      </c>
      <c r="E263" s="63">
        <f t="shared" si="9"/>
        <v>-4.8905515971042222E-2</v>
      </c>
      <c r="K263" s="74"/>
      <c r="M263" s="63"/>
    </row>
    <row r="264" spans="1:13" x14ac:dyDescent="0.3">
      <c r="A264" s="74">
        <v>42337</v>
      </c>
      <c r="B264">
        <v>10.62</v>
      </c>
      <c r="C264" s="63">
        <f t="shared" si="8"/>
        <v>-5.0938337801608606E-2</v>
      </c>
      <c r="D264">
        <v>700.33</v>
      </c>
      <c r="E264" s="63">
        <f t="shared" si="9"/>
        <v>-1.2924594785059843E-2</v>
      </c>
      <c r="K264" s="74"/>
      <c r="M264" s="63"/>
    </row>
    <row r="265" spans="1:13" x14ac:dyDescent="0.3">
      <c r="A265" s="74">
        <v>42330</v>
      </c>
      <c r="B265">
        <v>11.19</v>
      </c>
      <c r="C265" s="63">
        <f t="shared" si="8"/>
        <v>8.8521400778210135E-2</v>
      </c>
      <c r="D265">
        <v>709.5</v>
      </c>
      <c r="E265" s="63">
        <f t="shared" si="9"/>
        <v>1.955768871517052E-2</v>
      </c>
      <c r="K265" s="74"/>
      <c r="M265" s="63"/>
    </row>
    <row r="266" spans="1:13" x14ac:dyDescent="0.3">
      <c r="A266" s="74">
        <v>42323</v>
      </c>
      <c r="B266">
        <v>10.28</v>
      </c>
      <c r="C266" s="63" t="e">
        <f>(B266-#REF!)/#REF!</f>
        <v>#REF!</v>
      </c>
      <c r="D266">
        <v>695.89</v>
      </c>
      <c r="E266" s="63" t="e">
        <f t="shared" si="9"/>
        <v>#DIV/0!</v>
      </c>
      <c r="K266" s="74"/>
      <c r="M266" s="63"/>
    </row>
  </sheetData>
  <hyperlinks>
    <hyperlink ref="B1" r:id="rId1" xr:uid="{D8FBF696-927D-461A-8213-A961042B4740}"/>
    <hyperlink ref="B2" r:id="rId2" xr:uid="{7D5887EC-754F-41A8-A3B9-D67D4BD7709D}"/>
    <hyperlink ref="B3" r:id="rId3" xr:uid="{F10BF613-7412-4BEF-80D1-C1606F63CCF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9FD5-A5C8-4518-A743-9A82E5C3D922}">
  <dimension ref="A1:H266"/>
  <sheetViews>
    <sheetView workbookViewId="0"/>
  </sheetViews>
  <sheetFormatPr defaultRowHeight="15.6" x14ac:dyDescent="0.3"/>
  <cols>
    <col min="1" max="1" width="13.69921875" customWidth="1"/>
    <col min="7" max="7" width="12.69921875" customWidth="1"/>
  </cols>
  <sheetData>
    <row r="1" spans="1:8" x14ac:dyDescent="0.3">
      <c r="A1" s="36" t="s">
        <v>30</v>
      </c>
      <c r="B1" s="31" t="s">
        <v>77</v>
      </c>
    </row>
    <row r="2" spans="1:8" x14ac:dyDescent="0.3">
      <c r="A2" s="36" t="s">
        <v>78</v>
      </c>
      <c r="B2" s="31" t="s">
        <v>79</v>
      </c>
    </row>
    <row r="3" spans="1:8" x14ac:dyDescent="0.3">
      <c r="A3" s="36" t="s">
        <v>80</v>
      </c>
      <c r="B3" s="31" t="s">
        <v>81</v>
      </c>
    </row>
    <row r="4" spans="1:8" ht="21" customHeight="1" x14ac:dyDescent="0.4">
      <c r="A4" s="124" t="s">
        <v>30</v>
      </c>
      <c r="B4" s="124"/>
      <c r="C4" s="124"/>
      <c r="D4" s="124" t="s">
        <v>78</v>
      </c>
      <c r="E4" s="124"/>
      <c r="G4" s="36" t="s">
        <v>63</v>
      </c>
    </row>
    <row r="5" spans="1:8" x14ac:dyDescent="0.3">
      <c r="A5" t="s">
        <v>64</v>
      </c>
      <c r="B5" t="s">
        <v>65</v>
      </c>
      <c r="C5" t="s">
        <v>66</v>
      </c>
      <c r="D5" t="s">
        <v>65</v>
      </c>
      <c r="E5" t="s">
        <v>66</v>
      </c>
      <c r="G5">
        <f>SLOPE(C6:C265,E6:E265)</f>
        <v>1.1278572834169966</v>
      </c>
    </row>
    <row r="6" spans="1:8" x14ac:dyDescent="0.3">
      <c r="A6" s="74">
        <v>44143</v>
      </c>
      <c r="B6" s="7">
        <v>31.88</v>
      </c>
      <c r="C6" s="63">
        <f t="shared" ref="C6:C69" si="0">(B6-B7)/B7</f>
        <v>5.7029177718832855E-2</v>
      </c>
      <c r="D6">
        <v>2113.2600000000002</v>
      </c>
      <c r="E6" s="63">
        <f t="shared" ref="E6:E69" si="1">(D6-D7)/D7</f>
        <v>4.2581218086287363E-2</v>
      </c>
    </row>
    <row r="7" spans="1:8" x14ac:dyDescent="0.3">
      <c r="A7" s="74">
        <v>44136</v>
      </c>
      <c r="B7">
        <v>30.16</v>
      </c>
      <c r="C7" s="63">
        <f t="shared" si="0"/>
        <v>-4.8880479344055525E-2</v>
      </c>
      <c r="D7">
        <v>2026.95</v>
      </c>
      <c r="E7" s="63">
        <f t="shared" si="1"/>
        <v>6.6714732288520026E-2</v>
      </c>
      <c r="G7" s="36" t="s">
        <v>67</v>
      </c>
      <c r="H7" s="81">
        <f>G5*2/3+1/3</f>
        <v>1.0852381889446645</v>
      </c>
    </row>
    <row r="8" spans="1:8" x14ac:dyDescent="0.3">
      <c r="A8" s="74">
        <v>44129</v>
      </c>
      <c r="B8">
        <v>31.71</v>
      </c>
      <c r="C8" s="63">
        <f t="shared" si="0"/>
        <v>-7.3348918760958448E-2</v>
      </c>
      <c r="D8">
        <v>1900.18</v>
      </c>
      <c r="E8" s="63">
        <f t="shared" si="1"/>
        <v>-5.7286731327363394E-2</v>
      </c>
      <c r="G8" s="36" t="s">
        <v>25</v>
      </c>
      <c r="H8" s="59">
        <f>1118605/2314958</f>
        <v>0.48320747071869125</v>
      </c>
    </row>
    <row r="9" spans="1:8" x14ac:dyDescent="0.3">
      <c r="A9" s="74">
        <v>44122</v>
      </c>
      <c r="B9">
        <v>34.22</v>
      </c>
      <c r="C9" s="63">
        <f t="shared" si="0"/>
        <v>3.383685800604222E-2</v>
      </c>
      <c r="D9">
        <v>2015.65</v>
      </c>
      <c r="E9" s="63">
        <f t="shared" si="1"/>
        <v>9.1671923658466631E-3</v>
      </c>
      <c r="G9" s="36" t="s">
        <v>69</v>
      </c>
      <c r="H9" s="41">
        <v>0.17199999999999999</v>
      </c>
    </row>
    <row r="10" spans="1:8" x14ac:dyDescent="0.3">
      <c r="A10" s="74">
        <v>44115</v>
      </c>
      <c r="B10">
        <v>33.1</v>
      </c>
      <c r="C10" s="63">
        <f t="shared" si="0"/>
        <v>3.6385688295938316E-3</v>
      </c>
      <c r="D10">
        <v>1997.34</v>
      </c>
      <c r="E10" s="63">
        <f t="shared" si="1"/>
        <v>4.9089342603539355E-4</v>
      </c>
      <c r="G10" s="36" t="s">
        <v>27</v>
      </c>
      <c r="H10" s="59">
        <f>(2491157-2223605)/(5220051-4642068)</f>
        <v>0.46290634845661549</v>
      </c>
    </row>
    <row r="11" spans="1:8" x14ac:dyDescent="0.3">
      <c r="A11" s="74">
        <v>44108</v>
      </c>
      <c r="B11">
        <v>32.979999999999997</v>
      </c>
      <c r="C11" s="63">
        <f t="shared" si="0"/>
        <v>2.2635658914728584E-2</v>
      </c>
      <c r="D11">
        <v>1996.36</v>
      </c>
      <c r="E11" s="63">
        <f t="shared" si="1"/>
        <v>4.9175158582922936E-2</v>
      </c>
    </row>
    <row r="12" spans="1:8" x14ac:dyDescent="0.3">
      <c r="A12" s="74">
        <v>44101</v>
      </c>
      <c r="B12" s="7">
        <v>32.25</v>
      </c>
      <c r="C12" s="63">
        <f t="shared" si="0"/>
        <v>6.8234514739980087E-2</v>
      </c>
      <c r="D12">
        <v>1902.79</v>
      </c>
      <c r="E12" s="63">
        <f t="shared" si="1"/>
        <v>4.705960038959537E-2</v>
      </c>
    </row>
    <row r="13" spans="1:8" x14ac:dyDescent="0.3">
      <c r="A13" s="74">
        <v>44094</v>
      </c>
      <c r="B13" s="7">
        <v>30.19</v>
      </c>
      <c r="C13" s="63">
        <f t="shared" si="0"/>
        <v>-1.9486846378694314E-2</v>
      </c>
      <c r="D13">
        <v>1817.27</v>
      </c>
      <c r="E13" s="63">
        <f t="shared" si="1"/>
        <v>-2.6041610838969654E-2</v>
      </c>
    </row>
    <row r="14" spans="1:8" x14ac:dyDescent="0.3">
      <c r="A14" s="74">
        <v>44087</v>
      </c>
      <c r="B14">
        <v>30.79</v>
      </c>
      <c r="C14" s="63">
        <f t="shared" si="0"/>
        <v>-6.4536947402387638E-3</v>
      </c>
      <c r="D14">
        <v>1865.86</v>
      </c>
      <c r="E14" s="63">
        <f t="shared" si="1"/>
        <v>5.9249435270396361E-3</v>
      </c>
    </row>
    <row r="15" spans="1:8" x14ac:dyDescent="0.3">
      <c r="A15" s="74">
        <v>44080</v>
      </c>
      <c r="B15">
        <v>30.99</v>
      </c>
      <c r="C15" s="63">
        <f t="shared" si="0"/>
        <v>4.2732166890982491E-2</v>
      </c>
      <c r="D15">
        <v>1854.87</v>
      </c>
      <c r="E15" s="63">
        <f t="shared" si="1"/>
        <v>-2.2651828902026497E-2</v>
      </c>
    </row>
    <row r="16" spans="1:8" x14ac:dyDescent="0.3">
      <c r="A16" s="74">
        <v>44073</v>
      </c>
      <c r="B16">
        <v>29.72</v>
      </c>
      <c r="C16" s="63">
        <f t="shared" si="0"/>
        <v>-4.2217209152433204E-2</v>
      </c>
      <c r="D16">
        <v>1897.86</v>
      </c>
      <c r="E16" s="63">
        <f t="shared" si="1"/>
        <v>-2.4993449815310525E-2</v>
      </c>
    </row>
    <row r="17" spans="1:5" x14ac:dyDescent="0.3">
      <c r="A17" s="74">
        <v>44066</v>
      </c>
      <c r="B17">
        <v>31.03</v>
      </c>
      <c r="C17" s="63">
        <f t="shared" si="0"/>
        <v>7.4445983379501465E-2</v>
      </c>
      <c r="D17">
        <v>1946.51</v>
      </c>
      <c r="E17" s="63">
        <f t="shared" si="1"/>
        <v>1.8981808663787458E-2</v>
      </c>
    </row>
    <row r="18" spans="1:5" x14ac:dyDescent="0.3">
      <c r="A18" s="74">
        <v>44059</v>
      </c>
      <c r="B18">
        <v>28.88</v>
      </c>
      <c r="C18" s="63">
        <f t="shared" si="0"/>
        <v>-2.9895868323815942E-2</v>
      </c>
      <c r="D18">
        <v>1910.25</v>
      </c>
      <c r="E18" s="63">
        <f t="shared" si="1"/>
        <v>-2.0163524077227653E-2</v>
      </c>
    </row>
    <row r="19" spans="1:5" x14ac:dyDescent="0.3">
      <c r="A19" s="74">
        <v>44052</v>
      </c>
      <c r="B19">
        <v>29.77</v>
      </c>
      <c r="C19" s="63">
        <f t="shared" si="0"/>
        <v>1.9171516603902729E-2</v>
      </c>
      <c r="D19">
        <v>1949.56</v>
      </c>
      <c r="E19" s="63">
        <f t="shared" si="1"/>
        <v>5.6898784130242882E-3</v>
      </c>
    </row>
    <row r="20" spans="1:5" x14ac:dyDescent="0.3">
      <c r="A20" s="74">
        <v>44045</v>
      </c>
      <c r="B20">
        <v>29.21</v>
      </c>
      <c r="C20" s="63">
        <f t="shared" si="0"/>
        <v>-2.3907103825136708E-3</v>
      </c>
      <c r="D20">
        <v>1938.53</v>
      </c>
      <c r="E20" s="63">
        <f t="shared" si="1"/>
        <v>4.0034121819186488E-2</v>
      </c>
    </row>
    <row r="21" spans="1:5" x14ac:dyDescent="0.3">
      <c r="A21" s="74">
        <v>44038</v>
      </c>
      <c r="B21">
        <v>29.28</v>
      </c>
      <c r="C21" s="63">
        <f t="shared" si="0"/>
        <v>-3.1746031746031661E-2</v>
      </c>
      <c r="D21">
        <v>1863.91</v>
      </c>
      <c r="E21" s="63">
        <f t="shared" si="1"/>
        <v>7.5515962679870846E-3</v>
      </c>
    </row>
    <row r="22" spans="1:5" x14ac:dyDescent="0.3">
      <c r="A22" s="74">
        <v>44031</v>
      </c>
      <c r="B22">
        <v>30.24</v>
      </c>
      <c r="C22" s="63">
        <f t="shared" si="0"/>
        <v>6.8173790180148353E-2</v>
      </c>
      <c r="D22">
        <v>1849.94</v>
      </c>
      <c r="E22" s="63">
        <f t="shared" si="1"/>
        <v>7.2908442460047915E-3</v>
      </c>
    </row>
    <row r="23" spans="1:5" x14ac:dyDescent="0.3">
      <c r="A23" s="74">
        <v>44024</v>
      </c>
      <c r="B23">
        <v>28.31</v>
      </c>
      <c r="C23" s="63">
        <f t="shared" si="0"/>
        <v>-2.0754064337599496E-2</v>
      </c>
      <c r="D23">
        <v>1836.55</v>
      </c>
      <c r="E23" s="63">
        <f t="shared" si="1"/>
        <v>3.5854888380015527E-2</v>
      </c>
    </row>
    <row r="24" spans="1:5" x14ac:dyDescent="0.3">
      <c r="A24" s="74">
        <v>44017</v>
      </c>
      <c r="B24">
        <v>28.91</v>
      </c>
      <c r="C24" s="63">
        <f t="shared" si="0"/>
        <v>-4.3981481481481427E-2</v>
      </c>
      <c r="D24">
        <v>1772.98</v>
      </c>
      <c r="E24" s="63">
        <f t="shared" si="1"/>
        <v>-3.3559121953961758E-3</v>
      </c>
    </row>
    <row r="25" spans="1:5" x14ac:dyDescent="0.3">
      <c r="A25" s="74">
        <v>44010</v>
      </c>
      <c r="B25">
        <v>30.24</v>
      </c>
      <c r="C25" s="63">
        <f t="shared" si="0"/>
        <v>3.2434277910549654E-2</v>
      </c>
      <c r="D25">
        <v>1778.95</v>
      </c>
      <c r="E25" s="63">
        <f t="shared" si="1"/>
        <v>3.4682316264569781E-2</v>
      </c>
    </row>
    <row r="26" spans="1:5" x14ac:dyDescent="0.3">
      <c r="A26" s="74">
        <v>44003</v>
      </c>
      <c r="B26">
        <v>29.29</v>
      </c>
      <c r="C26" s="63">
        <f t="shared" si="0"/>
        <v>-5.8502089360334311E-2</v>
      </c>
      <c r="D26">
        <v>1719.32</v>
      </c>
      <c r="E26" s="63">
        <f t="shared" si="1"/>
        <v>-3.664440360392672E-2</v>
      </c>
    </row>
    <row r="27" spans="1:5" x14ac:dyDescent="0.3">
      <c r="A27" s="74">
        <v>43996</v>
      </c>
      <c r="B27">
        <v>31.11</v>
      </c>
      <c r="C27" s="63">
        <f t="shared" si="0"/>
        <v>-2.2313010685103735E-2</v>
      </c>
      <c r="D27">
        <v>1784.72</v>
      </c>
      <c r="E27" s="63">
        <f t="shared" si="1"/>
        <v>1.4097311794353088E-2</v>
      </c>
    </row>
    <row r="28" spans="1:5" x14ac:dyDescent="0.3">
      <c r="A28" s="74">
        <v>43989</v>
      </c>
      <c r="B28">
        <v>31.82</v>
      </c>
      <c r="C28" s="63">
        <f t="shared" si="0"/>
        <v>-0.10416666666666674</v>
      </c>
      <c r="D28">
        <v>1759.91</v>
      </c>
      <c r="E28" s="63">
        <f t="shared" si="1"/>
        <v>-7.9135598984904382E-2</v>
      </c>
    </row>
    <row r="29" spans="1:5" x14ac:dyDescent="0.3">
      <c r="A29" s="74">
        <v>43982</v>
      </c>
      <c r="B29">
        <v>35.520000000000003</v>
      </c>
      <c r="C29" s="63">
        <f t="shared" si="0"/>
        <v>0.13409961685823762</v>
      </c>
      <c r="D29">
        <v>1911.15</v>
      </c>
      <c r="E29" s="63">
        <f t="shared" si="1"/>
        <v>8.3449077354800325E-2</v>
      </c>
    </row>
    <row r="30" spans="1:5" x14ac:dyDescent="0.3">
      <c r="A30" s="74">
        <v>43975</v>
      </c>
      <c r="B30">
        <v>31.32</v>
      </c>
      <c r="C30" s="63">
        <f t="shared" si="0"/>
        <v>7.0037581141100133E-2</v>
      </c>
      <c r="D30">
        <v>1763.95</v>
      </c>
      <c r="E30" s="63">
        <f t="shared" si="1"/>
        <v>4.047589554835939E-2</v>
      </c>
    </row>
    <row r="31" spans="1:5" x14ac:dyDescent="0.3">
      <c r="A31" s="74">
        <v>43968</v>
      </c>
      <c r="B31">
        <v>29.27</v>
      </c>
      <c r="C31" s="63">
        <f t="shared" si="0"/>
        <v>0.17503010839020472</v>
      </c>
      <c r="D31">
        <v>1695.33</v>
      </c>
      <c r="E31" s="63">
        <f t="shared" si="1"/>
        <v>7.4176624890702383E-2</v>
      </c>
    </row>
    <row r="32" spans="1:5" x14ac:dyDescent="0.3">
      <c r="A32" s="74">
        <v>43961</v>
      </c>
      <c r="B32">
        <v>24.91</v>
      </c>
      <c r="C32" s="63">
        <f t="shared" si="0"/>
        <v>-0.11035714285714285</v>
      </c>
      <c r="D32">
        <v>1578.26</v>
      </c>
      <c r="E32" s="63">
        <f t="shared" si="1"/>
        <v>-5.8418546934100195E-2</v>
      </c>
    </row>
    <row r="33" spans="1:5" x14ac:dyDescent="0.3">
      <c r="A33" s="74">
        <v>43954</v>
      </c>
      <c r="B33">
        <v>28</v>
      </c>
      <c r="C33" s="63">
        <f t="shared" si="0"/>
        <v>2.6016855991205602E-2</v>
      </c>
      <c r="D33">
        <v>1676.18</v>
      </c>
      <c r="E33" s="63">
        <f t="shared" si="1"/>
        <v>5.3883104471606082E-2</v>
      </c>
    </row>
    <row r="34" spans="1:5" x14ac:dyDescent="0.3">
      <c r="A34" s="74">
        <v>43947</v>
      </c>
      <c r="B34">
        <v>27.29</v>
      </c>
      <c r="C34" s="63">
        <f t="shared" si="0"/>
        <v>6.6015624999999911E-2</v>
      </c>
      <c r="D34">
        <v>1590.48</v>
      </c>
      <c r="E34" s="63">
        <f t="shared" si="1"/>
        <v>2.5871243638615381E-2</v>
      </c>
    </row>
    <row r="35" spans="1:5" x14ac:dyDescent="0.3">
      <c r="A35" s="74">
        <v>43940</v>
      </c>
      <c r="B35">
        <v>25.6</v>
      </c>
      <c r="C35" s="63">
        <f t="shared" si="0"/>
        <v>-3.14037079076806E-2</v>
      </c>
      <c r="D35">
        <v>1550.37</v>
      </c>
      <c r="E35" s="63">
        <f t="shared" si="1"/>
        <v>-7.0832506100178506E-3</v>
      </c>
    </row>
    <row r="36" spans="1:5" x14ac:dyDescent="0.3">
      <c r="A36" s="74">
        <v>43933</v>
      </c>
      <c r="B36">
        <v>26.43</v>
      </c>
      <c r="C36" s="63">
        <f t="shared" si="0"/>
        <v>1.1363636363636795E-3</v>
      </c>
      <c r="D36">
        <v>1561.43</v>
      </c>
      <c r="E36" s="63">
        <f t="shared" si="1"/>
        <v>-1.5721426905450701E-2</v>
      </c>
    </row>
    <row r="37" spans="1:5" x14ac:dyDescent="0.3">
      <c r="A37" s="74">
        <v>43926</v>
      </c>
      <c r="B37">
        <v>26.4</v>
      </c>
      <c r="C37" s="63">
        <f t="shared" si="0"/>
        <v>0.2199630314232901</v>
      </c>
      <c r="D37">
        <v>1586.37</v>
      </c>
      <c r="E37" s="63">
        <f t="shared" si="1"/>
        <v>0.18567211031802372</v>
      </c>
    </row>
    <row r="38" spans="1:5" x14ac:dyDescent="0.3">
      <c r="A38" s="74">
        <v>43919</v>
      </c>
      <c r="B38">
        <v>21.64</v>
      </c>
      <c r="C38" s="63">
        <f t="shared" si="0"/>
        <v>-0.12741935483870967</v>
      </c>
      <c r="D38">
        <v>1337.95</v>
      </c>
      <c r="E38" s="63">
        <f t="shared" si="1"/>
        <v>-5.9715233463581943E-2</v>
      </c>
    </row>
    <row r="39" spans="1:5" x14ac:dyDescent="0.3">
      <c r="A39" s="74">
        <v>43912</v>
      </c>
      <c r="B39">
        <v>24.8</v>
      </c>
      <c r="C39" s="63">
        <f t="shared" si="0"/>
        <v>0.17479867361440082</v>
      </c>
      <c r="D39">
        <v>1422.92</v>
      </c>
      <c r="E39" s="63">
        <f t="shared" si="1"/>
        <v>0.13122287058973192</v>
      </c>
    </row>
    <row r="40" spans="1:5" x14ac:dyDescent="0.3">
      <c r="A40" s="74">
        <v>43905</v>
      </c>
      <c r="B40">
        <v>21.11</v>
      </c>
      <c r="C40" s="63">
        <f t="shared" si="0"/>
        <v>-0.20128641695043512</v>
      </c>
      <c r="D40">
        <v>1257.8599999999999</v>
      </c>
      <c r="E40" s="63">
        <f t="shared" si="1"/>
        <v>-0.18677226442540817</v>
      </c>
    </row>
    <row r="41" spans="1:5" x14ac:dyDescent="0.3">
      <c r="A41" s="74">
        <v>43898</v>
      </c>
      <c r="B41">
        <v>26.43</v>
      </c>
      <c r="C41" s="63">
        <f t="shared" si="0"/>
        <v>-0.14961389961389956</v>
      </c>
      <c r="D41">
        <v>1546.75</v>
      </c>
      <c r="E41" s="63">
        <f t="shared" si="1"/>
        <v>-0.13963811123657377</v>
      </c>
    </row>
    <row r="42" spans="1:5" x14ac:dyDescent="0.3">
      <c r="A42" s="74">
        <v>43891</v>
      </c>
      <c r="B42">
        <v>31.08</v>
      </c>
      <c r="C42" s="63">
        <f t="shared" si="0"/>
        <v>-6.0459492140266025E-2</v>
      </c>
      <c r="D42">
        <v>1797.79</v>
      </c>
      <c r="E42" s="63">
        <f t="shared" si="1"/>
        <v>-8.9360529217199763E-3</v>
      </c>
    </row>
    <row r="43" spans="1:5" x14ac:dyDescent="0.3">
      <c r="A43" s="74">
        <v>43884</v>
      </c>
      <c r="B43">
        <v>33.08</v>
      </c>
      <c r="C43" s="63">
        <f t="shared" si="0"/>
        <v>-0.10352303523035232</v>
      </c>
      <c r="D43">
        <v>1814</v>
      </c>
      <c r="E43" s="63">
        <f t="shared" si="1"/>
        <v>-0.12969635326459819</v>
      </c>
    </row>
    <row r="44" spans="1:5" x14ac:dyDescent="0.3">
      <c r="A44" s="74">
        <v>43877</v>
      </c>
      <c r="B44">
        <v>36.9</v>
      </c>
      <c r="C44" s="63">
        <f t="shared" si="0"/>
        <v>-2.4583663758921483E-2</v>
      </c>
      <c r="D44">
        <v>2084.33</v>
      </c>
      <c r="E44" s="63">
        <f t="shared" si="1"/>
        <v>-5.8570740385671151E-3</v>
      </c>
    </row>
    <row r="45" spans="1:5" x14ac:dyDescent="0.3">
      <c r="A45" s="74">
        <v>43870</v>
      </c>
      <c r="B45">
        <v>37.83</v>
      </c>
      <c r="C45" s="63">
        <f t="shared" si="0"/>
        <v>-4.2520880789673497E-2</v>
      </c>
      <c r="D45">
        <v>2096.61</v>
      </c>
      <c r="E45" s="63">
        <f t="shared" si="1"/>
        <v>2.3085931781583927E-2</v>
      </c>
    </row>
    <row r="46" spans="1:5" x14ac:dyDescent="0.3">
      <c r="A46" s="74">
        <v>43863</v>
      </c>
      <c r="B46">
        <v>39.51</v>
      </c>
      <c r="C46" s="63">
        <f t="shared" si="0"/>
        <v>5.6699652313452725E-2</v>
      </c>
      <c r="D46">
        <v>2049.3000000000002</v>
      </c>
      <c r="E46" s="63">
        <f t="shared" si="1"/>
        <v>2.0964318809099228E-2</v>
      </c>
    </row>
    <row r="47" spans="1:5" x14ac:dyDescent="0.3">
      <c r="A47" s="74">
        <v>43856</v>
      </c>
      <c r="B47">
        <v>37.39</v>
      </c>
      <c r="C47" s="63">
        <f t="shared" si="0"/>
        <v>-5.3178019751835941E-2</v>
      </c>
      <c r="D47">
        <v>2007.22</v>
      </c>
      <c r="E47" s="63">
        <f t="shared" si="1"/>
        <v>-2.8051231145437408E-2</v>
      </c>
    </row>
    <row r="48" spans="1:5" x14ac:dyDescent="0.3">
      <c r="A48" s="74">
        <v>43849</v>
      </c>
      <c r="B48">
        <v>39.49</v>
      </c>
      <c r="C48" s="63">
        <f t="shared" si="0"/>
        <v>-5.7517899761336436E-2</v>
      </c>
      <c r="D48">
        <v>2065.15</v>
      </c>
      <c r="E48" s="63">
        <f t="shared" si="1"/>
        <v>-1.4506931354537038E-2</v>
      </c>
    </row>
    <row r="49" spans="1:5" x14ac:dyDescent="0.3">
      <c r="A49" s="74">
        <v>43842</v>
      </c>
      <c r="B49">
        <v>41.9</v>
      </c>
      <c r="C49" s="63">
        <f t="shared" si="0"/>
        <v>-1.5738783180643687E-2</v>
      </c>
      <c r="D49">
        <v>2095.5500000000002</v>
      </c>
      <c r="E49" s="63">
        <f t="shared" si="1"/>
        <v>2.1536826608559302E-2</v>
      </c>
    </row>
    <row r="50" spans="1:5" x14ac:dyDescent="0.3">
      <c r="A50" s="74">
        <v>43835</v>
      </c>
      <c r="B50">
        <v>42.57</v>
      </c>
      <c r="C50" s="63">
        <f t="shared" si="0"/>
        <v>-1.0920074349442354E-2</v>
      </c>
      <c r="D50">
        <v>2051.37</v>
      </c>
      <c r="E50" s="63">
        <f t="shared" si="1"/>
        <v>-2.0917754308815042E-3</v>
      </c>
    </row>
    <row r="51" spans="1:5" x14ac:dyDescent="0.3">
      <c r="A51" s="74">
        <v>43828</v>
      </c>
      <c r="B51">
        <v>43.04</v>
      </c>
      <c r="C51" s="63">
        <f t="shared" si="0"/>
        <v>-1.4877546349278979E-2</v>
      </c>
      <c r="D51">
        <v>2055.67</v>
      </c>
      <c r="E51" s="63">
        <f t="shared" si="1"/>
        <v>-3.4951136275498508E-3</v>
      </c>
    </row>
    <row r="52" spans="1:5" x14ac:dyDescent="0.3">
      <c r="A52" s="74">
        <v>43821</v>
      </c>
      <c r="B52">
        <v>43.69</v>
      </c>
      <c r="C52" s="63">
        <f t="shared" si="0"/>
        <v>-1.1762044786247526E-2</v>
      </c>
      <c r="D52">
        <v>2062.88</v>
      </c>
      <c r="E52" s="63">
        <f t="shared" si="1"/>
        <v>-1.3216434854595098E-3</v>
      </c>
    </row>
    <row r="53" spans="1:5" x14ac:dyDescent="0.3">
      <c r="A53" s="74">
        <v>43814</v>
      </c>
      <c r="B53">
        <v>44.21</v>
      </c>
      <c r="C53" s="63">
        <f t="shared" si="0"/>
        <v>6.2484979572218255E-2</v>
      </c>
      <c r="D53">
        <v>2065.61</v>
      </c>
      <c r="E53" s="63">
        <f t="shared" si="1"/>
        <v>2.0195385040894593E-2</v>
      </c>
    </row>
    <row r="54" spans="1:5" x14ac:dyDescent="0.3">
      <c r="A54" s="74">
        <v>43807</v>
      </c>
      <c r="B54">
        <v>41.61</v>
      </c>
      <c r="C54" s="63">
        <f t="shared" si="0"/>
        <v>4.7055863110216339E-2</v>
      </c>
      <c r="D54">
        <v>2024.72</v>
      </c>
      <c r="E54" s="63">
        <f t="shared" si="1"/>
        <v>1.3551073700036644E-3</v>
      </c>
    </row>
    <row r="55" spans="1:5" x14ac:dyDescent="0.3">
      <c r="A55" s="74">
        <v>43800</v>
      </c>
      <c r="B55">
        <v>39.74</v>
      </c>
      <c r="C55" s="63">
        <f t="shared" si="0"/>
        <v>-1.1934361014420608E-2</v>
      </c>
      <c r="D55">
        <v>2021.98</v>
      </c>
      <c r="E55" s="63">
        <f t="shared" si="1"/>
        <v>5.885132950277306E-3</v>
      </c>
    </row>
    <row r="56" spans="1:5" x14ac:dyDescent="0.3">
      <c r="A56" s="74">
        <v>43793</v>
      </c>
      <c r="B56">
        <v>40.22</v>
      </c>
      <c r="C56" s="63">
        <f t="shared" si="0"/>
        <v>8.2727500626723054E-3</v>
      </c>
      <c r="D56">
        <v>2010.15</v>
      </c>
      <c r="E56" s="63">
        <f t="shared" si="1"/>
        <v>1.2226379370250923E-2</v>
      </c>
    </row>
    <row r="57" spans="1:5" x14ac:dyDescent="0.3">
      <c r="A57" s="74">
        <v>43786</v>
      </c>
      <c r="B57">
        <v>39.89</v>
      </c>
      <c r="C57" s="63">
        <f t="shared" si="0"/>
        <v>-1.4331603657029858E-2</v>
      </c>
      <c r="D57">
        <v>1985.87</v>
      </c>
      <c r="E57" s="63">
        <f t="shared" si="1"/>
        <v>-7.3677528353852124E-3</v>
      </c>
    </row>
    <row r="58" spans="1:5" x14ac:dyDescent="0.3">
      <c r="A58" s="74">
        <v>43779</v>
      </c>
      <c r="B58">
        <v>40.47</v>
      </c>
      <c r="C58" s="63">
        <f t="shared" si="0"/>
        <v>2.3779408044523088E-2</v>
      </c>
      <c r="D58">
        <v>2000.61</v>
      </c>
      <c r="E58" s="63">
        <f t="shared" si="1"/>
        <v>1.1108942698871591E-3</v>
      </c>
    </row>
    <row r="59" spans="1:5" x14ac:dyDescent="0.3">
      <c r="A59" s="74">
        <v>43772</v>
      </c>
      <c r="B59">
        <v>39.53</v>
      </c>
      <c r="C59" s="63">
        <f t="shared" si="0"/>
        <v>4.6597828964786814E-2</v>
      </c>
      <c r="D59">
        <v>1998.39</v>
      </c>
      <c r="E59" s="63">
        <f t="shared" si="1"/>
        <v>7.5069321905722715E-3</v>
      </c>
    </row>
    <row r="60" spans="1:5" x14ac:dyDescent="0.3">
      <c r="A60" s="74">
        <v>43765</v>
      </c>
      <c r="B60">
        <v>37.770000000000003</v>
      </c>
      <c r="C60" s="63">
        <f t="shared" si="0"/>
        <v>-3.167062549485285E-3</v>
      </c>
      <c r="D60">
        <v>1983.5</v>
      </c>
      <c r="E60" s="63">
        <f t="shared" si="1"/>
        <v>1.2392686885597316E-2</v>
      </c>
    </row>
    <row r="61" spans="1:5" x14ac:dyDescent="0.3">
      <c r="A61" s="74">
        <v>43758</v>
      </c>
      <c r="B61">
        <v>37.89</v>
      </c>
      <c r="C61" s="63">
        <f t="shared" si="0"/>
        <v>1.8822264049475745E-2</v>
      </c>
      <c r="D61">
        <v>1959.22</v>
      </c>
      <c r="E61" s="63">
        <f t="shared" si="1"/>
        <v>1.1596687250872611E-2</v>
      </c>
    </row>
    <row r="62" spans="1:5" x14ac:dyDescent="0.3">
      <c r="A62" s="74">
        <v>43751</v>
      </c>
      <c r="B62">
        <v>37.19</v>
      </c>
      <c r="C62" s="63">
        <f t="shared" si="0"/>
        <v>1.7231947483588497E-2</v>
      </c>
      <c r="D62">
        <v>1936.76</v>
      </c>
      <c r="E62" s="63">
        <f t="shared" si="1"/>
        <v>1.0534444345888778E-2</v>
      </c>
    </row>
    <row r="63" spans="1:5" x14ac:dyDescent="0.3">
      <c r="A63" s="74">
        <v>43744</v>
      </c>
      <c r="B63">
        <v>36.56</v>
      </c>
      <c r="C63" s="63">
        <f t="shared" si="0"/>
        <v>-2.4556616643928051E-3</v>
      </c>
      <c r="D63">
        <v>1916.57</v>
      </c>
      <c r="E63" s="63">
        <f t="shared" si="1"/>
        <v>6.7129252701190641E-3</v>
      </c>
    </row>
    <row r="64" spans="1:5" x14ac:dyDescent="0.3">
      <c r="A64" s="74">
        <v>43737</v>
      </c>
      <c r="B64">
        <v>36.65</v>
      </c>
      <c r="C64" s="63">
        <f t="shared" si="0"/>
        <v>3.2849712565014354E-3</v>
      </c>
      <c r="D64">
        <v>1903.79</v>
      </c>
      <c r="E64" s="63">
        <f t="shared" si="1"/>
        <v>-9.8557267233219496E-3</v>
      </c>
    </row>
    <row r="65" spans="1:5" x14ac:dyDescent="0.3">
      <c r="A65" s="74">
        <v>43730</v>
      </c>
      <c r="B65">
        <v>36.53</v>
      </c>
      <c r="C65" s="63">
        <f t="shared" si="0"/>
        <v>2.5547445255474557E-2</v>
      </c>
      <c r="D65">
        <v>1922.74</v>
      </c>
      <c r="E65" s="63">
        <f t="shared" si="1"/>
        <v>-1.1261724535132514E-2</v>
      </c>
    </row>
    <row r="66" spans="1:5" x14ac:dyDescent="0.3">
      <c r="A66" s="74">
        <v>43723</v>
      </c>
      <c r="B66">
        <v>35.619999999999997</v>
      </c>
      <c r="C66" s="63">
        <f t="shared" si="0"/>
        <v>-3.3902902088418771E-2</v>
      </c>
      <c r="D66">
        <v>1944.64</v>
      </c>
      <c r="E66" s="63">
        <f t="shared" si="1"/>
        <v>-9.4337700442144196E-3</v>
      </c>
    </row>
    <row r="67" spans="1:5" x14ac:dyDescent="0.3">
      <c r="A67" s="74">
        <v>43716</v>
      </c>
      <c r="B67">
        <v>36.869999999999997</v>
      </c>
      <c r="C67" s="63">
        <f t="shared" si="0"/>
        <v>6.1312607944732166E-2</v>
      </c>
      <c r="D67">
        <v>1963.16</v>
      </c>
      <c r="E67" s="63">
        <f t="shared" si="1"/>
        <v>2.7020523041993028E-2</v>
      </c>
    </row>
    <row r="68" spans="1:5" x14ac:dyDescent="0.3">
      <c r="A68" s="74">
        <v>43709</v>
      </c>
      <c r="B68">
        <v>34.74</v>
      </c>
      <c r="C68" s="63">
        <f t="shared" si="0"/>
        <v>9.7283638660770749E-2</v>
      </c>
      <c r="D68">
        <v>1911.51</v>
      </c>
      <c r="E68" s="63">
        <f t="shared" si="1"/>
        <v>1.6112056134382279E-2</v>
      </c>
    </row>
    <row r="69" spans="1:5" x14ac:dyDescent="0.3">
      <c r="A69" s="74">
        <v>43702</v>
      </c>
      <c r="B69">
        <v>31.66</v>
      </c>
      <c r="C69" s="63">
        <f t="shared" si="0"/>
        <v>8.4618019869818387E-2</v>
      </c>
      <c r="D69">
        <v>1881.2</v>
      </c>
      <c r="E69" s="63">
        <f t="shared" si="1"/>
        <v>2.4311889139963568E-2</v>
      </c>
    </row>
    <row r="70" spans="1:5" x14ac:dyDescent="0.3">
      <c r="A70" s="74">
        <v>43695</v>
      </c>
      <c r="B70">
        <v>29.19</v>
      </c>
      <c r="C70" s="63">
        <f t="shared" ref="C70:C133" si="2">(B70-B71)/B71</f>
        <v>-5.8994197292069575E-2</v>
      </c>
      <c r="D70">
        <v>1836.55</v>
      </c>
      <c r="E70" s="63">
        <f t="shared" ref="E70:E133" si="3">(D70-D71)/D71</f>
        <v>-1.9575917404255811E-2</v>
      </c>
    </row>
    <row r="71" spans="1:5" x14ac:dyDescent="0.3">
      <c r="A71" s="74">
        <v>43688</v>
      </c>
      <c r="B71">
        <v>31.02</v>
      </c>
      <c r="C71" s="63">
        <f t="shared" si="2"/>
        <v>-8.6034177961107794E-2</v>
      </c>
      <c r="D71">
        <v>1873.22</v>
      </c>
      <c r="E71" s="63">
        <f t="shared" si="3"/>
        <v>-1.4784387770665744E-2</v>
      </c>
    </row>
    <row r="72" spans="1:5" x14ac:dyDescent="0.3">
      <c r="A72" s="74">
        <v>43681</v>
      </c>
      <c r="B72">
        <v>33.94</v>
      </c>
      <c r="C72" s="63">
        <f t="shared" si="2"/>
        <v>-2.8898426323319171E-2</v>
      </c>
      <c r="D72">
        <v>1901.33</v>
      </c>
      <c r="E72" s="63">
        <f t="shared" si="3"/>
        <v>-6.8946425493463387E-3</v>
      </c>
    </row>
    <row r="73" spans="1:5" x14ac:dyDescent="0.3">
      <c r="A73" s="74">
        <v>43674</v>
      </c>
      <c r="B73">
        <v>34.950000000000003</v>
      </c>
      <c r="C73" s="63">
        <f t="shared" si="2"/>
        <v>-0.10636665814369718</v>
      </c>
      <c r="D73">
        <v>1914.53</v>
      </c>
      <c r="E73" s="63">
        <f t="shared" si="3"/>
        <v>-3.4596649757455411E-2</v>
      </c>
    </row>
    <row r="74" spans="1:5" x14ac:dyDescent="0.3">
      <c r="A74" s="74">
        <v>43667</v>
      </c>
      <c r="B74">
        <v>39.11</v>
      </c>
      <c r="C74" s="63">
        <f t="shared" si="2"/>
        <v>2.5634452704435128E-3</v>
      </c>
      <c r="D74">
        <v>1983.14</v>
      </c>
      <c r="E74" s="63">
        <f t="shared" si="3"/>
        <v>2.3608960462475487E-2</v>
      </c>
    </row>
    <row r="75" spans="1:5" x14ac:dyDescent="0.3">
      <c r="A75" s="74">
        <v>43660</v>
      </c>
      <c r="B75">
        <v>39.01</v>
      </c>
      <c r="C75" s="63">
        <f t="shared" si="2"/>
        <v>0.14365288771621221</v>
      </c>
      <c r="D75">
        <v>1937.4</v>
      </c>
      <c r="E75" s="63">
        <f t="shared" si="3"/>
        <v>-1.1777667827940931E-2</v>
      </c>
    </row>
    <row r="76" spans="1:5" x14ac:dyDescent="0.3">
      <c r="A76" s="74">
        <v>43653</v>
      </c>
      <c r="B76">
        <v>34.11</v>
      </c>
      <c r="C76" s="63">
        <f t="shared" si="2"/>
        <v>4.1526717557251888E-2</v>
      </c>
      <c r="D76">
        <v>1960.49</v>
      </c>
      <c r="E76" s="63">
        <f t="shared" si="3"/>
        <v>-2.7772832472850459E-3</v>
      </c>
    </row>
    <row r="77" spans="1:5" x14ac:dyDescent="0.3">
      <c r="A77" s="74">
        <v>43646</v>
      </c>
      <c r="B77">
        <v>32.75</v>
      </c>
      <c r="C77" s="63">
        <f t="shared" si="2"/>
        <v>4.0012702445220753E-2</v>
      </c>
      <c r="D77">
        <v>1965.95</v>
      </c>
      <c r="E77" s="63">
        <f t="shared" si="3"/>
        <v>1.05062425790667E-2</v>
      </c>
    </row>
    <row r="78" spans="1:5" x14ac:dyDescent="0.3">
      <c r="A78" s="74">
        <v>43639</v>
      </c>
      <c r="B78">
        <v>31.49</v>
      </c>
      <c r="C78" s="63">
        <f t="shared" si="2"/>
        <v>4.7862156987874471E-3</v>
      </c>
      <c r="D78">
        <v>1945.51</v>
      </c>
      <c r="E78" s="63">
        <f t="shared" si="3"/>
        <v>9.0243813890286823E-3</v>
      </c>
    </row>
    <row r="79" spans="1:5" x14ac:dyDescent="0.3">
      <c r="A79" s="74">
        <v>43632</v>
      </c>
      <c r="B79">
        <v>31.34</v>
      </c>
      <c r="C79" s="63">
        <f t="shared" si="2"/>
        <v>1.4239482200647292E-2</v>
      </c>
      <c r="D79">
        <v>1928.11</v>
      </c>
      <c r="E79" s="63">
        <f t="shared" si="3"/>
        <v>1.4837466840708991E-2</v>
      </c>
    </row>
    <row r="80" spans="1:5" x14ac:dyDescent="0.3">
      <c r="A80" s="74">
        <v>43625</v>
      </c>
      <c r="B80">
        <v>30.9</v>
      </c>
      <c r="C80" s="63">
        <f t="shared" si="2"/>
        <v>7.1707953063884899E-3</v>
      </c>
      <c r="D80">
        <v>1899.92</v>
      </c>
      <c r="E80" s="63">
        <f t="shared" si="3"/>
        <v>4.1860465116279454E-3</v>
      </c>
    </row>
    <row r="81" spans="1:5" x14ac:dyDescent="0.3">
      <c r="A81" s="74">
        <v>43618</v>
      </c>
      <c r="B81">
        <v>30.68</v>
      </c>
      <c r="C81" s="63">
        <f t="shared" si="2"/>
        <v>9.8460436806301468E-2</v>
      </c>
      <c r="D81">
        <v>1892</v>
      </c>
      <c r="E81" s="63">
        <f t="shared" si="3"/>
        <v>4.5015189174261255E-2</v>
      </c>
    </row>
    <row r="82" spans="1:5" x14ac:dyDescent="0.3">
      <c r="A82" s="74">
        <v>43611</v>
      </c>
      <c r="B82">
        <v>27.93</v>
      </c>
      <c r="C82" s="63">
        <f t="shared" si="2"/>
        <v>-2.9534398888116795E-2</v>
      </c>
      <c r="D82">
        <v>1810.5</v>
      </c>
      <c r="E82" s="63">
        <f t="shared" si="3"/>
        <v>-2.8091666979810252E-2</v>
      </c>
    </row>
    <row r="83" spans="1:5" x14ac:dyDescent="0.3">
      <c r="A83" s="74">
        <v>43604</v>
      </c>
      <c r="B83">
        <v>28.78</v>
      </c>
      <c r="C83" s="63">
        <f t="shared" si="2"/>
        <v>1.9121813031161571E-2</v>
      </c>
      <c r="D83">
        <v>1862.83</v>
      </c>
      <c r="E83" s="63">
        <f t="shared" si="3"/>
        <v>-1.406266539642223E-2</v>
      </c>
    </row>
    <row r="84" spans="1:5" x14ac:dyDescent="0.3">
      <c r="A84" s="74">
        <v>43597</v>
      </c>
      <c r="B84">
        <v>28.24</v>
      </c>
      <c r="C84" s="63">
        <f t="shared" si="2"/>
        <v>-4.14120841819417E-2</v>
      </c>
      <c r="D84">
        <v>1889.4</v>
      </c>
      <c r="E84" s="63">
        <f t="shared" si="3"/>
        <v>-2.2772999281070416E-2</v>
      </c>
    </row>
    <row r="85" spans="1:5" x14ac:dyDescent="0.3">
      <c r="A85" s="74">
        <v>43590</v>
      </c>
      <c r="B85">
        <v>29.46</v>
      </c>
      <c r="C85" s="63">
        <f t="shared" si="2"/>
        <v>-7.9662605435801226E-2</v>
      </c>
      <c r="D85">
        <v>1933.43</v>
      </c>
      <c r="E85" s="63">
        <f t="shared" si="3"/>
        <v>-2.3929362943816413E-2</v>
      </c>
    </row>
    <row r="86" spans="1:5" x14ac:dyDescent="0.3">
      <c r="A86" s="74">
        <v>43583</v>
      </c>
      <c r="B86">
        <v>32.01</v>
      </c>
      <c r="C86" s="63">
        <f t="shared" si="2"/>
        <v>2.7278562259306735E-2</v>
      </c>
      <c r="D86">
        <v>1980.83</v>
      </c>
      <c r="E86" s="63">
        <f t="shared" si="3"/>
        <v>3.500648455864399E-3</v>
      </c>
    </row>
    <row r="87" spans="1:5" x14ac:dyDescent="0.3">
      <c r="A87" s="74">
        <v>43576</v>
      </c>
      <c r="B87">
        <v>31.16</v>
      </c>
      <c r="C87" s="63">
        <f t="shared" si="2"/>
        <v>-1.3924050632911432E-2</v>
      </c>
      <c r="D87">
        <v>1973.92</v>
      </c>
      <c r="E87" s="63">
        <f t="shared" si="3"/>
        <v>1.048924199996929E-2</v>
      </c>
    </row>
    <row r="88" spans="1:5" x14ac:dyDescent="0.3">
      <c r="A88" s="74">
        <v>43569</v>
      </c>
      <c r="B88">
        <v>31.6</v>
      </c>
      <c r="C88" s="63">
        <f t="shared" si="2"/>
        <v>-8.1662307468758952E-2</v>
      </c>
      <c r="D88">
        <v>1953.43</v>
      </c>
      <c r="E88" s="63">
        <f t="shared" si="3"/>
        <v>-6.1004772516815792E-3</v>
      </c>
    </row>
    <row r="89" spans="1:5" x14ac:dyDescent="0.3">
      <c r="A89" s="74">
        <v>43562</v>
      </c>
      <c r="B89">
        <v>34.409999999999997</v>
      </c>
      <c r="C89" s="63">
        <f t="shared" si="2"/>
        <v>-6.3528732313025112E-3</v>
      </c>
      <c r="D89">
        <v>1965.42</v>
      </c>
      <c r="E89" s="63">
        <f t="shared" si="3"/>
        <v>8.4714019631486268E-3</v>
      </c>
    </row>
    <row r="90" spans="1:5" x14ac:dyDescent="0.3">
      <c r="A90" s="74">
        <v>43555</v>
      </c>
      <c r="B90">
        <v>34.630000000000003</v>
      </c>
      <c r="C90" s="63">
        <f t="shared" si="2"/>
        <v>3.0348110681344933E-2</v>
      </c>
      <c r="D90">
        <v>1948.91</v>
      </c>
      <c r="E90" s="63">
        <f t="shared" si="3"/>
        <v>2.7759759949796233E-2</v>
      </c>
    </row>
    <row r="91" spans="1:5" x14ac:dyDescent="0.3">
      <c r="A91" s="74">
        <v>43548</v>
      </c>
      <c r="B91">
        <v>33.61</v>
      </c>
      <c r="C91" s="63">
        <f t="shared" si="2"/>
        <v>0.10305218247456517</v>
      </c>
      <c r="D91">
        <v>1896.27</v>
      </c>
      <c r="E91" s="63">
        <f t="shared" si="3"/>
        <v>2.225348923713873E-2</v>
      </c>
    </row>
    <row r="92" spans="1:5" x14ac:dyDescent="0.3">
      <c r="A92" s="74">
        <v>43541</v>
      </c>
      <c r="B92">
        <v>30.47</v>
      </c>
      <c r="C92" s="63">
        <f t="shared" si="2"/>
        <v>-6.4763658686310607E-2</v>
      </c>
      <c r="D92">
        <v>1854.99</v>
      </c>
      <c r="E92" s="63">
        <f t="shared" si="3"/>
        <v>-2.1557498971442983E-2</v>
      </c>
    </row>
    <row r="93" spans="1:5" x14ac:dyDescent="0.3">
      <c r="A93" s="74">
        <v>43534</v>
      </c>
      <c r="B93">
        <v>32.58</v>
      </c>
      <c r="C93" s="63">
        <f t="shared" si="2"/>
        <v>3.6968576709795883E-3</v>
      </c>
      <c r="D93">
        <v>1895.86</v>
      </c>
      <c r="E93" s="63">
        <f t="shared" si="3"/>
        <v>1.9126153052228659E-2</v>
      </c>
    </row>
    <row r="94" spans="1:5" x14ac:dyDescent="0.3">
      <c r="A94" s="74">
        <v>43527</v>
      </c>
      <c r="B94">
        <v>32.46</v>
      </c>
      <c r="C94" s="63">
        <f t="shared" si="2"/>
        <v>-5.0877192982456194E-2</v>
      </c>
      <c r="D94">
        <v>1860.28</v>
      </c>
      <c r="E94" s="63">
        <f t="shared" si="3"/>
        <v>-3.3796452593035001E-2</v>
      </c>
    </row>
    <row r="95" spans="1:5" x14ac:dyDescent="0.3">
      <c r="A95" s="74">
        <v>43520</v>
      </c>
      <c r="B95">
        <v>34.200000000000003</v>
      </c>
      <c r="C95" s="63">
        <f t="shared" si="2"/>
        <v>1.2433392539964526E-2</v>
      </c>
      <c r="D95">
        <v>1925.35</v>
      </c>
      <c r="E95" s="63">
        <f t="shared" si="3"/>
        <v>-4.3284446558964681E-3</v>
      </c>
    </row>
    <row r="96" spans="1:5" x14ac:dyDescent="0.3">
      <c r="A96" s="74">
        <v>43513</v>
      </c>
      <c r="B96">
        <v>33.78</v>
      </c>
      <c r="C96" s="63">
        <f t="shared" si="2"/>
        <v>2.3946650500151535E-2</v>
      </c>
      <c r="D96">
        <v>1933.72</v>
      </c>
      <c r="E96" s="63">
        <f t="shared" si="3"/>
        <v>1.0297751840377029E-2</v>
      </c>
    </row>
    <row r="97" spans="1:5" x14ac:dyDescent="0.3">
      <c r="A97" s="74">
        <v>43506</v>
      </c>
      <c r="B97">
        <v>32.99</v>
      </c>
      <c r="C97" s="63">
        <f t="shared" si="2"/>
        <v>3.3845189595738068E-2</v>
      </c>
      <c r="D97">
        <v>1914.01</v>
      </c>
      <c r="E97" s="63">
        <f t="shared" si="3"/>
        <v>3.323166617182647E-2</v>
      </c>
    </row>
    <row r="98" spans="1:5" x14ac:dyDescent="0.3">
      <c r="A98" s="74">
        <v>43499</v>
      </c>
      <c r="B98">
        <v>31.91</v>
      </c>
      <c r="C98" s="63">
        <f t="shared" si="2"/>
        <v>0.18668650055782818</v>
      </c>
      <c r="D98">
        <v>1852.45</v>
      </c>
      <c r="E98" s="63">
        <f t="shared" si="3"/>
        <v>5.935314305573691E-3</v>
      </c>
    </row>
    <row r="99" spans="1:5" x14ac:dyDescent="0.3">
      <c r="A99" s="74">
        <v>43492</v>
      </c>
      <c r="B99">
        <v>26.89</v>
      </c>
      <c r="C99" s="63">
        <f t="shared" si="2"/>
        <v>9.7634247089748993E-3</v>
      </c>
      <c r="D99">
        <v>1841.52</v>
      </c>
      <c r="E99" s="63">
        <f t="shared" si="3"/>
        <v>1.2619805671489162E-2</v>
      </c>
    </row>
    <row r="100" spans="1:5" x14ac:dyDescent="0.3">
      <c r="A100" s="74">
        <v>43485</v>
      </c>
      <c r="B100">
        <v>26.63</v>
      </c>
      <c r="C100" s="63">
        <f t="shared" si="2"/>
        <v>1.504324934185752E-3</v>
      </c>
      <c r="D100">
        <v>1818.57</v>
      </c>
      <c r="E100" s="63">
        <f t="shared" si="3"/>
        <v>7.2637226578618037E-4</v>
      </c>
    </row>
    <row r="101" spans="1:5" x14ac:dyDescent="0.3">
      <c r="A101" s="74">
        <v>43478</v>
      </c>
      <c r="B101">
        <v>26.59</v>
      </c>
      <c r="C101" s="63">
        <f t="shared" si="2"/>
        <v>5.2235852789869419E-2</v>
      </c>
      <c r="D101">
        <v>1817.25</v>
      </c>
      <c r="E101" s="63">
        <f t="shared" si="3"/>
        <v>3.0409045032376653E-2</v>
      </c>
    </row>
    <row r="102" spans="1:5" x14ac:dyDescent="0.3">
      <c r="A102" s="74">
        <v>43471</v>
      </c>
      <c r="B102">
        <v>25.27</v>
      </c>
      <c r="C102" s="63">
        <f t="shared" si="2"/>
        <v>9.4413165872672136E-2</v>
      </c>
      <c r="D102">
        <v>1763.62</v>
      </c>
      <c r="E102" s="63">
        <f t="shared" si="3"/>
        <v>4.7068881579728543E-2</v>
      </c>
    </row>
    <row r="103" spans="1:5" x14ac:dyDescent="0.3">
      <c r="A103" s="74">
        <v>43464</v>
      </c>
      <c r="B103">
        <v>23.09</v>
      </c>
      <c r="C103" s="63">
        <f t="shared" si="2"/>
        <v>-3.0224525043178016E-3</v>
      </c>
      <c r="D103">
        <v>1684.34</v>
      </c>
      <c r="E103" s="63">
        <f t="shared" si="3"/>
        <v>2.2988296315191656E-2</v>
      </c>
    </row>
    <row r="104" spans="1:5" x14ac:dyDescent="0.3">
      <c r="A104" s="74">
        <v>43457</v>
      </c>
      <c r="B104">
        <v>23.16</v>
      </c>
      <c r="C104" s="63">
        <f t="shared" si="2"/>
        <v>5.1293690422151567E-2</v>
      </c>
      <c r="D104">
        <v>1646.49</v>
      </c>
      <c r="E104" s="63">
        <f t="shared" si="3"/>
        <v>2.1807800912278588E-2</v>
      </c>
    </row>
    <row r="105" spans="1:5" x14ac:dyDescent="0.3">
      <c r="A105" s="74">
        <v>43450</v>
      </c>
      <c r="B105">
        <v>22.03</v>
      </c>
      <c r="C105" s="63">
        <f t="shared" si="2"/>
        <v>-3.7991266375545743E-2</v>
      </c>
      <c r="D105">
        <v>1611.35</v>
      </c>
      <c r="E105" s="63">
        <f t="shared" si="3"/>
        <v>-7.0094239991689816E-2</v>
      </c>
    </row>
    <row r="106" spans="1:5" x14ac:dyDescent="0.3">
      <c r="A106" s="74">
        <v>43443</v>
      </c>
      <c r="B106">
        <v>22.9</v>
      </c>
      <c r="C106" s="63">
        <f t="shared" si="2"/>
        <v>-6.872712484749903E-2</v>
      </c>
      <c r="D106">
        <v>1732.81</v>
      </c>
      <c r="E106" s="63">
        <f t="shared" si="3"/>
        <v>-2.7025054184868724E-2</v>
      </c>
    </row>
    <row r="107" spans="1:5" x14ac:dyDescent="0.3">
      <c r="A107" s="74">
        <v>43436</v>
      </c>
      <c r="B107">
        <v>24.59</v>
      </c>
      <c r="C107" s="63">
        <f t="shared" si="2"/>
        <v>-8.925925925925926E-2</v>
      </c>
      <c r="D107">
        <v>1780.94</v>
      </c>
      <c r="E107" s="63">
        <f t="shared" si="3"/>
        <v>-5.2010752401990809E-2</v>
      </c>
    </row>
    <row r="108" spans="1:5" x14ac:dyDescent="0.3">
      <c r="A108" s="74">
        <v>43429</v>
      </c>
      <c r="B108">
        <v>27</v>
      </c>
      <c r="C108" s="63">
        <f t="shared" si="2"/>
        <v>3.0534351145038195E-2</v>
      </c>
      <c r="D108">
        <v>1878.65</v>
      </c>
      <c r="E108" s="63">
        <f t="shared" si="3"/>
        <v>2.9464951120073638E-2</v>
      </c>
    </row>
    <row r="109" spans="1:5" x14ac:dyDescent="0.3">
      <c r="A109" s="74">
        <v>43422</v>
      </c>
      <c r="B109">
        <v>26.2</v>
      </c>
      <c r="C109" s="63">
        <f t="shared" si="2"/>
        <v>-3.9941370465371925E-2</v>
      </c>
      <c r="D109">
        <v>1824.88</v>
      </c>
      <c r="E109" s="63">
        <f t="shared" si="3"/>
        <v>-2.1721882706121999E-2</v>
      </c>
    </row>
    <row r="110" spans="1:5" x14ac:dyDescent="0.3">
      <c r="A110" s="74">
        <v>43415</v>
      </c>
      <c r="B110">
        <v>27.29</v>
      </c>
      <c r="C110" s="63">
        <f t="shared" si="2"/>
        <v>-5.7340241796200349E-2</v>
      </c>
      <c r="D110">
        <v>1865.4</v>
      </c>
      <c r="E110" s="63">
        <f t="shared" si="3"/>
        <v>-9.1047202184282271E-3</v>
      </c>
    </row>
    <row r="111" spans="1:5" x14ac:dyDescent="0.3">
      <c r="A111" s="74">
        <v>43408</v>
      </c>
      <c r="B111">
        <v>28.95</v>
      </c>
      <c r="C111" s="63">
        <f t="shared" si="2"/>
        <v>-9.917920656634719E-3</v>
      </c>
      <c r="D111">
        <v>1882.54</v>
      </c>
      <c r="E111" s="63">
        <f t="shared" si="3"/>
        <v>1.0814003436426047E-2</v>
      </c>
    </row>
    <row r="112" spans="1:5" x14ac:dyDescent="0.3">
      <c r="A112" s="74">
        <v>43401</v>
      </c>
      <c r="B112">
        <v>29.24</v>
      </c>
      <c r="C112" s="63">
        <f t="shared" si="2"/>
        <v>0.10007524454477051</v>
      </c>
      <c r="D112">
        <v>1862.4</v>
      </c>
      <c r="E112" s="63">
        <f t="shared" si="3"/>
        <v>3.7490947579522135E-2</v>
      </c>
    </row>
    <row r="113" spans="1:5" x14ac:dyDescent="0.3">
      <c r="A113" s="74">
        <v>43394</v>
      </c>
      <c r="B113">
        <v>26.58</v>
      </c>
      <c r="C113" s="63">
        <f t="shared" si="2"/>
        <v>-0.10565275908479141</v>
      </c>
      <c r="D113">
        <v>1795.1</v>
      </c>
      <c r="E113" s="63">
        <f t="shared" si="3"/>
        <v>-4.1166133417371374E-2</v>
      </c>
    </row>
    <row r="114" spans="1:5" x14ac:dyDescent="0.3">
      <c r="A114" s="74">
        <v>43387</v>
      </c>
      <c r="B114">
        <v>29.72</v>
      </c>
      <c r="C114" s="63">
        <f t="shared" si="2"/>
        <v>0.15912636505460212</v>
      </c>
      <c r="D114">
        <v>1872.17</v>
      </c>
      <c r="E114" s="63">
        <f t="shared" si="3"/>
        <v>4.916499665999053E-4</v>
      </c>
    </row>
    <row r="115" spans="1:5" x14ac:dyDescent="0.3">
      <c r="A115" s="74">
        <v>43380</v>
      </c>
      <c r="B115">
        <v>25.64</v>
      </c>
      <c r="C115" s="63">
        <f t="shared" si="2"/>
        <v>-1.6494054468738001E-2</v>
      </c>
      <c r="D115">
        <v>1871.25</v>
      </c>
      <c r="E115" s="63">
        <f t="shared" si="3"/>
        <v>-4.9156753845293936E-2</v>
      </c>
    </row>
    <row r="116" spans="1:5" x14ac:dyDescent="0.3">
      <c r="A116" s="74">
        <v>43373</v>
      </c>
      <c r="B116">
        <v>26.07</v>
      </c>
      <c r="C116" s="63">
        <f t="shared" si="2"/>
        <v>-6.6595059076262064E-2</v>
      </c>
      <c r="D116">
        <v>1967.99</v>
      </c>
      <c r="E116" s="63">
        <f t="shared" si="3"/>
        <v>-2.5530439949493673E-2</v>
      </c>
    </row>
    <row r="117" spans="1:5" x14ac:dyDescent="0.3">
      <c r="A117" s="74">
        <v>43366</v>
      </c>
      <c r="B117">
        <v>27.93</v>
      </c>
      <c r="C117" s="63">
        <f t="shared" si="2"/>
        <v>3.5211267605633777E-2</v>
      </c>
      <c r="D117">
        <v>2019.55</v>
      </c>
      <c r="E117" s="63">
        <f t="shared" si="3"/>
        <v>-1.0684053768076159E-2</v>
      </c>
    </row>
    <row r="118" spans="1:5" x14ac:dyDescent="0.3">
      <c r="A118" s="74">
        <v>43359</v>
      </c>
      <c r="B118">
        <v>26.98</v>
      </c>
      <c r="C118" s="63">
        <f t="shared" si="2"/>
        <v>-8.4527747151782583E-3</v>
      </c>
      <c r="D118">
        <v>2041.36</v>
      </c>
      <c r="E118" s="63">
        <f t="shared" si="3"/>
        <v>-2.5408490344773892E-3</v>
      </c>
    </row>
    <row r="119" spans="1:5" x14ac:dyDescent="0.3">
      <c r="A119" s="74">
        <v>43352</v>
      </c>
      <c r="B119">
        <v>27.21</v>
      </c>
      <c r="C119" s="63">
        <f t="shared" si="2"/>
        <v>-3.6131774707757691E-2</v>
      </c>
      <c r="D119">
        <v>2046.56</v>
      </c>
      <c r="E119" s="63">
        <f t="shared" si="3"/>
        <v>9.5252188925884548E-3</v>
      </c>
    </row>
    <row r="120" spans="1:5" x14ac:dyDescent="0.3">
      <c r="A120" s="74">
        <v>43345</v>
      </c>
      <c r="B120">
        <v>28.23</v>
      </c>
      <c r="C120" s="63">
        <f t="shared" si="2"/>
        <v>-4.2401628222523746E-2</v>
      </c>
      <c r="D120">
        <v>2027.25</v>
      </c>
      <c r="E120" s="63">
        <f t="shared" si="3"/>
        <v>-8.5342593045434761E-3</v>
      </c>
    </row>
    <row r="121" spans="1:5" x14ac:dyDescent="0.3">
      <c r="A121" s="74">
        <v>43338</v>
      </c>
      <c r="B121">
        <v>29.48</v>
      </c>
      <c r="C121" s="63">
        <f t="shared" si="2"/>
        <v>7.5187969924811636E-3</v>
      </c>
      <c r="D121">
        <v>2044.7</v>
      </c>
      <c r="E121" s="63">
        <f t="shared" si="3"/>
        <v>4.7172129133704176E-3</v>
      </c>
    </row>
    <row r="122" spans="1:5" x14ac:dyDescent="0.3">
      <c r="A122" s="74">
        <v>43331</v>
      </c>
      <c r="B122">
        <v>29.26</v>
      </c>
      <c r="C122" s="63">
        <f t="shared" si="2"/>
        <v>-2.4666666666666615E-2</v>
      </c>
      <c r="D122">
        <v>2035.1</v>
      </c>
      <c r="E122" s="63">
        <f t="shared" si="3"/>
        <v>1.239186345569317E-2</v>
      </c>
    </row>
    <row r="123" spans="1:5" x14ac:dyDescent="0.3">
      <c r="A123" s="74">
        <v>43324</v>
      </c>
      <c r="B123">
        <v>30</v>
      </c>
      <c r="C123" s="63">
        <f t="shared" si="2"/>
        <v>2.4240355069989786E-2</v>
      </c>
      <c r="D123">
        <v>2010.19</v>
      </c>
      <c r="E123" s="63">
        <f t="shared" si="3"/>
        <v>7.0991272632539119E-3</v>
      </c>
    </row>
    <row r="124" spans="1:5" x14ac:dyDescent="0.3">
      <c r="A124" s="74">
        <v>43317</v>
      </c>
      <c r="B124">
        <v>29.29</v>
      </c>
      <c r="C124" s="63">
        <f t="shared" si="2"/>
        <v>4.1607396870554696E-2</v>
      </c>
      <c r="D124">
        <v>1996.02</v>
      </c>
      <c r="E124" s="63">
        <f t="shared" si="3"/>
        <v>-2.0099598008039747E-3</v>
      </c>
    </row>
    <row r="125" spans="1:5" x14ac:dyDescent="0.3">
      <c r="A125" s="74">
        <v>43310</v>
      </c>
      <c r="B125">
        <v>28.12</v>
      </c>
      <c r="C125" s="63">
        <f t="shared" si="2"/>
        <v>3.5688793718772812E-3</v>
      </c>
      <c r="D125">
        <v>2000.04</v>
      </c>
      <c r="E125" s="63">
        <f t="shared" si="3"/>
        <v>1.2565688885288695E-2</v>
      </c>
    </row>
    <row r="126" spans="1:5" x14ac:dyDescent="0.3">
      <c r="A126" s="74">
        <v>43303</v>
      </c>
      <c r="B126">
        <v>28.02</v>
      </c>
      <c r="C126" s="63">
        <f t="shared" si="2"/>
        <v>6.6615911686334225E-2</v>
      </c>
      <c r="D126">
        <v>1975.22</v>
      </c>
      <c r="E126" s="63">
        <f t="shared" si="3"/>
        <v>-1.15794951860525E-2</v>
      </c>
    </row>
    <row r="127" spans="1:5" x14ac:dyDescent="0.3">
      <c r="A127" s="74">
        <v>43296</v>
      </c>
      <c r="B127">
        <v>26.27</v>
      </c>
      <c r="C127" s="63">
        <f t="shared" si="2"/>
        <v>-0.16043464365612015</v>
      </c>
      <c r="D127">
        <v>1998.36</v>
      </c>
      <c r="E127" s="63">
        <f t="shared" si="3"/>
        <v>1.006837478398072E-3</v>
      </c>
    </row>
    <row r="128" spans="1:5" x14ac:dyDescent="0.3">
      <c r="A128" s="74">
        <v>43289</v>
      </c>
      <c r="B128">
        <v>31.29</v>
      </c>
      <c r="C128" s="63">
        <f t="shared" si="2"/>
        <v>9.3548387096773922E-3</v>
      </c>
      <c r="D128">
        <v>1996.35</v>
      </c>
      <c r="E128" s="63">
        <f t="shared" si="3"/>
        <v>3.4481198699163602E-3</v>
      </c>
    </row>
    <row r="129" spans="1:5" x14ac:dyDescent="0.3">
      <c r="A129" s="74">
        <v>43282</v>
      </c>
      <c r="B129">
        <v>31</v>
      </c>
      <c r="C129" s="63">
        <f t="shared" si="2"/>
        <v>3.2989003665444799E-2</v>
      </c>
      <c r="D129">
        <v>1989.49</v>
      </c>
      <c r="E129" s="63">
        <f t="shared" si="3"/>
        <v>1.9378276040519112E-2</v>
      </c>
    </row>
    <row r="130" spans="1:5" x14ac:dyDescent="0.3">
      <c r="A130" s="74">
        <v>43275</v>
      </c>
      <c r="B130">
        <v>30.01</v>
      </c>
      <c r="C130" s="63">
        <f t="shared" si="2"/>
        <v>-1.3477975016436558E-2</v>
      </c>
      <c r="D130">
        <v>1951.67</v>
      </c>
      <c r="E130" s="63">
        <f t="shared" si="3"/>
        <v>-1.9069063786370109E-2</v>
      </c>
    </row>
    <row r="131" spans="1:5" x14ac:dyDescent="0.3">
      <c r="A131" s="74">
        <v>43268</v>
      </c>
      <c r="B131">
        <v>30.42</v>
      </c>
      <c r="C131" s="63">
        <f t="shared" si="2"/>
        <v>3.3639143730886917E-2</v>
      </c>
      <c r="D131">
        <v>1989.61</v>
      </c>
      <c r="E131" s="63">
        <f t="shared" si="3"/>
        <v>-1.3852848617475625E-3</v>
      </c>
    </row>
    <row r="132" spans="1:5" x14ac:dyDescent="0.3">
      <c r="A132" s="74">
        <v>43261</v>
      </c>
      <c r="B132">
        <v>29.43</v>
      </c>
      <c r="C132" s="63">
        <f t="shared" si="2"/>
        <v>2.2940563086548495E-2</v>
      </c>
      <c r="D132">
        <v>1992.37</v>
      </c>
      <c r="E132" s="63">
        <f t="shared" si="3"/>
        <v>-4.148610215577872E-3</v>
      </c>
    </row>
    <row r="133" spans="1:5" x14ac:dyDescent="0.3">
      <c r="A133" s="74">
        <v>43254</v>
      </c>
      <c r="B133">
        <v>28.77</v>
      </c>
      <c r="C133" s="63">
        <f t="shared" si="2"/>
        <v>-2.3752969121140121E-2</v>
      </c>
      <c r="D133">
        <v>2000.67</v>
      </c>
      <c r="E133" s="63">
        <f t="shared" si="3"/>
        <v>2.1620462332701918E-2</v>
      </c>
    </row>
    <row r="134" spans="1:5" x14ac:dyDescent="0.3">
      <c r="A134" s="74">
        <v>43247</v>
      </c>
      <c r="B134">
        <v>29.47</v>
      </c>
      <c r="C134" s="63">
        <f t="shared" ref="C134:C197" si="4">(B134-B135)/B135</f>
        <v>-4.3492372606296653E-2</v>
      </c>
      <c r="D134">
        <v>1958.33</v>
      </c>
      <c r="E134" s="63">
        <f t="shared" ref="E134:E197" si="5">(D134-D135)/D135</f>
        <v>5.8863714577758334E-3</v>
      </c>
    </row>
    <row r="135" spans="1:5" x14ac:dyDescent="0.3">
      <c r="A135" s="74">
        <v>43240</v>
      </c>
      <c r="B135">
        <v>30.81</v>
      </c>
      <c r="C135" s="63">
        <f t="shared" si="4"/>
        <v>1.3486842105263163E-2</v>
      </c>
      <c r="D135">
        <v>1946.87</v>
      </c>
      <c r="E135" s="63">
        <f t="shared" si="5"/>
        <v>1.8009951784786222E-3</v>
      </c>
    </row>
    <row r="136" spans="1:5" x14ac:dyDescent="0.3">
      <c r="A136" s="74">
        <v>43233</v>
      </c>
      <c r="B136">
        <v>30.4</v>
      </c>
      <c r="C136" s="63">
        <f t="shared" si="4"/>
        <v>4.7553411440385905E-2</v>
      </c>
      <c r="D136">
        <v>1943.37</v>
      </c>
      <c r="E136" s="63">
        <f t="shared" si="5"/>
        <v>2.2072209129024301E-3</v>
      </c>
    </row>
    <row r="137" spans="1:5" x14ac:dyDescent="0.3">
      <c r="A137" s="74">
        <v>43226</v>
      </c>
      <c r="B137">
        <v>29.02</v>
      </c>
      <c r="C137" s="63">
        <f t="shared" si="4"/>
        <v>1.2207882804325004E-2</v>
      </c>
      <c r="D137">
        <v>1939.09</v>
      </c>
      <c r="E137" s="63">
        <f t="shared" si="5"/>
        <v>2.1945242298874738E-2</v>
      </c>
    </row>
    <row r="138" spans="1:5" x14ac:dyDescent="0.3">
      <c r="A138" s="74">
        <v>43219</v>
      </c>
      <c r="B138">
        <v>28.67</v>
      </c>
      <c r="C138" s="63">
        <f t="shared" si="4"/>
        <v>-1.4099037138926981E-2</v>
      </c>
      <c r="D138">
        <v>1897.45</v>
      </c>
      <c r="E138" s="63">
        <f t="shared" si="5"/>
        <v>2.7586498470059282E-3</v>
      </c>
    </row>
    <row r="139" spans="1:5" x14ac:dyDescent="0.3">
      <c r="A139" s="74">
        <v>43212</v>
      </c>
      <c r="B139">
        <v>29.08</v>
      </c>
      <c r="C139" s="63">
        <f t="shared" si="4"/>
        <v>-5.2768729641693844E-2</v>
      </c>
      <c r="D139">
        <v>1892.23</v>
      </c>
      <c r="E139" s="63">
        <f t="shared" si="5"/>
        <v>-4.351486450933955E-3</v>
      </c>
    </row>
    <row r="140" spans="1:5" x14ac:dyDescent="0.3">
      <c r="A140" s="74">
        <v>43205</v>
      </c>
      <c r="B140">
        <v>30.7</v>
      </c>
      <c r="C140" s="63">
        <f t="shared" si="4"/>
        <v>-0.26869938065745591</v>
      </c>
      <c r="D140">
        <v>1900.5</v>
      </c>
      <c r="E140" s="63">
        <f t="shared" si="5"/>
        <v>8.8329281369104399E-3</v>
      </c>
    </row>
    <row r="141" spans="1:5" x14ac:dyDescent="0.3">
      <c r="A141" s="74">
        <v>43198</v>
      </c>
      <c r="B141">
        <v>41.98</v>
      </c>
      <c r="C141" s="63">
        <f t="shared" si="4"/>
        <v>4.2722305017386955E-2</v>
      </c>
      <c r="D141">
        <v>1883.86</v>
      </c>
      <c r="E141" s="63">
        <f t="shared" si="5"/>
        <v>1.6061874352778723E-2</v>
      </c>
    </row>
    <row r="142" spans="1:5" x14ac:dyDescent="0.3">
      <c r="A142" s="74">
        <v>43191</v>
      </c>
      <c r="B142">
        <v>40.26</v>
      </c>
      <c r="C142" s="63">
        <f t="shared" si="4"/>
        <v>3.5227564926716311E-2</v>
      </c>
      <c r="D142">
        <v>1854.08</v>
      </c>
      <c r="E142" s="63">
        <f t="shared" si="5"/>
        <v>-1.3141576669842532E-2</v>
      </c>
    </row>
    <row r="143" spans="1:5" x14ac:dyDescent="0.3">
      <c r="A143" s="74">
        <v>43184</v>
      </c>
      <c r="B143">
        <v>38.89</v>
      </c>
      <c r="C143" s="63">
        <f t="shared" si="4"/>
        <v>2.2344900105152509E-2</v>
      </c>
      <c r="D143">
        <v>1878.77</v>
      </c>
      <c r="E143" s="63">
        <f t="shared" si="5"/>
        <v>2.1364849657781838E-2</v>
      </c>
    </row>
    <row r="144" spans="1:5" x14ac:dyDescent="0.3">
      <c r="A144" s="74">
        <v>43177</v>
      </c>
      <c r="B144">
        <v>38.04</v>
      </c>
      <c r="C144" s="63">
        <f t="shared" si="4"/>
        <v>-5.9812160158180958E-2</v>
      </c>
      <c r="D144">
        <v>1839.47</v>
      </c>
      <c r="E144" s="63">
        <f t="shared" si="5"/>
        <v>-4.9688735050241552E-2</v>
      </c>
    </row>
    <row r="145" spans="1:5" x14ac:dyDescent="0.3">
      <c r="A145" s="74">
        <v>43170</v>
      </c>
      <c r="B145">
        <v>40.46</v>
      </c>
      <c r="C145" s="63">
        <f t="shared" si="4"/>
        <v>-2.223296278395364E-2</v>
      </c>
      <c r="D145">
        <v>1935.65</v>
      </c>
      <c r="E145" s="63">
        <f t="shared" si="5"/>
        <v>-6.8802397052937598E-3</v>
      </c>
    </row>
    <row r="146" spans="1:5" x14ac:dyDescent="0.3">
      <c r="A146" s="74">
        <v>43163</v>
      </c>
      <c r="B146">
        <v>41.38</v>
      </c>
      <c r="C146" s="63">
        <f t="shared" si="4"/>
        <v>-4.8309178743951745E-4</v>
      </c>
      <c r="D146">
        <v>1949.06</v>
      </c>
      <c r="E146" s="63">
        <f t="shared" si="5"/>
        <v>3.7501131155482002E-2</v>
      </c>
    </row>
    <row r="147" spans="1:5" x14ac:dyDescent="0.3">
      <c r="A147" s="74">
        <v>43156</v>
      </c>
      <c r="B147">
        <v>41.4</v>
      </c>
      <c r="C147" s="63">
        <f t="shared" si="4"/>
        <v>4.0985667588634533E-2</v>
      </c>
      <c r="D147">
        <v>1878.61</v>
      </c>
      <c r="E147" s="63">
        <f t="shared" si="5"/>
        <v>-1.3454257101295599E-2</v>
      </c>
    </row>
    <row r="148" spans="1:5" x14ac:dyDescent="0.3">
      <c r="A148" s="74">
        <v>43149</v>
      </c>
      <c r="B148">
        <v>39.770000000000003</v>
      </c>
      <c r="C148" s="63">
        <f t="shared" si="4"/>
        <v>1.4799693799438771E-2</v>
      </c>
      <c r="D148">
        <v>1904.23</v>
      </c>
      <c r="E148" s="63">
        <f t="shared" si="5"/>
        <v>1.5989985219783207E-3</v>
      </c>
    </row>
    <row r="149" spans="1:5" x14ac:dyDescent="0.3">
      <c r="A149" s="74">
        <v>43142</v>
      </c>
      <c r="B149">
        <v>39.19</v>
      </c>
      <c r="C149" s="63">
        <f t="shared" si="4"/>
        <v>-4.5543107647345454E-2</v>
      </c>
      <c r="D149">
        <v>1901.19</v>
      </c>
      <c r="E149" s="63">
        <f t="shared" si="5"/>
        <v>4.4076378553815902E-2</v>
      </c>
    </row>
    <row r="150" spans="1:5" x14ac:dyDescent="0.3">
      <c r="A150" s="74">
        <v>43135</v>
      </c>
      <c r="B150">
        <v>41.06</v>
      </c>
      <c r="C150" s="63">
        <f t="shared" si="4"/>
        <v>1.2077890066551689E-2</v>
      </c>
      <c r="D150">
        <v>1820.93</v>
      </c>
      <c r="E150" s="63">
        <f t="shared" si="5"/>
        <v>-5.0481295691803867E-2</v>
      </c>
    </row>
    <row r="151" spans="1:5" x14ac:dyDescent="0.3">
      <c r="A151" s="74">
        <v>43128</v>
      </c>
      <c r="B151">
        <v>40.57</v>
      </c>
      <c r="C151" s="63">
        <f t="shared" si="4"/>
        <v>-7.8258742968941135E-3</v>
      </c>
      <c r="D151">
        <v>1917.74</v>
      </c>
      <c r="E151" s="63">
        <f t="shared" si="5"/>
        <v>-3.8837627742165065E-2</v>
      </c>
    </row>
    <row r="152" spans="1:5" x14ac:dyDescent="0.3">
      <c r="A152" s="74">
        <v>43121</v>
      </c>
      <c r="B152">
        <v>40.89</v>
      </c>
      <c r="C152" s="63">
        <f t="shared" si="4"/>
        <v>1.2880852117909417E-2</v>
      </c>
      <c r="D152">
        <v>1995.23</v>
      </c>
      <c r="E152" s="63">
        <f t="shared" si="5"/>
        <v>8.0992320129345055E-3</v>
      </c>
    </row>
    <row r="153" spans="1:5" x14ac:dyDescent="0.3">
      <c r="A153" s="74">
        <v>43114</v>
      </c>
      <c r="B153">
        <v>40.369999999999997</v>
      </c>
      <c r="C153" s="63">
        <f t="shared" si="4"/>
        <v>4.7211413748378742E-2</v>
      </c>
      <c r="D153">
        <v>1979.2</v>
      </c>
      <c r="E153" s="63">
        <f t="shared" si="5"/>
        <v>6.7295024847785151E-3</v>
      </c>
    </row>
    <row r="154" spans="1:5" x14ac:dyDescent="0.3">
      <c r="A154" s="74">
        <v>43107</v>
      </c>
      <c r="B154">
        <v>38.549999999999997</v>
      </c>
      <c r="C154" s="63">
        <f t="shared" si="4"/>
        <v>1.9841269841269844E-2</v>
      </c>
      <c r="D154">
        <v>1965.97</v>
      </c>
      <c r="E154" s="63">
        <f t="shared" si="5"/>
        <v>1.5338769902957773E-2</v>
      </c>
    </row>
    <row r="155" spans="1:5" x14ac:dyDescent="0.3">
      <c r="A155" s="74">
        <v>43100</v>
      </c>
      <c r="B155">
        <v>37.799999999999997</v>
      </c>
      <c r="C155" s="63">
        <f t="shared" si="4"/>
        <v>-1.0570824524314547E-3</v>
      </c>
      <c r="D155">
        <v>1936.27</v>
      </c>
      <c r="E155" s="63">
        <f t="shared" si="5"/>
        <v>1.8783838532650754E-2</v>
      </c>
    </row>
    <row r="156" spans="1:5" x14ac:dyDescent="0.3">
      <c r="A156" s="74">
        <v>43093</v>
      </c>
      <c r="B156">
        <v>37.840000000000003</v>
      </c>
      <c r="C156" s="63">
        <f t="shared" si="4"/>
        <v>-1.2526096033402842E-2</v>
      </c>
      <c r="D156">
        <v>1900.57</v>
      </c>
      <c r="E156" s="63">
        <f t="shared" si="5"/>
        <v>-2.1054510705772354E-3</v>
      </c>
    </row>
    <row r="157" spans="1:5" x14ac:dyDescent="0.3">
      <c r="A157" s="74">
        <v>43086</v>
      </c>
      <c r="B157">
        <v>38.32</v>
      </c>
      <c r="C157" s="63">
        <f t="shared" si="4"/>
        <v>4.9829530553369451E-3</v>
      </c>
      <c r="D157">
        <v>1904.58</v>
      </c>
      <c r="E157" s="63">
        <f t="shared" si="5"/>
        <v>9.4929160902541797E-3</v>
      </c>
    </row>
    <row r="158" spans="1:5" x14ac:dyDescent="0.3">
      <c r="A158" s="74">
        <v>43079</v>
      </c>
      <c r="B158">
        <v>38.130000000000003</v>
      </c>
      <c r="C158" s="63">
        <f t="shared" si="4"/>
        <v>6.9865319865319922E-2</v>
      </c>
      <c r="D158">
        <v>1886.67</v>
      </c>
      <c r="E158" s="63">
        <f t="shared" si="5"/>
        <v>-2.215922913383237E-3</v>
      </c>
    </row>
    <row r="159" spans="1:5" x14ac:dyDescent="0.3">
      <c r="A159" s="74">
        <v>43072</v>
      </c>
      <c r="B159">
        <v>35.64</v>
      </c>
      <c r="C159" s="63">
        <f t="shared" si="4"/>
        <v>5.3596614950634051E-3</v>
      </c>
      <c r="D159">
        <v>1890.86</v>
      </c>
      <c r="E159" s="63">
        <f t="shared" si="5"/>
        <v>-1.9634958671579071E-3</v>
      </c>
    </row>
    <row r="160" spans="1:5" x14ac:dyDescent="0.3">
      <c r="A160" s="74">
        <v>43065</v>
      </c>
      <c r="B160">
        <v>35.450000000000003</v>
      </c>
      <c r="C160" s="63">
        <f t="shared" si="4"/>
        <v>5.694692903995241E-2</v>
      </c>
      <c r="D160">
        <v>1894.58</v>
      </c>
      <c r="E160" s="63">
        <f t="shared" si="5"/>
        <v>1.9035171230482022E-2</v>
      </c>
    </row>
    <row r="161" spans="1:5" x14ac:dyDescent="0.3">
      <c r="A161" s="74">
        <v>43058</v>
      </c>
      <c r="B161">
        <v>33.54</v>
      </c>
      <c r="C161" s="63">
        <f t="shared" si="4"/>
        <v>-2.3795359904818054E-3</v>
      </c>
      <c r="D161">
        <v>1859.19</v>
      </c>
      <c r="E161" s="63">
        <f t="shared" si="5"/>
        <v>1.0023142866455906E-2</v>
      </c>
    </row>
    <row r="162" spans="1:5" x14ac:dyDescent="0.3">
      <c r="A162" s="74">
        <v>43051</v>
      </c>
      <c r="B162">
        <v>33.619999999999997</v>
      </c>
      <c r="C162" s="63">
        <f t="shared" si="4"/>
        <v>5.062499999999992E-2</v>
      </c>
      <c r="D162">
        <v>1840.74</v>
      </c>
      <c r="E162" s="63">
        <f t="shared" si="5"/>
        <v>8.2103245241681548E-3</v>
      </c>
    </row>
    <row r="163" spans="1:5" x14ac:dyDescent="0.3">
      <c r="A163" s="74">
        <v>43044</v>
      </c>
      <c r="B163">
        <v>32</v>
      </c>
      <c r="C163" s="63">
        <f t="shared" si="4"/>
        <v>2.3672424824056251E-2</v>
      </c>
      <c r="D163">
        <v>1825.75</v>
      </c>
      <c r="E163" s="63">
        <f t="shared" si="5"/>
        <v>-5.5719561215263882E-3</v>
      </c>
    </row>
    <row r="164" spans="1:5" x14ac:dyDescent="0.3">
      <c r="A164" s="74">
        <v>43037</v>
      </c>
      <c r="B164">
        <v>31.26</v>
      </c>
      <c r="C164" s="63">
        <f t="shared" si="4"/>
        <v>-5.1001821493624658E-2</v>
      </c>
      <c r="D164">
        <v>1835.98</v>
      </c>
      <c r="E164" s="63">
        <f t="shared" si="5"/>
        <v>-1.7073382922266479E-3</v>
      </c>
    </row>
    <row r="165" spans="1:5" x14ac:dyDescent="0.3">
      <c r="A165" s="74">
        <v>43030</v>
      </c>
      <c r="B165">
        <v>32.94</v>
      </c>
      <c r="C165" s="63">
        <f t="shared" si="4"/>
        <v>-3.0891438658429072E-2</v>
      </c>
      <c r="D165">
        <v>1839.12</v>
      </c>
      <c r="E165" s="63">
        <f t="shared" si="5"/>
        <v>2.6331714178237505E-3</v>
      </c>
    </row>
    <row r="166" spans="1:5" x14ac:dyDescent="0.3">
      <c r="A166" s="74">
        <v>43023</v>
      </c>
      <c r="B166">
        <v>33.99</v>
      </c>
      <c r="C166" s="63">
        <f t="shared" si="4"/>
        <v>0.39589322381930186</v>
      </c>
      <c r="D166">
        <v>1834.29</v>
      </c>
      <c r="E166" s="63">
        <f t="shared" si="5"/>
        <v>8.5055145643879154E-3</v>
      </c>
    </row>
    <row r="167" spans="1:5" x14ac:dyDescent="0.3">
      <c r="A167" s="74">
        <v>43016</v>
      </c>
      <c r="B167">
        <v>24.35</v>
      </c>
      <c r="C167" s="63">
        <f t="shared" si="4"/>
        <v>-4.5472363778910237E-2</v>
      </c>
      <c r="D167">
        <v>1818.82</v>
      </c>
      <c r="E167" s="63">
        <f t="shared" si="5"/>
        <v>2.1447072474600214E-4</v>
      </c>
    </row>
    <row r="168" spans="1:5" x14ac:dyDescent="0.3">
      <c r="A168" s="74">
        <v>43009</v>
      </c>
      <c r="B168">
        <v>25.51</v>
      </c>
      <c r="C168" s="63">
        <f t="shared" si="4"/>
        <v>1.67397369469909E-2</v>
      </c>
      <c r="D168">
        <v>1818.43</v>
      </c>
      <c r="E168" s="63">
        <f t="shared" si="5"/>
        <v>1.2522690067596917E-2</v>
      </c>
    </row>
    <row r="169" spans="1:5" x14ac:dyDescent="0.3">
      <c r="A169" s="74">
        <v>43002</v>
      </c>
      <c r="B169">
        <v>25.09</v>
      </c>
      <c r="C169" s="63">
        <f t="shared" si="4"/>
        <v>1.0878323932312634E-2</v>
      </c>
      <c r="D169">
        <v>1795.94</v>
      </c>
      <c r="E169" s="63">
        <f t="shared" si="5"/>
        <v>1.5429847623893909E-2</v>
      </c>
    </row>
    <row r="170" spans="1:5" x14ac:dyDescent="0.3">
      <c r="A170" s="74">
        <v>42995</v>
      </c>
      <c r="B170">
        <v>24.82</v>
      </c>
      <c r="C170" s="63">
        <f t="shared" si="4"/>
        <v>-5.9492231906025018E-2</v>
      </c>
      <c r="D170">
        <v>1768.65</v>
      </c>
      <c r="E170" s="63">
        <f t="shared" si="5"/>
        <v>8.4040800269113061E-3</v>
      </c>
    </row>
    <row r="171" spans="1:5" x14ac:dyDescent="0.3">
      <c r="A171" s="74">
        <v>42988</v>
      </c>
      <c r="B171">
        <v>26.39</v>
      </c>
      <c r="C171" s="63">
        <f t="shared" si="4"/>
        <v>1.6955684007707177E-2</v>
      </c>
      <c r="D171">
        <v>1753.91</v>
      </c>
      <c r="E171" s="63">
        <f t="shared" si="5"/>
        <v>2.0254902302962709E-2</v>
      </c>
    </row>
    <row r="172" spans="1:5" x14ac:dyDescent="0.3">
      <c r="A172" s="74">
        <v>42981</v>
      </c>
      <c r="B172">
        <v>25.95</v>
      </c>
      <c r="C172" s="63">
        <f t="shared" si="4"/>
        <v>-2.9906542056074792E-2</v>
      </c>
      <c r="D172">
        <v>1719.09</v>
      </c>
      <c r="E172" s="63">
        <f t="shared" si="5"/>
        <v>-1.0760793881884488E-2</v>
      </c>
    </row>
    <row r="173" spans="1:5" x14ac:dyDescent="0.3">
      <c r="A173" s="74">
        <v>42974</v>
      </c>
      <c r="B173">
        <v>26.75</v>
      </c>
      <c r="C173" s="63">
        <f t="shared" si="4"/>
        <v>-2.9038112522686052E-2</v>
      </c>
      <c r="D173">
        <v>1737.79</v>
      </c>
      <c r="E173" s="63">
        <f t="shared" si="5"/>
        <v>1.6863958992843604E-2</v>
      </c>
    </row>
    <row r="174" spans="1:5" x14ac:dyDescent="0.3">
      <c r="A174" s="74">
        <v>42967</v>
      </c>
      <c r="B174">
        <v>27.55</v>
      </c>
      <c r="C174" s="63">
        <f t="shared" si="4"/>
        <v>2.2263450834879461E-2</v>
      </c>
      <c r="D174">
        <v>1708.97</v>
      </c>
      <c r="E174" s="63">
        <f t="shared" si="5"/>
        <v>9.8504993204514991E-3</v>
      </c>
    </row>
    <row r="175" spans="1:5" x14ac:dyDescent="0.3">
      <c r="A175" s="74">
        <v>42960</v>
      </c>
      <c r="B175">
        <v>26.95</v>
      </c>
      <c r="C175" s="63">
        <f t="shared" si="4"/>
        <v>-8.1145584725536971E-2</v>
      </c>
      <c r="D175">
        <v>1692.3</v>
      </c>
      <c r="E175" s="63">
        <f t="shared" si="5"/>
        <v>-1.0958183571491189E-2</v>
      </c>
    </row>
    <row r="176" spans="1:5" x14ac:dyDescent="0.3">
      <c r="A176" s="74">
        <v>42953</v>
      </c>
      <c r="B176">
        <v>29.33</v>
      </c>
      <c r="C176" s="63">
        <f t="shared" si="4"/>
        <v>4.9749463135289801E-2</v>
      </c>
      <c r="D176">
        <v>1711.05</v>
      </c>
      <c r="E176" s="63">
        <f t="shared" si="5"/>
        <v>-2.3083335236485751E-2</v>
      </c>
    </row>
    <row r="177" spans="1:5" x14ac:dyDescent="0.3">
      <c r="A177" s="74">
        <v>42946</v>
      </c>
      <c r="B177">
        <v>27.94</v>
      </c>
      <c r="C177" s="63">
        <f t="shared" si="4"/>
        <v>-1.999298491757279E-2</v>
      </c>
      <c r="D177">
        <v>1751.48</v>
      </c>
      <c r="E177" s="63">
        <f t="shared" si="5"/>
        <v>-6.1622615386360755E-3</v>
      </c>
    </row>
    <row r="178" spans="1:5" x14ac:dyDescent="0.3">
      <c r="A178" s="74">
        <v>42939</v>
      </c>
      <c r="B178">
        <v>28.51</v>
      </c>
      <c r="C178" s="63">
        <f t="shared" si="4"/>
        <v>3.5087719298251097E-4</v>
      </c>
      <c r="D178">
        <v>1762.34</v>
      </c>
      <c r="E178" s="63">
        <f t="shared" si="5"/>
        <v>-6.5279155768017466E-3</v>
      </c>
    </row>
    <row r="179" spans="1:5" x14ac:dyDescent="0.3">
      <c r="A179" s="74">
        <v>42932</v>
      </c>
      <c r="B179">
        <v>28.5</v>
      </c>
      <c r="C179" s="63">
        <f t="shared" si="4"/>
        <v>-9.0403337969402493E-3</v>
      </c>
      <c r="D179">
        <v>1773.92</v>
      </c>
      <c r="E179" s="63">
        <f t="shared" si="5"/>
        <v>4.8716380033082592E-3</v>
      </c>
    </row>
    <row r="180" spans="1:5" x14ac:dyDescent="0.3">
      <c r="A180" s="74">
        <v>42925</v>
      </c>
      <c r="B180">
        <v>28.76</v>
      </c>
      <c r="C180" s="63">
        <f t="shared" si="4"/>
        <v>-1.5742642026009491E-2</v>
      </c>
      <c r="D180">
        <v>1765.32</v>
      </c>
      <c r="E180" s="63">
        <f t="shared" si="5"/>
        <v>1.0278362787290562E-2</v>
      </c>
    </row>
    <row r="181" spans="1:5" x14ac:dyDescent="0.3">
      <c r="A181" s="74">
        <v>42918</v>
      </c>
      <c r="B181">
        <v>29.22</v>
      </c>
      <c r="C181" s="63">
        <f t="shared" si="4"/>
        <v>-9.4915254237288513E-3</v>
      </c>
      <c r="D181">
        <v>1747.36</v>
      </c>
      <c r="E181" s="63">
        <f t="shared" si="5"/>
        <v>4.0649242836275667E-4</v>
      </c>
    </row>
    <row r="182" spans="1:5" x14ac:dyDescent="0.3">
      <c r="A182" s="74">
        <v>42911</v>
      </c>
      <c r="B182">
        <v>29.5</v>
      </c>
      <c r="C182" s="63">
        <f t="shared" si="4"/>
        <v>2.2530329289428025E-2</v>
      </c>
      <c r="D182">
        <v>1746.65</v>
      </c>
      <c r="E182" s="63">
        <f t="shared" si="5"/>
        <v>1.5482095243556555E-3</v>
      </c>
    </row>
    <row r="183" spans="1:5" x14ac:dyDescent="0.3">
      <c r="A183" s="74">
        <v>42904</v>
      </c>
      <c r="B183">
        <v>28.85</v>
      </c>
      <c r="C183" s="63">
        <f t="shared" si="4"/>
        <v>5.0619082301529519E-2</v>
      </c>
      <c r="D183">
        <v>1743.95</v>
      </c>
      <c r="E183" s="63">
        <f t="shared" si="5"/>
        <v>-5.4235625563172187E-3</v>
      </c>
    </row>
    <row r="184" spans="1:5" x14ac:dyDescent="0.3">
      <c r="A184" s="74">
        <v>42897</v>
      </c>
      <c r="B184">
        <v>27.46</v>
      </c>
      <c r="C184" s="63">
        <f t="shared" si="4"/>
        <v>5.1244509516837691E-3</v>
      </c>
      <c r="D184">
        <v>1753.46</v>
      </c>
      <c r="E184" s="63">
        <f t="shared" si="5"/>
        <v>-2.3214265393674835E-3</v>
      </c>
    </row>
    <row r="185" spans="1:5" x14ac:dyDescent="0.3">
      <c r="A185" s="74">
        <v>42890</v>
      </c>
      <c r="B185">
        <v>27.32</v>
      </c>
      <c r="C185" s="63">
        <f t="shared" si="4"/>
        <v>3.4456645210147678E-2</v>
      </c>
      <c r="D185">
        <v>1757.54</v>
      </c>
      <c r="E185" s="63">
        <f t="shared" si="5"/>
        <v>3.6719566446425777E-3</v>
      </c>
    </row>
    <row r="186" spans="1:5" x14ac:dyDescent="0.3">
      <c r="A186" s="74">
        <v>42883</v>
      </c>
      <c r="B186">
        <v>26.41</v>
      </c>
      <c r="C186" s="63">
        <f t="shared" si="4"/>
        <v>6.1495176848874643E-2</v>
      </c>
      <c r="D186">
        <v>1751.11</v>
      </c>
      <c r="E186" s="63">
        <f t="shared" si="5"/>
        <v>1.3802127055990042E-2</v>
      </c>
    </row>
    <row r="187" spans="1:5" x14ac:dyDescent="0.3">
      <c r="A187" s="74">
        <v>42876</v>
      </c>
      <c r="B187">
        <v>24.88</v>
      </c>
      <c r="C187" s="63">
        <f t="shared" si="4"/>
        <v>6.098081023454157E-2</v>
      </c>
      <c r="D187">
        <v>1727.27</v>
      </c>
      <c r="E187" s="63">
        <f t="shared" si="5"/>
        <v>8.8722489603289892E-3</v>
      </c>
    </row>
    <row r="188" spans="1:5" x14ac:dyDescent="0.3">
      <c r="A188" s="74">
        <v>42869</v>
      </c>
      <c r="B188">
        <v>23.45</v>
      </c>
      <c r="C188" s="63">
        <f t="shared" si="4"/>
        <v>-1.6771488469601765E-2</v>
      </c>
      <c r="D188">
        <v>1712.08</v>
      </c>
      <c r="E188" s="63">
        <f t="shared" si="5"/>
        <v>-4.2167588537395384E-3</v>
      </c>
    </row>
    <row r="189" spans="1:5" x14ac:dyDescent="0.3">
      <c r="A189" s="74">
        <v>42862</v>
      </c>
      <c r="B189">
        <v>23.85</v>
      </c>
      <c r="C189" s="63">
        <f t="shared" si="4"/>
        <v>-2.9304029304029259E-2</v>
      </c>
      <c r="D189">
        <v>1719.33</v>
      </c>
      <c r="E189" s="63">
        <f t="shared" si="5"/>
        <v>-1.1038124381657993E-2</v>
      </c>
    </row>
    <row r="190" spans="1:5" x14ac:dyDescent="0.3">
      <c r="A190" s="74">
        <v>42855</v>
      </c>
      <c r="B190">
        <v>24.57</v>
      </c>
      <c r="C190" s="63">
        <f t="shared" si="4"/>
        <v>-2.693069306930692E-2</v>
      </c>
      <c r="D190">
        <v>1738.52</v>
      </c>
      <c r="E190" s="63">
        <f t="shared" si="5"/>
        <v>3.3241764583669931E-3</v>
      </c>
    </row>
    <row r="191" spans="1:5" x14ac:dyDescent="0.3">
      <c r="A191" s="74">
        <v>42848</v>
      </c>
      <c r="B191">
        <v>25.25</v>
      </c>
      <c r="C191" s="63">
        <f t="shared" si="4"/>
        <v>-9.0266875981161853E-3</v>
      </c>
      <c r="D191">
        <v>1732.76</v>
      </c>
      <c r="E191" s="63">
        <f t="shared" si="5"/>
        <v>8.791029656625822E-3</v>
      </c>
    </row>
    <row r="192" spans="1:5" x14ac:dyDescent="0.3">
      <c r="A192" s="74">
        <v>42841</v>
      </c>
      <c r="B192">
        <v>25.48</v>
      </c>
      <c r="C192" s="63">
        <f t="shared" si="4"/>
        <v>2.0424509411293614E-2</v>
      </c>
      <c r="D192">
        <v>1717.66</v>
      </c>
      <c r="E192" s="63">
        <f t="shared" si="5"/>
        <v>2.1784133631561484E-2</v>
      </c>
    </row>
    <row r="193" spans="1:5" x14ac:dyDescent="0.3">
      <c r="A193" s="74">
        <v>42834</v>
      </c>
      <c r="B193">
        <v>24.97</v>
      </c>
      <c r="C193" s="63">
        <f t="shared" si="4"/>
        <v>4.8289738430582468E-3</v>
      </c>
      <c r="D193">
        <v>1681.04</v>
      </c>
      <c r="E193" s="63">
        <f t="shared" si="5"/>
        <v>-1.4850150611235565E-2</v>
      </c>
    </row>
    <row r="194" spans="1:5" x14ac:dyDescent="0.3">
      <c r="A194" s="74">
        <v>42827</v>
      </c>
      <c r="B194">
        <v>24.85</v>
      </c>
      <c r="C194" s="63">
        <f t="shared" si="4"/>
        <v>-9.4717668488160212E-2</v>
      </c>
      <c r="D194">
        <v>1706.38</v>
      </c>
      <c r="E194" s="63">
        <f t="shared" si="5"/>
        <v>-7.7166865350507263E-3</v>
      </c>
    </row>
    <row r="195" spans="1:5" x14ac:dyDescent="0.3">
      <c r="A195" s="74">
        <v>42820</v>
      </c>
      <c r="B195">
        <v>27.45</v>
      </c>
      <c r="C195" s="63">
        <f t="shared" si="4"/>
        <v>-4.9186006234845918E-2</v>
      </c>
      <c r="D195">
        <v>1719.65</v>
      </c>
      <c r="E195" s="63">
        <f t="shared" si="5"/>
        <v>1.489604050967594E-2</v>
      </c>
    </row>
    <row r="196" spans="1:5" x14ac:dyDescent="0.3">
      <c r="A196" s="74">
        <v>42813</v>
      </c>
      <c r="B196">
        <v>28.87</v>
      </c>
      <c r="C196" s="63">
        <f t="shared" si="4"/>
        <v>3.4025787965616019E-2</v>
      </c>
      <c r="D196">
        <v>1694.41</v>
      </c>
      <c r="E196" s="63">
        <f t="shared" si="5"/>
        <v>-2.121723257506615E-2</v>
      </c>
    </row>
    <row r="197" spans="1:5" x14ac:dyDescent="0.3">
      <c r="A197" s="74">
        <v>42806</v>
      </c>
      <c r="B197">
        <v>27.92</v>
      </c>
      <c r="C197" s="63">
        <f t="shared" si="4"/>
        <v>6.4024390243902565E-2</v>
      </c>
      <c r="D197">
        <v>1731.14</v>
      </c>
      <c r="E197" s="63">
        <f t="shared" si="5"/>
        <v>1.1830030977847921E-2</v>
      </c>
    </row>
    <row r="198" spans="1:5" x14ac:dyDescent="0.3">
      <c r="A198" s="74">
        <v>42799</v>
      </c>
      <c r="B198">
        <v>26.24</v>
      </c>
      <c r="C198" s="63">
        <f t="shared" ref="C198:C261" si="6">(B198-B199)/B199</f>
        <v>2.5400547088706472E-2</v>
      </c>
      <c r="D198">
        <v>1710.9</v>
      </c>
      <c r="E198" s="63">
        <f t="shared" ref="E198:E261" si="7">(D198-D199)/D199</f>
        <v>-1.6441506179936709E-2</v>
      </c>
    </row>
    <row r="199" spans="1:5" x14ac:dyDescent="0.3">
      <c r="A199" s="74">
        <v>42792</v>
      </c>
      <c r="B199">
        <v>25.59</v>
      </c>
      <c r="C199" s="63">
        <f t="shared" si="6"/>
        <v>-3.4339622641509436E-2</v>
      </c>
      <c r="D199">
        <v>1739.5</v>
      </c>
      <c r="E199" s="63">
        <f t="shared" si="7"/>
        <v>1.6237879171752633E-3</v>
      </c>
    </row>
    <row r="200" spans="1:5" x14ac:dyDescent="0.3">
      <c r="A200" s="74">
        <v>42785</v>
      </c>
      <c r="B200">
        <v>26.5</v>
      </c>
      <c r="C200" s="63">
        <f t="shared" si="6"/>
        <v>8.371385083713807E-3</v>
      </c>
      <c r="D200">
        <v>1736.68</v>
      </c>
      <c r="E200" s="63">
        <f t="shared" si="7"/>
        <v>1.1067813415112596E-3</v>
      </c>
    </row>
    <row r="201" spans="1:5" x14ac:dyDescent="0.3">
      <c r="A201" s="74">
        <v>42778</v>
      </c>
      <c r="B201">
        <v>26.28</v>
      </c>
      <c r="C201" s="63">
        <f t="shared" si="6"/>
        <v>-5.3995680345572353E-2</v>
      </c>
      <c r="D201">
        <v>1734.76</v>
      </c>
      <c r="E201" s="63">
        <f t="shared" si="7"/>
        <v>8.089072778410587E-3</v>
      </c>
    </row>
    <row r="202" spans="1:5" x14ac:dyDescent="0.3">
      <c r="A202" s="74">
        <v>42771</v>
      </c>
      <c r="B202">
        <v>27.78</v>
      </c>
      <c r="C202" s="63">
        <f t="shared" si="6"/>
        <v>0.18162484049340702</v>
      </c>
      <c r="D202">
        <v>1720.84</v>
      </c>
      <c r="E202" s="63">
        <f t="shared" si="7"/>
        <v>8.3204425069140636E-3</v>
      </c>
    </row>
    <row r="203" spans="1:5" x14ac:dyDescent="0.3">
      <c r="A203" s="74">
        <v>42764</v>
      </c>
      <c r="B203">
        <v>23.51</v>
      </c>
      <c r="C203" s="63">
        <f t="shared" si="6"/>
        <v>-5.8470164197036337E-2</v>
      </c>
      <c r="D203">
        <v>1706.64</v>
      </c>
      <c r="E203" s="63">
        <f t="shared" si="7"/>
        <v>5.8762163532095381E-3</v>
      </c>
    </row>
    <row r="204" spans="1:5" x14ac:dyDescent="0.3">
      <c r="A204" s="74">
        <v>42757</v>
      </c>
      <c r="B204">
        <v>24.97</v>
      </c>
      <c r="C204" s="63">
        <f t="shared" si="6"/>
        <v>0</v>
      </c>
      <c r="D204">
        <v>1696.67</v>
      </c>
      <c r="E204" s="63">
        <f t="shared" si="7"/>
        <v>1.2526257996753562E-2</v>
      </c>
    </row>
    <row r="205" spans="1:5" x14ac:dyDescent="0.3">
      <c r="A205" s="74">
        <v>42750</v>
      </c>
      <c r="B205">
        <v>24.97</v>
      </c>
      <c r="C205" s="63">
        <f t="shared" si="6"/>
        <v>-1.9245875883739275E-2</v>
      </c>
      <c r="D205">
        <v>1675.68</v>
      </c>
      <c r="E205" s="63">
        <f t="shared" si="7"/>
        <v>-6.9455967761052661E-3</v>
      </c>
    </row>
    <row r="206" spans="1:5" x14ac:dyDescent="0.3">
      <c r="A206" s="74">
        <v>42743</v>
      </c>
      <c r="B206">
        <v>25.46</v>
      </c>
      <c r="C206" s="63">
        <f t="shared" si="6"/>
        <v>1.717938473831401E-2</v>
      </c>
      <c r="D206">
        <v>1687.4</v>
      </c>
      <c r="E206" s="63">
        <f t="shared" si="7"/>
        <v>3.168714738387912E-3</v>
      </c>
    </row>
    <row r="207" spans="1:5" x14ac:dyDescent="0.3">
      <c r="A207" s="74">
        <v>42736</v>
      </c>
      <c r="B207">
        <v>25.03</v>
      </c>
      <c r="C207" s="63">
        <f t="shared" si="6"/>
        <v>1.8307567127746251E-2</v>
      </c>
      <c r="D207">
        <v>1682.07</v>
      </c>
      <c r="E207" s="63">
        <f t="shared" si="7"/>
        <v>1.2941261486950349E-2</v>
      </c>
    </row>
    <row r="208" spans="1:5" x14ac:dyDescent="0.3">
      <c r="A208" s="74">
        <v>42729</v>
      </c>
      <c r="B208">
        <v>24.58</v>
      </c>
      <c r="C208" s="63">
        <f t="shared" si="6"/>
        <v>4.0849673202613505E-3</v>
      </c>
      <c r="D208">
        <v>1660.58</v>
      </c>
      <c r="E208" s="63">
        <f t="shared" si="7"/>
        <v>-7.7499925308476157E-3</v>
      </c>
    </row>
    <row r="209" spans="1:5" x14ac:dyDescent="0.3">
      <c r="A209" s="74">
        <v>42722</v>
      </c>
      <c r="B209">
        <v>24.48</v>
      </c>
      <c r="C209" s="63">
        <f t="shared" si="6"/>
        <v>-2.741358760429087E-2</v>
      </c>
      <c r="D209">
        <v>1673.55</v>
      </c>
      <c r="E209" s="63">
        <f t="shared" si="7"/>
        <v>3.4897735244913365E-3</v>
      </c>
    </row>
    <row r="210" spans="1:5" x14ac:dyDescent="0.3">
      <c r="A210" s="74">
        <v>42715</v>
      </c>
      <c r="B210">
        <v>25.17</v>
      </c>
      <c r="C210" s="63">
        <f t="shared" si="6"/>
        <v>-7.4972436604189605E-2</v>
      </c>
      <c r="D210">
        <v>1667.73</v>
      </c>
      <c r="E210" s="63">
        <f t="shared" si="7"/>
        <v>-1.4914529409679973E-2</v>
      </c>
    </row>
    <row r="211" spans="1:5" x14ac:dyDescent="0.3">
      <c r="A211" s="74">
        <v>42708</v>
      </c>
      <c r="B211">
        <v>27.21</v>
      </c>
      <c r="C211" s="63">
        <f t="shared" si="6"/>
        <v>4.0137614678899113E-2</v>
      </c>
      <c r="D211">
        <v>1692.98</v>
      </c>
      <c r="E211" s="63">
        <f t="shared" si="7"/>
        <v>4.1968500544685809E-2</v>
      </c>
    </row>
    <row r="212" spans="1:5" x14ac:dyDescent="0.3">
      <c r="A212" s="74">
        <v>42701</v>
      </c>
      <c r="B212">
        <v>26.16</v>
      </c>
      <c r="C212" s="63">
        <f t="shared" si="6"/>
        <v>0.18157181571815717</v>
      </c>
      <c r="D212">
        <v>1624.79</v>
      </c>
      <c r="E212" s="63">
        <f t="shared" si="7"/>
        <v>-9.7634704810428893E-3</v>
      </c>
    </row>
    <row r="213" spans="1:5" x14ac:dyDescent="0.3">
      <c r="A213" s="74">
        <v>42694</v>
      </c>
      <c r="B213">
        <v>22.14</v>
      </c>
      <c r="C213" s="63">
        <f t="shared" si="6"/>
        <v>-4.0485829959514101E-3</v>
      </c>
      <c r="D213">
        <v>1640.81</v>
      </c>
      <c r="E213" s="63">
        <f t="shared" si="7"/>
        <v>2.1719502095359E-2</v>
      </c>
    </row>
    <row r="214" spans="1:5" x14ac:dyDescent="0.3">
      <c r="A214" s="74">
        <v>42687</v>
      </c>
      <c r="B214">
        <v>22.23</v>
      </c>
      <c r="C214" s="63">
        <f t="shared" si="6"/>
        <v>2.3952095808383214E-2</v>
      </c>
      <c r="D214">
        <v>1605.93</v>
      </c>
      <c r="E214" s="63">
        <f t="shared" si="7"/>
        <v>2.7472984472069594E-2</v>
      </c>
    </row>
    <row r="215" spans="1:5" x14ac:dyDescent="0.3">
      <c r="A215" s="74">
        <v>42680</v>
      </c>
      <c r="B215">
        <v>21.71</v>
      </c>
      <c r="C215" s="63">
        <f t="shared" si="6"/>
        <v>8.8220551378446199E-2</v>
      </c>
      <c r="D215">
        <v>1562.99</v>
      </c>
      <c r="E215" s="63">
        <f t="shared" si="7"/>
        <v>5.6909854411933816E-2</v>
      </c>
    </row>
    <row r="216" spans="1:5" x14ac:dyDescent="0.3">
      <c r="A216" s="74">
        <v>42673</v>
      </c>
      <c r="B216">
        <v>19.95</v>
      </c>
      <c r="C216" s="63">
        <f t="shared" si="6"/>
        <v>-4.0865384615384685E-2</v>
      </c>
      <c r="D216">
        <v>1478.83</v>
      </c>
      <c r="E216" s="63">
        <f t="shared" si="7"/>
        <v>-1.392269172039935E-2</v>
      </c>
    </row>
    <row r="217" spans="1:5" x14ac:dyDescent="0.3">
      <c r="A217" s="74">
        <v>42666</v>
      </c>
      <c r="B217">
        <v>20.8</v>
      </c>
      <c r="C217" s="63">
        <f t="shared" si="6"/>
        <v>9.5890410958904118E-2</v>
      </c>
      <c r="D217">
        <v>1499.71</v>
      </c>
      <c r="E217" s="63">
        <f t="shared" si="7"/>
        <v>-1.7717257460242577E-2</v>
      </c>
    </row>
    <row r="218" spans="1:5" x14ac:dyDescent="0.3">
      <c r="A218" s="74">
        <v>42659</v>
      </c>
      <c r="B218">
        <v>18.98</v>
      </c>
      <c r="C218" s="63">
        <f t="shared" si="6"/>
        <v>-0.16863775733683742</v>
      </c>
      <c r="D218">
        <v>1526.76</v>
      </c>
      <c r="E218" s="63">
        <f t="shared" si="7"/>
        <v>4.5663302233159547E-3</v>
      </c>
    </row>
    <row r="219" spans="1:5" x14ac:dyDescent="0.3">
      <c r="A219" s="74">
        <v>42652</v>
      </c>
      <c r="B219">
        <v>22.83</v>
      </c>
      <c r="C219" s="63">
        <f t="shared" si="6"/>
        <v>-3.0567685589519777E-3</v>
      </c>
      <c r="D219">
        <v>1519.82</v>
      </c>
      <c r="E219" s="63">
        <f t="shared" si="7"/>
        <v>-9.217971785444274E-3</v>
      </c>
    </row>
    <row r="220" spans="1:5" x14ac:dyDescent="0.3">
      <c r="A220" s="74">
        <v>42645</v>
      </c>
      <c r="B220">
        <v>22.9</v>
      </c>
      <c r="C220" s="63">
        <f t="shared" si="6"/>
        <v>0</v>
      </c>
      <c r="D220">
        <v>1533.96</v>
      </c>
      <c r="E220" s="63">
        <f t="shared" si="7"/>
        <v>-1.1789262108151956E-2</v>
      </c>
    </row>
    <row r="221" spans="1:5" x14ac:dyDescent="0.3">
      <c r="A221" s="74">
        <v>42638</v>
      </c>
      <c r="B221">
        <v>22.9</v>
      </c>
      <c r="C221" s="63">
        <f t="shared" si="6"/>
        <v>3.6668175645088216E-2</v>
      </c>
      <c r="D221">
        <v>1552.26</v>
      </c>
      <c r="E221" s="63">
        <f t="shared" si="7"/>
        <v>9.2854102990679423E-4</v>
      </c>
    </row>
    <row r="222" spans="1:5" x14ac:dyDescent="0.3">
      <c r="A222" s="74">
        <v>42631</v>
      </c>
      <c r="B222">
        <v>22.09</v>
      </c>
      <c r="C222" s="63">
        <f t="shared" si="6"/>
        <v>-3.2837127845884412E-2</v>
      </c>
      <c r="D222">
        <v>1550.82</v>
      </c>
      <c r="E222" s="63">
        <f t="shared" si="7"/>
        <v>1.9632337471070835E-2</v>
      </c>
    </row>
    <row r="223" spans="1:5" x14ac:dyDescent="0.3">
      <c r="A223" s="74">
        <v>42624</v>
      </c>
      <c r="B223">
        <v>22.84</v>
      </c>
      <c r="C223" s="63">
        <f t="shared" si="6"/>
        <v>-2.7257240204429326E-2</v>
      </c>
      <c r="D223">
        <v>1520.96</v>
      </c>
      <c r="E223" s="63">
        <f t="shared" si="7"/>
        <v>-4.8092337287591585E-3</v>
      </c>
    </row>
    <row r="224" spans="1:5" x14ac:dyDescent="0.3">
      <c r="A224" s="74">
        <v>42617</v>
      </c>
      <c r="B224">
        <v>23.48</v>
      </c>
      <c r="C224" s="63">
        <f t="shared" si="6"/>
        <v>-3.6520311858842865E-2</v>
      </c>
      <c r="D224">
        <v>1528.31</v>
      </c>
      <c r="E224" s="63">
        <f t="shared" si="7"/>
        <v>-3.1906402817543845E-2</v>
      </c>
    </row>
    <row r="225" spans="1:5" x14ac:dyDescent="0.3">
      <c r="A225" s="74">
        <v>42610</v>
      </c>
      <c r="B225">
        <v>24.37</v>
      </c>
      <c r="C225" s="63">
        <f t="shared" si="6"/>
        <v>-1.415857605177985E-2</v>
      </c>
      <c r="D225">
        <v>1578.68</v>
      </c>
      <c r="E225" s="63">
        <f t="shared" si="7"/>
        <v>1.2188475767309744E-2</v>
      </c>
    </row>
    <row r="226" spans="1:5" x14ac:dyDescent="0.3">
      <c r="A226" s="74">
        <v>42603</v>
      </c>
      <c r="B226">
        <v>24.72</v>
      </c>
      <c r="C226" s="63">
        <f t="shared" si="6"/>
        <v>-1.2779552715654964E-2</v>
      </c>
      <c r="D226">
        <v>1559.67</v>
      </c>
      <c r="E226" s="63">
        <f t="shared" si="7"/>
        <v>-2.0028154594317134E-3</v>
      </c>
    </row>
    <row r="227" spans="1:5" x14ac:dyDescent="0.3">
      <c r="A227" s="74">
        <v>42596</v>
      </c>
      <c r="B227">
        <v>25.04</v>
      </c>
      <c r="C227" s="63">
        <f t="shared" si="6"/>
        <v>-1.1058451816745701E-2</v>
      </c>
      <c r="D227">
        <v>1562.8</v>
      </c>
      <c r="E227" s="63">
        <f t="shared" si="7"/>
        <v>3.2289747523703582E-3</v>
      </c>
    </row>
    <row r="228" spans="1:5" x14ac:dyDescent="0.3">
      <c r="A228" s="74">
        <v>42589</v>
      </c>
      <c r="B228">
        <v>25.32</v>
      </c>
      <c r="C228" s="63">
        <f t="shared" si="6"/>
        <v>7.6530612244897989E-2</v>
      </c>
      <c r="D228">
        <v>1557.77</v>
      </c>
      <c r="E228" s="63">
        <f t="shared" si="7"/>
        <v>-3.0591021087325032E-3</v>
      </c>
    </row>
    <row r="229" spans="1:5" x14ac:dyDescent="0.3">
      <c r="A229" s="74">
        <v>42582</v>
      </c>
      <c r="B229">
        <v>23.52</v>
      </c>
      <c r="C229" s="63">
        <f t="shared" si="6"/>
        <v>-2.0815986677768527E-2</v>
      </c>
      <c r="D229">
        <v>1562.55</v>
      </c>
      <c r="E229" s="63">
        <f t="shared" si="7"/>
        <v>1.981455119079629E-3</v>
      </c>
    </row>
    <row r="230" spans="1:5" x14ac:dyDescent="0.3">
      <c r="A230" s="74">
        <v>42575</v>
      </c>
      <c r="B230">
        <v>24.02</v>
      </c>
      <c r="C230" s="63">
        <f t="shared" si="6"/>
        <v>-3.8815526210484154E-2</v>
      </c>
      <c r="D230">
        <v>1559.46</v>
      </c>
      <c r="E230" s="63">
        <f t="shared" si="7"/>
        <v>4.5866240643158834E-3</v>
      </c>
    </row>
    <row r="231" spans="1:5" x14ac:dyDescent="0.3">
      <c r="A231" s="74">
        <v>42568</v>
      </c>
      <c r="B231">
        <v>24.99</v>
      </c>
      <c r="C231" s="63">
        <f t="shared" si="6"/>
        <v>-0.22846557579499852</v>
      </c>
      <c r="D231">
        <v>1552.34</v>
      </c>
      <c r="E231" s="63">
        <f t="shared" si="7"/>
        <v>5.642543873855657E-3</v>
      </c>
    </row>
    <row r="232" spans="1:5" x14ac:dyDescent="0.3">
      <c r="A232" s="74">
        <v>42561</v>
      </c>
      <c r="B232">
        <v>32.39</v>
      </c>
      <c r="C232" s="63">
        <f t="shared" si="6"/>
        <v>5.19649236765184E-2</v>
      </c>
      <c r="D232">
        <v>1543.63</v>
      </c>
      <c r="E232" s="63">
        <f t="shared" si="7"/>
        <v>1.5265518738243403E-2</v>
      </c>
    </row>
    <row r="233" spans="1:5" x14ac:dyDescent="0.3">
      <c r="A233" s="74">
        <v>42554</v>
      </c>
      <c r="B233">
        <v>30.79</v>
      </c>
      <c r="C233" s="63">
        <f t="shared" si="6"/>
        <v>4.799183117767189E-2</v>
      </c>
      <c r="D233">
        <v>1520.42</v>
      </c>
      <c r="E233" s="63">
        <f t="shared" si="7"/>
        <v>1.347820290627918E-2</v>
      </c>
    </row>
    <row r="234" spans="1:5" x14ac:dyDescent="0.3">
      <c r="A234" s="74">
        <v>42547</v>
      </c>
      <c r="B234">
        <v>29.38</v>
      </c>
      <c r="C234" s="63">
        <f t="shared" si="6"/>
        <v>4.1843971631205665E-2</v>
      </c>
      <c r="D234">
        <v>1500.2</v>
      </c>
      <c r="E234" s="63">
        <f t="shared" si="7"/>
        <v>2.9233186286953209E-2</v>
      </c>
    </row>
    <row r="235" spans="1:5" x14ac:dyDescent="0.3">
      <c r="A235" s="74">
        <v>42540</v>
      </c>
      <c r="B235">
        <v>28.2</v>
      </c>
      <c r="C235" s="63">
        <f t="shared" si="6"/>
        <v>-2.725077612969987E-2</v>
      </c>
      <c r="D235">
        <v>1457.59</v>
      </c>
      <c r="E235" s="63">
        <f t="shared" si="7"/>
        <v>-1.5108618534410033E-2</v>
      </c>
    </row>
    <row r="236" spans="1:5" x14ac:dyDescent="0.3">
      <c r="A236" s="74">
        <v>42533</v>
      </c>
      <c r="B236">
        <v>28.99</v>
      </c>
      <c r="C236" s="63">
        <f t="shared" si="6"/>
        <v>-2.5546218487395012E-2</v>
      </c>
      <c r="D236">
        <v>1479.95</v>
      </c>
      <c r="E236" s="63">
        <f t="shared" si="7"/>
        <v>-1.2754574502858367E-2</v>
      </c>
    </row>
    <row r="237" spans="1:5" x14ac:dyDescent="0.3">
      <c r="A237" s="74">
        <v>42526</v>
      </c>
      <c r="B237">
        <v>29.75</v>
      </c>
      <c r="C237" s="63">
        <f t="shared" si="6"/>
        <v>-6.5640703517587939E-2</v>
      </c>
      <c r="D237">
        <v>1499.07</v>
      </c>
      <c r="E237" s="63">
        <f t="shared" si="7"/>
        <v>-1.219268438936741E-3</v>
      </c>
    </row>
    <row r="238" spans="1:5" x14ac:dyDescent="0.3">
      <c r="A238" s="74">
        <v>42519</v>
      </c>
      <c r="B238">
        <v>31.84</v>
      </c>
      <c r="C238" s="63">
        <f t="shared" si="6"/>
        <v>3.7809647979139507E-2</v>
      </c>
      <c r="D238">
        <v>1500.9</v>
      </c>
      <c r="E238" s="63">
        <f t="shared" si="7"/>
        <v>5.9179529110565555E-3</v>
      </c>
    </row>
    <row r="239" spans="1:5" x14ac:dyDescent="0.3">
      <c r="A239" s="74">
        <v>42512</v>
      </c>
      <c r="B239">
        <v>30.68</v>
      </c>
      <c r="C239" s="63">
        <f t="shared" si="6"/>
        <v>2.3348899266177427E-2</v>
      </c>
      <c r="D239">
        <v>1492.07</v>
      </c>
      <c r="E239" s="63">
        <f t="shared" si="7"/>
        <v>2.8935735909689637E-2</v>
      </c>
    </row>
    <row r="240" spans="1:5" x14ac:dyDescent="0.3">
      <c r="A240" s="74">
        <v>42505</v>
      </c>
      <c r="B240">
        <v>29.98</v>
      </c>
      <c r="C240" s="63">
        <f t="shared" si="6"/>
        <v>-3.2591158438205807E-2</v>
      </c>
      <c r="D240">
        <v>1450.11</v>
      </c>
      <c r="E240" s="63">
        <f t="shared" si="7"/>
        <v>6.6014160766347295E-3</v>
      </c>
    </row>
    <row r="241" spans="1:5" x14ac:dyDescent="0.3">
      <c r="A241" s="74">
        <v>42498</v>
      </c>
      <c r="B241">
        <v>30.99</v>
      </c>
      <c r="C241" s="63">
        <f t="shared" si="6"/>
        <v>-1.3999363665287982E-2</v>
      </c>
      <c r="D241">
        <v>1440.6</v>
      </c>
      <c r="E241" s="63">
        <f t="shared" si="7"/>
        <v>-8.336144171927037E-3</v>
      </c>
    </row>
    <row r="242" spans="1:5" x14ac:dyDescent="0.3">
      <c r="A242" s="74">
        <v>42491</v>
      </c>
      <c r="B242">
        <v>31.43</v>
      </c>
      <c r="C242" s="63">
        <f t="shared" si="6"/>
        <v>-4.9016641452344856E-2</v>
      </c>
      <c r="D242">
        <v>1452.71</v>
      </c>
      <c r="E242" s="63">
        <f t="shared" si="7"/>
        <v>-6.1163753292512255E-3</v>
      </c>
    </row>
    <row r="243" spans="1:5" x14ac:dyDescent="0.3">
      <c r="A243" s="74">
        <v>42484</v>
      </c>
      <c r="B243">
        <v>33.049999999999997</v>
      </c>
      <c r="C243" s="63">
        <f t="shared" si="6"/>
        <v>9.7769630308585497E-3</v>
      </c>
      <c r="D243">
        <v>1461.65</v>
      </c>
      <c r="E243" s="63">
        <f t="shared" si="7"/>
        <v>-1.0426187332859323E-2</v>
      </c>
    </row>
    <row r="244" spans="1:5" x14ac:dyDescent="0.3">
      <c r="A244" s="74">
        <v>42477</v>
      </c>
      <c r="B244">
        <v>32.729999999999997</v>
      </c>
      <c r="C244" s="63">
        <f t="shared" si="6"/>
        <v>0.14081561519693256</v>
      </c>
      <c r="D244">
        <v>1477.05</v>
      </c>
      <c r="E244" s="63">
        <f t="shared" si="7"/>
        <v>8.3835687514080531E-3</v>
      </c>
    </row>
    <row r="245" spans="1:5" x14ac:dyDescent="0.3">
      <c r="A245" s="74">
        <v>42470</v>
      </c>
      <c r="B245">
        <v>28.69</v>
      </c>
      <c r="C245" s="63">
        <f t="shared" si="6"/>
        <v>7.4531835205992589E-2</v>
      </c>
      <c r="D245">
        <v>1464.77</v>
      </c>
      <c r="E245" s="63">
        <f t="shared" si="7"/>
        <v>2.630988915514073E-2</v>
      </c>
    </row>
    <row r="246" spans="1:5" x14ac:dyDescent="0.3">
      <c r="A246" s="74">
        <v>42463</v>
      </c>
      <c r="B246">
        <v>26.7</v>
      </c>
      <c r="C246" s="63">
        <f t="shared" si="6"/>
        <v>-0.11939313984168869</v>
      </c>
      <c r="D246">
        <v>1427.22</v>
      </c>
      <c r="E246" s="63">
        <f t="shared" si="7"/>
        <v>-1.678848710724095E-2</v>
      </c>
    </row>
    <row r="247" spans="1:5" x14ac:dyDescent="0.3">
      <c r="A247" s="74">
        <v>42456</v>
      </c>
      <c r="B247">
        <v>30.32</v>
      </c>
      <c r="C247" s="63">
        <f t="shared" si="6"/>
        <v>3.3090668431502786E-3</v>
      </c>
      <c r="D247">
        <v>1451.59</v>
      </c>
      <c r="E247" s="63">
        <f t="shared" si="7"/>
        <v>2.6685810476284797E-2</v>
      </c>
    </row>
    <row r="248" spans="1:5" x14ac:dyDescent="0.3">
      <c r="A248" s="74">
        <v>42449</v>
      </c>
      <c r="B248">
        <v>30.22</v>
      </c>
      <c r="C248" s="63">
        <f t="shared" si="6"/>
        <v>-8.2574377656344844E-2</v>
      </c>
      <c r="D248">
        <v>1413.86</v>
      </c>
      <c r="E248" s="63">
        <f t="shared" si="7"/>
        <v>-1.1148412365365824E-2</v>
      </c>
    </row>
    <row r="249" spans="1:5" x14ac:dyDescent="0.3">
      <c r="A249" s="74">
        <v>42442</v>
      </c>
      <c r="B249">
        <v>32.94</v>
      </c>
      <c r="C249" s="63">
        <f t="shared" si="6"/>
        <v>1.8867924528301869E-2</v>
      </c>
      <c r="D249">
        <v>1429.8</v>
      </c>
      <c r="E249" s="63">
        <f t="shared" si="7"/>
        <v>1.611080710382114E-2</v>
      </c>
    </row>
    <row r="250" spans="1:5" x14ac:dyDescent="0.3">
      <c r="A250" s="74">
        <v>42435</v>
      </c>
      <c r="B250">
        <v>32.33</v>
      </c>
      <c r="C250" s="63">
        <f t="shared" si="6"/>
        <v>-4.1221826809015441E-2</v>
      </c>
      <c r="D250">
        <v>1407.13</v>
      </c>
      <c r="E250" s="63">
        <f t="shared" si="7"/>
        <v>5.6675242995998165E-3</v>
      </c>
    </row>
    <row r="251" spans="1:5" x14ac:dyDescent="0.3">
      <c r="A251" s="74">
        <v>42428</v>
      </c>
      <c r="B251">
        <v>33.72</v>
      </c>
      <c r="C251" s="63">
        <f t="shared" si="6"/>
        <v>2.3990282417248685E-2</v>
      </c>
      <c r="D251">
        <v>1399.2</v>
      </c>
      <c r="E251" s="63">
        <f t="shared" si="7"/>
        <v>4.3960963380786158E-2</v>
      </c>
    </row>
    <row r="252" spans="1:5" x14ac:dyDescent="0.3">
      <c r="A252" s="74">
        <v>42421</v>
      </c>
      <c r="B252">
        <v>32.93</v>
      </c>
      <c r="C252" s="63">
        <f t="shared" si="6"/>
        <v>3.2936010037641177E-2</v>
      </c>
      <c r="D252">
        <v>1340.28</v>
      </c>
      <c r="E252" s="63">
        <f t="shared" si="7"/>
        <v>2.6499601740089383E-2</v>
      </c>
    </row>
    <row r="253" spans="1:5" x14ac:dyDescent="0.3">
      <c r="A253" s="74">
        <v>42414</v>
      </c>
      <c r="B253">
        <v>31.88</v>
      </c>
      <c r="C253" s="63">
        <f t="shared" si="6"/>
        <v>4.9374588545095459E-2</v>
      </c>
      <c r="D253">
        <v>1305.68</v>
      </c>
      <c r="E253" s="63">
        <f t="shared" si="7"/>
        <v>3.4701915380896876E-2</v>
      </c>
    </row>
    <row r="254" spans="1:5" x14ac:dyDescent="0.3">
      <c r="A254" s="74">
        <v>42407</v>
      </c>
      <c r="B254">
        <v>30.38</v>
      </c>
      <c r="C254" s="63">
        <f t="shared" si="6"/>
        <v>9.8336948662328227E-2</v>
      </c>
      <c r="D254">
        <v>1261.8900000000001</v>
      </c>
      <c r="E254" s="63">
        <f t="shared" si="7"/>
        <v>-1.3624425476034015E-2</v>
      </c>
    </row>
    <row r="255" spans="1:5" x14ac:dyDescent="0.3">
      <c r="A255" s="74">
        <v>42400</v>
      </c>
      <c r="B255">
        <v>27.66</v>
      </c>
      <c r="C255" s="63">
        <f t="shared" si="6"/>
        <v>-1.8800993260021322E-2</v>
      </c>
      <c r="D255">
        <v>1279.32</v>
      </c>
      <c r="E255" s="63">
        <f t="shared" si="7"/>
        <v>-2.9155979176468859E-2</v>
      </c>
    </row>
    <row r="256" spans="1:5" x14ac:dyDescent="0.3">
      <c r="A256" s="74">
        <v>42393</v>
      </c>
      <c r="B256">
        <v>28.19</v>
      </c>
      <c r="C256" s="63">
        <f t="shared" si="6"/>
        <v>2.5836972343522592E-2</v>
      </c>
      <c r="D256">
        <v>1317.74</v>
      </c>
      <c r="E256" s="63">
        <f t="shared" si="7"/>
        <v>2.3272789395621909E-2</v>
      </c>
    </row>
    <row r="257" spans="1:5" x14ac:dyDescent="0.3">
      <c r="A257" s="74">
        <v>42386</v>
      </c>
      <c r="B257">
        <v>27.48</v>
      </c>
      <c r="C257" s="63">
        <f t="shared" si="6"/>
        <v>1.8154872174879658E-2</v>
      </c>
      <c r="D257">
        <v>1287.77</v>
      </c>
      <c r="E257" s="63">
        <f t="shared" si="7"/>
        <v>1.4127875384894085E-2</v>
      </c>
    </row>
    <row r="258" spans="1:5" x14ac:dyDescent="0.3">
      <c r="A258" s="74">
        <v>42379</v>
      </c>
      <c r="B258">
        <v>26.99</v>
      </c>
      <c r="C258" s="63">
        <f t="shared" si="6"/>
        <v>8.2181546507283845E-3</v>
      </c>
      <c r="D258">
        <v>1269.83</v>
      </c>
      <c r="E258" s="63">
        <f t="shared" si="7"/>
        <v>-2.9538089997554483E-2</v>
      </c>
    </row>
    <row r="259" spans="1:5" x14ac:dyDescent="0.3">
      <c r="A259" s="74">
        <v>42372</v>
      </c>
      <c r="B259">
        <v>26.77</v>
      </c>
      <c r="C259" s="63">
        <f t="shared" si="6"/>
        <v>-0.1138695796094009</v>
      </c>
      <c r="D259">
        <v>1308.48</v>
      </c>
      <c r="E259" s="63">
        <f t="shared" si="7"/>
        <v>-6.4422485664030596E-2</v>
      </c>
    </row>
    <row r="260" spans="1:5" x14ac:dyDescent="0.3">
      <c r="A260" s="74">
        <v>42365</v>
      </c>
      <c r="B260">
        <v>30.21</v>
      </c>
      <c r="C260" s="63">
        <f t="shared" si="6"/>
        <v>-1.4677103718199585E-2</v>
      </c>
      <c r="D260">
        <v>1398.58</v>
      </c>
      <c r="E260" s="63">
        <f t="shared" si="7"/>
        <v>-1.2372007626580032E-2</v>
      </c>
    </row>
    <row r="261" spans="1:5" x14ac:dyDescent="0.3">
      <c r="A261" s="74">
        <v>42358</v>
      </c>
      <c r="B261">
        <v>30.66</v>
      </c>
      <c r="C261" s="63">
        <f t="shared" si="6"/>
        <v>2.2000000000000006E-2</v>
      </c>
      <c r="D261">
        <v>1416.1</v>
      </c>
      <c r="E261" s="63">
        <f t="shared" si="7"/>
        <v>2.96887156703774E-2</v>
      </c>
    </row>
    <row r="262" spans="1:5" x14ac:dyDescent="0.3">
      <c r="A262" s="74">
        <v>42351</v>
      </c>
      <c r="B262">
        <v>30</v>
      </c>
      <c r="C262" s="63">
        <f t="shared" ref="C262:C265" si="8">(B262-B263)/B263</f>
        <v>1.6604540833615671E-2</v>
      </c>
      <c r="D262">
        <v>1375.27</v>
      </c>
      <c r="E262" s="63">
        <f t="shared" ref="E262:E265" si="9">(D262-D263)/D263</f>
        <v>-9.9988482248265856E-3</v>
      </c>
    </row>
    <row r="263" spans="1:5" x14ac:dyDescent="0.3">
      <c r="A263" s="74">
        <v>42344</v>
      </c>
      <c r="B263">
        <v>29.51</v>
      </c>
      <c r="C263" s="63">
        <f t="shared" si="8"/>
        <v>-3.1824146981627256E-2</v>
      </c>
      <c r="D263">
        <v>1389.16</v>
      </c>
      <c r="E263" s="63">
        <f t="shared" si="9"/>
        <v>-4.1350374030419197E-2</v>
      </c>
    </row>
    <row r="264" spans="1:5" x14ac:dyDescent="0.3">
      <c r="A264" s="74">
        <v>42337</v>
      </c>
      <c r="B264">
        <v>30.48</v>
      </c>
      <c r="C264" s="63">
        <f t="shared" si="8"/>
        <v>4.6143704680290231E-3</v>
      </c>
      <c r="D264">
        <v>1449.08</v>
      </c>
      <c r="E264" s="63">
        <f t="shared" si="9"/>
        <v>-1.3546814796661691E-2</v>
      </c>
    </row>
    <row r="265" spans="1:5" x14ac:dyDescent="0.3">
      <c r="A265" s="74">
        <v>42330</v>
      </c>
      <c r="B265">
        <v>30.34</v>
      </c>
      <c r="C265" s="63">
        <f t="shared" si="8"/>
        <v>4.5125732001377837E-2</v>
      </c>
      <c r="D265">
        <v>1468.98</v>
      </c>
      <c r="E265" s="63">
        <f t="shared" si="9"/>
        <v>1.5154970457136978E-2</v>
      </c>
    </row>
    <row r="266" spans="1:5" x14ac:dyDescent="0.3">
      <c r="A266" s="74">
        <v>42323</v>
      </c>
      <c r="B266">
        <v>29.03</v>
      </c>
      <c r="C266" s="63" t="e">
        <f>(B266-#REF!)/#REF!</f>
        <v>#REF!</v>
      </c>
      <c r="D266">
        <v>1447.05</v>
      </c>
      <c r="E266" s="63" t="e">
        <f>(D266-#REF!)/#REF!</f>
        <v>#REF!</v>
      </c>
    </row>
  </sheetData>
  <mergeCells count="2">
    <mergeCell ref="A4:C4"/>
    <mergeCell ref="D4:E4"/>
  </mergeCells>
  <hyperlinks>
    <hyperlink ref="B1" r:id="rId1" xr:uid="{CC4B8BA1-8D7B-457B-A230-1E06E5C20403}"/>
    <hyperlink ref="B2" r:id="rId2" xr:uid="{66BF5E47-B283-40D5-84AF-B4AD78759FD0}"/>
    <hyperlink ref="B3" r:id="rId3" xr:uid="{20E2B4D6-7F05-47D6-BF08-3F2DA365366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D367B-A459-4F03-937C-0ACB57627AED}">
  <dimension ref="A2:M94"/>
  <sheetViews>
    <sheetView topLeftCell="A65" workbookViewId="0">
      <selection activeCell="F87" sqref="F87"/>
    </sheetView>
  </sheetViews>
  <sheetFormatPr defaultRowHeight="15.6" x14ac:dyDescent="0.3"/>
  <cols>
    <col min="1" max="1" width="8.8984375" customWidth="1"/>
    <col min="2" max="4" width="7.8984375" bestFit="1" customWidth="1"/>
    <col min="5" max="5" width="12.796875" customWidth="1"/>
    <col min="6" max="6" width="21.796875" customWidth="1"/>
    <col min="7" max="7" width="10" customWidth="1"/>
    <col min="8" max="8" width="4.8984375" bestFit="1" customWidth="1"/>
    <col min="9" max="9" width="21.19921875" customWidth="1"/>
    <col min="10" max="10" width="8.8984375" customWidth="1"/>
    <col min="11" max="13" width="4.8984375" bestFit="1" customWidth="1"/>
  </cols>
  <sheetData>
    <row r="2" spans="2:6" x14ac:dyDescent="0.3">
      <c r="B2" s="125" t="s">
        <v>82</v>
      </c>
      <c r="C2" s="125"/>
      <c r="D2" s="125"/>
      <c r="E2" s="125"/>
      <c r="F2" t="s">
        <v>83</v>
      </c>
    </row>
    <row r="3" spans="2:6" x14ac:dyDescent="0.3">
      <c r="F3" t="s">
        <v>84</v>
      </c>
    </row>
    <row r="5" spans="2:6" x14ac:dyDescent="0.3">
      <c r="B5" t="s">
        <v>85</v>
      </c>
    </row>
    <row r="6" spans="2:6" x14ac:dyDescent="0.3">
      <c r="B6" t="s">
        <v>86</v>
      </c>
    </row>
    <row r="8" spans="2:6" x14ac:dyDescent="0.3">
      <c r="B8" t="s">
        <v>87</v>
      </c>
    </row>
    <row r="10" spans="2:6" x14ac:dyDescent="0.3">
      <c r="B10" t="s">
        <v>88</v>
      </c>
    </row>
    <row r="11" spans="2:6" x14ac:dyDescent="0.3">
      <c r="B11" t="s">
        <v>89</v>
      </c>
    </row>
    <row r="12" spans="2:6" x14ac:dyDescent="0.3">
      <c r="B12" t="s">
        <v>90</v>
      </c>
    </row>
    <row r="14" spans="2:6" ht="16.2" x14ac:dyDescent="0.35">
      <c r="B14" s="4" t="s">
        <v>91</v>
      </c>
    </row>
    <row r="16" spans="2:6" x14ac:dyDescent="0.3">
      <c r="B16" t="s">
        <v>92</v>
      </c>
    </row>
    <row r="18" spans="1:6" x14ac:dyDescent="0.3">
      <c r="B18" t="s">
        <v>15</v>
      </c>
      <c r="C18" t="s">
        <v>93</v>
      </c>
      <c r="D18" t="s">
        <v>94</v>
      </c>
    </row>
    <row r="19" spans="1:6" x14ac:dyDescent="0.3">
      <c r="A19">
        <v>1</v>
      </c>
      <c r="B19">
        <v>2021</v>
      </c>
      <c r="C19">
        <v>550</v>
      </c>
      <c r="D19" s="1">
        <f>C19/(1+$F$27)^A19</f>
        <v>509.67953007717011</v>
      </c>
    </row>
    <row r="20" spans="1:6" x14ac:dyDescent="0.3">
      <c r="A20">
        <v>2</v>
      </c>
      <c r="B20">
        <v>2022</v>
      </c>
      <c r="C20">
        <v>514</v>
      </c>
      <c r="D20" s="1">
        <f t="shared" ref="D20:D23" si="0">C20/(1+$F$27)^A20</f>
        <v>441.39979113110098</v>
      </c>
    </row>
    <row r="21" spans="1:6" x14ac:dyDescent="0.3">
      <c r="A21">
        <v>3</v>
      </c>
      <c r="B21">
        <v>2023</v>
      </c>
      <c r="C21">
        <v>456</v>
      </c>
      <c r="D21" s="1">
        <f t="shared" si="0"/>
        <v>362.88444210348933</v>
      </c>
    </row>
    <row r="22" spans="1:6" x14ac:dyDescent="0.3">
      <c r="A22">
        <v>4</v>
      </c>
      <c r="B22">
        <v>2024</v>
      </c>
      <c r="C22">
        <v>416</v>
      </c>
      <c r="D22" s="1">
        <f>C22/(1+$F$27)^A22</f>
        <v>306.78303476964493</v>
      </c>
    </row>
    <row r="23" spans="1:6" x14ac:dyDescent="0.3">
      <c r="A23">
        <v>5</v>
      </c>
      <c r="B23">
        <v>2025</v>
      </c>
      <c r="C23">
        <v>374</v>
      </c>
      <c r="D23" s="1">
        <f t="shared" si="0"/>
        <v>255.59015009131667</v>
      </c>
    </row>
    <row r="24" spans="1:6" x14ac:dyDescent="0.3">
      <c r="A24">
        <v>6</v>
      </c>
      <c r="B24" t="s">
        <v>95</v>
      </c>
      <c r="C24">
        <v>1474</v>
      </c>
    </row>
    <row r="26" spans="1:6" x14ac:dyDescent="0.3">
      <c r="B26" t="s">
        <v>96</v>
      </c>
    </row>
    <row r="27" spans="1:6" x14ac:dyDescent="0.3">
      <c r="B27" t="s">
        <v>97</v>
      </c>
      <c r="F27" s="85">
        <f>'Пункт 3, 4'!B39</f>
        <v>7.910945514473576E-2</v>
      </c>
    </row>
    <row r="29" spans="1:6" x14ac:dyDescent="0.3">
      <c r="A29" s="2"/>
      <c r="B29" s="2" t="s">
        <v>15</v>
      </c>
      <c r="C29" s="2" t="s">
        <v>93</v>
      </c>
      <c r="D29" s="2" t="s">
        <v>94</v>
      </c>
    </row>
    <row r="30" spans="1:6" x14ac:dyDescent="0.3">
      <c r="A30" s="2">
        <v>1</v>
      </c>
      <c r="B30" s="2">
        <v>2021</v>
      </c>
      <c r="C30" s="2">
        <v>550</v>
      </c>
      <c r="D30" s="13">
        <f>C30/(1+$F$27)^A30</f>
        <v>509.67953007717011</v>
      </c>
    </row>
    <row r="31" spans="1:6" x14ac:dyDescent="0.3">
      <c r="A31" s="2">
        <v>2</v>
      </c>
      <c r="B31" s="2">
        <v>2022</v>
      </c>
      <c r="C31" s="2">
        <v>514</v>
      </c>
      <c r="D31" s="13">
        <f t="shared" ref="D31:D37" si="1">C31/(1+$F$27)^A31</f>
        <v>441.39979113110098</v>
      </c>
    </row>
    <row r="32" spans="1:6" x14ac:dyDescent="0.3">
      <c r="A32" s="2">
        <v>3</v>
      </c>
      <c r="B32" s="2">
        <v>2023</v>
      </c>
      <c r="C32" s="2">
        <v>456</v>
      </c>
      <c r="D32" s="13">
        <f t="shared" si="1"/>
        <v>362.88444210348933</v>
      </c>
    </row>
    <row r="33" spans="1:7" x14ac:dyDescent="0.3">
      <c r="A33" s="2">
        <v>4</v>
      </c>
      <c r="B33" s="2">
        <v>2024</v>
      </c>
      <c r="C33" s="2">
        <v>416</v>
      </c>
      <c r="D33" s="13">
        <f>C33/(1+$F$27)^A33</f>
        <v>306.78303476964493</v>
      </c>
    </row>
    <row r="34" spans="1:7" x14ac:dyDescent="0.3">
      <c r="A34" s="2">
        <v>5</v>
      </c>
      <c r="B34" s="2">
        <v>2025</v>
      </c>
      <c r="C34" s="2">
        <v>374</v>
      </c>
      <c r="D34" s="13">
        <f t="shared" si="1"/>
        <v>255.59015009131667</v>
      </c>
    </row>
    <row r="35" spans="1:7" x14ac:dyDescent="0.3">
      <c r="A35" s="2">
        <v>6</v>
      </c>
      <c r="B35" s="2">
        <v>2026</v>
      </c>
      <c r="C35" s="2">
        <f>AVERAGE(C19:C23)</f>
        <v>462</v>
      </c>
      <c r="D35" s="13">
        <f t="shared" si="1"/>
        <v>292.58293255709179</v>
      </c>
    </row>
    <row r="36" spans="1:7" x14ac:dyDescent="0.3">
      <c r="A36" s="2">
        <v>7</v>
      </c>
      <c r="B36" s="2">
        <v>2027</v>
      </c>
      <c r="C36" s="2">
        <v>462</v>
      </c>
      <c r="D36" s="13">
        <f t="shared" si="1"/>
        <v>271.13369377145256</v>
      </c>
    </row>
    <row r="37" spans="1:7" x14ac:dyDescent="0.3">
      <c r="A37" s="2">
        <v>8</v>
      </c>
      <c r="B37" s="2">
        <v>2028</v>
      </c>
      <c r="C37" s="2">
        <v>462</v>
      </c>
      <c r="D37" s="13">
        <f t="shared" si="1"/>
        <v>251.25689750822053</v>
      </c>
    </row>
    <row r="38" spans="1:7" x14ac:dyDescent="0.3">
      <c r="A38" s="126" t="s">
        <v>98</v>
      </c>
      <c r="B38" s="126"/>
      <c r="C38" s="126"/>
      <c r="D38" s="13">
        <f>SUM(D30:D37)</f>
        <v>2691.3104720094871</v>
      </c>
    </row>
    <row r="40" spans="1:7" x14ac:dyDescent="0.3">
      <c r="B40" t="s">
        <v>99</v>
      </c>
      <c r="F40" s="6">
        <f>G81+D38*F27*1000</f>
        <v>3327908.1050659921</v>
      </c>
      <c r="G40" t="s">
        <v>100</v>
      </c>
    </row>
    <row r="42" spans="1:7" x14ac:dyDescent="0.3">
      <c r="B42" t="s">
        <v>101</v>
      </c>
    </row>
    <row r="43" spans="1:7" ht="16.2" thickBot="1" x14ac:dyDescent="0.35"/>
    <row r="44" spans="1:7" x14ac:dyDescent="0.3">
      <c r="A44" s="86" t="s">
        <v>15</v>
      </c>
      <c r="B44" s="87">
        <v>2020</v>
      </c>
      <c r="C44" s="87">
        <v>2019</v>
      </c>
      <c r="D44" s="87">
        <v>2019</v>
      </c>
      <c r="E44" s="15"/>
    </row>
    <row r="45" spans="1:7" x14ac:dyDescent="0.3">
      <c r="A45" s="88" t="s">
        <v>102</v>
      </c>
      <c r="B45" s="2">
        <v>139</v>
      </c>
      <c r="C45" s="2">
        <v>-78</v>
      </c>
      <c r="D45" s="2">
        <v>66</v>
      </c>
      <c r="E45" s="17"/>
    </row>
    <row r="46" spans="1:7" x14ac:dyDescent="0.3">
      <c r="A46" s="88" t="s">
        <v>103</v>
      </c>
      <c r="B46" s="2">
        <f>B45*(1-$G$82)</f>
        <v>122.181</v>
      </c>
      <c r="C46" s="2">
        <f>C45</f>
        <v>-78</v>
      </c>
      <c r="D46" s="2">
        <f>D45*(1-$G$82)</f>
        <v>58.014000000000003</v>
      </c>
      <c r="E46" s="17"/>
    </row>
    <row r="47" spans="1:7" x14ac:dyDescent="0.3">
      <c r="A47" s="16"/>
      <c r="B47" s="8"/>
      <c r="C47" s="8"/>
      <c r="D47" s="8"/>
      <c r="E47" s="17"/>
    </row>
    <row r="48" spans="1:7" x14ac:dyDescent="0.3">
      <c r="A48" s="88" t="s">
        <v>104</v>
      </c>
      <c r="B48" s="2"/>
      <c r="C48" s="2"/>
      <c r="D48" s="2">
        <f>AVERAGE(B46:D46)</f>
        <v>34.064999999999998</v>
      </c>
      <c r="E48" s="89" t="s">
        <v>105</v>
      </c>
    </row>
    <row r="49" spans="1:13" ht="16.2" thickBot="1" x14ac:dyDescent="0.35">
      <c r="A49" s="90" t="s">
        <v>106</v>
      </c>
      <c r="B49" s="91"/>
      <c r="C49" s="91"/>
      <c r="D49" s="21">
        <f>F40+D48*1000-B46*1000</f>
        <v>3239792.1050659921</v>
      </c>
      <c r="E49" s="92" t="s">
        <v>100</v>
      </c>
    </row>
    <row r="51" spans="1:13" x14ac:dyDescent="0.3">
      <c r="B51" t="s">
        <v>107</v>
      </c>
    </row>
    <row r="52" spans="1:13" x14ac:dyDescent="0.3">
      <c r="B52" t="s">
        <v>108</v>
      </c>
    </row>
    <row r="53" spans="1:13" ht="16.2" thickBot="1" x14ac:dyDescent="0.35"/>
    <row r="54" spans="1:13" x14ac:dyDescent="0.3">
      <c r="A54" s="86" t="s">
        <v>15</v>
      </c>
      <c r="B54" s="87">
        <v>2020</v>
      </c>
      <c r="C54" s="87">
        <v>2019</v>
      </c>
      <c r="D54" s="87">
        <v>2018</v>
      </c>
      <c r="E54" s="87">
        <v>2017</v>
      </c>
      <c r="F54" s="87">
        <v>2016</v>
      </c>
      <c r="G54" s="87">
        <v>2015</v>
      </c>
      <c r="H54" s="87">
        <v>2014</v>
      </c>
      <c r="I54" s="87">
        <v>2013</v>
      </c>
      <c r="J54" s="87">
        <v>2012</v>
      </c>
      <c r="K54" s="87">
        <v>2011</v>
      </c>
      <c r="L54" s="87">
        <v>2010</v>
      </c>
      <c r="M54" s="93">
        <v>2009</v>
      </c>
    </row>
    <row r="55" spans="1:13" ht="16.2" thickBot="1" x14ac:dyDescent="0.35">
      <c r="A55" s="90" t="s">
        <v>109</v>
      </c>
      <c r="B55" s="91">
        <v>12.1</v>
      </c>
      <c r="C55" s="91">
        <v>16.100000000000001</v>
      </c>
      <c r="D55" s="91">
        <v>55.3</v>
      </c>
      <c r="E55" s="91">
        <v>13.2</v>
      </c>
      <c r="F55" s="91">
        <v>18.7</v>
      </c>
      <c r="G55" s="91">
        <v>22.2</v>
      </c>
      <c r="H55" s="91">
        <v>24</v>
      </c>
      <c r="I55" s="91">
        <v>24.7</v>
      </c>
      <c r="J55" s="91">
        <v>25.5</v>
      </c>
      <c r="K55" s="91">
        <v>25</v>
      </c>
      <c r="L55" s="91">
        <v>24.2</v>
      </c>
      <c r="M55" s="92">
        <v>24</v>
      </c>
    </row>
    <row r="57" spans="1:13" ht="16.2" thickBot="1" x14ac:dyDescent="0.35">
      <c r="B57" s="26" t="s">
        <v>110</v>
      </c>
      <c r="C57" s="26"/>
      <c r="D57" s="26"/>
      <c r="E57" s="26"/>
      <c r="F57" s="26"/>
      <c r="G57" s="26"/>
      <c r="H57" s="26"/>
    </row>
    <row r="58" spans="1:13" x14ac:dyDescent="0.3">
      <c r="A58" s="86"/>
      <c r="B58" s="87">
        <v>2020</v>
      </c>
      <c r="C58" s="87">
        <v>2019</v>
      </c>
      <c r="D58" s="87">
        <v>2018</v>
      </c>
      <c r="E58" s="93">
        <v>2017</v>
      </c>
    </row>
    <row r="59" spans="1:13" x14ac:dyDescent="0.3">
      <c r="A59" s="88" t="s">
        <v>111</v>
      </c>
      <c r="B59" s="2">
        <v>1086000</v>
      </c>
      <c r="C59" s="2">
        <v>1114000</v>
      </c>
      <c r="D59" s="2">
        <v>1025000</v>
      </c>
      <c r="E59" s="89">
        <v>1092000</v>
      </c>
    </row>
    <row r="60" spans="1:13" x14ac:dyDescent="0.3">
      <c r="A60" s="88" t="s">
        <v>112</v>
      </c>
      <c r="B60" s="2">
        <v>1119000</v>
      </c>
      <c r="C60" s="2">
        <v>720000</v>
      </c>
      <c r="D60" s="2">
        <v>774000</v>
      </c>
      <c r="E60" s="89">
        <v>716000</v>
      </c>
    </row>
    <row r="61" spans="1:13" ht="16.2" thickBot="1" x14ac:dyDescent="0.35">
      <c r="A61" s="90" t="s">
        <v>113</v>
      </c>
      <c r="B61" s="91">
        <f>B59-B60</f>
        <v>-33000</v>
      </c>
      <c r="C61" s="91">
        <f t="shared" ref="C61:E61" si="2">C59-C60</f>
        <v>394000</v>
      </c>
      <c r="D61" s="91">
        <f t="shared" si="2"/>
        <v>251000</v>
      </c>
      <c r="E61" s="92">
        <f t="shared" si="2"/>
        <v>376000</v>
      </c>
    </row>
    <row r="63" spans="1:13" x14ac:dyDescent="0.3">
      <c r="B63" t="s">
        <v>114</v>
      </c>
    </row>
    <row r="64" spans="1:13" x14ac:dyDescent="0.3">
      <c r="B64" t="s">
        <v>115</v>
      </c>
    </row>
    <row r="65" spans="2:12" x14ac:dyDescent="0.3">
      <c r="B65" t="s">
        <v>116</v>
      </c>
      <c r="F65">
        <f>AVERAGE(B61:E61)</f>
        <v>247000</v>
      </c>
      <c r="G65" t="s">
        <v>100</v>
      </c>
    </row>
    <row r="67" spans="2:12" x14ac:dyDescent="0.3">
      <c r="B67" t="s">
        <v>117</v>
      </c>
    </row>
    <row r="68" spans="2:12" x14ac:dyDescent="0.3">
      <c r="B68" t="s">
        <v>118</v>
      </c>
    </row>
    <row r="70" spans="2:12" x14ac:dyDescent="0.3">
      <c r="B70" t="s">
        <v>119</v>
      </c>
      <c r="E70">
        <f>20556000-8284000</f>
        <v>12272000</v>
      </c>
    </row>
    <row r="71" spans="2:12" x14ac:dyDescent="0.3">
      <c r="E71" s="9">
        <v>2020</v>
      </c>
      <c r="F71" s="9">
        <v>2019</v>
      </c>
    </row>
    <row r="72" spans="2:12" ht="15.6" customHeight="1" x14ac:dyDescent="0.3">
      <c r="B72" s="126" t="s">
        <v>120</v>
      </c>
      <c r="C72" s="126"/>
      <c r="D72" s="126"/>
      <c r="E72" s="10">
        <f>(20556000-8787000)-(8284000-696000)</f>
        <v>4181000</v>
      </c>
      <c r="F72" s="11">
        <f>16525000-4663000-7866000+15000</f>
        <v>4011000</v>
      </c>
      <c r="G72" s="12">
        <f>E72-F72</f>
        <v>170000</v>
      </c>
    </row>
    <row r="76" spans="2:12" x14ac:dyDescent="0.3">
      <c r="F76" s="2" t="s">
        <v>121</v>
      </c>
      <c r="G76" s="66">
        <f>9406/(9406+153553)</f>
        <v>5.7720040010063881E-2</v>
      </c>
      <c r="H76" s="99">
        <f>3479/(3479+120951)</f>
        <v>2.795949529856144E-2</v>
      </c>
    </row>
    <row r="77" spans="2:12" x14ac:dyDescent="0.3">
      <c r="F77" s="2" t="s">
        <v>122</v>
      </c>
      <c r="G77" s="66">
        <f>9406/(9406+8055)</f>
        <v>0.53868621499341385</v>
      </c>
      <c r="H77" s="99">
        <f>3479/(3479+9040)</f>
        <v>0.27789759565460498</v>
      </c>
    </row>
    <row r="79" spans="2:12" ht="16.2" thickBot="1" x14ac:dyDescent="0.35">
      <c r="D79" s="23" t="s">
        <v>123</v>
      </c>
      <c r="E79" s="14"/>
      <c r="F79" s="14"/>
      <c r="G79" s="14"/>
      <c r="H79" s="14"/>
      <c r="I79" s="14"/>
      <c r="J79" s="14"/>
      <c r="K79" s="14"/>
      <c r="L79" s="15"/>
    </row>
    <row r="80" spans="2:12" ht="31.2" x14ac:dyDescent="0.3">
      <c r="D80" s="16"/>
      <c r="E80" s="8"/>
      <c r="F80" s="60" t="s">
        <v>124</v>
      </c>
      <c r="G80" s="13">
        <v>3239774.0395660121</v>
      </c>
      <c r="H80" s="8"/>
      <c r="I80" s="60" t="s">
        <v>125</v>
      </c>
      <c r="J80" s="13">
        <f>J81+(G80-G81)</f>
        <v>2663774.0395660121</v>
      </c>
      <c r="K80" s="8"/>
      <c r="L80" s="17"/>
    </row>
    <row r="81" spans="3:12" x14ac:dyDescent="0.3">
      <c r="D81" s="16"/>
      <c r="E81" s="8"/>
      <c r="F81" s="2" t="s">
        <v>126</v>
      </c>
      <c r="G81" s="13">
        <v>3115000</v>
      </c>
      <c r="H81" s="8"/>
      <c r="I81" s="2" t="s">
        <v>127</v>
      </c>
      <c r="J81" s="2">
        <v>2539000</v>
      </c>
      <c r="K81" s="8"/>
      <c r="L81" s="17"/>
    </row>
    <row r="82" spans="3:12" x14ac:dyDescent="0.3">
      <c r="D82" s="16"/>
      <c r="E82" s="8"/>
      <c r="F82" s="2" t="s">
        <v>128</v>
      </c>
      <c r="G82" s="2">
        <v>0.121</v>
      </c>
      <c r="H82" s="8"/>
      <c r="I82" s="2" t="s">
        <v>129</v>
      </c>
      <c r="J82" s="2">
        <v>0</v>
      </c>
      <c r="K82" s="8"/>
      <c r="L82" s="17"/>
    </row>
    <row r="83" spans="3:12" x14ac:dyDescent="0.3">
      <c r="D83" s="16"/>
      <c r="E83" s="8"/>
      <c r="F83" s="2" t="s">
        <v>130</v>
      </c>
      <c r="G83" s="13">
        <f>B60</f>
        <v>1119000</v>
      </c>
      <c r="H83" s="8"/>
      <c r="I83" s="2" t="s">
        <v>131</v>
      </c>
      <c r="J83" s="13">
        <v>1086000</v>
      </c>
      <c r="K83" s="8"/>
      <c r="L83" s="17"/>
    </row>
    <row r="84" spans="3:12" x14ac:dyDescent="0.3">
      <c r="D84" s="16"/>
      <c r="E84" s="8"/>
      <c r="F84" s="2" t="s">
        <v>51</v>
      </c>
      <c r="G84" s="13">
        <v>1086000</v>
      </c>
      <c r="H84" s="8"/>
      <c r="I84" s="2" t="s">
        <v>132</v>
      </c>
      <c r="J84" s="13">
        <f>E61</f>
        <v>376000</v>
      </c>
      <c r="K84" s="8"/>
      <c r="L84" s="17"/>
    </row>
    <row r="85" spans="3:12" x14ac:dyDescent="0.3">
      <c r="D85" s="16"/>
      <c r="E85" s="8"/>
      <c r="F85" s="2" t="s">
        <v>133</v>
      </c>
      <c r="G85" s="2">
        <f>G72</f>
        <v>170000</v>
      </c>
      <c r="H85" s="8"/>
      <c r="I85" s="2" t="s">
        <v>133</v>
      </c>
      <c r="J85" s="2">
        <f>G72</f>
        <v>170000</v>
      </c>
      <c r="K85" s="8"/>
      <c r="L85" s="17"/>
    </row>
    <row r="86" spans="3:12" ht="46.8" x14ac:dyDescent="0.3">
      <c r="D86" s="16"/>
      <c r="E86" s="8"/>
      <c r="F86" s="60" t="s">
        <v>134</v>
      </c>
      <c r="G86" s="2">
        <f>F65</f>
        <v>247000</v>
      </c>
      <c r="H86" s="8"/>
      <c r="I86" s="2" t="s">
        <v>135</v>
      </c>
      <c r="J86" s="2">
        <v>0</v>
      </c>
      <c r="K86" s="8"/>
      <c r="L86" s="17"/>
    </row>
    <row r="87" spans="3:12" x14ac:dyDescent="0.3">
      <c r="D87" s="16"/>
      <c r="E87" s="8"/>
      <c r="F87" s="2"/>
      <c r="G87" s="2"/>
      <c r="H87" s="8"/>
      <c r="I87" s="2" t="s">
        <v>136</v>
      </c>
      <c r="J87" s="2">
        <v>0</v>
      </c>
      <c r="K87" s="8"/>
      <c r="L87" s="17"/>
    </row>
    <row r="88" spans="3:12" ht="16.2" thickBot="1" x14ac:dyDescent="0.35">
      <c r="D88" s="18"/>
      <c r="E88" s="19"/>
      <c r="F88" s="20" t="s">
        <v>52</v>
      </c>
      <c r="G88" s="21">
        <f>G80*(1-G82)-G85-G86</f>
        <v>2430761.3807785246</v>
      </c>
      <c r="H88" s="19"/>
      <c r="I88" s="20" t="s">
        <v>137</v>
      </c>
      <c r="J88" s="21">
        <f>J80-J82-(G86+J85-(J86+J87))</f>
        <v>2246774.0395660121</v>
      </c>
      <c r="K88" s="19"/>
      <c r="L88" s="22"/>
    </row>
    <row r="92" spans="3:12" x14ac:dyDescent="0.3">
      <c r="C92" t="s">
        <v>138</v>
      </c>
      <c r="E92" t="s">
        <v>139</v>
      </c>
    </row>
    <row r="93" spans="3:12" x14ac:dyDescent="0.3">
      <c r="E93" t="s">
        <v>140</v>
      </c>
    </row>
    <row r="94" spans="3:12" x14ac:dyDescent="0.3">
      <c r="E94" t="s">
        <v>141</v>
      </c>
    </row>
  </sheetData>
  <mergeCells count="3">
    <mergeCell ref="B2:E2"/>
    <mergeCell ref="A38:C38"/>
    <mergeCell ref="B72:D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BA932-8A57-401A-B17D-3E3F1A498814}">
  <dimension ref="A1:J44"/>
  <sheetViews>
    <sheetView topLeftCell="A19" workbookViewId="0">
      <selection activeCell="H47" sqref="H47"/>
    </sheetView>
  </sheetViews>
  <sheetFormatPr defaultRowHeight="15.6" x14ac:dyDescent="0.3"/>
  <cols>
    <col min="3" max="3" width="20.59765625" customWidth="1"/>
    <col min="4" max="4" width="14.5" customWidth="1"/>
    <col min="5" max="5" width="15.8984375" customWidth="1"/>
  </cols>
  <sheetData>
    <row r="1" spans="2:6" x14ac:dyDescent="0.3">
      <c r="B1" s="2" t="s">
        <v>15</v>
      </c>
      <c r="C1" s="2" t="s">
        <v>172</v>
      </c>
      <c r="D1" s="2" t="s">
        <v>142</v>
      </c>
      <c r="E1" s="2" t="s">
        <v>143</v>
      </c>
    </row>
    <row r="2" spans="2:6" x14ac:dyDescent="0.3">
      <c r="B2" s="2">
        <v>2015</v>
      </c>
      <c r="C2" s="29">
        <v>1.85</v>
      </c>
      <c r="D2" s="2"/>
      <c r="E2" s="2">
        <f>LN(C2)</f>
        <v>0.61518563909023349</v>
      </c>
    </row>
    <row r="3" spans="2:6" x14ac:dyDescent="0.3">
      <c r="B3" s="2">
        <v>2016</v>
      </c>
      <c r="C3" s="29">
        <v>2.16</v>
      </c>
      <c r="D3" s="2">
        <f>C3/C2*100-100</f>
        <v>16.756756756756758</v>
      </c>
      <c r="E3" s="2">
        <f t="shared" ref="E3:E7" si="0">LN(C3)</f>
        <v>0.77010822169607374</v>
      </c>
    </row>
    <row r="4" spans="2:6" x14ac:dyDescent="0.3">
      <c r="B4" s="2">
        <v>2017</v>
      </c>
      <c r="C4" s="29">
        <v>2.5099999999999998</v>
      </c>
      <c r="D4" s="2">
        <f t="shared" ref="D4:D7" si="1">C4/C3*100-100</f>
        <v>16.203703703703681</v>
      </c>
      <c r="E4" s="2">
        <f t="shared" si="0"/>
        <v>0.92028275314369246</v>
      </c>
    </row>
    <row r="5" spans="2:6" x14ac:dyDescent="0.3">
      <c r="B5" s="2">
        <v>2018</v>
      </c>
      <c r="C5" s="29">
        <v>1.17</v>
      </c>
      <c r="D5" s="2">
        <f t="shared" si="1"/>
        <v>-53.386454183266927</v>
      </c>
      <c r="E5" s="2">
        <f t="shared" si="0"/>
        <v>0.15700374880966469</v>
      </c>
    </row>
    <row r="6" spans="2:6" x14ac:dyDescent="0.3">
      <c r="B6" s="2">
        <v>2019</v>
      </c>
      <c r="C6" s="29">
        <v>2.4900000000000002</v>
      </c>
      <c r="D6" s="2">
        <f>C6/C5*100-100</f>
        <v>112.82051282051287</v>
      </c>
      <c r="E6" s="2">
        <f t="shared" si="0"/>
        <v>0.91228271047661635</v>
      </c>
    </row>
    <row r="7" spans="2:6" x14ac:dyDescent="0.3">
      <c r="B7" s="2">
        <v>2020</v>
      </c>
      <c r="C7" s="29">
        <v>1.6</v>
      </c>
      <c r="D7" s="2">
        <f t="shared" si="1"/>
        <v>-35.742971887550198</v>
      </c>
      <c r="E7" s="2">
        <f t="shared" si="0"/>
        <v>0.47000362924573563</v>
      </c>
    </row>
    <row r="9" spans="2:6" x14ac:dyDescent="0.3">
      <c r="B9" s="129" t="s">
        <v>144</v>
      </c>
      <c r="C9" s="129"/>
      <c r="D9" s="129"/>
      <c r="E9" s="29">
        <f>SUM(D3:D7)</f>
        <v>56.651547210156195</v>
      </c>
    </row>
    <row r="10" spans="2:6" x14ac:dyDescent="0.3">
      <c r="B10" s="129" t="s">
        <v>145</v>
      </c>
      <c r="C10" s="129"/>
      <c r="D10" s="129"/>
      <c r="E10" s="29">
        <f>(C7/C2)^(1/6)-1</f>
        <v>-2.3906601185345822E-2</v>
      </c>
    </row>
    <row r="11" spans="2:6" x14ac:dyDescent="0.3">
      <c r="B11" s="126" t="s">
        <v>146</v>
      </c>
      <c r="C11" s="126"/>
      <c r="D11" s="126"/>
      <c r="E11" s="29">
        <f>AVERAGE(E2:E7)</f>
        <v>0.64081111707700267</v>
      </c>
    </row>
    <row r="13" spans="2:6" ht="20.399999999999999" customHeight="1" x14ac:dyDescent="0.3">
      <c r="B13" s="26" t="s">
        <v>147</v>
      </c>
      <c r="C13" s="26"/>
      <c r="D13" s="26"/>
      <c r="E13" s="26"/>
      <c r="F13" s="26"/>
    </row>
    <row r="14" spans="2:6" ht="20.399999999999999" customHeight="1" x14ac:dyDescent="0.3">
      <c r="B14" s="24"/>
      <c r="C14" s="24"/>
      <c r="D14" s="7"/>
    </row>
    <row r="15" spans="2:6" ht="41.4" customHeight="1" x14ac:dyDescent="0.3">
      <c r="B15" s="28" t="s">
        <v>15</v>
      </c>
      <c r="C15" s="28" t="s">
        <v>179</v>
      </c>
      <c r="D15" s="28" t="s">
        <v>180</v>
      </c>
      <c r="E15" s="28" t="s">
        <v>181</v>
      </c>
    </row>
    <row r="16" spans="2:6" ht="20.399999999999999" customHeight="1" x14ac:dyDescent="0.3">
      <c r="B16" s="28">
        <v>2021</v>
      </c>
      <c r="C16" s="103">
        <f>C7*((100+$E$9)/100)</f>
        <v>2.5064247553624992</v>
      </c>
      <c r="D16" s="103">
        <f>C7*(1+$E$10)</f>
        <v>1.5617494381034467</v>
      </c>
      <c r="E16" s="103">
        <f>C7*((100+$E$11)/100)</f>
        <v>1.6102529778732322</v>
      </c>
    </row>
    <row r="17" spans="2:10" ht="20.399999999999999" customHeight="1" x14ac:dyDescent="0.3">
      <c r="B17" s="28">
        <v>2022</v>
      </c>
      <c r="C17" s="103">
        <f>C16*((100+$E$9)/100)</f>
        <v>3.9263531589337273</v>
      </c>
      <c r="D17" s="103">
        <f>D16*(1+$E$10)</f>
        <v>1.5244133171352696</v>
      </c>
      <c r="E17" s="103">
        <f>E16*((100+$E$11)/100)</f>
        <v>1.6205716579685074</v>
      </c>
    </row>
    <row r="18" spans="2:10" ht="20.399999999999999" customHeight="1" x14ac:dyDescent="0.3">
      <c r="B18" s="28">
        <v>2023</v>
      </c>
      <c r="C18" s="103">
        <f t="shared" ref="C18:C21" si="2">C17*((100+$E$9)/100)</f>
        <v>6.1506929724045269</v>
      </c>
      <c r="D18" s="103">
        <f t="shared" ref="D18:D21" si="3">D17*(1+$E$10)</f>
        <v>1.4879697759208865</v>
      </c>
      <c r="E18" s="103">
        <f t="shared" ref="E18:E21" si="4">E17*((100+$E$11)/100)</f>
        <v>1.6309564613129688</v>
      </c>
    </row>
    <row r="19" spans="2:10" ht="20.399999999999999" customHeight="1" x14ac:dyDescent="0.3">
      <c r="B19" s="28">
        <v>2024</v>
      </c>
      <c r="C19" s="103">
        <f t="shared" si="2"/>
        <v>9.6351557054180361</v>
      </c>
      <c r="D19" s="103">
        <f t="shared" si="3"/>
        <v>1.4523974759120974</v>
      </c>
      <c r="E19" s="103">
        <f t="shared" si="4"/>
        <v>1.6414078116317481</v>
      </c>
    </row>
    <row r="20" spans="2:10" ht="20.399999999999999" customHeight="1" x14ac:dyDescent="0.3">
      <c r="B20" s="28">
        <v>2025</v>
      </c>
      <c r="C20" s="103">
        <f t="shared" si="2"/>
        <v>15.093620488644993</v>
      </c>
      <c r="D20" s="103">
        <f t="shared" si="3"/>
        <v>1.417675588692864</v>
      </c>
      <c r="E20" s="103">
        <f t="shared" si="4"/>
        <v>1.6519261353652548</v>
      </c>
    </row>
    <row r="21" spans="2:10" x14ac:dyDescent="0.3">
      <c r="B21" s="28">
        <v>2026</v>
      </c>
      <c r="C21" s="103">
        <f t="shared" si="2"/>
        <v>23.644390025491518</v>
      </c>
      <c r="D21" s="103">
        <f t="shared" si="3"/>
        <v>1.3837837837837834</v>
      </c>
      <c r="E21" s="103">
        <f t="shared" si="4"/>
        <v>1.6625118616865759</v>
      </c>
    </row>
    <row r="22" spans="2:10" ht="15.6" customHeight="1" x14ac:dyDescent="0.3">
      <c r="B22" s="122" t="s">
        <v>178</v>
      </c>
      <c r="C22" s="122"/>
      <c r="D22" s="122"/>
      <c r="E22" s="122"/>
      <c r="F22" s="122"/>
      <c r="G22" s="122"/>
      <c r="H22" s="122"/>
      <c r="I22" s="122"/>
      <c r="J22" s="122"/>
    </row>
    <row r="23" spans="2:10" x14ac:dyDescent="0.3">
      <c r="B23" s="122"/>
      <c r="C23" s="122"/>
      <c r="D23" s="122"/>
      <c r="E23" s="122"/>
      <c r="F23" s="122"/>
      <c r="G23" s="122"/>
      <c r="H23" s="122"/>
      <c r="I23" s="122"/>
      <c r="J23" s="122"/>
    </row>
    <row r="24" spans="2:10" ht="15.6" customHeight="1" x14ac:dyDescent="0.3">
      <c r="B24" s="122"/>
      <c r="C24" s="122"/>
      <c r="D24" s="122"/>
      <c r="E24" s="122"/>
      <c r="F24" s="122"/>
      <c r="G24" s="122"/>
      <c r="H24" s="122"/>
      <c r="I24" s="122"/>
      <c r="J24" s="122"/>
    </row>
    <row r="26" spans="2:10" x14ac:dyDescent="0.3">
      <c r="B26" s="129" t="s">
        <v>148</v>
      </c>
      <c r="C26" s="129"/>
      <c r="D26" s="129"/>
      <c r="E26" s="100">
        <f>C30/C31</f>
        <v>0.33069820478783513</v>
      </c>
    </row>
    <row r="27" spans="2:10" ht="15.6" customHeight="1" x14ac:dyDescent="0.3">
      <c r="B27" s="130" t="s">
        <v>149</v>
      </c>
      <c r="C27" s="130"/>
      <c r="D27" s="130"/>
      <c r="E27" s="127">
        <f>(C32+C35)/C36</f>
        <v>0.15654480965958303</v>
      </c>
    </row>
    <row r="28" spans="2:10" ht="40.950000000000003" customHeight="1" x14ac:dyDescent="0.3">
      <c r="B28" s="130"/>
      <c r="C28" s="130"/>
      <c r="D28" s="130"/>
      <c r="E28" s="128"/>
    </row>
    <row r="29" spans="2:10" x14ac:dyDescent="0.3">
      <c r="E29">
        <v>0.4</v>
      </c>
    </row>
    <row r="30" spans="2:10" x14ac:dyDescent="0.3">
      <c r="B30" s="2" t="s">
        <v>127</v>
      </c>
      <c r="C30" s="13">
        <f>'Пункт 5'!J80</f>
        <v>2663774.0395660121</v>
      </c>
    </row>
    <row r="31" spans="2:10" x14ac:dyDescent="0.3">
      <c r="B31" s="2" t="s">
        <v>150</v>
      </c>
      <c r="C31" s="2">
        <v>8055000</v>
      </c>
    </row>
    <row r="32" spans="2:10" ht="16.2" thickBot="1" x14ac:dyDescent="0.35">
      <c r="B32" s="2" t="s">
        <v>134</v>
      </c>
      <c r="C32" s="2">
        <v>247000</v>
      </c>
    </row>
    <row r="33" spans="1:7" ht="16.2" thickBot="1" x14ac:dyDescent="0.35">
      <c r="B33" s="2" t="s">
        <v>131</v>
      </c>
      <c r="C33" s="13">
        <f>'Пункт 5'!G84</f>
        <v>1086000</v>
      </c>
      <c r="F33" s="3" t="s">
        <v>151</v>
      </c>
      <c r="G33" s="104">
        <f>E27*E26</f>
        <v>5.1769087523277461E-2</v>
      </c>
    </row>
    <row r="34" spans="1:7" x14ac:dyDescent="0.3">
      <c r="B34" s="2" t="s">
        <v>132</v>
      </c>
      <c r="C34" s="13">
        <f>'Пункт 5'!G83</f>
        <v>1119000</v>
      </c>
    </row>
    <row r="35" spans="1:7" x14ac:dyDescent="0.3">
      <c r="B35" s="2" t="s">
        <v>133</v>
      </c>
      <c r="C35" s="2">
        <f>'Пункт 5'!G85</f>
        <v>170000</v>
      </c>
      <c r="D35">
        <v>1245000</v>
      </c>
    </row>
    <row r="36" spans="1:7" x14ac:dyDescent="0.3">
      <c r="B36" s="2" t="s">
        <v>127</v>
      </c>
      <c r="C36" s="13">
        <f>C30</f>
        <v>2663774.0395660121</v>
      </c>
    </row>
    <row r="37" spans="1:7" x14ac:dyDescent="0.3">
      <c r="B37" s="9"/>
      <c r="C37" s="9"/>
    </row>
    <row r="38" spans="1:7" x14ac:dyDescent="0.3">
      <c r="A38" s="8"/>
      <c r="B38" s="8"/>
      <c r="C38" s="8"/>
    </row>
    <row r="39" spans="1:7" x14ac:dyDescent="0.3">
      <c r="A39" s="8"/>
      <c r="B39" s="8"/>
      <c r="C39" s="8"/>
    </row>
    <row r="42" spans="1:7" x14ac:dyDescent="0.3">
      <c r="B42" t="s">
        <v>138</v>
      </c>
      <c r="D42" t="s">
        <v>139</v>
      </c>
    </row>
    <row r="43" spans="1:7" x14ac:dyDescent="0.3">
      <c r="D43" t="s">
        <v>140</v>
      </c>
    </row>
    <row r="44" spans="1:7" x14ac:dyDescent="0.3">
      <c r="D44" t="s">
        <v>141</v>
      </c>
    </row>
  </sheetData>
  <mergeCells count="7">
    <mergeCell ref="E27:E28"/>
    <mergeCell ref="B9:D9"/>
    <mergeCell ref="B10:D10"/>
    <mergeCell ref="B11:D11"/>
    <mergeCell ref="B27:D28"/>
    <mergeCell ref="B26:D26"/>
    <mergeCell ref="B22:J2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29365-E61B-4B79-A0AE-8DC50F6481B3}">
  <dimension ref="C2:R20"/>
  <sheetViews>
    <sheetView topLeftCell="C2" workbookViewId="0">
      <selection activeCell="O14" sqref="O14"/>
    </sheetView>
  </sheetViews>
  <sheetFormatPr defaultRowHeight="15.6" x14ac:dyDescent="0.3"/>
  <cols>
    <col min="4" max="4" width="21.19921875" customWidth="1"/>
    <col min="12" max="13" width="15.69921875" customWidth="1"/>
    <col min="14" max="14" width="16.3984375" customWidth="1"/>
    <col min="15" max="15" width="22" customWidth="1"/>
    <col min="20" max="20" width="13.19921875" customWidth="1"/>
  </cols>
  <sheetData>
    <row r="2" spans="3:18" ht="15.6" customHeight="1" x14ac:dyDescent="0.3">
      <c r="C2" s="5" t="s">
        <v>152</v>
      </c>
      <c r="L2" s="132" t="s">
        <v>175</v>
      </c>
      <c r="M2" s="133"/>
      <c r="N2" s="133"/>
      <c r="O2" s="133"/>
      <c r="P2" s="133"/>
      <c r="Q2" s="133"/>
      <c r="R2" s="134"/>
    </row>
    <row r="3" spans="3:18" ht="16.2" customHeight="1" x14ac:dyDescent="0.3">
      <c r="C3" s="131" t="s">
        <v>153</v>
      </c>
      <c r="D3" s="131"/>
      <c r="E3" s="131"/>
      <c r="F3" s="131"/>
      <c r="G3" s="131"/>
      <c r="H3" s="131"/>
      <c r="I3" s="131"/>
      <c r="J3" s="25"/>
      <c r="L3" s="135"/>
      <c r="M3" s="136"/>
      <c r="N3" s="136"/>
      <c r="O3" s="136"/>
      <c r="P3" s="136"/>
      <c r="Q3" s="136"/>
      <c r="R3" s="137"/>
    </row>
    <row r="4" spans="3:18" ht="16.2" thickBot="1" x14ac:dyDescent="0.35">
      <c r="C4" s="131"/>
      <c r="D4" s="131"/>
      <c r="E4" s="131"/>
      <c r="F4" s="131"/>
      <c r="G4" s="131"/>
      <c r="H4" s="131"/>
      <c r="I4" s="131"/>
      <c r="J4" s="25"/>
      <c r="L4" s="138"/>
      <c r="M4" s="139"/>
      <c r="N4" s="139"/>
      <c r="O4" s="139"/>
      <c r="P4" s="139"/>
      <c r="Q4" s="139"/>
      <c r="R4" s="140"/>
    </row>
    <row r="5" spans="3:18" ht="16.2" thickBot="1" x14ac:dyDescent="0.35">
      <c r="C5" s="131"/>
      <c r="D5" s="131"/>
      <c r="E5" s="131"/>
      <c r="F5" s="131"/>
      <c r="G5" s="131"/>
      <c r="H5" s="131"/>
      <c r="I5" s="131"/>
      <c r="J5" s="25"/>
    </row>
    <row r="6" spans="3:18" x14ac:dyDescent="0.3">
      <c r="C6" s="131"/>
      <c r="D6" s="131"/>
      <c r="E6" s="131"/>
      <c r="F6" s="131"/>
      <c r="G6" s="131"/>
      <c r="H6" s="131"/>
      <c r="I6" s="131"/>
      <c r="J6" s="25"/>
      <c r="K6" t="s">
        <v>154</v>
      </c>
      <c r="L6" s="86" t="s">
        <v>15</v>
      </c>
      <c r="M6" s="87" t="s">
        <v>155</v>
      </c>
      <c r="N6" s="87" t="s">
        <v>151</v>
      </c>
      <c r="O6" s="87" t="s">
        <v>156</v>
      </c>
      <c r="P6" s="87" t="s">
        <v>157</v>
      </c>
      <c r="Q6" s="87" t="s">
        <v>158</v>
      </c>
      <c r="R6" s="93" t="s">
        <v>159</v>
      </c>
    </row>
    <row r="7" spans="3:18" x14ac:dyDescent="0.3">
      <c r="C7" s="131"/>
      <c r="D7" s="131"/>
      <c r="E7" s="131"/>
      <c r="F7" s="131"/>
      <c r="G7" s="131"/>
      <c r="H7" s="131"/>
      <c r="I7" s="131"/>
      <c r="J7" s="25"/>
      <c r="K7">
        <v>0</v>
      </c>
      <c r="L7" s="88">
        <v>2020</v>
      </c>
      <c r="M7" s="2">
        <v>1.6</v>
      </c>
      <c r="N7" s="66">
        <f>'Пункт 6'!$G$33</f>
        <v>5.1769087523277461E-2</v>
      </c>
      <c r="O7" s="66">
        <f>1-0.204833</f>
        <v>0.79516699999999996</v>
      </c>
      <c r="P7" s="2">
        <f>O7*M7</f>
        <v>1.2722671999999999</v>
      </c>
      <c r="Q7" s="66">
        <f>9.76%</f>
        <v>9.7599999999999992E-2</v>
      </c>
      <c r="R7" s="89"/>
    </row>
    <row r="8" spans="3:18" x14ac:dyDescent="0.3">
      <c r="C8" s="131"/>
      <c r="D8" s="131"/>
      <c r="E8" s="131"/>
      <c r="F8" s="131"/>
      <c r="G8" s="131"/>
      <c r="H8" s="131"/>
      <c r="I8" s="131"/>
      <c r="J8" s="25"/>
      <c r="K8">
        <v>1</v>
      </c>
      <c r="L8" s="88">
        <v>2021</v>
      </c>
      <c r="M8" s="95">
        <f>M7*(1+N8)</f>
        <v>1.6960000000000002</v>
      </c>
      <c r="N8" s="66">
        <v>0.06</v>
      </c>
      <c r="O8" s="66">
        <f>1-0.204833</f>
        <v>0.79516699999999996</v>
      </c>
      <c r="P8" s="2">
        <f t="shared" ref="P8:P13" si="0">O8*M8</f>
        <v>1.3486032320000001</v>
      </c>
      <c r="Q8" s="66">
        <f t="shared" ref="Q8:Q13" si="1">9.76%</f>
        <v>9.7599999999999992E-2</v>
      </c>
      <c r="R8" s="96">
        <f>P8/(1+Q8)^K8</f>
        <v>1.2286837026239068</v>
      </c>
    </row>
    <row r="9" spans="3:18" x14ac:dyDescent="0.3">
      <c r="C9" s="131"/>
      <c r="D9" s="131"/>
      <c r="E9" s="131"/>
      <c r="F9" s="131"/>
      <c r="G9" s="131"/>
      <c r="H9" s="131"/>
      <c r="I9" s="131"/>
      <c r="J9" s="25"/>
      <c r="K9">
        <v>2</v>
      </c>
      <c r="L9" s="88">
        <v>2022</v>
      </c>
      <c r="M9" s="95">
        <f t="shared" ref="M9" si="2">M8*(1+N9)</f>
        <v>1.8316800000000004</v>
      </c>
      <c r="N9" s="66">
        <v>0.08</v>
      </c>
      <c r="O9" s="66">
        <f>1-0.204833</f>
        <v>0.79516699999999996</v>
      </c>
      <c r="P9" s="2">
        <f t="shared" si="0"/>
        <v>1.4564914905600002</v>
      </c>
      <c r="Q9" s="66">
        <f t="shared" si="1"/>
        <v>9.7599999999999992E-2</v>
      </c>
      <c r="R9" s="96">
        <f>P9/(1+Q9)^K9</f>
        <v>1.2089817773631737</v>
      </c>
    </row>
    <row r="10" spans="3:18" ht="29.25" customHeight="1" x14ac:dyDescent="0.3">
      <c r="C10" s="131" t="s">
        <v>160</v>
      </c>
      <c r="D10" s="131"/>
      <c r="E10" s="131"/>
      <c r="F10" s="131"/>
      <c r="G10" s="131"/>
      <c r="H10" s="131"/>
      <c r="I10" s="131"/>
      <c r="J10" s="25"/>
      <c r="K10">
        <v>3</v>
      </c>
      <c r="L10" s="88">
        <v>2023</v>
      </c>
      <c r="M10" s="95">
        <f>M9*(1+N10)</f>
        <v>2.0148480000000006</v>
      </c>
      <c r="N10" s="66">
        <v>0.1</v>
      </c>
      <c r="O10" s="66">
        <f>1-0.204833</f>
        <v>0.79516699999999996</v>
      </c>
      <c r="P10" s="2">
        <f t="shared" si="0"/>
        <v>1.6021406396160005</v>
      </c>
      <c r="Q10" s="66">
        <f t="shared" si="1"/>
        <v>9.7599999999999992E-2</v>
      </c>
      <c r="R10" s="96">
        <f>P10/(1+Q10)^K10</f>
        <v>1.2116253235235892</v>
      </c>
    </row>
    <row r="11" spans="3:18" ht="29.25" customHeight="1" x14ac:dyDescent="0.3">
      <c r="C11" s="131"/>
      <c r="D11" s="131"/>
      <c r="E11" s="131"/>
      <c r="F11" s="131"/>
      <c r="G11" s="131"/>
      <c r="H11" s="131"/>
      <c r="I11" s="131"/>
      <c r="J11" s="25"/>
      <c r="K11">
        <v>4</v>
      </c>
      <c r="L11" s="88">
        <v>2024</v>
      </c>
      <c r="M11" s="95">
        <f>M10*(1+N11)</f>
        <v>2.2767782400000005</v>
      </c>
      <c r="N11" s="66">
        <v>0.13</v>
      </c>
      <c r="O11" s="66">
        <f t="shared" ref="O11:O12" si="3">1-0.204833</f>
        <v>0.79516699999999996</v>
      </c>
      <c r="P11" s="2">
        <f t="shared" si="0"/>
        <v>1.8104189227660803</v>
      </c>
      <c r="Q11" s="66">
        <f t="shared" si="1"/>
        <v>9.7599999999999992E-2</v>
      </c>
      <c r="R11" s="96">
        <f>P11/(1+Q11)^K11</f>
        <v>1.247391231397281</v>
      </c>
    </row>
    <row r="12" spans="3:18" ht="30" customHeight="1" x14ac:dyDescent="0.3">
      <c r="C12" s="131"/>
      <c r="D12" s="131"/>
      <c r="E12" s="131"/>
      <c r="F12" s="131"/>
      <c r="G12" s="131"/>
      <c r="H12" s="131"/>
      <c r="I12" s="131"/>
      <c r="J12" s="25"/>
      <c r="K12">
        <v>5</v>
      </c>
      <c r="L12" s="88">
        <v>2025</v>
      </c>
      <c r="M12" s="95">
        <f t="shared" ref="M12:M13" si="4">M11*(1+N12)</f>
        <v>2.6182949760000005</v>
      </c>
      <c r="N12" s="66">
        <v>0.15</v>
      </c>
      <c r="O12" s="66">
        <f t="shared" si="3"/>
        <v>0.79516699999999996</v>
      </c>
      <c r="P12" s="2">
        <f t="shared" si="0"/>
        <v>2.0819817611809923</v>
      </c>
      <c r="Q12" s="66">
        <f t="shared" si="1"/>
        <v>9.7599999999999992E-2</v>
      </c>
      <c r="R12" s="96">
        <f>P12/(1+Q12)^K12</f>
        <v>1.3069423433918308</v>
      </c>
    </row>
    <row r="13" spans="3:18" ht="54.75" customHeight="1" thickBot="1" x14ac:dyDescent="0.35">
      <c r="C13" s="131"/>
      <c r="D13" s="131"/>
      <c r="E13" s="131"/>
      <c r="F13" s="131"/>
      <c r="G13" s="131"/>
      <c r="H13" s="131"/>
      <c r="I13" s="131"/>
      <c r="J13" s="25"/>
      <c r="K13">
        <v>6</v>
      </c>
      <c r="L13" s="88">
        <v>2026</v>
      </c>
      <c r="M13" s="97">
        <f t="shared" si="4"/>
        <v>2.7753926745600008</v>
      </c>
      <c r="N13" s="101">
        <v>0.06</v>
      </c>
      <c r="O13" s="101">
        <v>0.85</v>
      </c>
      <c r="P13" s="91">
        <f t="shared" si="0"/>
        <v>2.3590837733760006</v>
      </c>
      <c r="Q13" s="101">
        <f t="shared" si="1"/>
        <v>9.7599999999999992E-2</v>
      </c>
      <c r="R13" s="98"/>
    </row>
    <row r="14" spans="3:18" ht="42" customHeight="1" thickBot="1" x14ac:dyDescent="0.35">
      <c r="C14" s="131"/>
      <c r="D14" s="131"/>
      <c r="E14" s="131"/>
      <c r="F14" s="131"/>
      <c r="G14" s="131"/>
      <c r="H14" s="131"/>
      <c r="I14" s="131"/>
      <c r="J14" s="25"/>
      <c r="R14" s="94">
        <f>P13/(Q13-N13)/(1+N13)^K12</f>
        <v>46.884165694971102</v>
      </c>
    </row>
    <row r="15" spans="3:18" ht="16.2" thickBot="1" x14ac:dyDescent="0.35"/>
    <row r="16" spans="3:18" ht="16.2" thickBot="1" x14ac:dyDescent="0.35">
      <c r="H16" s="30"/>
      <c r="L16" s="34" t="s">
        <v>161</v>
      </c>
      <c r="M16" s="35">
        <f>SUM(R14,R8:R12)</f>
        <v>53.087790073270881</v>
      </c>
    </row>
    <row r="17" spans="5:5" x14ac:dyDescent="0.3">
      <c r="E17" s="27"/>
    </row>
    <row r="19" spans="5:5" x14ac:dyDescent="0.3">
      <c r="E19" s="27"/>
    </row>
    <row r="20" spans="5:5" x14ac:dyDescent="0.3">
      <c r="E20" s="27"/>
    </row>
  </sheetData>
  <mergeCells count="3">
    <mergeCell ref="C10:I14"/>
    <mergeCell ref="C3:I9"/>
    <mergeCell ref="L2:R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9FE8E32E0712664F8338B2CC2EC072A0" ma:contentTypeVersion="4" ma:contentTypeDescription="Создание документа." ma:contentTypeScope="" ma:versionID="dd6e54ba030fd9b9ff51aa8355dcc2e3">
  <xsd:schema xmlns:xsd="http://www.w3.org/2001/XMLSchema" xmlns:xs="http://www.w3.org/2001/XMLSchema" xmlns:p="http://schemas.microsoft.com/office/2006/metadata/properties" xmlns:ns3="0dcd797d-1409-4074-bb89-9ca01e82b859" targetNamespace="http://schemas.microsoft.com/office/2006/metadata/properties" ma:root="true" ma:fieldsID="bb8a28f0ec4ebf93d4234315c78132c0" ns3:_="">
    <xsd:import namespace="0dcd797d-1409-4074-bb89-9ca01e82b85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cd797d-1409-4074-bb89-9ca01e82b8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87F65F-36D8-4AD9-A40B-ED455B2E8873}">
  <ds:schemaRefs>
    <ds:schemaRef ds:uri="http://schemas.microsoft.com/sharepoint/v3/contenttype/forms"/>
  </ds:schemaRefs>
</ds:datastoreItem>
</file>

<file path=customXml/itemProps2.xml><?xml version="1.0" encoding="utf-8"?>
<ds:datastoreItem xmlns:ds="http://schemas.openxmlformats.org/officeDocument/2006/customXml" ds:itemID="{002C5CF9-AC94-4FEB-9A83-BD148B478D26}">
  <ds:schemaRefs>
    <ds:schemaRef ds:uri="http://schemas.microsoft.com/office/2006/metadata/properties"/>
    <ds:schemaRef ds:uri="http://www.w3.org/XML/1998/namespace"/>
    <ds:schemaRef ds:uri="http://purl.org/dc/dcmitype/"/>
    <ds:schemaRef ds:uri="http://purl.org/dc/terms/"/>
    <ds:schemaRef ds:uri="http://schemas.microsoft.com/office/2006/documentManagement/types"/>
    <ds:schemaRef ds:uri="0dcd797d-1409-4074-bb89-9ca01e82b859"/>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053CE9A9-8575-42A8-8DD2-0E5396FBB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cd797d-1409-4074-bb89-9ca01e82b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Пункт 2</vt:lpstr>
      <vt:lpstr>Пункт 3, 4</vt:lpstr>
      <vt:lpstr>Nike's Data</vt:lpstr>
      <vt:lpstr>Under Armour beta</vt:lpstr>
      <vt:lpstr>Crox beta</vt:lpstr>
      <vt:lpstr>Бэта Skechers</vt:lpstr>
      <vt:lpstr>Пункт 5</vt:lpstr>
      <vt:lpstr>Пункт 6</vt:lpstr>
      <vt:lpstr>Пункт 7</vt:lpstr>
      <vt:lpstr>Пункт 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Райымбек Салимов</dc:creator>
  <cp:keywords/>
  <dc:description/>
  <cp:lastModifiedBy>Райымбек Салимов</cp:lastModifiedBy>
  <cp:revision/>
  <dcterms:created xsi:type="dcterms:W3CDTF">2020-11-14T11:10:54Z</dcterms:created>
  <dcterms:modified xsi:type="dcterms:W3CDTF">2020-11-22T13:33:03Z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0x0101009FE8E32E0712664F8338B2CC2EC072A0</vt:lpwstr>
  </property>
</Properties>
</file>