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blanc\Documents\GitHub\nana-project\birds-chile-project_Blanc_Anais\inputs\xls\"/>
    </mc:Choice>
  </mc:AlternateContent>
  <xr:revisionPtr revIDLastSave="0" documentId="13_ncr:1_{9DB58048-EE9D-4B3B-9DA3-B68E0DDE48A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7" i="1" l="1"/>
  <c r="D25" i="1"/>
  <c r="D19" i="1"/>
  <c r="D18" i="1"/>
  <c r="D17" i="1"/>
  <c r="D16" i="1"/>
  <c r="D56" i="1" s="1"/>
  <c r="D15" i="1"/>
  <c r="D11" i="1"/>
  <c r="D46" i="1" s="1"/>
  <c r="D10" i="1"/>
  <c r="D44" i="1" s="1"/>
  <c r="D9" i="1"/>
  <c r="D42" i="1" s="1"/>
  <c r="D8" i="1"/>
  <c r="D40" i="1" s="1"/>
  <c r="D7" i="1"/>
  <c r="D38" i="1" s="1"/>
  <c r="D6" i="1"/>
  <c r="D5" i="1"/>
  <c r="D34" i="1" s="1"/>
  <c r="D4" i="1"/>
  <c r="D30" i="1"/>
  <c r="D32" i="1"/>
  <c r="D48" i="1"/>
  <c r="D50" i="1"/>
  <c r="D52" i="1"/>
  <c r="D2" i="1"/>
  <c r="E25" i="1"/>
  <c r="C25" i="1"/>
  <c r="B25" i="1"/>
  <c r="E63" i="1"/>
  <c r="C63" i="1"/>
  <c r="C62" i="1"/>
  <c r="D62" i="1"/>
  <c r="E62" i="1"/>
  <c r="F62" i="1"/>
  <c r="B62" i="1"/>
  <c r="B61" i="1"/>
  <c r="E61" i="1"/>
  <c r="C60" i="1"/>
  <c r="D60" i="1"/>
  <c r="E60" i="1"/>
  <c r="F60" i="1"/>
  <c r="B60" i="1"/>
  <c r="E59" i="1"/>
  <c r="B58" i="1"/>
  <c r="E57" i="1"/>
  <c r="E51" i="1"/>
  <c r="C57" i="1"/>
  <c r="B57" i="1"/>
  <c r="C56" i="1"/>
  <c r="E56" i="1"/>
  <c r="F56" i="1"/>
  <c r="B56" i="1"/>
  <c r="B55" i="1"/>
  <c r="B54" i="1"/>
  <c r="C53" i="1"/>
  <c r="C52" i="1"/>
  <c r="E52" i="1"/>
  <c r="F52" i="1"/>
  <c r="B52" i="1"/>
  <c r="D51" i="1"/>
  <c r="C51" i="1"/>
  <c r="B51" i="1"/>
  <c r="C50" i="1"/>
  <c r="E50" i="1"/>
  <c r="F50" i="1"/>
  <c r="B50" i="1"/>
  <c r="E49" i="1"/>
  <c r="D49" i="1"/>
  <c r="C49" i="1"/>
  <c r="B49" i="1"/>
  <c r="C48" i="1"/>
  <c r="E48" i="1"/>
  <c r="F48" i="1"/>
  <c r="B48" i="1"/>
  <c r="E47" i="1"/>
  <c r="B47" i="1"/>
  <c r="B46" i="1"/>
  <c r="C46" i="1"/>
  <c r="E46" i="1"/>
  <c r="F46" i="1"/>
  <c r="B45" i="1"/>
  <c r="C44" i="1"/>
  <c r="E44" i="1"/>
  <c r="F44" i="1"/>
  <c r="B44" i="1"/>
  <c r="E43" i="1"/>
  <c r="C42" i="1"/>
  <c r="E42" i="1"/>
  <c r="F42" i="1"/>
  <c r="B42" i="1"/>
  <c r="B41" i="1"/>
  <c r="C41" i="1"/>
  <c r="C40" i="1"/>
  <c r="E40" i="1"/>
  <c r="F40" i="1"/>
  <c r="B40" i="1"/>
  <c r="E39" i="1"/>
  <c r="C39" i="1"/>
  <c r="B39" i="1"/>
  <c r="C38" i="1"/>
  <c r="E38" i="1"/>
  <c r="F38" i="1"/>
  <c r="B38" i="1"/>
  <c r="B37" i="1"/>
  <c r="C36" i="1"/>
  <c r="D36" i="1"/>
  <c r="E36" i="1"/>
  <c r="F36" i="1"/>
  <c r="B36" i="1"/>
  <c r="E35" i="1"/>
  <c r="C35" i="1"/>
  <c r="B35" i="1"/>
  <c r="C34" i="1"/>
  <c r="E34" i="1"/>
  <c r="F34" i="1"/>
  <c r="B34" i="1"/>
  <c r="C33" i="1"/>
  <c r="B33" i="1"/>
  <c r="B31" i="1"/>
  <c r="C31" i="1"/>
  <c r="E31" i="1"/>
  <c r="C32" i="1"/>
  <c r="E32" i="1"/>
  <c r="F32" i="1"/>
  <c r="B32" i="1"/>
  <c r="C30" i="1"/>
  <c r="E30" i="1"/>
  <c r="F30" i="1"/>
  <c r="B30" i="1"/>
  <c r="F29" i="1"/>
  <c r="E29" i="1"/>
  <c r="D29" i="1"/>
  <c r="C29" i="1"/>
  <c r="B29" i="1"/>
  <c r="C28" i="1"/>
  <c r="E28" i="1"/>
  <c r="F28" i="1"/>
  <c r="B28" i="1"/>
  <c r="F23" i="1"/>
  <c r="E23" i="1"/>
  <c r="D23" i="1"/>
  <c r="C23" i="1"/>
  <c r="B23" i="1"/>
  <c r="B20" i="1"/>
  <c r="B22" i="1" s="1"/>
  <c r="D20" i="1" l="1"/>
  <c r="D28" i="1"/>
  <c r="C58" i="1"/>
  <c r="D58" i="1"/>
  <c r="E58" i="1"/>
  <c r="F58" i="1"/>
  <c r="C54" i="1"/>
  <c r="D54" i="1"/>
  <c r="E54" i="1"/>
  <c r="F54" i="1"/>
  <c r="F37" i="1"/>
  <c r="C20" i="1"/>
  <c r="E20" i="1"/>
  <c r="F20" i="1"/>
  <c r="F45" i="1"/>
  <c r="E45" i="1"/>
  <c r="D45" i="1"/>
  <c r="C45" i="1"/>
  <c r="F41" i="1"/>
  <c r="E41" i="1"/>
  <c r="E37" i="1"/>
  <c r="D37" i="1"/>
  <c r="C37" i="1"/>
  <c r="F22" i="1" l="1"/>
  <c r="E22" i="1"/>
  <c r="D22" i="1"/>
  <c r="C22" i="1"/>
  <c r="D41" i="1" l="1"/>
</calcChain>
</file>

<file path=xl/sharedStrings.xml><?xml version="1.0" encoding="utf-8"?>
<sst xmlns="http://schemas.openxmlformats.org/spreadsheetml/2006/main" count="83" uniqueCount="65">
  <si>
    <t>Cormorán Imperial</t>
  </si>
  <si>
    <t>Yeco</t>
  </si>
  <si>
    <t>Cormorán de las Rocas</t>
  </si>
  <si>
    <t>Gaviota Dominicana</t>
  </si>
  <si>
    <t>Petrel Gigante</t>
  </si>
  <si>
    <t>Albatros Ceja Negra</t>
  </si>
  <si>
    <t>Yunco de Magallanes</t>
  </si>
  <si>
    <t>Cisne Cuello Negro</t>
  </si>
  <si>
    <t>Quetro No Volador</t>
  </si>
  <si>
    <t>Caranca</t>
  </si>
  <si>
    <t>Canquén</t>
  </si>
  <si>
    <t>Pingüino de Magallanes</t>
  </si>
  <si>
    <t>Martín Pescador</t>
  </si>
  <si>
    <t>Churrete</t>
  </si>
  <si>
    <t>%</t>
  </si>
  <si>
    <t>% Cormorán Imperial</t>
  </si>
  <si>
    <t>% Yeco</t>
  </si>
  <si>
    <t>% Cormorán de las Rocas</t>
  </si>
  <si>
    <t>% Gaviota Dominicana</t>
  </si>
  <si>
    <t>% Petrel Gigante</t>
  </si>
  <si>
    <t>% Quetro No Volador</t>
  </si>
  <si>
    <t>% Churrete</t>
  </si>
  <si>
    <t>% Martín Pescador</t>
  </si>
  <si>
    <t>% Jote Cabeza Colorada</t>
  </si>
  <si>
    <t>% Yunco de Magallanes</t>
  </si>
  <si>
    <t>% Cisne Cuello Negro</t>
  </si>
  <si>
    <t>% Caranca</t>
  </si>
  <si>
    <t>% Canquén</t>
  </si>
  <si>
    <t>% Pingüino de Magallanes</t>
  </si>
  <si>
    <t>Jote Cabeza Colorada</t>
  </si>
  <si>
    <t>% Albatros Ceja Negra</t>
  </si>
  <si>
    <t>Salteador chileno</t>
  </si>
  <si>
    <t>% Salteador chileno</t>
  </si>
  <si>
    <t>,</t>
  </si>
  <si>
    <t>0</t>
  </si>
  <si>
    <t>Cóndor</t>
  </si>
  <si>
    <t>% Cóndor</t>
  </si>
  <si>
    <t>Gaviotín Suramericano</t>
  </si>
  <si>
    <t>% Gaviotín Suramericano</t>
  </si>
  <si>
    <t>Sector</t>
  </si>
  <si>
    <t>All</t>
  </si>
  <si>
    <t>Area</t>
  </si>
  <si>
    <t>Density</t>
  </si>
  <si>
    <t>Density Cormorán Imperial</t>
  </si>
  <si>
    <t>Density Yeco</t>
  </si>
  <si>
    <t>Density Cormorán de las Rocas</t>
  </si>
  <si>
    <t>Density Gaviota Dominicana</t>
  </si>
  <si>
    <t>Density Gaviotín Suramericano</t>
  </si>
  <si>
    <t>Density Petrel Gigante</t>
  </si>
  <si>
    <t>Density Albatros Ceja Negra</t>
  </si>
  <si>
    <t>Density Yunco de Magallanes</t>
  </si>
  <si>
    <t>Density Salteador chileno</t>
  </si>
  <si>
    <t>Density Cisne Cuello Negro</t>
  </si>
  <si>
    <t>Density Quetro No Volador</t>
  </si>
  <si>
    <t>Density Caranca</t>
  </si>
  <si>
    <t>Density Canquén</t>
  </si>
  <si>
    <t>Density Pingüino de Magallanes</t>
  </si>
  <si>
    <t>Density Churrete</t>
  </si>
  <si>
    <t>Density Martín Pescador</t>
  </si>
  <si>
    <t>Density Cóndor</t>
  </si>
  <si>
    <t>Density Jote Cabeza Colorada</t>
  </si>
  <si>
    <t>Shannon Indice</t>
  </si>
  <si>
    <t>Simpson Indice</t>
  </si>
  <si>
    <t>Shannon Area</t>
  </si>
  <si>
    <t>Simpson 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</si>
</sst>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9"/>
      <name val="Arial"/>
      <family val="2"/>
    </font>
    <font>
      <sz val="9"/>
      <color theme="1"/>
      <name val="Arial"/>
      <family val="2"/>
    </font>
    <font>
      <sz val="9"/>
      <name val="Arial"/>
      <family val="2"/>
    </font>
    <font>
      <sz val="8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1" fontId="4" fillId="0" borderId="5" xfId="0" applyNumberFormat="1" applyFont="1" applyBorder="1" applyAlignment="1">
      <alignment horizontal="center" vertical="center"/>
    </xf>
    <xf numFmtId="1" fontId="4" fillId="0" borderId="7" xfId="0" applyNumberFormat="1" applyFont="1" applyBorder="1" applyAlignment="1">
      <alignment horizontal="center" vertical="center"/>
    </xf>
    <xf numFmtId="1" fontId="4" fillId="0" borderId="4" xfId="0" applyNumberFormat="1" applyFont="1" applyBorder="1" applyAlignment="1">
      <alignment horizontal="center" vertical="center"/>
    </xf>
    <xf numFmtId="1" fontId="4" fillId="0" borderId="0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 wrapText="1"/>
    </xf>
    <xf numFmtId="2" fontId="2" fillId="0" borderId="0" xfId="0" applyNumberFormat="1" applyFont="1" applyAlignment="1">
      <alignment horizontal="center" vertical="center" wrapText="1"/>
    </xf>
    <xf numFmtId="2" fontId="4" fillId="0" borderId="2" xfId="0" applyNumberFormat="1" applyFont="1" applyBorder="1" applyAlignment="1">
      <alignment vertical="center"/>
    </xf>
    <xf numFmtId="2" fontId="4" fillId="0" borderId="10" xfId="0" applyNumberFormat="1" applyFont="1" applyBorder="1" applyAlignment="1">
      <alignment vertical="center"/>
    </xf>
    <xf numFmtId="2" fontId="4" fillId="0" borderId="11" xfId="0" applyNumberFormat="1" applyFont="1" applyBorder="1" applyAlignment="1">
      <alignment vertical="center"/>
    </xf>
    <xf numFmtId="2" fontId="3" fillId="0" borderId="0" xfId="0" applyNumberFormat="1" applyFont="1" applyBorder="1" applyAlignment="1">
      <alignment horizontal="center" vertical="center"/>
    </xf>
    <xf numFmtId="2" fontId="3" fillId="0" borderId="0" xfId="0" applyNumberFormat="1" applyFont="1" applyAlignment="1">
      <alignment horizontal="center"/>
    </xf>
    <xf numFmtId="2" fontId="3" fillId="0" borderId="0" xfId="0" applyNumberFormat="1" applyFont="1" applyFill="1" applyBorder="1" applyAlignment="1">
      <alignment horizontal="center" vertical="center"/>
    </xf>
    <xf numFmtId="2" fontId="3" fillId="0" borderId="0" xfId="0" applyNumberFormat="1" applyFont="1" applyBorder="1" applyAlignment="1">
      <alignment horizontal="center"/>
    </xf>
    <xf numFmtId="1" fontId="1" fillId="0" borderId="1" xfId="0" applyNumberFormat="1" applyFont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 wrapText="1"/>
    </xf>
    <xf numFmtId="1" fontId="4" fillId="0" borderId="3" xfId="0" applyNumberFormat="1" applyFont="1" applyBorder="1" applyAlignment="1">
      <alignment horizontal="center" vertical="center"/>
    </xf>
    <xf numFmtId="1" fontId="4" fillId="0" borderId="6" xfId="0" applyNumberFormat="1" applyFont="1" applyBorder="1" applyAlignment="1">
      <alignment horizontal="center" vertical="center"/>
    </xf>
    <xf numFmtId="1" fontId="4" fillId="0" borderId="8" xfId="0" applyNumberFormat="1" applyFont="1" applyBorder="1" applyAlignment="1">
      <alignment horizontal="center" vertical="center"/>
    </xf>
    <xf numFmtId="1" fontId="4" fillId="0" borderId="9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3"/>
  <sheetViews>
    <sheetView tabSelected="1" workbookViewId="0">
      <selection activeCell="A26" sqref="A26"/>
    </sheetView>
  </sheetViews>
  <sheetFormatPr baseColWidth="10" defaultColWidth="8.88671875" defaultRowHeight="11.4" x14ac:dyDescent="0.3"/>
  <cols>
    <col min="1" max="1" width="39.21875" style="6" customWidth="1"/>
    <col min="2" max="2" width="12" style="6" customWidth="1"/>
    <col min="3" max="4" width="11.5546875" style="6" customWidth="1"/>
    <col min="5" max="5" width="10.109375" style="6" customWidth="1"/>
    <col min="6" max="6" width="9.5546875" style="6" customWidth="1"/>
    <col min="7" max="8" width="10.109375" style="6" bestFit="1" customWidth="1"/>
    <col min="9" max="9" width="9.77734375" style="6" bestFit="1" customWidth="1"/>
    <col min="10" max="10" width="10.109375" style="6" bestFit="1" customWidth="1"/>
    <col min="11" max="16384" width="8.88671875" style="6"/>
  </cols>
  <sheetData>
    <row r="1" spans="1:6" ht="12" x14ac:dyDescent="0.3">
      <c r="A1" s="5" t="s">
        <v>39</v>
      </c>
      <c r="B1" s="14">
        <v>1</v>
      </c>
      <c r="C1" s="14">
        <v>2</v>
      </c>
      <c r="D1" s="14">
        <v>3</v>
      </c>
      <c r="E1" s="15">
        <v>4</v>
      </c>
      <c r="F1" s="15">
        <v>5</v>
      </c>
    </row>
    <row r="2" spans="1:6" x14ac:dyDescent="0.3">
      <c r="A2" s="7" t="s">
        <v>0</v>
      </c>
      <c r="B2" s="16">
        <v>174</v>
      </c>
      <c r="C2" s="3">
        <v>20</v>
      </c>
      <c r="D2" s="3">
        <f>5</f>
        <v>5</v>
      </c>
      <c r="E2" s="3">
        <v>65</v>
      </c>
      <c r="F2" s="1">
        <v>5</v>
      </c>
    </row>
    <row r="3" spans="1:6" x14ac:dyDescent="0.3">
      <c r="A3" s="8" t="s">
        <v>1</v>
      </c>
      <c r="B3" s="17">
        <v>13</v>
      </c>
      <c r="C3" s="4">
        <v>27</v>
      </c>
      <c r="D3" s="4" t="s">
        <v>34</v>
      </c>
      <c r="E3" s="4">
        <v>10</v>
      </c>
      <c r="F3" s="2">
        <v>0</v>
      </c>
    </row>
    <row r="4" spans="1:6" x14ac:dyDescent="0.3">
      <c r="A4" s="8" t="s">
        <v>2</v>
      </c>
      <c r="B4" s="17">
        <v>13</v>
      </c>
      <c r="C4" s="4">
        <v>32</v>
      </c>
      <c r="D4" s="4">
        <f>1</f>
        <v>1</v>
      </c>
      <c r="E4" s="4" t="s">
        <v>34</v>
      </c>
      <c r="F4" s="2">
        <v>0</v>
      </c>
    </row>
    <row r="5" spans="1:6" x14ac:dyDescent="0.3">
      <c r="A5" s="8" t="s">
        <v>3</v>
      </c>
      <c r="B5" s="17">
        <v>4</v>
      </c>
      <c r="C5" s="4">
        <v>19</v>
      </c>
      <c r="D5" s="4">
        <f>2</f>
        <v>2</v>
      </c>
      <c r="E5" s="4">
        <v>8</v>
      </c>
      <c r="F5" s="2">
        <v>0</v>
      </c>
    </row>
    <row r="6" spans="1:6" x14ac:dyDescent="0.3">
      <c r="A6" s="8" t="s">
        <v>37</v>
      </c>
      <c r="B6" s="17">
        <v>5</v>
      </c>
      <c r="C6" s="4" t="s">
        <v>34</v>
      </c>
      <c r="D6" s="4">
        <f>3</f>
        <v>3</v>
      </c>
      <c r="E6" s="4" t="s">
        <v>34</v>
      </c>
      <c r="F6" s="2">
        <v>0</v>
      </c>
    </row>
    <row r="7" spans="1:6" x14ac:dyDescent="0.3">
      <c r="A7" s="8" t="s">
        <v>4</v>
      </c>
      <c r="B7" s="17">
        <v>6</v>
      </c>
      <c r="C7" s="4">
        <v>15</v>
      </c>
      <c r="D7" s="4">
        <f>4</f>
        <v>4</v>
      </c>
      <c r="E7" s="4">
        <v>37</v>
      </c>
      <c r="F7" s="2">
        <v>0</v>
      </c>
    </row>
    <row r="8" spans="1:6" x14ac:dyDescent="0.3">
      <c r="A8" s="8" t="s">
        <v>5</v>
      </c>
      <c r="B8" s="17">
        <v>26</v>
      </c>
      <c r="C8" s="4">
        <v>1</v>
      </c>
      <c r="D8" s="4">
        <f>5</f>
        <v>5</v>
      </c>
      <c r="E8" s="4" t="s">
        <v>34</v>
      </c>
      <c r="F8" s="2">
        <v>0</v>
      </c>
    </row>
    <row r="9" spans="1:6" x14ac:dyDescent="0.3">
      <c r="A9" s="8" t="s">
        <v>6</v>
      </c>
      <c r="B9" s="17" t="s">
        <v>34</v>
      </c>
      <c r="C9" s="4" t="s">
        <v>34</v>
      </c>
      <c r="D9" s="4">
        <f>6</f>
        <v>6</v>
      </c>
      <c r="E9" s="4">
        <v>1</v>
      </c>
      <c r="F9" s="2">
        <v>0</v>
      </c>
    </row>
    <row r="10" spans="1:6" x14ac:dyDescent="0.3">
      <c r="A10" s="8" t="s">
        <v>31</v>
      </c>
      <c r="B10" s="17">
        <v>6</v>
      </c>
      <c r="C10" s="4" t="s">
        <v>34</v>
      </c>
      <c r="D10" s="4">
        <f>7</f>
        <v>7</v>
      </c>
      <c r="E10" s="4" t="s">
        <v>34</v>
      </c>
      <c r="F10" s="2">
        <v>0</v>
      </c>
    </row>
    <row r="11" spans="1:6" x14ac:dyDescent="0.3">
      <c r="A11" s="8" t="s">
        <v>7</v>
      </c>
      <c r="B11" s="17">
        <v>4</v>
      </c>
      <c r="C11" s="4" t="s">
        <v>34</v>
      </c>
      <c r="D11" s="4">
        <f>8</f>
        <v>8</v>
      </c>
      <c r="E11" s="4">
        <v>5</v>
      </c>
      <c r="F11" s="2">
        <v>0</v>
      </c>
    </row>
    <row r="12" spans="1:6" x14ac:dyDescent="0.3">
      <c r="A12" s="8" t="s">
        <v>8</v>
      </c>
      <c r="B12" s="17">
        <v>28</v>
      </c>
      <c r="C12" s="4">
        <v>10</v>
      </c>
      <c r="D12" s="4">
        <v>4</v>
      </c>
      <c r="E12" s="4">
        <v>40</v>
      </c>
      <c r="F12" s="2">
        <v>0</v>
      </c>
    </row>
    <row r="13" spans="1:6" x14ac:dyDescent="0.3">
      <c r="A13" s="8" t="s">
        <v>9</v>
      </c>
      <c r="B13" s="17">
        <v>14</v>
      </c>
      <c r="C13" s="4">
        <v>4</v>
      </c>
      <c r="D13" s="4">
        <v>2</v>
      </c>
      <c r="E13" s="4">
        <v>4</v>
      </c>
      <c r="F13" s="2">
        <v>0</v>
      </c>
    </row>
    <row r="14" spans="1:6" x14ac:dyDescent="0.3">
      <c r="A14" s="8" t="s">
        <v>10</v>
      </c>
      <c r="B14" s="17" t="s">
        <v>34</v>
      </c>
      <c r="C14" s="4">
        <v>35</v>
      </c>
      <c r="D14" s="4" t="s">
        <v>34</v>
      </c>
      <c r="E14" s="4" t="s">
        <v>34</v>
      </c>
      <c r="F14" s="2">
        <v>0</v>
      </c>
    </row>
    <row r="15" spans="1:6" x14ac:dyDescent="0.3">
      <c r="A15" s="8" t="s">
        <v>11</v>
      </c>
      <c r="B15" s="17">
        <v>3</v>
      </c>
      <c r="C15" s="4" t="s">
        <v>34</v>
      </c>
      <c r="D15" s="4">
        <f>1</f>
        <v>1</v>
      </c>
      <c r="E15" s="4" t="s">
        <v>34</v>
      </c>
      <c r="F15" s="2">
        <v>0</v>
      </c>
    </row>
    <row r="16" spans="1:6" x14ac:dyDescent="0.3">
      <c r="A16" s="8" t="s">
        <v>13</v>
      </c>
      <c r="B16" s="17">
        <v>6</v>
      </c>
      <c r="C16" s="4">
        <v>7</v>
      </c>
      <c r="D16" s="4">
        <f>2</f>
        <v>2</v>
      </c>
      <c r="E16" s="4">
        <v>2</v>
      </c>
      <c r="F16" s="2">
        <v>0</v>
      </c>
    </row>
    <row r="17" spans="1:6" x14ac:dyDescent="0.3">
      <c r="A17" s="8" t="s">
        <v>12</v>
      </c>
      <c r="B17" s="17" t="s">
        <v>34</v>
      </c>
      <c r="C17" s="4" t="s">
        <v>34</v>
      </c>
      <c r="D17" s="4">
        <f>3</f>
        <v>3</v>
      </c>
      <c r="E17" s="4">
        <v>1</v>
      </c>
      <c r="F17" s="2">
        <v>0</v>
      </c>
    </row>
    <row r="18" spans="1:6" x14ac:dyDescent="0.3">
      <c r="A18" s="8" t="s">
        <v>35</v>
      </c>
      <c r="B18" s="17">
        <v>6</v>
      </c>
      <c r="C18" s="4" t="s">
        <v>34</v>
      </c>
      <c r="D18" s="4">
        <f>4</f>
        <v>4</v>
      </c>
      <c r="E18" s="4">
        <v>3</v>
      </c>
      <c r="F18" s="2">
        <v>0</v>
      </c>
    </row>
    <row r="19" spans="1:6" x14ac:dyDescent="0.3">
      <c r="A19" s="9" t="s">
        <v>29</v>
      </c>
      <c r="B19" s="18" t="s">
        <v>34</v>
      </c>
      <c r="C19" s="19">
        <v>2</v>
      </c>
      <c r="D19" s="4">
        <f>5</f>
        <v>5</v>
      </c>
      <c r="E19" s="19">
        <v>2</v>
      </c>
      <c r="F19" s="2">
        <v>0</v>
      </c>
    </row>
    <row r="20" spans="1:6" x14ac:dyDescent="0.3">
      <c r="A20" s="6" t="s">
        <v>40</v>
      </c>
      <c r="B20" s="6">
        <f>SUM(B2:B19)</f>
        <v>308</v>
      </c>
      <c r="C20" s="6">
        <f t="shared" ref="C20:F20" si="0">SUM(C2:C19)</f>
        <v>172</v>
      </c>
      <c r="D20" s="6">
        <f>SUM(D2:D19)</f>
        <v>62</v>
      </c>
      <c r="E20" s="6">
        <f t="shared" si="0"/>
        <v>178</v>
      </c>
      <c r="F20" s="6">
        <f t="shared" si="0"/>
        <v>5</v>
      </c>
    </row>
    <row r="21" spans="1:6" x14ac:dyDescent="0.3">
      <c r="A21" s="6" t="s">
        <v>41</v>
      </c>
      <c r="B21" s="6">
        <v>114</v>
      </c>
      <c r="C21" s="6">
        <v>65.900000000000006</v>
      </c>
      <c r="D21" s="6">
        <v>14</v>
      </c>
      <c r="E21" s="6">
        <v>64.8</v>
      </c>
      <c r="F21" s="6">
        <v>18</v>
      </c>
    </row>
    <row r="22" spans="1:6" x14ac:dyDescent="0.3">
      <c r="A22" s="6" t="s">
        <v>14</v>
      </c>
      <c r="B22" s="6">
        <f>(B20/675)*100</f>
        <v>45.629629629629633</v>
      </c>
      <c r="C22" s="6">
        <f>(C20/675)*100</f>
        <v>25.481481481481481</v>
      </c>
      <c r="D22" s="6">
        <f>(D20/675)*100</f>
        <v>9.1851851851851851</v>
      </c>
      <c r="E22" s="6">
        <f>(E20/675)*100</f>
        <v>26.37037037037037</v>
      </c>
      <c r="F22" s="6">
        <f>(F20/675)*100</f>
        <v>0.74074074074074081</v>
      </c>
    </row>
    <row r="23" spans="1:6" x14ac:dyDescent="0.3">
      <c r="A23" s="6" t="s">
        <v>42</v>
      </c>
      <c r="B23" s="10">
        <f>309/114</f>
        <v>2.7105263157894739</v>
      </c>
      <c r="C23" s="10">
        <f>172/65.9</f>
        <v>2.6100151745068283</v>
      </c>
      <c r="D23" s="10">
        <f>11/14</f>
        <v>0.7857142857142857</v>
      </c>
      <c r="E23" s="10">
        <f>178/64.8</f>
        <v>2.7469135802469138</v>
      </c>
      <c r="F23" s="10">
        <f>5/18</f>
        <v>0.27777777777777779</v>
      </c>
    </row>
    <row r="24" spans="1:6" x14ac:dyDescent="0.3">
      <c r="A24" s="6" t="s">
        <v>63</v>
      </c>
      <c r="B24" s="6">
        <v>1.6879999999999999</v>
      </c>
      <c r="C24" s="6">
        <v>2.0979999999999999</v>
      </c>
      <c r="D24" s="6">
        <v>2.6339999999999999</v>
      </c>
      <c r="E24" s="6">
        <v>1.744</v>
      </c>
      <c r="F24" s="6">
        <v>0</v>
      </c>
    </row>
    <row r="25" spans="1:6" x14ac:dyDescent="0.3">
      <c r="A25" s="6" t="s">
        <v>64</v>
      </c>
      <c r="B25" s="6">
        <f>1-0.342</f>
        <v>0.65799999999999992</v>
      </c>
      <c r="C25" s="6">
        <f>1-0.139</f>
        <v>0.86099999999999999</v>
      </c>
      <c r="D25" s="6">
        <f>1-0.079</f>
        <v>0.92100000000000004</v>
      </c>
      <c r="E25" s="6">
        <f>1-0.234</f>
        <v>0.76600000000000001</v>
      </c>
      <c r="F25" s="6">
        <v>0</v>
      </c>
    </row>
    <row r="26" spans="1:6" x14ac:dyDescent="0.3">
      <c r="A26" s="6" t="s">
        <v>61</v>
      </c>
      <c r="B26" s="6">
        <v>2.2480000000000002</v>
      </c>
      <c r="C26" s="6">
        <v>0</v>
      </c>
      <c r="D26" s="6">
        <v>0</v>
      </c>
      <c r="E26" s="6">
        <v>0</v>
      </c>
      <c r="F26" s="6">
        <v>0</v>
      </c>
    </row>
    <row r="27" spans="1:6" x14ac:dyDescent="0.3">
      <c r="A27" s="6" t="s">
        <v>62</v>
      </c>
      <c r="B27" s="6">
        <f>1-0.176</f>
        <v>0.82400000000000007</v>
      </c>
      <c r="C27" s="6">
        <v>0</v>
      </c>
      <c r="D27" s="6">
        <v>0</v>
      </c>
      <c r="E27" s="6">
        <v>0</v>
      </c>
      <c r="F27" s="6">
        <v>0</v>
      </c>
    </row>
    <row r="28" spans="1:6" x14ac:dyDescent="0.3">
      <c r="A28" s="6" t="s">
        <v>15</v>
      </c>
      <c r="B28" s="6">
        <f>(B2/269)*100</f>
        <v>64.684014869888472</v>
      </c>
      <c r="C28" s="6">
        <f>(C2/269)*100</f>
        <v>7.4349442379182156</v>
      </c>
      <c r="D28" s="6">
        <f>(D2/269)*100</f>
        <v>1.8587360594795539</v>
      </c>
      <c r="E28" s="6">
        <f>(E2/269)*100</f>
        <v>24.1635687732342</v>
      </c>
      <c r="F28" s="6">
        <f>(F2/269)*100</f>
        <v>1.8587360594795539</v>
      </c>
    </row>
    <row r="29" spans="1:6" x14ac:dyDescent="0.3">
      <c r="A29" s="6" t="s">
        <v>43</v>
      </c>
      <c r="B29" s="10">
        <f>174/114</f>
        <v>1.5263157894736843</v>
      </c>
      <c r="C29" s="10">
        <f>20/65.9</f>
        <v>0.30349013657056145</v>
      </c>
      <c r="D29" s="10">
        <f>5/14</f>
        <v>0.35714285714285715</v>
      </c>
      <c r="E29" s="10">
        <f>65/64.8</f>
        <v>1.0030864197530864</v>
      </c>
      <c r="F29" s="10">
        <f>5/18</f>
        <v>0.27777777777777779</v>
      </c>
    </row>
    <row r="30" spans="1:6" x14ac:dyDescent="0.3">
      <c r="A30" s="6" t="s">
        <v>16</v>
      </c>
      <c r="B30" s="6">
        <f>(B3/50)*100</f>
        <v>26</v>
      </c>
      <c r="C30" s="6">
        <f>(C3/50)*100</f>
        <v>54</v>
      </c>
      <c r="D30" s="6">
        <f>(D3/50)*100</f>
        <v>0</v>
      </c>
      <c r="E30" s="6">
        <f>(E3/50)*100</f>
        <v>20</v>
      </c>
      <c r="F30" s="6">
        <f>(F3/50)*100</f>
        <v>0</v>
      </c>
    </row>
    <row r="31" spans="1:6" x14ac:dyDescent="0.3">
      <c r="A31" s="6" t="s">
        <v>44</v>
      </c>
      <c r="B31" s="10">
        <f>13/114</f>
        <v>0.11403508771929824</v>
      </c>
      <c r="C31" s="10">
        <f>27/65.9</f>
        <v>0.40971168437025796</v>
      </c>
      <c r="D31" s="10">
        <v>0</v>
      </c>
      <c r="E31" s="10">
        <f>10/64.8</f>
        <v>0.15432098765432101</v>
      </c>
      <c r="F31" s="10">
        <v>0</v>
      </c>
    </row>
    <row r="32" spans="1:6" x14ac:dyDescent="0.3">
      <c r="A32" s="6" t="s">
        <v>17</v>
      </c>
      <c r="B32" s="6">
        <f>(B4/45)*100</f>
        <v>28.888888888888886</v>
      </c>
      <c r="C32" s="6">
        <f>(C4/45)*100</f>
        <v>71.111111111111114</v>
      </c>
      <c r="D32" s="6">
        <f>(D4/45)*100</f>
        <v>2.2222222222222223</v>
      </c>
      <c r="E32" s="6">
        <f>(E4/45)*100</f>
        <v>0</v>
      </c>
      <c r="F32" s="6">
        <f>(F4/45)*100</f>
        <v>0</v>
      </c>
    </row>
    <row r="33" spans="1:6" x14ac:dyDescent="0.3">
      <c r="A33" s="6" t="s">
        <v>45</v>
      </c>
      <c r="B33" s="10">
        <f>13/114</f>
        <v>0.11403508771929824</v>
      </c>
      <c r="C33" s="10">
        <f>32/65.9</f>
        <v>0.48558421851289829</v>
      </c>
      <c r="D33" s="10">
        <v>0</v>
      </c>
      <c r="E33" s="10">
        <v>0</v>
      </c>
      <c r="F33" s="10">
        <v>0</v>
      </c>
    </row>
    <row r="34" spans="1:6" x14ac:dyDescent="0.3">
      <c r="A34" s="6" t="s">
        <v>18</v>
      </c>
      <c r="B34" s="6">
        <f>(B5/31)*100</f>
        <v>12.903225806451612</v>
      </c>
      <c r="C34" s="6">
        <f>(C5/31)*100</f>
        <v>61.29032258064516</v>
      </c>
      <c r="D34" s="6">
        <f>(D5/31)*100</f>
        <v>6.4516129032258061</v>
      </c>
      <c r="E34" s="6">
        <f>(E5/31)*100</f>
        <v>25.806451612903224</v>
      </c>
      <c r="F34" s="6">
        <f>(F5/31)*100</f>
        <v>0</v>
      </c>
    </row>
    <row r="35" spans="1:6" x14ac:dyDescent="0.3">
      <c r="A35" s="6" t="s">
        <v>46</v>
      </c>
      <c r="B35" s="10">
        <f>4/114</f>
        <v>3.5087719298245612E-2</v>
      </c>
      <c r="C35" s="10">
        <f>19/65.9</f>
        <v>0.28831562974203334</v>
      </c>
      <c r="D35" s="10">
        <v>0</v>
      </c>
      <c r="E35" s="10">
        <f>8/64.8</f>
        <v>0.1234567901234568</v>
      </c>
      <c r="F35" s="10">
        <v>0</v>
      </c>
    </row>
    <row r="36" spans="1:6" x14ac:dyDescent="0.3">
      <c r="A36" s="6" t="s">
        <v>38</v>
      </c>
      <c r="B36" s="6">
        <f>(B6/5)*100</f>
        <v>100</v>
      </c>
      <c r="C36" s="6">
        <f>(C6/5)*100</f>
        <v>0</v>
      </c>
      <c r="D36" s="6">
        <f>(D6/5)*100</f>
        <v>60</v>
      </c>
      <c r="E36" s="6">
        <f>(E6/5)*100</f>
        <v>0</v>
      </c>
      <c r="F36" s="6">
        <f>(F6/5)*100</f>
        <v>0</v>
      </c>
    </row>
    <row r="37" spans="1:6" x14ac:dyDescent="0.2">
      <c r="A37" s="6" t="s">
        <v>47</v>
      </c>
      <c r="B37" s="6">
        <f>5/114</f>
        <v>4.3859649122807015E-2</v>
      </c>
      <c r="C37" s="6">
        <f>C6/112</f>
        <v>0</v>
      </c>
      <c r="D37" s="6">
        <f>D6/18.2</f>
        <v>0.16483516483516483</v>
      </c>
      <c r="E37" s="6">
        <f>E6/60.7</f>
        <v>0</v>
      </c>
      <c r="F37" s="11">
        <f>1/55.6</f>
        <v>1.7985611510791366E-2</v>
      </c>
    </row>
    <row r="38" spans="1:6" x14ac:dyDescent="0.3">
      <c r="A38" s="6" t="s">
        <v>19</v>
      </c>
      <c r="B38" s="6">
        <f>(B7/58)*100</f>
        <v>10.344827586206897</v>
      </c>
      <c r="C38" s="6">
        <f>(C7/58)*100</f>
        <v>25.862068965517242</v>
      </c>
      <c r="D38" s="6">
        <f>(D7/58)*100</f>
        <v>6.8965517241379306</v>
      </c>
      <c r="E38" s="6">
        <f>(E7/58)*100</f>
        <v>63.793103448275865</v>
      </c>
      <c r="F38" s="6">
        <f>(F7/58)*100</f>
        <v>0</v>
      </c>
    </row>
    <row r="39" spans="1:6" x14ac:dyDescent="0.3">
      <c r="A39" s="6" t="s">
        <v>48</v>
      </c>
      <c r="B39" s="10">
        <f>6/114</f>
        <v>5.2631578947368418E-2</v>
      </c>
      <c r="C39" s="10">
        <f>15/65.9</f>
        <v>0.22761760242792106</v>
      </c>
      <c r="D39" s="10">
        <v>0</v>
      </c>
      <c r="E39" s="10">
        <f>37/64.8</f>
        <v>0.57098765432098764</v>
      </c>
      <c r="F39" s="10">
        <v>0</v>
      </c>
    </row>
    <row r="40" spans="1:6" x14ac:dyDescent="0.3">
      <c r="A40" s="6" t="s">
        <v>30</v>
      </c>
      <c r="B40" s="6">
        <f>(B8/27)*100</f>
        <v>96.296296296296291</v>
      </c>
      <c r="C40" s="6">
        <f>(C8/27)*100</f>
        <v>3.7037037037037033</v>
      </c>
      <c r="D40" s="6">
        <f>(D8/27)*100</f>
        <v>18.518518518518519</v>
      </c>
      <c r="E40" s="6">
        <f>(E8/27)*100</f>
        <v>0</v>
      </c>
      <c r="F40" s="6">
        <f>(F8/27)*100</f>
        <v>0</v>
      </c>
    </row>
    <row r="41" spans="1:6" x14ac:dyDescent="0.3">
      <c r="A41" s="6" t="s">
        <v>49</v>
      </c>
      <c r="B41" s="6">
        <f>B8/114</f>
        <v>0.22807017543859648</v>
      </c>
      <c r="C41" s="6">
        <f>C8/65.9</f>
        <v>1.5174506828528072E-2</v>
      </c>
      <c r="D41" s="6">
        <f>D8/12.2</f>
        <v>0.4098360655737705</v>
      </c>
      <c r="E41" s="6">
        <f>E8/60.7</f>
        <v>0</v>
      </c>
      <c r="F41" s="6">
        <f>F8/61</f>
        <v>0</v>
      </c>
    </row>
    <row r="42" spans="1:6" x14ac:dyDescent="0.3">
      <c r="A42" s="6" t="s">
        <v>24</v>
      </c>
      <c r="B42" s="6">
        <f>(B9/1)*100</f>
        <v>0</v>
      </c>
      <c r="C42" s="6">
        <f>(C9/1)*100</f>
        <v>0</v>
      </c>
      <c r="D42" s="6">
        <f>(D9/1)*100</f>
        <v>600</v>
      </c>
      <c r="E42" s="6">
        <f>(E9/1)*100</f>
        <v>100</v>
      </c>
      <c r="F42" s="6">
        <f>(F9/1)*100</f>
        <v>0</v>
      </c>
    </row>
    <row r="43" spans="1:6" x14ac:dyDescent="0.3">
      <c r="A43" s="6" t="s">
        <v>50</v>
      </c>
      <c r="B43" s="10">
        <v>0</v>
      </c>
      <c r="C43" s="10">
        <v>0</v>
      </c>
      <c r="D43" s="10">
        <v>0</v>
      </c>
      <c r="E43" s="10">
        <f>E9/64.8</f>
        <v>1.54320987654321E-2</v>
      </c>
      <c r="F43" s="10">
        <v>0</v>
      </c>
    </row>
    <row r="44" spans="1:6" x14ac:dyDescent="0.3">
      <c r="A44" s="6" t="s">
        <v>32</v>
      </c>
      <c r="B44" s="6">
        <f>(B10/6)*100</f>
        <v>100</v>
      </c>
      <c r="C44" s="6">
        <f>(C10/6)*100</f>
        <v>0</v>
      </c>
      <c r="D44" s="6">
        <f>(D10/6)*100</f>
        <v>116.66666666666667</v>
      </c>
      <c r="E44" s="6">
        <f>(E10/6)*100</f>
        <v>0</v>
      </c>
      <c r="F44" s="6">
        <f>(F10/6)*100</f>
        <v>0</v>
      </c>
    </row>
    <row r="45" spans="1:6" x14ac:dyDescent="0.3">
      <c r="A45" s="6" t="s">
        <v>51</v>
      </c>
      <c r="B45" s="6">
        <f>B10/114</f>
        <v>5.2631578947368418E-2</v>
      </c>
      <c r="C45" s="6">
        <f>C10/112</f>
        <v>0</v>
      </c>
      <c r="D45" s="6">
        <f>D10/18.2</f>
        <v>0.38461538461538464</v>
      </c>
      <c r="E45" s="6">
        <f>E10/60.7</f>
        <v>0</v>
      </c>
      <c r="F45" s="6">
        <f>F10/61</f>
        <v>0</v>
      </c>
    </row>
    <row r="46" spans="1:6" x14ac:dyDescent="0.3">
      <c r="A46" s="6" t="s">
        <v>25</v>
      </c>
      <c r="B46" s="6">
        <f>(B11/9)*100</f>
        <v>44.444444444444443</v>
      </c>
      <c r="C46" s="6">
        <f>(C11/9)*100</f>
        <v>0</v>
      </c>
      <c r="D46" s="6">
        <f>(D11/9)*100</f>
        <v>88.888888888888886</v>
      </c>
      <c r="E46" s="6">
        <f>(E11/9)*100</f>
        <v>55.555555555555557</v>
      </c>
      <c r="F46" s="6">
        <f>(F11/9)*100</f>
        <v>0</v>
      </c>
    </row>
    <row r="47" spans="1:6" x14ac:dyDescent="0.3">
      <c r="A47" s="6" t="s">
        <v>52</v>
      </c>
      <c r="B47" s="12">
        <f>4/114</f>
        <v>3.5087719298245612E-2</v>
      </c>
      <c r="C47" s="12">
        <v>0</v>
      </c>
      <c r="D47" s="12">
        <v>0</v>
      </c>
      <c r="E47" s="12">
        <f>5/64.8</f>
        <v>7.7160493827160503E-2</v>
      </c>
      <c r="F47" s="12">
        <v>0</v>
      </c>
    </row>
    <row r="48" spans="1:6" x14ac:dyDescent="0.3">
      <c r="A48" s="6" t="s">
        <v>20</v>
      </c>
      <c r="B48" s="6">
        <f>(B12/82)*100</f>
        <v>34.146341463414636</v>
      </c>
      <c r="C48" s="6">
        <f>(C12/82)*100</f>
        <v>12.195121951219512</v>
      </c>
      <c r="D48" s="6">
        <f>(D12/82)*100</f>
        <v>4.8780487804878048</v>
      </c>
      <c r="E48" s="6">
        <f>(E12/82)*100</f>
        <v>48.780487804878049</v>
      </c>
      <c r="F48" s="6">
        <f>(F12/82)*100</f>
        <v>0</v>
      </c>
    </row>
    <row r="49" spans="1:7" x14ac:dyDescent="0.3">
      <c r="A49" s="6" t="s">
        <v>53</v>
      </c>
      <c r="B49" s="10">
        <f>28/114</f>
        <v>0.24561403508771928</v>
      </c>
      <c r="C49" s="10">
        <f>10/65.9</f>
        <v>0.15174506828528073</v>
      </c>
      <c r="D49" s="10">
        <f>4/14</f>
        <v>0.2857142857142857</v>
      </c>
      <c r="E49" s="10">
        <f>40/64.8</f>
        <v>0.61728395061728403</v>
      </c>
      <c r="F49" s="10">
        <v>0</v>
      </c>
    </row>
    <row r="50" spans="1:7" x14ac:dyDescent="0.3">
      <c r="A50" s="6" t="s">
        <v>26</v>
      </c>
      <c r="B50" s="6">
        <f>(B13/24)*100</f>
        <v>58.333333333333336</v>
      </c>
      <c r="C50" s="6">
        <f>(C13/24)*100</f>
        <v>16.666666666666664</v>
      </c>
      <c r="D50" s="6">
        <f>(D13/24)*100</f>
        <v>8.3333333333333321</v>
      </c>
      <c r="E50" s="6">
        <f>(E13/24)*100</f>
        <v>16.666666666666664</v>
      </c>
      <c r="F50" s="6">
        <f>(F13/24)*100</f>
        <v>0</v>
      </c>
    </row>
    <row r="51" spans="1:7" x14ac:dyDescent="0.3">
      <c r="A51" s="6" t="s">
        <v>54</v>
      </c>
      <c r="B51" s="10">
        <f>14/114</f>
        <v>0.12280701754385964</v>
      </c>
      <c r="C51" s="10">
        <f>4/65.9</f>
        <v>6.0698027314112286E-2</v>
      </c>
      <c r="D51" s="10">
        <f>2/14</f>
        <v>0.14285714285714285</v>
      </c>
      <c r="E51" s="10">
        <f>4/64.8</f>
        <v>6.1728395061728399E-2</v>
      </c>
      <c r="F51" s="10">
        <v>0</v>
      </c>
    </row>
    <row r="52" spans="1:7" x14ac:dyDescent="0.3">
      <c r="A52" s="6" t="s">
        <v>27</v>
      </c>
      <c r="B52" s="6">
        <f>(B14/35)*100</f>
        <v>0</v>
      </c>
      <c r="C52" s="6">
        <f>(C14/35)*100</f>
        <v>100</v>
      </c>
      <c r="D52" s="6">
        <f>(D14/35)*100</f>
        <v>0</v>
      </c>
      <c r="E52" s="6">
        <f>(E14/35)*100</f>
        <v>0</v>
      </c>
      <c r="F52" s="6">
        <f>(F14/35)*100</f>
        <v>0</v>
      </c>
    </row>
    <row r="53" spans="1:7" x14ac:dyDescent="0.3">
      <c r="A53" s="6" t="s">
        <v>55</v>
      </c>
      <c r="B53" s="10">
        <v>0</v>
      </c>
      <c r="C53" s="10">
        <f>35/65.9</f>
        <v>0.53110773899848251</v>
      </c>
      <c r="D53" s="10">
        <v>0</v>
      </c>
      <c r="E53" s="10">
        <v>0</v>
      </c>
      <c r="F53" s="10">
        <v>0</v>
      </c>
    </row>
    <row r="54" spans="1:7" x14ac:dyDescent="0.3">
      <c r="A54" s="6" t="s">
        <v>28</v>
      </c>
      <c r="B54" s="6">
        <f>(B15/3)*100</f>
        <v>100</v>
      </c>
      <c r="C54" s="6">
        <f>(C15/4)*100</f>
        <v>0</v>
      </c>
      <c r="D54" s="6">
        <f>(D15/4)*100</f>
        <v>25</v>
      </c>
      <c r="E54" s="6">
        <f>(E15/4)*100</f>
        <v>0</v>
      </c>
      <c r="F54" s="6">
        <f>(F15/4)*100</f>
        <v>0</v>
      </c>
    </row>
    <row r="55" spans="1:7" x14ac:dyDescent="0.2">
      <c r="A55" s="6" t="s">
        <v>56</v>
      </c>
      <c r="B55" s="10">
        <f>3/114</f>
        <v>2.6315789473684209E-2</v>
      </c>
      <c r="C55" s="13">
        <v>0</v>
      </c>
      <c r="D55" s="13">
        <v>0</v>
      </c>
      <c r="E55" s="13">
        <v>0</v>
      </c>
      <c r="F55" s="13">
        <v>0</v>
      </c>
    </row>
    <row r="56" spans="1:7" x14ac:dyDescent="0.3">
      <c r="A56" s="6" t="s">
        <v>21</v>
      </c>
      <c r="B56" s="6">
        <f>(B16/15)*100</f>
        <v>40</v>
      </c>
      <c r="C56" s="6">
        <f>(C16/15)*100</f>
        <v>46.666666666666664</v>
      </c>
      <c r="D56" s="6">
        <f>(D16/15)*100</f>
        <v>13.333333333333334</v>
      </c>
      <c r="E56" s="6">
        <f>(E16/15)*100</f>
        <v>13.333333333333334</v>
      </c>
      <c r="F56" s="6">
        <f>(F16/15)*100</f>
        <v>0</v>
      </c>
    </row>
    <row r="57" spans="1:7" x14ac:dyDescent="0.3">
      <c r="A57" s="6" t="s">
        <v>57</v>
      </c>
      <c r="B57" s="10">
        <f>6/114</f>
        <v>5.2631578947368418E-2</v>
      </c>
      <c r="C57" s="10">
        <f>7/65.9</f>
        <v>0.1062215477996965</v>
      </c>
      <c r="D57" s="10">
        <v>0</v>
      </c>
      <c r="E57" s="10">
        <f>E16/64.8</f>
        <v>3.0864197530864199E-2</v>
      </c>
      <c r="F57" s="10">
        <v>0</v>
      </c>
      <c r="G57" s="6" t="s">
        <v>33</v>
      </c>
    </row>
    <row r="58" spans="1:7" x14ac:dyDescent="0.3">
      <c r="A58" s="6" t="s">
        <v>22</v>
      </c>
      <c r="B58" s="6">
        <f>(B17/1)*100</f>
        <v>0</v>
      </c>
      <c r="C58" s="6">
        <f>(C17/1)*100</f>
        <v>0</v>
      </c>
      <c r="D58" s="6">
        <f>(D17/1)*100</f>
        <v>300</v>
      </c>
      <c r="E58" s="6">
        <f>(E17/1)*100</f>
        <v>100</v>
      </c>
      <c r="F58" s="6">
        <f>(F17/1)*100</f>
        <v>0</v>
      </c>
    </row>
    <row r="59" spans="1:7" x14ac:dyDescent="0.2">
      <c r="A59" s="6" t="s">
        <v>58</v>
      </c>
      <c r="B59" s="11">
        <v>0</v>
      </c>
      <c r="C59" s="11">
        <v>0</v>
      </c>
      <c r="D59" s="11">
        <v>0</v>
      </c>
      <c r="E59" s="11">
        <f>1/64.8</f>
        <v>1.54320987654321E-2</v>
      </c>
      <c r="F59" s="11">
        <v>0</v>
      </c>
    </row>
    <row r="60" spans="1:7" x14ac:dyDescent="0.3">
      <c r="A60" s="6" t="s">
        <v>36</v>
      </c>
      <c r="B60" s="6">
        <f>(B18/9)*100</f>
        <v>66.666666666666657</v>
      </c>
      <c r="C60" s="6">
        <f>(C18/9)*100</f>
        <v>0</v>
      </c>
      <c r="D60" s="6">
        <f>(D18/9)*100</f>
        <v>44.444444444444443</v>
      </c>
      <c r="E60" s="6">
        <f>(E18/9)*100</f>
        <v>33.333333333333329</v>
      </c>
      <c r="F60" s="6">
        <f>(F18/9)*100</f>
        <v>0</v>
      </c>
    </row>
    <row r="61" spans="1:7" x14ac:dyDescent="0.2">
      <c r="A61" s="6" t="s">
        <v>59</v>
      </c>
      <c r="B61" s="11">
        <f>6/114</f>
        <v>5.2631578947368418E-2</v>
      </c>
      <c r="C61" s="11">
        <v>0</v>
      </c>
      <c r="D61" s="11">
        <v>0</v>
      </c>
      <c r="E61" s="11">
        <f>3/64.8</f>
        <v>4.6296296296296301E-2</v>
      </c>
      <c r="F61" s="11">
        <v>0</v>
      </c>
    </row>
    <row r="62" spans="1:7" x14ac:dyDescent="0.3">
      <c r="A62" s="6" t="s">
        <v>23</v>
      </c>
      <c r="B62" s="6">
        <f>(B19/4)*100</f>
        <v>0</v>
      </c>
      <c r="C62" s="6">
        <f>(C19/4)*100</f>
        <v>50</v>
      </c>
      <c r="D62" s="6">
        <f>(D19/4)*100</f>
        <v>125</v>
      </c>
      <c r="E62" s="6">
        <f>(E19/4)*100</f>
        <v>50</v>
      </c>
      <c r="F62" s="6">
        <f>(F19/4)*100</f>
        <v>0</v>
      </c>
    </row>
    <row r="63" spans="1:7" x14ac:dyDescent="0.3">
      <c r="A63" s="6" t="s">
        <v>60</v>
      </c>
      <c r="B63" s="10">
        <v>0</v>
      </c>
      <c r="C63" s="10">
        <f>2/65.9</f>
        <v>3.0349013657056143E-2</v>
      </c>
      <c r="D63" s="10">
        <v>0</v>
      </c>
      <c r="E63" s="10">
        <f>2/64.8</f>
        <v>3.0864197530864199E-2</v>
      </c>
      <c r="F63" s="10">
        <v>0</v>
      </c>
    </row>
  </sheetData>
  <phoneticPr fontId="5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Nana Blanc</cp:lastModifiedBy>
  <dcterms:created xsi:type="dcterms:W3CDTF">2022-06-14T14:12:15Z</dcterms:created>
  <dcterms:modified xsi:type="dcterms:W3CDTF">2022-08-19T03:59:16Z</dcterms:modified>
</cp:coreProperties>
</file>