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a\Documents\3. School\Redhawk Fund\2. Metlife Valuation\Valuation\"/>
    </mc:Choice>
  </mc:AlternateContent>
  <xr:revisionPtr revIDLastSave="0" documentId="13_ncr:1_{625842A4-41DB-4291-BE4B-02A83AFF51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.Analysis" sheetId="24" r:id="rId1"/>
    <sheet name="Valuation Graph" sheetId="22" r:id="rId2"/>
    <sheet name="Targeted Price" sheetId="21" r:id="rId3"/>
    <sheet name="Relative V." sheetId="20" r:id="rId4"/>
    <sheet name="FCFE" sheetId="17" r:id="rId5"/>
    <sheet name="Cost.E" sheetId="18" r:id="rId6"/>
    <sheet name="Income - Adjusted" sheetId="16" r:id="rId7"/>
    <sheet name="By Segment (2)" sheetId="13" r:id="rId8"/>
    <sheet name="Bal Sheet - Standardized" sheetId="4" r:id="rId9"/>
    <sheet name="By Segment" sheetId="10" r:id="rId10"/>
    <sheet name="Cash Flow - Standardized" sheetId="5" r:id="rId11"/>
    <sheet name="By Measure" sheetId="7" r:id="rId12"/>
    <sheet name="By Geography" sheetId="8" r:id="rId13"/>
    <sheet name="Stock P." sheetId="23" r:id="rId14"/>
    <sheet name="Graph" sheetId="26" r:id="rId15"/>
  </sheets>
  <externalReferences>
    <externalReference r:id="rId16"/>
    <externalReference r:id="rId17"/>
  </externalReferences>
  <definedNames>
    <definedName name="Company_Name">[1]WMT_Model!$D$7</definedName>
    <definedName name="DIluted_Shares">'[2]DCF '!$E$10</definedName>
    <definedName name="_xlnm.Print_Area" localSheetId="4">FCFE!$A$1:$P$45</definedName>
    <definedName name="_xlnm.Print_Area" localSheetId="6">'Income - Adjusted'!$A$1:$Q$100</definedName>
    <definedName name="_xlnm.Print_Area" localSheetId="3">'Relative V.'!$A$1:$Q$43</definedName>
    <definedName name="_xlnm.Print_Titles" localSheetId="8">'Bal Sheet - Standardized'!$4:$5</definedName>
    <definedName name="_xlnm.Print_Titles" localSheetId="12">'By Geography'!$4:$5</definedName>
    <definedName name="_xlnm.Print_Titles" localSheetId="11">'By Measure'!$4:$5</definedName>
    <definedName name="_xlnm.Print_Titles" localSheetId="9">'By Segment'!$4:$5</definedName>
    <definedName name="_xlnm.Print_Titles" localSheetId="7">'By Segment (2)'!$4:$5</definedName>
    <definedName name="_xlnm.Print_Titles" localSheetId="6">'Income - Adjusted'!$4:$5</definedName>
    <definedName name="Share_Price">'[2]DCF '!$E$9</definedName>
    <definedName name="Valuation_Date">[1]WMT_Model!$M$10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0" l="1"/>
  <c r="N186" i="13"/>
  <c r="O186" i="13" s="1"/>
  <c r="P186" i="13" s="1"/>
  <c r="Q186" i="13" s="1"/>
  <c r="M186" i="13"/>
  <c r="R186" i="13"/>
  <c r="N112" i="13"/>
  <c r="O112" i="13"/>
  <c r="P112" i="13"/>
  <c r="Q112" i="13" s="1"/>
  <c r="M112" i="13"/>
  <c r="S112" i="13"/>
  <c r="C10" i="26"/>
  <c r="L49" i="17"/>
  <c r="M49" i="17"/>
  <c r="N49" i="17"/>
  <c r="O49" i="17"/>
  <c r="P49" i="17"/>
  <c r="K49" i="17"/>
  <c r="O100" i="26"/>
  <c r="K100" i="26"/>
  <c r="G100" i="26"/>
  <c r="E91" i="26"/>
  <c r="G91" i="26" s="1"/>
  <c r="G83" i="26"/>
  <c r="H83" i="26" s="1"/>
  <c r="G78" i="26"/>
  <c r="H78" i="26" s="1"/>
  <c r="H79" i="26" s="1"/>
  <c r="D44" i="26"/>
  <c r="C41" i="26" s="1"/>
  <c r="D23" i="26"/>
  <c r="D22" i="26"/>
  <c r="D21" i="26"/>
  <c r="D9" i="26"/>
  <c r="D6" i="26"/>
  <c r="D8" i="26"/>
  <c r="D7" i="26"/>
  <c r="D5" i="26"/>
  <c r="D4" i="26"/>
  <c r="M83" i="4"/>
  <c r="G83" i="4"/>
  <c r="H83" i="4"/>
  <c r="I83" i="4"/>
  <c r="J83" i="4"/>
  <c r="K83" i="4"/>
  <c r="L83" i="4"/>
  <c r="F83" i="4"/>
  <c r="G68" i="4"/>
  <c r="H68" i="4"/>
  <c r="H69" i="4" s="1"/>
  <c r="F6" i="17" s="1"/>
  <c r="I68" i="4"/>
  <c r="J68" i="4"/>
  <c r="K68" i="4"/>
  <c r="K69" i="4" s="1"/>
  <c r="I6" i="17" s="1"/>
  <c r="L68" i="4"/>
  <c r="L69" i="4" s="1"/>
  <c r="J6" i="17" s="1"/>
  <c r="F68" i="4"/>
  <c r="F82" i="4"/>
  <c r="G82" i="4"/>
  <c r="H82" i="4"/>
  <c r="I82" i="4"/>
  <c r="J82" i="4"/>
  <c r="K82" i="4"/>
  <c r="L82" i="4"/>
  <c r="J69" i="4"/>
  <c r="H6" i="17" s="1"/>
  <c r="G69" i="4"/>
  <c r="E6" i="17" s="1"/>
  <c r="H84" i="26" l="1"/>
  <c r="I83" i="26"/>
  <c r="I78" i="26"/>
  <c r="C77" i="26"/>
  <c r="D10" i="26"/>
  <c r="C7" i="26" s="1"/>
  <c r="C40" i="26"/>
  <c r="C43" i="26"/>
  <c r="D24" i="26"/>
  <c r="C21" i="26" s="1"/>
  <c r="C42" i="26"/>
  <c r="M68" i="4"/>
  <c r="I69" i="4"/>
  <c r="G6" i="17" s="1"/>
  <c r="C5" i="26" l="1"/>
  <c r="C4" i="26"/>
  <c r="C9" i="26"/>
  <c r="C6" i="26"/>
  <c r="C8" i="26"/>
  <c r="C44" i="26"/>
  <c r="C23" i="26"/>
  <c r="C22" i="26"/>
  <c r="M69" i="4"/>
  <c r="K6" i="17" s="1"/>
  <c r="C7" i="24"/>
  <c r="D7" i="24"/>
  <c r="E7" i="24"/>
  <c r="F7" i="24"/>
  <c r="G7" i="24"/>
  <c r="H7" i="24"/>
  <c r="B7" i="24"/>
  <c r="D6" i="16"/>
  <c r="E6" i="16"/>
  <c r="F6" i="16"/>
  <c r="G6" i="16"/>
  <c r="H6" i="16"/>
  <c r="I6" i="16"/>
  <c r="C6" i="16"/>
  <c r="D24" i="16"/>
  <c r="E24" i="16"/>
  <c r="F24" i="16"/>
  <c r="G24" i="16"/>
  <c r="H24" i="16"/>
  <c r="I24" i="16"/>
  <c r="K24" i="16" s="1"/>
  <c r="C24" i="16"/>
  <c r="P23" i="16"/>
  <c r="J23" i="16" s="1"/>
  <c r="D4" i="21"/>
  <c r="D3" i="21"/>
  <c r="C38" i="24"/>
  <c r="D38" i="24"/>
  <c r="E38" i="24"/>
  <c r="F38" i="24"/>
  <c r="G38" i="24"/>
  <c r="H38" i="24"/>
  <c r="B38" i="24"/>
  <c r="C36" i="24"/>
  <c r="D36" i="24"/>
  <c r="E36" i="24"/>
  <c r="F36" i="24"/>
  <c r="G36" i="24"/>
  <c r="H36" i="24"/>
  <c r="B36" i="24"/>
  <c r="C14" i="24"/>
  <c r="D14" i="24"/>
  <c r="E14" i="24"/>
  <c r="F14" i="24"/>
  <c r="G14" i="24"/>
  <c r="H14" i="24"/>
  <c r="B14" i="24"/>
  <c r="C26" i="24"/>
  <c r="D26" i="24"/>
  <c r="E26" i="24"/>
  <c r="F26" i="24"/>
  <c r="G26" i="24"/>
  <c r="H26" i="24"/>
  <c r="B26" i="24"/>
  <c r="C23" i="24"/>
  <c r="D23" i="24"/>
  <c r="E23" i="24"/>
  <c r="F23" i="24"/>
  <c r="G23" i="24"/>
  <c r="H23" i="24"/>
  <c r="B23" i="24"/>
  <c r="C17" i="24"/>
  <c r="D17" i="24"/>
  <c r="E17" i="24"/>
  <c r="F17" i="24"/>
  <c r="G17" i="24"/>
  <c r="H17" i="24"/>
  <c r="B17" i="24"/>
  <c r="C13" i="24"/>
  <c r="D13" i="24"/>
  <c r="E13" i="24"/>
  <c r="F13" i="24"/>
  <c r="G13" i="24"/>
  <c r="H13" i="24"/>
  <c r="B13" i="24"/>
  <c r="C12" i="24"/>
  <c r="D12" i="24"/>
  <c r="E12" i="24"/>
  <c r="F12" i="24"/>
  <c r="G12" i="24"/>
  <c r="H12" i="24"/>
  <c r="B12" i="24"/>
  <c r="C10" i="24"/>
  <c r="D10" i="24"/>
  <c r="E10" i="24"/>
  <c r="F10" i="24"/>
  <c r="G10" i="24"/>
  <c r="H10" i="24"/>
  <c r="B10" i="24"/>
  <c r="C6" i="24"/>
  <c r="D6" i="24"/>
  <c r="E6" i="24"/>
  <c r="F6" i="24"/>
  <c r="G6" i="24"/>
  <c r="H6" i="24"/>
  <c r="B6" i="24"/>
  <c r="C5" i="24"/>
  <c r="D5" i="24"/>
  <c r="E5" i="24"/>
  <c r="F5" i="24"/>
  <c r="G5" i="24"/>
  <c r="H5" i="24"/>
  <c r="B5" i="24"/>
  <c r="C4" i="24"/>
  <c r="D4" i="24"/>
  <c r="E4" i="24"/>
  <c r="F4" i="24"/>
  <c r="G4" i="24"/>
  <c r="H4" i="24"/>
  <c r="B4" i="24"/>
  <c r="C3" i="24"/>
  <c r="D3" i="24"/>
  <c r="E3" i="24"/>
  <c r="F3" i="24"/>
  <c r="G3" i="24"/>
  <c r="H3" i="24"/>
  <c r="B3" i="24"/>
  <c r="C7" i="20"/>
  <c r="L3" i="22"/>
  <c r="L4" i="22"/>
  <c r="L5" i="22"/>
  <c r="L2" i="22"/>
  <c r="E4" i="22"/>
  <c r="F4" i="22"/>
  <c r="G4" i="22"/>
  <c r="H4" i="22"/>
  <c r="D4" i="22"/>
  <c r="M4" i="22" s="1"/>
  <c r="N4" i="23"/>
  <c r="M4" i="23"/>
  <c r="L4" i="23"/>
  <c r="K4" i="23"/>
  <c r="J4" i="23"/>
  <c r="E45" i="20"/>
  <c r="D34" i="20"/>
  <c r="Q23" i="20"/>
  <c r="Q22" i="20"/>
  <c r="P23" i="20"/>
  <c r="O23" i="20"/>
  <c r="N23" i="20"/>
  <c r="M23" i="20"/>
  <c r="L23" i="20"/>
  <c r="P22" i="20"/>
  <c r="O22" i="20"/>
  <c r="N22" i="20"/>
  <c r="M22" i="20"/>
  <c r="L22" i="20"/>
  <c r="O4" i="22"/>
  <c r="F9" i="24" l="1"/>
  <c r="C24" i="26"/>
  <c r="B9" i="24"/>
  <c r="E9" i="24"/>
  <c r="H9" i="24"/>
  <c r="L24" i="16"/>
  <c r="M24" i="16" s="1"/>
  <c r="G9" i="24"/>
  <c r="D9" i="24"/>
  <c r="C9" i="24"/>
  <c r="N4" i="22"/>
  <c r="N24" i="16" l="1"/>
  <c r="D48" i="4"/>
  <c r="E48" i="4"/>
  <c r="F48" i="4"/>
  <c r="G48" i="4"/>
  <c r="H48" i="4"/>
  <c r="I48" i="4"/>
  <c r="J48" i="4"/>
  <c r="K48" i="4"/>
  <c r="L48" i="4"/>
  <c r="M48" i="4"/>
  <c r="D33" i="20" s="1"/>
  <c r="D35" i="20" s="1"/>
  <c r="L34" i="20" l="1"/>
  <c r="D3" i="22" s="1"/>
  <c r="M3" i="22" s="1"/>
  <c r="N34" i="20"/>
  <c r="F3" i="22" s="1"/>
  <c r="O34" i="20"/>
  <c r="G3" i="22" s="1"/>
  <c r="P34" i="20"/>
  <c r="H3" i="22" s="1"/>
  <c r="O3" i="22" s="1"/>
  <c r="D37" i="20"/>
  <c r="E42" i="20" s="1"/>
  <c r="M34" i="20"/>
  <c r="E3" i="22" s="1"/>
  <c r="O24" i="16"/>
  <c r="X8" i="16"/>
  <c r="X11" i="16"/>
  <c r="X12" i="16"/>
  <c r="X13" i="16"/>
  <c r="X14" i="16"/>
  <c r="X17" i="16"/>
  <c r="X20" i="16"/>
  <c r="X21" i="16"/>
  <c r="X22" i="16"/>
  <c r="X27" i="16"/>
  <c r="X29" i="16"/>
  <c r="X34" i="16"/>
  <c r="X35" i="16"/>
  <c r="X38" i="16"/>
  <c r="X39" i="16"/>
  <c r="X40" i="16"/>
  <c r="X41" i="16"/>
  <c r="X42" i="16"/>
  <c r="X43" i="16"/>
  <c r="X48" i="16"/>
  <c r="X52" i="16"/>
  <c r="X53" i="16"/>
  <c r="X54" i="16"/>
  <c r="X55" i="16"/>
  <c r="X57" i="16"/>
  <c r="X58" i="16"/>
  <c r="X59" i="16"/>
  <c r="X60" i="16"/>
  <c r="X64" i="16"/>
  <c r="X67" i="16"/>
  <c r="X69" i="16"/>
  <c r="X72" i="16"/>
  <c r="X73" i="16"/>
  <c r="X74" i="16"/>
  <c r="X75" i="16"/>
  <c r="X76" i="16"/>
  <c r="X80" i="16"/>
  <c r="X81" i="16"/>
  <c r="X82" i="16"/>
  <c r="T42" i="16"/>
  <c r="N3" i="22" l="1"/>
  <c r="K51" i="16"/>
  <c r="C12" i="17"/>
  <c r="K8" i="17" s="1"/>
  <c r="C23" i="17"/>
  <c r="C21" i="17"/>
  <c r="E5" i="17"/>
  <c r="E7" i="17" s="1"/>
  <c r="F5" i="17"/>
  <c r="F7" i="17" s="1"/>
  <c r="G5" i="17"/>
  <c r="G7" i="17" s="1"/>
  <c r="H5" i="17"/>
  <c r="H7" i="17" s="1"/>
  <c r="I5" i="17"/>
  <c r="I7" i="17" s="1"/>
  <c r="J5" i="17"/>
  <c r="J7" i="17" s="1"/>
  <c r="D5" i="17"/>
  <c r="L51" i="16" l="1"/>
  <c r="M51" i="16" s="1"/>
  <c r="N51" i="16" s="1"/>
  <c r="O51" i="16" s="1"/>
  <c r="X51" i="16"/>
  <c r="K83" i="16" l="1"/>
  <c r="K77" i="16"/>
  <c r="C6" i="18"/>
  <c r="C14" i="17" s="1"/>
  <c r="I45" i="17"/>
  <c r="H5" i="22" s="1"/>
  <c r="H45" i="17"/>
  <c r="G5" i="22" s="1"/>
  <c r="G45" i="17"/>
  <c r="F5" i="22" s="1"/>
  <c r="F45" i="17"/>
  <c r="E5" i="22" s="1"/>
  <c r="E45" i="17"/>
  <c r="D5" i="22" s="1"/>
  <c r="M5" i="22" s="1"/>
  <c r="E31" i="17"/>
  <c r="E32" i="17" s="1"/>
  <c r="E33" i="17" s="1"/>
  <c r="E34" i="17" s="1"/>
  <c r="E35" i="17" s="1"/>
  <c r="E36" i="17" s="1"/>
  <c r="E37" i="17" s="1"/>
  <c r="E38" i="17" s="1"/>
  <c r="E39" i="17" s="1"/>
  <c r="E40" i="17" s="1"/>
  <c r="G29" i="17"/>
  <c r="H29" i="17" s="1"/>
  <c r="I29" i="17" s="1"/>
  <c r="J29" i="17" s="1"/>
  <c r="K29" i="17" s="1"/>
  <c r="L29" i="17" s="1"/>
  <c r="M29" i="17" s="1"/>
  <c r="N29" i="17" s="1"/>
  <c r="L8" i="17"/>
  <c r="L77" i="16" l="1"/>
  <c r="M77" i="16" s="1"/>
  <c r="N77" i="16" s="1"/>
  <c r="O77" i="16" s="1"/>
  <c r="X77" i="16"/>
  <c r="L83" i="16"/>
  <c r="M83" i="16" s="1"/>
  <c r="N83" i="16" s="1"/>
  <c r="O83" i="16" s="1"/>
  <c r="X83" i="16"/>
  <c r="N5" i="22"/>
  <c r="O5" i="22"/>
  <c r="M8" i="17"/>
  <c r="N8" i="17" l="1"/>
  <c r="O8" i="17" l="1"/>
  <c r="M30" i="4"/>
  <c r="P8" i="17" l="1"/>
  <c r="Q28" i="16"/>
  <c r="P66" i="16"/>
  <c r="J66" i="16" s="1"/>
  <c r="P62" i="16"/>
  <c r="J62" i="16" s="1"/>
  <c r="Q18" i="16"/>
  <c r="Q6" i="16" s="1"/>
  <c r="M25" i="4"/>
  <c r="M21" i="4"/>
  <c r="AA17" i="4"/>
  <c r="AA15" i="4"/>
  <c r="AA11" i="4"/>
  <c r="AA10" i="4"/>
  <c r="M17" i="4"/>
  <c r="M10" i="4"/>
  <c r="M15" i="4"/>
  <c r="M11" i="4"/>
  <c r="D26" i="16"/>
  <c r="D44" i="16" s="1"/>
  <c r="D49" i="16" s="1"/>
  <c r="D51" i="16" s="1"/>
  <c r="E26" i="16"/>
  <c r="E44" i="16" s="1"/>
  <c r="E49" i="16" s="1"/>
  <c r="E51" i="16" s="1"/>
  <c r="F26" i="16"/>
  <c r="F44" i="16" s="1"/>
  <c r="F49" i="16" s="1"/>
  <c r="F51" i="16" s="1"/>
  <c r="G26" i="16"/>
  <c r="G44" i="16" s="1"/>
  <c r="G49" i="16" s="1"/>
  <c r="H26" i="16"/>
  <c r="H44" i="16" s="1"/>
  <c r="H49" i="16" s="1"/>
  <c r="I26" i="16"/>
  <c r="I44" i="16" s="1"/>
  <c r="I49" i="16" s="1"/>
  <c r="I51" i="16" s="1"/>
  <c r="C26" i="16"/>
  <c r="C44" i="16" s="1"/>
  <c r="C49" i="16" s="1"/>
  <c r="G38" i="4"/>
  <c r="H38" i="4"/>
  <c r="I38" i="4"/>
  <c r="J38" i="4"/>
  <c r="K38" i="4"/>
  <c r="L38" i="4"/>
  <c r="F38" i="4"/>
  <c r="G35" i="4"/>
  <c r="H35" i="4"/>
  <c r="I35" i="4"/>
  <c r="J35" i="4"/>
  <c r="K35" i="4"/>
  <c r="L35" i="4"/>
  <c r="F35" i="4"/>
  <c r="D37" i="16"/>
  <c r="E37" i="16"/>
  <c r="F37" i="16"/>
  <c r="G37" i="16"/>
  <c r="H37" i="16"/>
  <c r="I37" i="16"/>
  <c r="C37" i="16"/>
  <c r="I33" i="16"/>
  <c r="H30" i="4"/>
  <c r="I30" i="4"/>
  <c r="J30" i="4"/>
  <c r="K30" i="4"/>
  <c r="L30" i="4"/>
  <c r="G30" i="4"/>
  <c r="G29" i="4"/>
  <c r="H29" i="4"/>
  <c r="I29" i="4"/>
  <c r="J29" i="4"/>
  <c r="K29" i="4"/>
  <c r="L29" i="4"/>
  <c r="F29" i="4"/>
  <c r="Q42" i="16"/>
  <c r="P42" i="16" s="1"/>
  <c r="J42" i="16" s="1"/>
  <c r="D31" i="16"/>
  <c r="E31" i="16"/>
  <c r="F31" i="16"/>
  <c r="G31" i="16"/>
  <c r="H31" i="16"/>
  <c r="I31" i="16"/>
  <c r="C31" i="16"/>
  <c r="D47" i="16"/>
  <c r="E47" i="16"/>
  <c r="F47" i="16"/>
  <c r="G47" i="16"/>
  <c r="H47" i="16"/>
  <c r="I47" i="16"/>
  <c r="C47" i="16"/>
  <c r="D33" i="16"/>
  <c r="E33" i="16"/>
  <c r="F33" i="16"/>
  <c r="G33" i="16"/>
  <c r="H33" i="16"/>
  <c r="C33" i="16"/>
  <c r="AI34" i="4"/>
  <c r="AD40" i="4"/>
  <c r="U39" i="4"/>
  <c r="U40" i="4" s="1"/>
  <c r="AC40" i="4"/>
  <c r="U36" i="4"/>
  <c r="U32" i="4"/>
  <c r="U25" i="4"/>
  <c r="U21" i="4"/>
  <c r="U17" i="4"/>
  <c r="U15" i="4"/>
  <c r="U10" i="4"/>
  <c r="U11" i="4"/>
  <c r="P50" i="16"/>
  <c r="J50" i="16" s="1"/>
  <c r="P46" i="16"/>
  <c r="J46" i="16" s="1"/>
  <c r="P40" i="16"/>
  <c r="J40" i="16" s="1"/>
  <c r="P32" i="16"/>
  <c r="J32" i="16" s="1"/>
  <c r="P21" i="16"/>
  <c r="J21" i="16" s="1"/>
  <c r="P20" i="16"/>
  <c r="J20" i="16" s="1"/>
  <c r="P15" i="16"/>
  <c r="J15" i="16" s="1"/>
  <c r="J16" i="16" s="1"/>
  <c r="P9" i="16"/>
  <c r="D19" i="16"/>
  <c r="E19" i="16"/>
  <c r="F19" i="16"/>
  <c r="G19" i="16"/>
  <c r="H19" i="16"/>
  <c r="I19" i="16"/>
  <c r="C19" i="16"/>
  <c r="D16" i="16"/>
  <c r="E16" i="16"/>
  <c r="F16" i="16"/>
  <c r="G16" i="16"/>
  <c r="H16" i="16"/>
  <c r="I16" i="16"/>
  <c r="C16" i="16"/>
  <c r="I10" i="16"/>
  <c r="L27" i="4" s="1"/>
  <c r="H10" i="16"/>
  <c r="K27" i="4" s="1"/>
  <c r="G10" i="16"/>
  <c r="J27" i="4" s="1"/>
  <c r="F10" i="16"/>
  <c r="I27" i="4" s="1"/>
  <c r="E10" i="16"/>
  <c r="H27" i="4" s="1"/>
  <c r="D10" i="16"/>
  <c r="G27" i="4" s="1"/>
  <c r="I71" i="16"/>
  <c r="H71" i="16"/>
  <c r="G71" i="16"/>
  <c r="F71" i="16"/>
  <c r="E71" i="16"/>
  <c r="D71" i="16"/>
  <c r="C71" i="16"/>
  <c r="I68" i="16"/>
  <c r="H68" i="16"/>
  <c r="G68" i="16"/>
  <c r="F68" i="16"/>
  <c r="E68" i="16"/>
  <c r="D68" i="16"/>
  <c r="C68" i="16"/>
  <c r="I63" i="16"/>
  <c r="H63" i="16"/>
  <c r="G63" i="16"/>
  <c r="F63" i="16"/>
  <c r="E63" i="16"/>
  <c r="D63" i="16"/>
  <c r="C63" i="16"/>
  <c r="H51" i="16"/>
  <c r="G51" i="16"/>
  <c r="C51" i="16"/>
  <c r="I7" i="16"/>
  <c r="H7" i="16"/>
  <c r="G7" i="16"/>
  <c r="F7" i="16"/>
  <c r="E7" i="16"/>
  <c r="D7" i="16"/>
  <c r="D286" i="13"/>
  <c r="E286" i="13"/>
  <c r="D284" i="13"/>
  <c r="E284" i="13"/>
  <c r="D282" i="13"/>
  <c r="E282" i="13"/>
  <c r="D280" i="13"/>
  <c r="E280" i="13"/>
  <c r="E274" i="13"/>
  <c r="C266" i="13"/>
  <c r="D264" i="13"/>
  <c r="D249" i="13"/>
  <c r="D247" i="13"/>
  <c r="D243" i="13"/>
  <c r="C229" i="13"/>
  <c r="D227" i="13"/>
  <c r="C155" i="13"/>
  <c r="E138" i="13"/>
  <c r="E132" i="13"/>
  <c r="E130" i="13"/>
  <c r="E272" i="13"/>
  <c r="D272" i="13"/>
  <c r="D235" i="13"/>
  <c r="E124" i="13"/>
  <c r="D260" i="13"/>
  <c r="D223" i="13"/>
  <c r="D149" i="13"/>
  <c r="D97" i="13"/>
  <c r="E97" i="13"/>
  <c r="F97" i="13"/>
  <c r="G97" i="13"/>
  <c r="H97" i="13"/>
  <c r="I97" i="13"/>
  <c r="J97" i="13"/>
  <c r="K97" i="13"/>
  <c r="C97" i="13"/>
  <c r="D101" i="13"/>
  <c r="E101" i="13"/>
  <c r="F101" i="13"/>
  <c r="G101" i="13"/>
  <c r="H101" i="13"/>
  <c r="I101" i="13"/>
  <c r="J101" i="13"/>
  <c r="K101" i="13"/>
  <c r="C101" i="13"/>
  <c r="D94" i="13"/>
  <c r="E94" i="13"/>
  <c r="F94" i="13"/>
  <c r="G94" i="13"/>
  <c r="H94" i="13"/>
  <c r="I94" i="13"/>
  <c r="J94" i="13"/>
  <c r="K94" i="13"/>
  <c r="C94" i="13"/>
  <c r="D99" i="13"/>
  <c r="E99" i="13"/>
  <c r="F99" i="13"/>
  <c r="G99" i="13"/>
  <c r="H99" i="13"/>
  <c r="I99" i="13"/>
  <c r="J99" i="13"/>
  <c r="K99" i="13"/>
  <c r="C99" i="13"/>
  <c r="D90" i="13"/>
  <c r="E90" i="13"/>
  <c r="F90" i="13"/>
  <c r="G90" i="13"/>
  <c r="H90" i="13"/>
  <c r="I90" i="13"/>
  <c r="J90" i="13"/>
  <c r="K90" i="13"/>
  <c r="C90" i="13"/>
  <c r="D88" i="13"/>
  <c r="E88" i="13"/>
  <c r="F88" i="13"/>
  <c r="G88" i="13"/>
  <c r="H88" i="13"/>
  <c r="I88" i="13"/>
  <c r="J88" i="13"/>
  <c r="K88" i="13"/>
  <c r="C88" i="13"/>
  <c r="D82" i="13"/>
  <c r="E82" i="13"/>
  <c r="F82" i="13"/>
  <c r="G82" i="13"/>
  <c r="H82" i="13"/>
  <c r="I82" i="13"/>
  <c r="J82" i="13"/>
  <c r="K82" i="13"/>
  <c r="C82" i="13"/>
  <c r="D80" i="13"/>
  <c r="E80" i="13"/>
  <c r="F80" i="13"/>
  <c r="G80" i="13"/>
  <c r="H80" i="13"/>
  <c r="I80" i="13"/>
  <c r="J80" i="13"/>
  <c r="K80" i="13"/>
  <c r="C80" i="13"/>
  <c r="E76" i="13"/>
  <c r="F76" i="13"/>
  <c r="G76" i="13"/>
  <c r="H76" i="13"/>
  <c r="I76" i="13"/>
  <c r="J76" i="13"/>
  <c r="K76" i="13"/>
  <c r="D76" i="13"/>
  <c r="E43" i="13"/>
  <c r="E44" i="13" s="1"/>
  <c r="C11" i="13"/>
  <c r="AA11" i="13" s="1"/>
  <c r="D11" i="13"/>
  <c r="Y11" i="13" s="1"/>
  <c r="E11" i="13"/>
  <c r="W11" i="13" s="1"/>
  <c r="F11" i="13"/>
  <c r="G11" i="13"/>
  <c r="H11" i="13"/>
  <c r="I11" i="13"/>
  <c r="J11" i="13"/>
  <c r="C12" i="13"/>
  <c r="AA12" i="13" s="1"/>
  <c r="D12" i="13"/>
  <c r="Y12" i="13" s="1"/>
  <c r="E12" i="13"/>
  <c r="W12" i="13" s="1"/>
  <c r="F12" i="13"/>
  <c r="G12" i="13"/>
  <c r="H12" i="13"/>
  <c r="I12" i="13"/>
  <c r="J12" i="13"/>
  <c r="C44" i="13"/>
  <c r="D44" i="13"/>
  <c r="F44" i="13"/>
  <c r="G44" i="13"/>
  <c r="H44" i="13"/>
  <c r="I44" i="13"/>
  <c r="J44" i="13"/>
  <c r="C35" i="13"/>
  <c r="D35" i="13"/>
  <c r="E35" i="13"/>
  <c r="F35" i="13"/>
  <c r="G35" i="13"/>
  <c r="H35" i="13"/>
  <c r="I35" i="13"/>
  <c r="J35" i="13"/>
  <c r="K11" i="13"/>
  <c r="K12" i="13"/>
  <c r="BA25" i="13"/>
  <c r="AZ25" i="13"/>
  <c r="AY25" i="13"/>
  <c r="AX25" i="13"/>
  <c r="AW25" i="13"/>
  <c r="AV25" i="13"/>
  <c r="AU25" i="13"/>
  <c r="AT25" i="13"/>
  <c r="AS25" i="13"/>
  <c r="BA23" i="13"/>
  <c r="AZ23" i="13"/>
  <c r="AY23" i="13"/>
  <c r="AX23" i="13"/>
  <c r="AW23" i="13"/>
  <c r="AV23" i="13"/>
  <c r="AU23" i="13"/>
  <c r="AT23" i="13"/>
  <c r="AS23" i="13"/>
  <c r="BA14" i="13"/>
  <c r="AZ14" i="13"/>
  <c r="AY14" i="13"/>
  <c r="AX14" i="13"/>
  <c r="AW14" i="13"/>
  <c r="AV14" i="13"/>
  <c r="AU14" i="13"/>
  <c r="AT14" i="13"/>
  <c r="AS14" i="13"/>
  <c r="K44" i="13"/>
  <c r="K35" i="13"/>
  <c r="BA47" i="13"/>
  <c r="AZ47" i="13"/>
  <c r="AY47" i="13"/>
  <c r="AX47" i="13"/>
  <c r="AW47" i="13"/>
  <c r="AV47" i="13"/>
  <c r="AU47" i="13"/>
  <c r="AT47" i="13"/>
  <c r="AS47" i="13"/>
  <c r="BA45" i="13"/>
  <c r="AZ45" i="13"/>
  <c r="AY45" i="13"/>
  <c r="AX45" i="13"/>
  <c r="AW45" i="13"/>
  <c r="AV45" i="13"/>
  <c r="AU45" i="13"/>
  <c r="AT45" i="13"/>
  <c r="AS45" i="13"/>
  <c r="BA36" i="13"/>
  <c r="AZ36" i="13"/>
  <c r="AY36" i="13"/>
  <c r="AX36" i="13"/>
  <c r="AW36" i="13"/>
  <c r="AV36" i="13"/>
  <c r="AU36" i="13"/>
  <c r="AT36" i="13"/>
  <c r="AS36" i="13"/>
  <c r="J9" i="16" l="1"/>
  <c r="J10" i="16" s="1"/>
  <c r="M27" i="4" s="1"/>
  <c r="G2" i="24"/>
  <c r="F2" i="24"/>
  <c r="E2" i="24"/>
  <c r="D2" i="24"/>
  <c r="C2" i="24"/>
  <c r="B2" i="24"/>
  <c r="H2" i="24"/>
  <c r="I31" i="4"/>
  <c r="I9" i="4"/>
  <c r="J9" i="4"/>
  <c r="J31" i="4"/>
  <c r="L31" i="4"/>
  <c r="L9" i="4"/>
  <c r="K31" i="4"/>
  <c r="K9" i="4"/>
  <c r="S31" i="16"/>
  <c r="G31" i="4"/>
  <c r="G9" i="4"/>
  <c r="H9" i="4"/>
  <c r="H31" i="4"/>
  <c r="N30" i="4"/>
  <c r="M22" i="4"/>
  <c r="AA22" i="4"/>
  <c r="P18" i="16"/>
  <c r="S16" i="16"/>
  <c r="T16" i="16" s="1"/>
  <c r="K68" i="16"/>
  <c r="P36" i="16"/>
  <c r="J36" i="16" s="1"/>
  <c r="S47" i="16"/>
  <c r="L47" i="16" s="1"/>
  <c r="M47" i="16" s="1"/>
  <c r="N47" i="16" s="1"/>
  <c r="O47" i="16" s="1"/>
  <c r="Q36" i="16"/>
  <c r="Q26" i="16" s="1"/>
  <c r="Q44" i="16" s="1"/>
  <c r="S33" i="16"/>
  <c r="M38" i="4"/>
  <c r="N38" i="4" s="1"/>
  <c r="O38" i="4" s="1"/>
  <c r="P38" i="4" s="1"/>
  <c r="Q38" i="4" s="1"/>
  <c r="R38" i="4" s="1"/>
  <c r="M35" i="4"/>
  <c r="N35" i="4" s="1"/>
  <c r="D45" i="16"/>
  <c r="C45" i="16"/>
  <c r="H45" i="16"/>
  <c r="G45" i="16"/>
  <c r="F45" i="16"/>
  <c r="I45" i="16"/>
  <c r="E45" i="16"/>
  <c r="AI33" i="4"/>
  <c r="P30" i="16"/>
  <c r="P28" i="16" s="1"/>
  <c r="J28" i="16" s="1"/>
  <c r="J72" i="16"/>
  <c r="L76" i="13"/>
  <c r="BB23" i="13"/>
  <c r="J46" i="13"/>
  <c r="C46" i="13"/>
  <c r="D46" i="13"/>
  <c r="E46" i="13"/>
  <c r="E49" i="13" s="1"/>
  <c r="F46" i="13"/>
  <c r="G46" i="13"/>
  <c r="G49" i="13" s="1"/>
  <c r="H46" i="13"/>
  <c r="I46" i="13"/>
  <c r="BB14" i="13"/>
  <c r="BB25" i="13"/>
  <c r="BB45" i="13"/>
  <c r="BB36" i="13"/>
  <c r="BB47" i="13"/>
  <c r="Q49" i="16" l="1"/>
  <c r="P49" i="16" s="1"/>
  <c r="M9" i="4"/>
  <c r="M31" i="4"/>
  <c r="M29" i="4"/>
  <c r="N29" i="4" s="1"/>
  <c r="O29" i="4" s="1"/>
  <c r="P29" i="4" s="1"/>
  <c r="Q29" i="4" s="1"/>
  <c r="R29" i="4" s="1"/>
  <c r="P6" i="16"/>
  <c r="J6" i="16" s="1"/>
  <c r="B30" i="24"/>
  <c r="B16" i="24"/>
  <c r="B19" i="24" s="1"/>
  <c r="B22" i="24" s="1"/>
  <c r="B25" i="24" s="1"/>
  <c r="B28" i="24" s="1"/>
  <c r="B34" i="24" s="1"/>
  <c r="L68" i="16"/>
  <c r="M68" i="16" s="1"/>
  <c r="N68" i="16" s="1"/>
  <c r="O68" i="16" s="1"/>
  <c r="X68" i="16"/>
  <c r="D30" i="24"/>
  <c r="D16" i="24"/>
  <c r="D19" i="24" s="1"/>
  <c r="H16" i="24"/>
  <c r="H19" i="24" s="1"/>
  <c r="H30" i="24"/>
  <c r="E16" i="24"/>
  <c r="E19" i="24" s="1"/>
  <c r="E30" i="24"/>
  <c r="F30" i="24"/>
  <c r="F16" i="24"/>
  <c r="F19" i="24" s="1"/>
  <c r="C16" i="24"/>
  <c r="C19" i="24" s="1"/>
  <c r="C30" i="24"/>
  <c r="G30" i="24"/>
  <c r="G16" i="24"/>
  <c r="G19" i="24" s="1"/>
  <c r="O30" i="4"/>
  <c r="P30" i="4" s="1"/>
  <c r="Q30" i="4" s="1"/>
  <c r="R30" i="4" s="1"/>
  <c r="J18" i="16"/>
  <c r="P26" i="16"/>
  <c r="P44" i="16" s="1"/>
  <c r="O35" i="4"/>
  <c r="P35" i="4" s="1"/>
  <c r="J37" i="16"/>
  <c r="K37" i="16" s="1"/>
  <c r="X37" i="16" s="1"/>
  <c r="J30" i="16"/>
  <c r="J31" i="16" s="1"/>
  <c r="T31" i="16" s="1"/>
  <c r="L75" i="13"/>
  <c r="M76" i="13"/>
  <c r="N76" i="13" s="1"/>
  <c r="O76" i="13" s="1"/>
  <c r="P76" i="13" s="1"/>
  <c r="J49" i="13"/>
  <c r="C49" i="13"/>
  <c r="D49" i="13"/>
  <c r="F49" i="13"/>
  <c r="H49" i="13"/>
  <c r="I49" i="13"/>
  <c r="P56" i="16" l="1"/>
  <c r="P61" i="16" s="1"/>
  <c r="P65" i="16" s="1"/>
  <c r="P70" i="16" s="1"/>
  <c r="Q56" i="16"/>
  <c r="Q61" i="16" s="1"/>
  <c r="Q65" i="16" s="1"/>
  <c r="Q70" i="16" s="1"/>
  <c r="J19" i="16"/>
  <c r="K19" i="16" s="1"/>
  <c r="X19" i="16" s="1"/>
  <c r="J24" i="16"/>
  <c r="E22" i="24"/>
  <c r="E25" i="24" s="1"/>
  <c r="E28" i="24" s="1"/>
  <c r="E34" i="24" s="1"/>
  <c r="C49" i="24" s="1"/>
  <c r="E39" i="24"/>
  <c r="C50" i="24" s="1"/>
  <c r="G22" i="24"/>
  <c r="G25" i="24" s="1"/>
  <c r="G28" i="24" s="1"/>
  <c r="G34" i="24" s="1"/>
  <c r="E49" i="24" s="1"/>
  <c r="G39" i="24"/>
  <c r="E50" i="24" s="1"/>
  <c r="G31" i="24"/>
  <c r="G32" i="24"/>
  <c r="H22" i="24"/>
  <c r="H25" i="24" s="1"/>
  <c r="H28" i="24" s="1"/>
  <c r="H34" i="24" s="1"/>
  <c r="H39" i="24"/>
  <c r="C32" i="24"/>
  <c r="C31" i="24"/>
  <c r="D22" i="24"/>
  <c r="D25" i="24" s="1"/>
  <c r="D28" i="24" s="1"/>
  <c r="D34" i="24" s="1"/>
  <c r="B49" i="24" s="1"/>
  <c r="D39" i="24"/>
  <c r="B50" i="24" s="1"/>
  <c r="F31" i="24"/>
  <c r="F32" i="24"/>
  <c r="H31" i="24"/>
  <c r="H32" i="24"/>
  <c r="C22" i="24"/>
  <c r="C25" i="24" s="1"/>
  <c r="C28" i="24" s="1"/>
  <c r="C34" i="24" s="1"/>
  <c r="C39" i="24"/>
  <c r="D31" i="24"/>
  <c r="D32" i="24"/>
  <c r="F22" i="24"/>
  <c r="F25" i="24" s="1"/>
  <c r="F28" i="24" s="1"/>
  <c r="F34" i="24" s="1"/>
  <c r="D49" i="24" s="1"/>
  <c r="F39" i="24"/>
  <c r="D50" i="24" s="1"/>
  <c r="E31" i="24"/>
  <c r="E32" i="24"/>
  <c r="B31" i="24"/>
  <c r="B32" i="24"/>
  <c r="B33" i="24" s="1"/>
  <c r="Q35" i="4"/>
  <c r="R35" i="4" s="1"/>
  <c r="J26" i="16"/>
  <c r="M75" i="13"/>
  <c r="E46" i="24" l="1"/>
  <c r="F50" i="24"/>
  <c r="E45" i="24"/>
  <c r="F49" i="24"/>
  <c r="L19" i="16"/>
  <c r="M19" i="16" s="1"/>
  <c r="N19" i="16" s="1"/>
  <c r="O19" i="16" s="1"/>
  <c r="F33" i="24"/>
  <c r="F37" i="24"/>
  <c r="D37" i="24"/>
  <c r="D33" i="24"/>
  <c r="G33" i="24"/>
  <c r="G37" i="24"/>
  <c r="E33" i="24"/>
  <c r="E37" i="24"/>
  <c r="H33" i="24"/>
  <c r="H37" i="24"/>
  <c r="C37" i="24"/>
  <c r="C33" i="24"/>
  <c r="N75" i="13"/>
  <c r="O75" i="13" l="1"/>
  <c r="P75" i="13" l="1"/>
  <c r="Q75" i="13" l="1"/>
  <c r="E68" i="13" l="1"/>
  <c r="E22" i="13" s="1"/>
  <c r="W22" i="13" s="1"/>
  <c r="D68" i="13"/>
  <c r="D22" i="13" s="1"/>
  <c r="Y22" i="13" s="1"/>
  <c r="C68" i="13"/>
  <c r="C22" i="13" s="1"/>
  <c r="AA22" i="13" s="1"/>
  <c r="D67" i="13"/>
  <c r="D21" i="13" s="1"/>
  <c r="Y21" i="13" s="1"/>
  <c r="C67" i="13"/>
  <c r="C21" i="13" s="1"/>
  <c r="AA21" i="13" s="1"/>
  <c r="K65" i="13"/>
  <c r="K19" i="13" s="1"/>
  <c r="BA19" i="13" s="1"/>
  <c r="J65" i="13"/>
  <c r="J19" i="13" s="1"/>
  <c r="I65" i="13"/>
  <c r="I19" i="13" s="1"/>
  <c r="H65" i="13"/>
  <c r="H19" i="13" s="1"/>
  <c r="G65" i="13"/>
  <c r="G19" i="13" s="1"/>
  <c r="F65" i="13"/>
  <c r="F19" i="13" s="1"/>
  <c r="E65" i="13"/>
  <c r="E19" i="13" s="1"/>
  <c r="W19" i="13" s="1"/>
  <c r="D65" i="13"/>
  <c r="D19" i="13" s="1"/>
  <c r="Y19" i="13" s="1"/>
  <c r="C65" i="13"/>
  <c r="C19" i="13" s="1"/>
  <c r="AA19" i="13" s="1"/>
  <c r="D51" i="13"/>
  <c r="BA71" i="13"/>
  <c r="AZ71" i="13"/>
  <c r="AY71" i="13"/>
  <c r="AX71" i="13"/>
  <c r="AW71" i="13"/>
  <c r="AV71" i="13"/>
  <c r="AU71" i="13"/>
  <c r="AT71" i="13"/>
  <c r="AS71" i="13"/>
  <c r="BA69" i="13"/>
  <c r="AZ69" i="13"/>
  <c r="AY69" i="13"/>
  <c r="AX69" i="13"/>
  <c r="AW69" i="13"/>
  <c r="AV69" i="13"/>
  <c r="AU69" i="13"/>
  <c r="AT69" i="13"/>
  <c r="AS69" i="13"/>
  <c r="BA60" i="13"/>
  <c r="AZ60" i="13"/>
  <c r="AY60" i="13"/>
  <c r="AX60" i="13"/>
  <c r="AW60" i="13"/>
  <c r="AV60" i="13"/>
  <c r="AU60" i="13"/>
  <c r="AT60" i="13"/>
  <c r="AS60" i="13"/>
  <c r="AS110" i="13"/>
  <c r="AT110" i="13"/>
  <c r="AU110" i="13"/>
  <c r="AV110" i="13"/>
  <c r="AW110" i="13"/>
  <c r="AX110" i="13"/>
  <c r="AY110" i="13"/>
  <c r="AZ110" i="13"/>
  <c r="BA110" i="13"/>
  <c r="AT111" i="13"/>
  <c r="AU113" i="13"/>
  <c r="AU121" i="13"/>
  <c r="AS122" i="13"/>
  <c r="AT122" i="13"/>
  <c r="AU122" i="13"/>
  <c r="AV122" i="13"/>
  <c r="AW122" i="13"/>
  <c r="AX122" i="13"/>
  <c r="AY122" i="13"/>
  <c r="AZ122" i="13"/>
  <c r="BA122" i="13"/>
  <c r="AT123" i="13"/>
  <c r="AU123" i="13"/>
  <c r="AT129" i="13"/>
  <c r="AU129" i="13"/>
  <c r="AS131" i="13"/>
  <c r="AT131" i="13"/>
  <c r="AU131" i="13"/>
  <c r="AV131" i="13"/>
  <c r="AW131" i="13"/>
  <c r="AX131" i="13"/>
  <c r="AY131" i="13"/>
  <c r="AZ131" i="13"/>
  <c r="BA131" i="13"/>
  <c r="AS135" i="13"/>
  <c r="AT135" i="13"/>
  <c r="AS137" i="13"/>
  <c r="AT137" i="13"/>
  <c r="AU137" i="13"/>
  <c r="AS139" i="13"/>
  <c r="AT139" i="13"/>
  <c r="AU139" i="13"/>
  <c r="AV139" i="13"/>
  <c r="AW139" i="13"/>
  <c r="AX139" i="13"/>
  <c r="AY139" i="13"/>
  <c r="AZ139" i="13"/>
  <c r="BA139" i="13"/>
  <c r="AS142" i="13"/>
  <c r="AT142" i="13"/>
  <c r="AU142" i="13"/>
  <c r="AV142" i="13"/>
  <c r="AW142" i="13"/>
  <c r="AX142" i="13"/>
  <c r="AY142" i="13"/>
  <c r="AZ142" i="13"/>
  <c r="BA142" i="13"/>
  <c r="AT143" i="13"/>
  <c r="AU143" i="13"/>
  <c r="AS147" i="13"/>
  <c r="AT147" i="13"/>
  <c r="AU147" i="13"/>
  <c r="AV147" i="13"/>
  <c r="AW147" i="13"/>
  <c r="AX147" i="13"/>
  <c r="AY147" i="13"/>
  <c r="AZ147" i="13"/>
  <c r="BA147" i="13"/>
  <c r="AS148" i="13"/>
  <c r="AT148" i="13"/>
  <c r="AS154" i="13"/>
  <c r="AS159" i="13"/>
  <c r="AT159" i="13"/>
  <c r="AU159" i="13"/>
  <c r="AV159" i="13"/>
  <c r="AW159" i="13"/>
  <c r="AX159" i="13"/>
  <c r="AY159" i="13"/>
  <c r="AZ159" i="13"/>
  <c r="BA159" i="13"/>
  <c r="AS160" i="13"/>
  <c r="AS162" i="13"/>
  <c r="AS168" i="13"/>
  <c r="AT168" i="13"/>
  <c r="AU168" i="13"/>
  <c r="AV168" i="13"/>
  <c r="AW168" i="13"/>
  <c r="AX168" i="13"/>
  <c r="AY168" i="13"/>
  <c r="AZ168" i="13"/>
  <c r="BA168" i="13"/>
  <c r="AS170" i="13"/>
  <c r="AS172" i="13"/>
  <c r="AT172" i="13"/>
  <c r="AS174" i="13"/>
  <c r="AT174" i="13"/>
  <c r="AU174" i="13"/>
  <c r="AS176" i="13"/>
  <c r="AT176" i="13"/>
  <c r="AU176" i="13"/>
  <c r="AV176" i="13"/>
  <c r="AW176" i="13"/>
  <c r="AX176" i="13"/>
  <c r="AY176" i="13"/>
  <c r="AZ176" i="13"/>
  <c r="BA176" i="13"/>
  <c r="AS179" i="13"/>
  <c r="AT179" i="13"/>
  <c r="AU179" i="13"/>
  <c r="AV179" i="13"/>
  <c r="AW179" i="13"/>
  <c r="AX179" i="13"/>
  <c r="AY179" i="13"/>
  <c r="AZ179" i="13"/>
  <c r="BA179" i="13"/>
  <c r="AS180" i="13"/>
  <c r="AS184" i="13"/>
  <c r="AT184" i="13"/>
  <c r="AU184" i="13"/>
  <c r="AV184" i="13"/>
  <c r="AW184" i="13"/>
  <c r="AX184" i="13"/>
  <c r="AY184" i="13"/>
  <c r="AZ184" i="13"/>
  <c r="BA184" i="13"/>
  <c r="AT185" i="13"/>
  <c r="AV185" i="13"/>
  <c r="AS196" i="13"/>
  <c r="AT196" i="13"/>
  <c r="AU196" i="13"/>
  <c r="AV196" i="13"/>
  <c r="AW196" i="13"/>
  <c r="AX196" i="13"/>
  <c r="AY196" i="13"/>
  <c r="AZ196" i="13"/>
  <c r="BA196" i="13"/>
  <c r="AS197" i="13"/>
  <c r="AS205" i="13"/>
  <c r="AT205" i="13"/>
  <c r="AU205" i="13"/>
  <c r="AV205" i="13"/>
  <c r="AW205" i="13"/>
  <c r="AX205" i="13"/>
  <c r="AY205" i="13"/>
  <c r="AZ205" i="13"/>
  <c r="BA205" i="13"/>
  <c r="AS209" i="13"/>
  <c r="AT209" i="13"/>
  <c r="AS211" i="13"/>
  <c r="AT211" i="13"/>
  <c r="AU211" i="13"/>
  <c r="AS213" i="13"/>
  <c r="AT213" i="13"/>
  <c r="AU213" i="13"/>
  <c r="AV213" i="13"/>
  <c r="AW213" i="13"/>
  <c r="AX213" i="13"/>
  <c r="AY213" i="13"/>
  <c r="AZ213" i="13"/>
  <c r="BA213" i="13"/>
  <c r="AS216" i="13"/>
  <c r="AT216" i="13"/>
  <c r="AU216" i="13"/>
  <c r="AV216" i="13"/>
  <c r="AW216" i="13"/>
  <c r="AX216" i="13"/>
  <c r="AY216" i="13"/>
  <c r="AZ216" i="13"/>
  <c r="BA216" i="13"/>
  <c r="AS221" i="13"/>
  <c r="AT221" i="13"/>
  <c r="AU221" i="13"/>
  <c r="AV221" i="13"/>
  <c r="AW221" i="13"/>
  <c r="AX221" i="13"/>
  <c r="AY221" i="13"/>
  <c r="AZ221" i="13"/>
  <c r="BA221" i="13"/>
  <c r="AS222" i="13"/>
  <c r="AT222" i="13"/>
  <c r="AT226" i="13"/>
  <c r="BA226" i="13"/>
  <c r="AS228" i="13"/>
  <c r="AT232" i="13"/>
  <c r="AS233" i="13"/>
  <c r="AT233" i="13"/>
  <c r="AU233" i="13"/>
  <c r="AV233" i="13"/>
  <c r="AW233" i="13"/>
  <c r="AX233" i="13"/>
  <c r="AY233" i="13"/>
  <c r="AZ233" i="13"/>
  <c r="BA233" i="13"/>
  <c r="AS234" i="13"/>
  <c r="AT234" i="13"/>
  <c r="AU234" i="13"/>
  <c r="AS236" i="13"/>
  <c r="AZ236" i="13"/>
  <c r="BA238" i="13"/>
  <c r="AS242" i="13"/>
  <c r="AT242" i="13"/>
  <c r="AU242" i="13"/>
  <c r="AV242" i="13"/>
  <c r="AW242" i="13"/>
  <c r="AX242" i="13"/>
  <c r="AY242" i="13"/>
  <c r="AZ242" i="13"/>
  <c r="BA242" i="13"/>
  <c r="AS244" i="13"/>
  <c r="BA244" i="13"/>
  <c r="AS246" i="13"/>
  <c r="AT246" i="13"/>
  <c r="AS248" i="13"/>
  <c r="AT248" i="13"/>
  <c r="AU248" i="13"/>
  <c r="AS250" i="13"/>
  <c r="AT250" i="13"/>
  <c r="AU250" i="13"/>
  <c r="AV250" i="13"/>
  <c r="AW250" i="13"/>
  <c r="AX250" i="13"/>
  <c r="AY250" i="13"/>
  <c r="AZ250" i="13"/>
  <c r="BA250" i="13"/>
  <c r="AS253" i="13"/>
  <c r="AT253" i="13"/>
  <c r="AU253" i="13"/>
  <c r="AV253" i="13"/>
  <c r="AW253" i="13"/>
  <c r="AX253" i="13"/>
  <c r="AY253" i="13"/>
  <c r="AZ253" i="13"/>
  <c r="BA253" i="13"/>
  <c r="AS254" i="13"/>
  <c r="AT254" i="13"/>
  <c r="AU254" i="13"/>
  <c r="AS258" i="13"/>
  <c r="AT258" i="13"/>
  <c r="AU258" i="13"/>
  <c r="AV258" i="13"/>
  <c r="AW258" i="13"/>
  <c r="AX258" i="13"/>
  <c r="AY258" i="13"/>
  <c r="AZ258" i="13"/>
  <c r="BA258" i="13"/>
  <c r="AS259" i="13"/>
  <c r="AT259" i="13"/>
  <c r="AT263" i="13"/>
  <c r="AU263" i="13"/>
  <c r="AS265" i="13"/>
  <c r="AU265" i="13"/>
  <c r="AT269" i="13"/>
  <c r="AU269" i="13"/>
  <c r="AS270" i="13"/>
  <c r="AT270" i="13"/>
  <c r="AU270" i="13"/>
  <c r="AV270" i="13"/>
  <c r="AW270" i="13"/>
  <c r="AX270" i="13"/>
  <c r="AY270" i="13"/>
  <c r="AZ270" i="13"/>
  <c r="BA270" i="13"/>
  <c r="AS271" i="13"/>
  <c r="AT271" i="13"/>
  <c r="AU271" i="13"/>
  <c r="AU273" i="13"/>
  <c r="AS279" i="13"/>
  <c r="AT279" i="13"/>
  <c r="AU279" i="13"/>
  <c r="AV279" i="13"/>
  <c r="AW279" i="13"/>
  <c r="AX279" i="13"/>
  <c r="AY279" i="13"/>
  <c r="AZ279" i="13"/>
  <c r="BA279" i="13"/>
  <c r="AS281" i="13"/>
  <c r="AT281" i="13"/>
  <c r="AU281" i="13"/>
  <c r="AS283" i="13"/>
  <c r="AT283" i="13"/>
  <c r="AU283" i="13"/>
  <c r="AS285" i="13"/>
  <c r="AT285" i="13"/>
  <c r="AU285" i="13"/>
  <c r="AS287" i="13"/>
  <c r="AT287" i="13"/>
  <c r="AU287" i="13"/>
  <c r="AV287" i="13"/>
  <c r="AW287" i="13"/>
  <c r="AX287" i="13"/>
  <c r="AY287" i="13"/>
  <c r="AZ287" i="13"/>
  <c r="BA287" i="13"/>
  <c r="AS290" i="13"/>
  <c r="AT290" i="13"/>
  <c r="AU290" i="13"/>
  <c r="AV290" i="13"/>
  <c r="AW290" i="13"/>
  <c r="AX290" i="13"/>
  <c r="AY290" i="13"/>
  <c r="AZ290" i="13"/>
  <c r="BA290" i="13"/>
  <c r="AS291" i="13"/>
  <c r="AT291" i="13"/>
  <c r="AU291" i="13"/>
  <c r="AS79" i="13"/>
  <c r="AT79" i="13"/>
  <c r="AU79" i="13"/>
  <c r="AV79" i="13"/>
  <c r="AW79" i="13"/>
  <c r="AX79" i="13"/>
  <c r="AY79" i="13"/>
  <c r="AZ79" i="13"/>
  <c r="BA79" i="13"/>
  <c r="AS81" i="13"/>
  <c r="AT81" i="13"/>
  <c r="AU81" i="13"/>
  <c r="AV81" i="13"/>
  <c r="AW81" i="13"/>
  <c r="AX81" i="13"/>
  <c r="AY81" i="13"/>
  <c r="AZ81" i="13"/>
  <c r="BA81" i="13"/>
  <c r="AS85" i="13"/>
  <c r="AT85" i="13"/>
  <c r="AU85" i="13"/>
  <c r="AV85" i="13"/>
  <c r="AW85" i="13"/>
  <c r="AX85" i="13"/>
  <c r="AY85" i="13"/>
  <c r="AZ85" i="13"/>
  <c r="BA85" i="13"/>
  <c r="AS86" i="13"/>
  <c r="AT86" i="13"/>
  <c r="AU86" i="13"/>
  <c r="AV86" i="13"/>
  <c r="AW86" i="13"/>
  <c r="AX86" i="13"/>
  <c r="AY86" i="13"/>
  <c r="AZ86" i="13"/>
  <c r="BA86" i="13"/>
  <c r="AS87" i="13"/>
  <c r="AT87" i="13"/>
  <c r="AU87" i="13"/>
  <c r="AV87" i="13"/>
  <c r="AW87" i="13"/>
  <c r="AX87" i="13"/>
  <c r="AY87" i="13"/>
  <c r="AZ87" i="13"/>
  <c r="BA87" i="13"/>
  <c r="AS89" i="13"/>
  <c r="AT89" i="13"/>
  <c r="AU89" i="13"/>
  <c r="AV89" i="13"/>
  <c r="AW89" i="13"/>
  <c r="AX89" i="13"/>
  <c r="AY89" i="13"/>
  <c r="AZ89" i="13"/>
  <c r="BA89" i="13"/>
  <c r="AS93" i="13"/>
  <c r="AT93" i="13"/>
  <c r="AU93" i="13"/>
  <c r="AV93" i="13"/>
  <c r="AW93" i="13"/>
  <c r="AX93" i="13"/>
  <c r="AY93" i="13"/>
  <c r="AZ93" i="13"/>
  <c r="BA93" i="13"/>
  <c r="AS95" i="13"/>
  <c r="AT95" i="13"/>
  <c r="AU95" i="13"/>
  <c r="AV95" i="13"/>
  <c r="AW95" i="13"/>
  <c r="AX95" i="13"/>
  <c r="AY95" i="13"/>
  <c r="AZ95" i="13"/>
  <c r="BA95" i="13"/>
  <c r="AS96" i="13"/>
  <c r="AT96" i="13"/>
  <c r="AU96" i="13"/>
  <c r="AV96" i="13"/>
  <c r="AW96" i="13"/>
  <c r="AX96" i="13"/>
  <c r="AY96" i="13"/>
  <c r="AZ96" i="13"/>
  <c r="BA96" i="13"/>
  <c r="AS98" i="13"/>
  <c r="AT98" i="13"/>
  <c r="AU98" i="13"/>
  <c r="AV98" i="13"/>
  <c r="AW98" i="13"/>
  <c r="AX98" i="13"/>
  <c r="AY98" i="13"/>
  <c r="AZ98" i="13"/>
  <c r="BA98" i="13"/>
  <c r="AS100" i="13"/>
  <c r="AT100" i="13"/>
  <c r="AU100" i="13"/>
  <c r="AV100" i="13"/>
  <c r="AW100" i="13"/>
  <c r="AX100" i="13"/>
  <c r="AY100" i="13"/>
  <c r="AZ100" i="13"/>
  <c r="BA100" i="13"/>
  <c r="AS102" i="13"/>
  <c r="AT102" i="13"/>
  <c r="AU102" i="13"/>
  <c r="AV102" i="13"/>
  <c r="AW102" i="13"/>
  <c r="AX102" i="13"/>
  <c r="AY102" i="13"/>
  <c r="AZ102" i="13"/>
  <c r="BA102" i="13"/>
  <c r="AS105" i="13"/>
  <c r="AT105" i="13"/>
  <c r="AU105" i="13"/>
  <c r="AV105" i="13"/>
  <c r="AW105" i="13"/>
  <c r="AX105" i="13"/>
  <c r="AY105" i="13"/>
  <c r="AZ105" i="13"/>
  <c r="BA105" i="13"/>
  <c r="AS106" i="13"/>
  <c r="AT106" i="13"/>
  <c r="AU106" i="13"/>
  <c r="AV106" i="13"/>
  <c r="AW106" i="13"/>
  <c r="AX106" i="13"/>
  <c r="AY106" i="13"/>
  <c r="AZ106" i="13"/>
  <c r="BA106" i="13"/>
  <c r="AT75" i="13"/>
  <c r="AU75" i="13"/>
  <c r="AV75" i="13"/>
  <c r="AW75" i="13"/>
  <c r="AX75" i="13"/>
  <c r="AY75" i="13"/>
  <c r="AZ75" i="13"/>
  <c r="BA75" i="13"/>
  <c r="AS75" i="13"/>
  <c r="D288" i="13"/>
  <c r="D289" i="13" s="1"/>
  <c r="E288" i="13"/>
  <c r="E289" i="13" s="1"/>
  <c r="D251" i="13"/>
  <c r="E140" i="13"/>
  <c r="D103" i="13"/>
  <c r="E103" i="13"/>
  <c r="F103" i="13"/>
  <c r="G103" i="13"/>
  <c r="H103" i="13"/>
  <c r="I103" i="13"/>
  <c r="J103" i="13"/>
  <c r="K103" i="13"/>
  <c r="C103" i="13"/>
  <c r="C91" i="13"/>
  <c r="C92" i="13" s="1"/>
  <c r="D91" i="13"/>
  <c r="D92" i="13" s="1"/>
  <c r="E91" i="13"/>
  <c r="E92" i="13" s="1"/>
  <c r="F91" i="13"/>
  <c r="F92" i="13" s="1"/>
  <c r="G91" i="13"/>
  <c r="G92" i="13" s="1"/>
  <c r="H91" i="13"/>
  <c r="H92" i="13" s="1"/>
  <c r="C77" i="13"/>
  <c r="D77" i="13"/>
  <c r="E77" i="13"/>
  <c r="F77" i="13"/>
  <c r="F78" i="13" s="1"/>
  <c r="G77" i="13"/>
  <c r="H77" i="13"/>
  <c r="F254" i="13"/>
  <c r="G254" i="13"/>
  <c r="H254" i="13"/>
  <c r="I254" i="13"/>
  <c r="J254" i="13"/>
  <c r="K254" i="13"/>
  <c r="F248" i="13"/>
  <c r="G248" i="13"/>
  <c r="H248" i="13"/>
  <c r="I248" i="13"/>
  <c r="J248" i="13"/>
  <c r="K248" i="13"/>
  <c r="E246" i="13"/>
  <c r="F246" i="13"/>
  <c r="G246" i="13"/>
  <c r="H246" i="13"/>
  <c r="I246" i="13"/>
  <c r="J246" i="13"/>
  <c r="K246" i="13"/>
  <c r="D244" i="13"/>
  <c r="D245" i="13" s="1"/>
  <c r="E244" i="13"/>
  <c r="F244" i="13"/>
  <c r="G244" i="13"/>
  <c r="H244" i="13"/>
  <c r="I244" i="13"/>
  <c r="J244" i="13"/>
  <c r="C240" i="13"/>
  <c r="C241" i="13" s="1"/>
  <c r="D240" i="13"/>
  <c r="D241" i="13" s="1"/>
  <c r="E240" i="13"/>
  <c r="F240" i="13"/>
  <c r="G240" i="13"/>
  <c r="H240" i="13"/>
  <c r="I240" i="13"/>
  <c r="J240" i="13"/>
  <c r="K240" i="13"/>
  <c r="K241" i="13" s="1"/>
  <c r="D236" i="13"/>
  <c r="D237" i="13" s="1"/>
  <c r="E236" i="13"/>
  <c r="F236" i="13"/>
  <c r="G236" i="13"/>
  <c r="H236" i="13"/>
  <c r="I236" i="13"/>
  <c r="K236" i="13"/>
  <c r="F234" i="13"/>
  <c r="G234" i="13"/>
  <c r="H234" i="13"/>
  <c r="I234" i="13"/>
  <c r="J234" i="13"/>
  <c r="K234" i="13"/>
  <c r="C226" i="13"/>
  <c r="C227" i="13" s="1"/>
  <c r="E226" i="13"/>
  <c r="F226" i="13"/>
  <c r="G226" i="13"/>
  <c r="H226" i="13"/>
  <c r="I226" i="13"/>
  <c r="J226" i="13"/>
  <c r="C232" i="13"/>
  <c r="E232" i="13"/>
  <c r="F232" i="13"/>
  <c r="G232" i="13"/>
  <c r="H232" i="13"/>
  <c r="H243" i="13" s="1"/>
  <c r="I232" i="13"/>
  <c r="I243" i="13" s="1"/>
  <c r="J232" i="13"/>
  <c r="K232" i="13"/>
  <c r="D228" i="13"/>
  <c r="D229" i="13" s="1"/>
  <c r="E228" i="13"/>
  <c r="F228" i="13"/>
  <c r="G228" i="13"/>
  <c r="G229" i="13" s="1"/>
  <c r="H228" i="13"/>
  <c r="I228" i="13"/>
  <c r="J228" i="13"/>
  <c r="K228" i="13"/>
  <c r="E222" i="13"/>
  <c r="F222" i="13"/>
  <c r="G222" i="13"/>
  <c r="H222" i="13"/>
  <c r="I222" i="13"/>
  <c r="J222" i="13"/>
  <c r="K222" i="13"/>
  <c r="D180" i="13"/>
  <c r="E180" i="13"/>
  <c r="F180" i="13"/>
  <c r="G180" i="13"/>
  <c r="H180" i="13"/>
  <c r="I180" i="13"/>
  <c r="J180" i="13"/>
  <c r="K180" i="13"/>
  <c r="F174" i="13"/>
  <c r="G174" i="13"/>
  <c r="H174" i="13"/>
  <c r="I174" i="13"/>
  <c r="J174" i="13"/>
  <c r="K174" i="13"/>
  <c r="E172" i="13"/>
  <c r="F172" i="13"/>
  <c r="G172" i="13"/>
  <c r="H172" i="13"/>
  <c r="I172" i="13"/>
  <c r="J172" i="13"/>
  <c r="K172" i="13"/>
  <c r="K173" i="13" s="1"/>
  <c r="D170" i="13"/>
  <c r="E170" i="13"/>
  <c r="F170" i="13"/>
  <c r="G170" i="13"/>
  <c r="H170" i="13"/>
  <c r="I170" i="13"/>
  <c r="J170" i="13"/>
  <c r="K170" i="13"/>
  <c r="K171" i="13" s="1"/>
  <c r="C166" i="13"/>
  <c r="D166" i="13"/>
  <c r="E166" i="13"/>
  <c r="F166" i="13"/>
  <c r="G166" i="13"/>
  <c r="H166" i="13"/>
  <c r="I166" i="13"/>
  <c r="J166" i="13"/>
  <c r="K166" i="13"/>
  <c r="D162" i="13"/>
  <c r="E162" i="13"/>
  <c r="F162" i="13"/>
  <c r="G162" i="13"/>
  <c r="H162" i="13"/>
  <c r="I162" i="13"/>
  <c r="J162" i="13"/>
  <c r="K162" i="13"/>
  <c r="K163" i="13" s="1"/>
  <c r="D160" i="13"/>
  <c r="E160" i="13"/>
  <c r="F160" i="13"/>
  <c r="G160" i="13"/>
  <c r="H160" i="13"/>
  <c r="I160" i="13"/>
  <c r="J160" i="13"/>
  <c r="K160" i="13"/>
  <c r="C158" i="13"/>
  <c r="D158" i="13"/>
  <c r="E158" i="13"/>
  <c r="F158" i="13"/>
  <c r="F169" i="13" s="1"/>
  <c r="G158" i="13"/>
  <c r="H158" i="13"/>
  <c r="I158" i="13"/>
  <c r="J158" i="13"/>
  <c r="K158" i="13"/>
  <c r="D154" i="13"/>
  <c r="D155" i="13" s="1"/>
  <c r="E154" i="13"/>
  <c r="F154" i="13"/>
  <c r="G154" i="13"/>
  <c r="H154" i="13"/>
  <c r="I154" i="13"/>
  <c r="J154" i="13"/>
  <c r="K154" i="13"/>
  <c r="C152" i="13"/>
  <c r="C153" i="13" s="1"/>
  <c r="D152" i="13"/>
  <c r="D153" i="13" s="1"/>
  <c r="E152" i="13"/>
  <c r="F152" i="13"/>
  <c r="G152" i="13"/>
  <c r="H152" i="13"/>
  <c r="H153" i="13" s="1"/>
  <c r="I152" i="13"/>
  <c r="J152" i="13"/>
  <c r="K152" i="13"/>
  <c r="K153" i="13" s="1"/>
  <c r="E148" i="13"/>
  <c r="F148" i="13"/>
  <c r="G148" i="13"/>
  <c r="H148" i="13"/>
  <c r="I148" i="13"/>
  <c r="J148" i="13"/>
  <c r="K148" i="13"/>
  <c r="F291" i="13"/>
  <c r="G291" i="13"/>
  <c r="H291" i="13"/>
  <c r="I291" i="13"/>
  <c r="J291" i="13"/>
  <c r="K291" i="13"/>
  <c r="F285" i="13"/>
  <c r="G285" i="13"/>
  <c r="H285" i="13"/>
  <c r="I285" i="13"/>
  <c r="J285" i="13"/>
  <c r="K285" i="13"/>
  <c r="F283" i="13"/>
  <c r="G283" i="13"/>
  <c r="G284" i="13" s="1"/>
  <c r="H283" i="13"/>
  <c r="I283" i="13"/>
  <c r="J283" i="13"/>
  <c r="K283" i="13"/>
  <c r="F281" i="13"/>
  <c r="G281" i="13"/>
  <c r="H281" i="13"/>
  <c r="I281" i="13"/>
  <c r="J281" i="13"/>
  <c r="K281" i="13"/>
  <c r="C277" i="13"/>
  <c r="D277" i="13"/>
  <c r="D278" i="13" s="1"/>
  <c r="E277" i="13"/>
  <c r="E278" i="13" s="1"/>
  <c r="F277" i="13"/>
  <c r="G277" i="13"/>
  <c r="H277" i="13"/>
  <c r="H278" i="13" s="1"/>
  <c r="I277" i="13"/>
  <c r="I278" i="13" s="1"/>
  <c r="J277" i="13"/>
  <c r="K277" i="13"/>
  <c r="C273" i="13"/>
  <c r="D273" i="13"/>
  <c r="D274" i="13" s="1"/>
  <c r="F273" i="13"/>
  <c r="G273" i="13"/>
  <c r="H273" i="13"/>
  <c r="H274" i="13" s="1"/>
  <c r="I273" i="13"/>
  <c r="I274" i="13" s="1"/>
  <c r="J273" i="13"/>
  <c r="K273" i="13"/>
  <c r="F271" i="13"/>
  <c r="G271" i="13"/>
  <c r="H271" i="13"/>
  <c r="I271" i="13"/>
  <c r="J271" i="13"/>
  <c r="K271" i="13"/>
  <c r="C269" i="13"/>
  <c r="F269" i="13"/>
  <c r="G269" i="13"/>
  <c r="G280" i="13" s="1"/>
  <c r="H269" i="13"/>
  <c r="H280" i="13" s="1"/>
  <c r="I269" i="13"/>
  <c r="J269" i="13"/>
  <c r="K269" i="13"/>
  <c r="D265" i="13"/>
  <c r="D266" i="13" s="1"/>
  <c r="F265" i="13"/>
  <c r="G265" i="13"/>
  <c r="H265" i="13"/>
  <c r="I265" i="13"/>
  <c r="J265" i="13"/>
  <c r="K265" i="13"/>
  <c r="C263" i="13"/>
  <c r="C264" i="13" s="1"/>
  <c r="F263" i="13"/>
  <c r="G263" i="13"/>
  <c r="H263" i="13"/>
  <c r="I263" i="13"/>
  <c r="J263" i="13"/>
  <c r="K263" i="13"/>
  <c r="E259" i="13"/>
  <c r="F259" i="13"/>
  <c r="G259" i="13"/>
  <c r="H259" i="13"/>
  <c r="I259" i="13"/>
  <c r="J259" i="13"/>
  <c r="K259" i="13"/>
  <c r="C217" i="13"/>
  <c r="D217" i="13"/>
  <c r="E217" i="13"/>
  <c r="F217" i="13"/>
  <c r="G217" i="13"/>
  <c r="H217" i="13"/>
  <c r="I217" i="13"/>
  <c r="J217" i="13"/>
  <c r="K217" i="13"/>
  <c r="F211" i="13"/>
  <c r="G211" i="13"/>
  <c r="H211" i="13"/>
  <c r="I211" i="13"/>
  <c r="J211" i="13"/>
  <c r="K211" i="13"/>
  <c r="D197" i="13"/>
  <c r="E197" i="13"/>
  <c r="F197" i="13"/>
  <c r="G197" i="13"/>
  <c r="H197" i="13"/>
  <c r="I197" i="13"/>
  <c r="J197" i="13"/>
  <c r="K197" i="13"/>
  <c r="C199" i="13"/>
  <c r="D199" i="13"/>
  <c r="E199" i="13"/>
  <c r="F199" i="13"/>
  <c r="F200" i="13" s="1"/>
  <c r="G199" i="13"/>
  <c r="H199" i="13"/>
  <c r="I199" i="13"/>
  <c r="J199" i="13"/>
  <c r="K199" i="13"/>
  <c r="C203" i="13"/>
  <c r="D203" i="13"/>
  <c r="E203" i="13"/>
  <c r="F203" i="13"/>
  <c r="F204" i="13" s="1"/>
  <c r="G203" i="13"/>
  <c r="H203" i="13"/>
  <c r="I203" i="13"/>
  <c r="J203" i="13"/>
  <c r="K203" i="13"/>
  <c r="C207" i="13"/>
  <c r="D207" i="13"/>
  <c r="E207" i="13"/>
  <c r="F207" i="13"/>
  <c r="G207" i="13"/>
  <c r="H207" i="13"/>
  <c r="I207" i="13"/>
  <c r="J207" i="13"/>
  <c r="K207" i="13"/>
  <c r="E209" i="13"/>
  <c r="F209" i="13"/>
  <c r="F210" i="13" s="1"/>
  <c r="G209" i="13"/>
  <c r="H209" i="13"/>
  <c r="I209" i="13"/>
  <c r="J209" i="13"/>
  <c r="K209" i="13"/>
  <c r="C195" i="13"/>
  <c r="D195" i="13"/>
  <c r="E195" i="13"/>
  <c r="F195" i="13"/>
  <c r="G195" i="13"/>
  <c r="H195" i="13"/>
  <c r="H206" i="13" s="1"/>
  <c r="I195" i="13"/>
  <c r="I206" i="13" s="1"/>
  <c r="J195" i="13"/>
  <c r="K195" i="13"/>
  <c r="C191" i="13"/>
  <c r="C192" i="13" s="1"/>
  <c r="D191" i="13"/>
  <c r="D192" i="13" s="1"/>
  <c r="E191" i="13"/>
  <c r="F191" i="13"/>
  <c r="F192" i="13" s="1"/>
  <c r="G191" i="13"/>
  <c r="H191" i="13"/>
  <c r="I191" i="13"/>
  <c r="J191" i="13"/>
  <c r="K191" i="13"/>
  <c r="C189" i="13"/>
  <c r="C190" i="13" s="1"/>
  <c r="D189" i="13"/>
  <c r="D190" i="13" s="1"/>
  <c r="E189" i="13"/>
  <c r="F189" i="13"/>
  <c r="F190" i="13" s="1"/>
  <c r="G189" i="13"/>
  <c r="H189" i="13"/>
  <c r="I189" i="13"/>
  <c r="J189" i="13"/>
  <c r="J190" i="13" s="1"/>
  <c r="K189" i="13"/>
  <c r="C185" i="13"/>
  <c r="E185" i="13"/>
  <c r="G185" i="13"/>
  <c r="H185" i="13"/>
  <c r="I185" i="13"/>
  <c r="J185" i="13"/>
  <c r="K185" i="13"/>
  <c r="C143" i="13"/>
  <c r="F143" i="13"/>
  <c r="G143" i="13"/>
  <c r="H143" i="13"/>
  <c r="I143" i="13"/>
  <c r="J143" i="13"/>
  <c r="K143" i="13"/>
  <c r="F137" i="13"/>
  <c r="G137" i="13"/>
  <c r="H137" i="13"/>
  <c r="I137" i="13"/>
  <c r="J137" i="13"/>
  <c r="K137" i="13"/>
  <c r="E135" i="13"/>
  <c r="E136" i="13" s="1"/>
  <c r="F135" i="13"/>
  <c r="G135" i="13"/>
  <c r="H135" i="13"/>
  <c r="I135" i="13"/>
  <c r="J135" i="13"/>
  <c r="K135" i="13"/>
  <c r="C133" i="13"/>
  <c r="D133" i="13"/>
  <c r="E133" i="13"/>
  <c r="E134" i="13" s="1"/>
  <c r="F133" i="13"/>
  <c r="G133" i="13"/>
  <c r="H133" i="13"/>
  <c r="I133" i="13"/>
  <c r="J133" i="13"/>
  <c r="K133" i="13"/>
  <c r="C129" i="13"/>
  <c r="F129" i="13"/>
  <c r="G129" i="13"/>
  <c r="H129" i="13"/>
  <c r="I129" i="13"/>
  <c r="J129" i="13"/>
  <c r="K129" i="13"/>
  <c r="C125" i="13"/>
  <c r="D125" i="13"/>
  <c r="E125" i="13"/>
  <c r="E126" i="13" s="1"/>
  <c r="F125" i="13"/>
  <c r="G125" i="13"/>
  <c r="H125" i="13"/>
  <c r="I125" i="13"/>
  <c r="J125" i="13"/>
  <c r="K125" i="13"/>
  <c r="C123" i="13"/>
  <c r="F123" i="13"/>
  <c r="G123" i="13"/>
  <c r="H123" i="13"/>
  <c r="I123" i="13"/>
  <c r="J123" i="13"/>
  <c r="K123" i="13"/>
  <c r="C121" i="13"/>
  <c r="D121" i="13"/>
  <c r="F121" i="13"/>
  <c r="G121" i="13"/>
  <c r="H121" i="13"/>
  <c r="I121" i="13"/>
  <c r="J121" i="13"/>
  <c r="K121" i="13"/>
  <c r="K132" i="13" s="1"/>
  <c r="C117" i="13"/>
  <c r="D117" i="13"/>
  <c r="D118" i="13" s="1"/>
  <c r="E117" i="13"/>
  <c r="F117" i="13"/>
  <c r="G117" i="13"/>
  <c r="H117" i="13"/>
  <c r="I117" i="13"/>
  <c r="J117" i="13"/>
  <c r="K117" i="13"/>
  <c r="C115" i="13"/>
  <c r="D115" i="13"/>
  <c r="D116" i="13" s="1"/>
  <c r="E115" i="13"/>
  <c r="F115" i="13"/>
  <c r="G115" i="13"/>
  <c r="H115" i="13"/>
  <c r="I115" i="13"/>
  <c r="J115" i="13"/>
  <c r="K115" i="13"/>
  <c r="C111" i="13"/>
  <c r="E111" i="13"/>
  <c r="E114" i="13" s="1"/>
  <c r="F111" i="13"/>
  <c r="G111" i="13"/>
  <c r="H111" i="13"/>
  <c r="I111" i="13"/>
  <c r="J111" i="13"/>
  <c r="K111" i="13"/>
  <c r="K105" i="10"/>
  <c r="J105" i="10"/>
  <c r="J91" i="13"/>
  <c r="J92" i="13" s="1"/>
  <c r="K91" i="13"/>
  <c r="K92" i="13" s="1"/>
  <c r="I91" i="13"/>
  <c r="I92" i="13" s="1"/>
  <c r="J77" i="13"/>
  <c r="K77" i="13"/>
  <c r="I77" i="13"/>
  <c r="K190" i="13" l="1"/>
  <c r="G200" i="13"/>
  <c r="H212" i="13"/>
  <c r="F264" i="13"/>
  <c r="J282" i="13"/>
  <c r="H284" i="13"/>
  <c r="F286" i="13"/>
  <c r="I153" i="13"/>
  <c r="K167" i="13"/>
  <c r="C167" i="13"/>
  <c r="D171" i="13"/>
  <c r="K175" i="13"/>
  <c r="G227" i="13"/>
  <c r="G190" i="13"/>
  <c r="J264" i="13"/>
  <c r="D7" i="13"/>
  <c r="Y7" i="13" s="1"/>
  <c r="G212" i="13"/>
  <c r="I282" i="13"/>
  <c r="F227" i="13"/>
  <c r="J249" i="13"/>
  <c r="J210" i="13"/>
  <c r="J204" i="13"/>
  <c r="I266" i="13"/>
  <c r="E153" i="13"/>
  <c r="I190" i="13"/>
  <c r="G274" i="13"/>
  <c r="G153" i="13"/>
  <c r="F229" i="13"/>
  <c r="M259" i="13"/>
  <c r="N259" i="13" s="1"/>
  <c r="O259" i="13" s="1"/>
  <c r="F282" i="13"/>
  <c r="G163" i="13"/>
  <c r="G167" i="13"/>
  <c r="L259" i="13"/>
  <c r="K227" i="13"/>
  <c r="H229" i="13"/>
  <c r="K249" i="13"/>
  <c r="K247" i="13"/>
  <c r="G278" i="13"/>
  <c r="K237" i="13"/>
  <c r="G175" i="13"/>
  <c r="F212" i="13"/>
  <c r="F284" i="13"/>
  <c r="J241" i="13"/>
  <c r="J245" i="13"/>
  <c r="J247" i="13"/>
  <c r="I249" i="13"/>
  <c r="K266" i="13"/>
  <c r="H282" i="13"/>
  <c r="E227" i="13"/>
  <c r="K192" i="13"/>
  <c r="E210" i="13"/>
  <c r="BA269" i="13"/>
  <c r="K280" i="13"/>
  <c r="AY158" i="13"/>
  <c r="I169" i="13"/>
  <c r="K208" i="13"/>
  <c r="AZ269" i="13"/>
  <c r="J280" i="13"/>
  <c r="H155" i="13"/>
  <c r="I167" i="13"/>
  <c r="H190" i="13"/>
  <c r="I192" i="13"/>
  <c r="AZ195" i="13"/>
  <c r="J206" i="13"/>
  <c r="K210" i="13"/>
  <c r="J208" i="13"/>
  <c r="K204" i="13"/>
  <c r="C204" i="13"/>
  <c r="D200" i="13"/>
  <c r="K264" i="13"/>
  <c r="J266" i="13"/>
  <c r="AY269" i="13"/>
  <c r="I280" i="13"/>
  <c r="F274" i="13"/>
  <c r="F278" i="13"/>
  <c r="G282" i="13"/>
  <c r="K286" i="13"/>
  <c r="F153" i="13"/>
  <c r="G155" i="13"/>
  <c r="AW158" i="13"/>
  <c r="G169" i="13"/>
  <c r="H163" i="13"/>
  <c r="H167" i="13"/>
  <c r="I171" i="13"/>
  <c r="I173" i="13"/>
  <c r="H175" i="13"/>
  <c r="E229" i="13"/>
  <c r="E249" i="13"/>
  <c r="E243" i="13"/>
  <c r="I237" i="13"/>
  <c r="I241" i="13"/>
  <c r="I245" i="13"/>
  <c r="I247" i="13"/>
  <c r="H249" i="13"/>
  <c r="J163" i="13"/>
  <c r="AZ158" i="13"/>
  <c r="J169" i="13"/>
  <c r="J175" i="13"/>
  <c r="D204" i="13"/>
  <c r="I175" i="13"/>
  <c r="K200" i="13"/>
  <c r="J286" i="13"/>
  <c r="F155" i="13"/>
  <c r="H245" i="13"/>
  <c r="G192" i="13"/>
  <c r="I210" i="13"/>
  <c r="H208" i="13"/>
  <c r="I204" i="13"/>
  <c r="J200" i="13"/>
  <c r="K212" i="13"/>
  <c r="I264" i="13"/>
  <c r="H266" i="13"/>
  <c r="C274" i="13"/>
  <c r="K284" i="13"/>
  <c r="I286" i="13"/>
  <c r="E155" i="13"/>
  <c r="E177" i="13"/>
  <c r="E181" i="13" s="1"/>
  <c r="E169" i="13"/>
  <c r="E175" i="13"/>
  <c r="F163" i="13"/>
  <c r="F167" i="13"/>
  <c r="G171" i="13"/>
  <c r="G173" i="13"/>
  <c r="F175" i="13"/>
  <c r="K229" i="13"/>
  <c r="K239" i="13"/>
  <c r="K245" i="13"/>
  <c r="K243" i="13"/>
  <c r="J227" i="13"/>
  <c r="G237" i="13"/>
  <c r="G241" i="13"/>
  <c r="G245" i="13"/>
  <c r="G247" i="13"/>
  <c r="F249" i="13"/>
  <c r="E214" i="13"/>
  <c r="E215" i="13" s="1"/>
  <c r="E206" i="13"/>
  <c r="E212" i="13"/>
  <c r="E208" i="13"/>
  <c r="J155" i="13"/>
  <c r="E204" i="13"/>
  <c r="J167" i="13"/>
  <c r="AW232" i="13"/>
  <c r="G243" i="13"/>
  <c r="BA195" i="13"/>
  <c r="K206" i="13"/>
  <c r="C208" i="13"/>
  <c r="E266" i="13"/>
  <c r="E264" i="13"/>
  <c r="AX158" i="13"/>
  <c r="H169" i="13"/>
  <c r="J171" i="13"/>
  <c r="H192" i="13"/>
  <c r="I208" i="13"/>
  <c r="H171" i="13"/>
  <c r="C237" i="13"/>
  <c r="C249" i="13"/>
  <c r="C247" i="13"/>
  <c r="C245" i="13"/>
  <c r="C243" i="13"/>
  <c r="H241" i="13"/>
  <c r="H247" i="13"/>
  <c r="E190" i="13"/>
  <c r="AW195" i="13"/>
  <c r="G206" i="13"/>
  <c r="H210" i="13"/>
  <c r="G208" i="13"/>
  <c r="H204" i="13"/>
  <c r="I200" i="13"/>
  <c r="J212" i="13"/>
  <c r="H264" i="13"/>
  <c r="G266" i="13"/>
  <c r="AV269" i="13"/>
  <c r="F280" i="13"/>
  <c r="K274" i="13"/>
  <c r="K278" i="13"/>
  <c r="C278" i="13"/>
  <c r="J284" i="13"/>
  <c r="H286" i="13"/>
  <c r="AT158" i="13"/>
  <c r="D175" i="13"/>
  <c r="D169" i="13"/>
  <c r="D173" i="13"/>
  <c r="E163" i="13"/>
  <c r="E167" i="13"/>
  <c r="F171" i="13"/>
  <c r="F173" i="13"/>
  <c r="J229" i="13"/>
  <c r="J243" i="13"/>
  <c r="J237" i="13"/>
  <c r="I227" i="13"/>
  <c r="F237" i="13"/>
  <c r="F241" i="13"/>
  <c r="F245" i="13"/>
  <c r="F247" i="13"/>
  <c r="D214" i="13"/>
  <c r="D215" i="13" s="1"/>
  <c r="D212" i="13"/>
  <c r="D206" i="13"/>
  <c r="D210" i="13"/>
  <c r="D208" i="13"/>
  <c r="I155" i="13"/>
  <c r="J192" i="13"/>
  <c r="C212" i="13"/>
  <c r="C210" i="13"/>
  <c r="C206" i="13"/>
  <c r="E200" i="13"/>
  <c r="I163" i="13"/>
  <c r="J173" i="13"/>
  <c r="AV232" i="13"/>
  <c r="F243" i="13"/>
  <c r="C200" i="13"/>
  <c r="H173" i="13"/>
  <c r="H237" i="13"/>
  <c r="G249" i="13"/>
  <c r="E192" i="13"/>
  <c r="AV195" i="13"/>
  <c r="F206" i="13"/>
  <c r="G210" i="13"/>
  <c r="F208" i="13"/>
  <c r="G204" i="13"/>
  <c r="H200" i="13"/>
  <c r="I212" i="13"/>
  <c r="G264" i="13"/>
  <c r="F266" i="13"/>
  <c r="C286" i="13"/>
  <c r="C284" i="13"/>
  <c r="C282" i="13"/>
  <c r="C280" i="13"/>
  <c r="J274" i="13"/>
  <c r="J278" i="13"/>
  <c r="K282" i="13"/>
  <c r="I284" i="13"/>
  <c r="G286" i="13"/>
  <c r="J153" i="13"/>
  <c r="K155" i="13"/>
  <c r="BA158" i="13"/>
  <c r="K169" i="13"/>
  <c r="C163" i="13"/>
  <c r="C175" i="13"/>
  <c r="C173" i="13"/>
  <c r="C169" i="13"/>
  <c r="C171" i="13"/>
  <c r="D163" i="13"/>
  <c r="D167" i="13"/>
  <c r="E171" i="13"/>
  <c r="E173" i="13"/>
  <c r="I229" i="13"/>
  <c r="H227" i="13"/>
  <c r="E237" i="13"/>
  <c r="E241" i="13"/>
  <c r="E245" i="13"/>
  <c r="E247" i="13"/>
  <c r="D255" i="13"/>
  <c r="D252" i="13"/>
  <c r="D218" i="13"/>
  <c r="E218" i="13"/>
  <c r="F116" i="13"/>
  <c r="G118" i="13"/>
  <c r="AX121" i="13"/>
  <c r="H132" i="13"/>
  <c r="G126" i="13"/>
  <c r="H130" i="13"/>
  <c r="G134" i="13"/>
  <c r="H136" i="13"/>
  <c r="G138" i="13"/>
  <c r="E116" i="13"/>
  <c r="F118" i="13"/>
  <c r="AW121" i="13"/>
  <c r="G132" i="13"/>
  <c r="F126" i="13"/>
  <c r="G130" i="13"/>
  <c r="F134" i="13"/>
  <c r="G136" i="13"/>
  <c r="F138" i="13"/>
  <c r="E141" i="13"/>
  <c r="E144" i="13"/>
  <c r="E118" i="13"/>
  <c r="AV121" i="13"/>
  <c r="F132" i="13"/>
  <c r="F130" i="13"/>
  <c r="F136" i="13"/>
  <c r="K116" i="13"/>
  <c r="C116" i="13"/>
  <c r="D138" i="13"/>
  <c r="D136" i="13"/>
  <c r="D132" i="13"/>
  <c r="D130" i="13"/>
  <c r="D126" i="13"/>
  <c r="C130" i="13"/>
  <c r="D134" i="13"/>
  <c r="J116" i="13"/>
  <c r="K118" i="13"/>
  <c r="C118" i="13"/>
  <c r="C138" i="13"/>
  <c r="C136" i="13"/>
  <c r="C132" i="13"/>
  <c r="K126" i="13"/>
  <c r="C126" i="13"/>
  <c r="K134" i="13"/>
  <c r="C134" i="13"/>
  <c r="K138" i="13"/>
  <c r="I116" i="13"/>
  <c r="J118" i="13"/>
  <c r="J126" i="13"/>
  <c r="K130" i="13"/>
  <c r="J134" i="13"/>
  <c r="K136" i="13"/>
  <c r="J138" i="13"/>
  <c r="H116" i="13"/>
  <c r="I118" i="13"/>
  <c r="AZ121" i="13"/>
  <c r="J132" i="13"/>
  <c r="I126" i="13"/>
  <c r="J130" i="13"/>
  <c r="I134" i="13"/>
  <c r="J136" i="13"/>
  <c r="I138" i="13"/>
  <c r="G116" i="13"/>
  <c r="H118" i="13"/>
  <c r="AY121" i="13"/>
  <c r="I132" i="13"/>
  <c r="H126" i="13"/>
  <c r="I130" i="13"/>
  <c r="H134" i="13"/>
  <c r="I136" i="13"/>
  <c r="H138" i="13"/>
  <c r="BA291" i="13"/>
  <c r="AZ291" i="13"/>
  <c r="AY291" i="13"/>
  <c r="AX291" i="13"/>
  <c r="AW291" i="13"/>
  <c r="AV291" i="13"/>
  <c r="D292" i="13"/>
  <c r="D293" i="13" s="1"/>
  <c r="AV285" i="13"/>
  <c r="BA285" i="13"/>
  <c r="AZ285" i="13"/>
  <c r="AY285" i="13"/>
  <c r="AX285" i="13"/>
  <c r="AW285" i="13"/>
  <c r="AW283" i="13"/>
  <c r="AV283" i="13"/>
  <c r="AX283" i="13"/>
  <c r="BA283" i="13"/>
  <c r="AZ283" i="13"/>
  <c r="AY283" i="13"/>
  <c r="AY281" i="13"/>
  <c r="AX281" i="13"/>
  <c r="AW281" i="13"/>
  <c r="AZ281" i="13"/>
  <c r="AV281" i="13"/>
  <c r="BA281" i="13"/>
  <c r="BA277" i="13"/>
  <c r="AX277" i="13"/>
  <c r="AW277" i="13"/>
  <c r="AY277" i="13"/>
  <c r="AV277" i="13"/>
  <c r="AS277" i="13"/>
  <c r="AU277" i="13"/>
  <c r="AT277" i="13"/>
  <c r="AZ277" i="13"/>
  <c r="AY273" i="13"/>
  <c r="AX273" i="13"/>
  <c r="AW273" i="13"/>
  <c r="AV273" i="13"/>
  <c r="AT273" i="13"/>
  <c r="AS273" i="13"/>
  <c r="BA273" i="13"/>
  <c r="AZ273" i="13"/>
  <c r="BA271" i="13"/>
  <c r="K272" i="13"/>
  <c r="AZ271" i="13"/>
  <c r="J272" i="13"/>
  <c r="AY271" i="13"/>
  <c r="I272" i="13"/>
  <c r="AX271" i="13"/>
  <c r="H272" i="13"/>
  <c r="AW271" i="13"/>
  <c r="G272" i="13"/>
  <c r="AV271" i="13"/>
  <c r="F272" i="13"/>
  <c r="AS269" i="13"/>
  <c r="C272" i="13"/>
  <c r="AY254" i="13"/>
  <c r="AX254" i="13"/>
  <c r="AV254" i="13"/>
  <c r="BA254" i="13"/>
  <c r="AW254" i="13"/>
  <c r="AZ254" i="13"/>
  <c r="BA248" i="13"/>
  <c r="AZ248" i="13"/>
  <c r="AY248" i="13"/>
  <c r="AX248" i="13"/>
  <c r="AW248" i="13"/>
  <c r="BA246" i="13"/>
  <c r="AY246" i="13"/>
  <c r="AX246" i="13"/>
  <c r="AW246" i="13"/>
  <c r="AV246" i="13"/>
  <c r="AZ246" i="13"/>
  <c r="AU246" i="13"/>
  <c r="AT244" i="13"/>
  <c r="AZ244" i="13"/>
  <c r="AY244" i="13"/>
  <c r="AX244" i="13"/>
  <c r="AW244" i="13"/>
  <c r="AV244" i="13"/>
  <c r="AU244" i="13"/>
  <c r="AT240" i="13"/>
  <c r="BA240" i="13"/>
  <c r="AS240" i="13"/>
  <c r="AZ240" i="13"/>
  <c r="AY240" i="13"/>
  <c r="AX240" i="13"/>
  <c r="AW240" i="13"/>
  <c r="AV240" i="13"/>
  <c r="AU240" i="13"/>
  <c r="BA236" i="13"/>
  <c r="AT236" i="13"/>
  <c r="AY236" i="13"/>
  <c r="AX236" i="13"/>
  <c r="AW236" i="13"/>
  <c r="AV236" i="13"/>
  <c r="AU236" i="13"/>
  <c r="AW234" i="13"/>
  <c r="G235" i="13"/>
  <c r="AV234" i="13"/>
  <c r="F235" i="13"/>
  <c r="AU232" i="13"/>
  <c r="E235" i="13"/>
  <c r="AS232" i="13"/>
  <c r="C235" i="13"/>
  <c r="BA234" i="13"/>
  <c r="K235" i="13"/>
  <c r="AZ234" i="13"/>
  <c r="J235" i="13"/>
  <c r="AY234" i="13"/>
  <c r="I235" i="13"/>
  <c r="AX234" i="13"/>
  <c r="H235" i="13"/>
  <c r="BA217" i="13"/>
  <c r="AS217" i="13"/>
  <c r="AZ217" i="13"/>
  <c r="AY217" i="13"/>
  <c r="AV217" i="13"/>
  <c r="AU217" i="13"/>
  <c r="AX217" i="13"/>
  <c r="AT217" i="13"/>
  <c r="AW217" i="13"/>
  <c r="AX211" i="13"/>
  <c r="AW211" i="13"/>
  <c r="AV211" i="13"/>
  <c r="BA211" i="13"/>
  <c r="AZ211" i="13"/>
  <c r="AY211" i="13"/>
  <c r="AU209" i="13"/>
  <c r="AV209" i="13"/>
  <c r="BA209" i="13"/>
  <c r="AZ209" i="13"/>
  <c r="AY209" i="13"/>
  <c r="AX209" i="13"/>
  <c r="AW209" i="13"/>
  <c r="AT207" i="13"/>
  <c r="AS207" i="13"/>
  <c r="AZ207" i="13"/>
  <c r="AY207" i="13"/>
  <c r="BA207" i="13"/>
  <c r="AX207" i="13"/>
  <c r="AU207" i="13"/>
  <c r="AW207" i="13"/>
  <c r="AV207" i="13"/>
  <c r="AU203" i="13"/>
  <c r="AT203" i="13"/>
  <c r="BA203" i="13"/>
  <c r="AS203" i="13"/>
  <c r="AZ203" i="13"/>
  <c r="AV203" i="13"/>
  <c r="AY203" i="13"/>
  <c r="AX203" i="13"/>
  <c r="AW203" i="13"/>
  <c r="AV199" i="13"/>
  <c r="AU199" i="13"/>
  <c r="AT199" i="13"/>
  <c r="BA199" i="13"/>
  <c r="AZ199" i="13"/>
  <c r="AW199" i="13"/>
  <c r="AS199" i="13"/>
  <c r="AY199" i="13"/>
  <c r="AX199" i="13"/>
  <c r="AX197" i="13"/>
  <c r="H198" i="13"/>
  <c r="AW197" i="13"/>
  <c r="G198" i="13"/>
  <c r="AS195" i="13"/>
  <c r="C198" i="13"/>
  <c r="AV197" i="13"/>
  <c r="F198" i="13"/>
  <c r="AU197" i="13"/>
  <c r="E198" i="13"/>
  <c r="AT197" i="13"/>
  <c r="D198" i="13"/>
  <c r="BA197" i="13"/>
  <c r="K198" i="13"/>
  <c r="AZ197" i="13"/>
  <c r="J198" i="13"/>
  <c r="AY197" i="13"/>
  <c r="I198" i="13"/>
  <c r="AY180" i="13"/>
  <c r="AX180" i="13"/>
  <c r="AW180" i="13"/>
  <c r="AV180" i="13"/>
  <c r="AU180" i="13"/>
  <c r="AT180" i="13"/>
  <c r="BA180" i="13"/>
  <c r="AZ180" i="13"/>
  <c r="AZ174" i="13"/>
  <c r="AY174" i="13"/>
  <c r="BA174" i="13"/>
  <c r="BA172" i="13"/>
  <c r="AZ172" i="13"/>
  <c r="AY172" i="13"/>
  <c r="AX172" i="13"/>
  <c r="AW172" i="13"/>
  <c r="AV172" i="13"/>
  <c r="AU172" i="13"/>
  <c r="BA170" i="13"/>
  <c r="AZ170" i="13"/>
  <c r="AY170" i="13"/>
  <c r="AT170" i="13"/>
  <c r="AX170" i="13"/>
  <c r="AW170" i="13"/>
  <c r="AV170" i="13"/>
  <c r="AU170" i="13"/>
  <c r="C164" i="13"/>
  <c r="C165" i="13" s="1"/>
  <c r="BA166" i="13"/>
  <c r="AZ166" i="13"/>
  <c r="AX166" i="13"/>
  <c r="AY166" i="13"/>
  <c r="AW166" i="13"/>
  <c r="AV166" i="13"/>
  <c r="AU166" i="13"/>
  <c r="AT166" i="13"/>
  <c r="AZ162" i="13"/>
  <c r="AY162" i="13"/>
  <c r="BA162" i="13"/>
  <c r="AX162" i="13"/>
  <c r="AW162" i="13"/>
  <c r="AV162" i="13"/>
  <c r="AU162" i="13"/>
  <c r="AT162" i="13"/>
  <c r="BA160" i="13"/>
  <c r="K161" i="13"/>
  <c r="AZ160" i="13"/>
  <c r="J161" i="13"/>
  <c r="AY160" i="13"/>
  <c r="I161" i="13"/>
  <c r="AX160" i="13"/>
  <c r="H161" i="13"/>
  <c r="AW160" i="13"/>
  <c r="G161" i="13"/>
  <c r="AV160" i="13"/>
  <c r="F161" i="13"/>
  <c r="AU160" i="13"/>
  <c r="E161" i="13"/>
  <c r="C177" i="13"/>
  <c r="C161" i="13"/>
  <c r="AT160" i="13"/>
  <c r="D161" i="13"/>
  <c r="BA143" i="13"/>
  <c r="AS143" i="13"/>
  <c r="AX143" i="13"/>
  <c r="AW143" i="13"/>
  <c r="AY143" i="13"/>
  <c r="AV143" i="13"/>
  <c r="AV137" i="13"/>
  <c r="AW137" i="13"/>
  <c r="BA137" i="13"/>
  <c r="AZ137" i="13"/>
  <c r="AY137" i="13"/>
  <c r="AX137" i="13"/>
  <c r="AW135" i="13"/>
  <c r="BA135" i="13"/>
  <c r="AV135" i="13"/>
  <c r="AX135" i="13"/>
  <c r="AU135" i="13"/>
  <c r="AZ135" i="13"/>
  <c r="AY135" i="13"/>
  <c r="AV133" i="13"/>
  <c r="AU133" i="13"/>
  <c r="AT133" i="13"/>
  <c r="BA133" i="13"/>
  <c r="AS133" i="13"/>
  <c r="AZ133" i="13"/>
  <c r="AW133" i="13"/>
  <c r="AY133" i="13"/>
  <c r="AX133" i="13"/>
  <c r="AW129" i="13"/>
  <c r="AS129" i="13"/>
  <c r="AX129" i="13"/>
  <c r="AV129" i="13"/>
  <c r="BA129" i="13"/>
  <c r="AZ129" i="13"/>
  <c r="AY129" i="13"/>
  <c r="AV125" i="13"/>
  <c r="AW125" i="13"/>
  <c r="AT125" i="13"/>
  <c r="BA125" i="13"/>
  <c r="AS125" i="13"/>
  <c r="AU125" i="13"/>
  <c r="AZ125" i="13"/>
  <c r="AY125" i="13"/>
  <c r="AX125" i="13"/>
  <c r="AX123" i="13"/>
  <c r="H124" i="13"/>
  <c r="AW123" i="13"/>
  <c r="G124" i="13"/>
  <c r="AV123" i="13"/>
  <c r="F124" i="13"/>
  <c r="AT121" i="13"/>
  <c r="D124" i="13"/>
  <c r="AS123" i="13"/>
  <c r="C124" i="13"/>
  <c r="BA123" i="13"/>
  <c r="K124" i="13"/>
  <c r="AZ123" i="13"/>
  <c r="J124" i="13"/>
  <c r="AY123" i="13"/>
  <c r="I124" i="13"/>
  <c r="BA265" i="13"/>
  <c r="AT265" i="13"/>
  <c r="AZ265" i="13"/>
  <c r="AY265" i="13"/>
  <c r="AX265" i="13"/>
  <c r="AW265" i="13"/>
  <c r="AV265" i="13"/>
  <c r="AS263" i="13"/>
  <c r="BA263" i="13"/>
  <c r="AZ263" i="13"/>
  <c r="AY263" i="13"/>
  <c r="AV263" i="13"/>
  <c r="AX263" i="13"/>
  <c r="AW263" i="13"/>
  <c r="AW228" i="13"/>
  <c r="AX228" i="13"/>
  <c r="AV228" i="13"/>
  <c r="AU228" i="13"/>
  <c r="AT228" i="13"/>
  <c r="BA228" i="13"/>
  <c r="AZ228" i="13"/>
  <c r="AY228" i="13"/>
  <c r="AW226" i="13"/>
  <c r="AV226" i="13"/>
  <c r="AS226" i="13"/>
  <c r="AU226" i="13"/>
  <c r="AZ226" i="13"/>
  <c r="AY226" i="13"/>
  <c r="AX226" i="13"/>
  <c r="BA191" i="13"/>
  <c r="AS191" i="13"/>
  <c r="AY191" i="13"/>
  <c r="AX191" i="13"/>
  <c r="AZ191" i="13"/>
  <c r="AW191" i="13"/>
  <c r="AT191" i="13"/>
  <c r="AV191" i="13"/>
  <c r="AU191" i="13"/>
  <c r="AZ189" i="13"/>
  <c r="BA189" i="13"/>
  <c r="AY189" i="13"/>
  <c r="AX189" i="13"/>
  <c r="AS189" i="13"/>
  <c r="AW189" i="13"/>
  <c r="AV189" i="13"/>
  <c r="AU189" i="13"/>
  <c r="AT189" i="13"/>
  <c r="AZ154" i="13"/>
  <c r="AY154" i="13"/>
  <c r="AW154" i="13"/>
  <c r="AV154" i="13"/>
  <c r="AU154" i="13"/>
  <c r="AT154" i="13"/>
  <c r="AX154" i="13"/>
  <c r="BA154" i="13"/>
  <c r="AX152" i="13"/>
  <c r="AV152" i="13"/>
  <c r="AU152" i="13"/>
  <c r="AY152" i="13"/>
  <c r="AT152" i="13"/>
  <c r="BA152" i="13"/>
  <c r="AS152" i="13"/>
  <c r="AW152" i="13"/>
  <c r="AZ152" i="13"/>
  <c r="AW117" i="13"/>
  <c r="AV117" i="13"/>
  <c r="AU117" i="13"/>
  <c r="AT117" i="13"/>
  <c r="BA117" i="13"/>
  <c r="AS117" i="13"/>
  <c r="AZ117" i="13"/>
  <c r="AY117" i="13"/>
  <c r="AX117" i="13"/>
  <c r="AV115" i="13"/>
  <c r="AW115" i="13"/>
  <c r="AU115" i="13"/>
  <c r="AZ115" i="13"/>
  <c r="AT115" i="13"/>
  <c r="BA115" i="13"/>
  <c r="AY115" i="13"/>
  <c r="AX115" i="13"/>
  <c r="AW259" i="13"/>
  <c r="G260" i="13"/>
  <c r="AV259" i="13"/>
  <c r="F260" i="13"/>
  <c r="AU259" i="13"/>
  <c r="E260" i="13"/>
  <c r="BA259" i="13"/>
  <c r="K260" i="13"/>
  <c r="AZ259" i="13"/>
  <c r="J260" i="13"/>
  <c r="AY259" i="13"/>
  <c r="I260" i="13"/>
  <c r="AX259" i="13"/>
  <c r="H260" i="13"/>
  <c r="AY222" i="13"/>
  <c r="I223" i="13"/>
  <c r="AX222" i="13"/>
  <c r="H223" i="13"/>
  <c r="AW222" i="13"/>
  <c r="G223" i="13"/>
  <c r="AV222" i="13"/>
  <c r="F223" i="13"/>
  <c r="AU222" i="13"/>
  <c r="E223" i="13"/>
  <c r="BA222" i="13"/>
  <c r="K223" i="13"/>
  <c r="AZ222" i="13"/>
  <c r="J223" i="13"/>
  <c r="BA185" i="13"/>
  <c r="K186" i="13"/>
  <c r="AZ185" i="13"/>
  <c r="J186" i="13"/>
  <c r="K112" i="13"/>
  <c r="AY185" i="13"/>
  <c r="I186" i="13"/>
  <c r="AX185" i="13"/>
  <c r="H186" i="13"/>
  <c r="AW185" i="13"/>
  <c r="G186" i="13"/>
  <c r="AU185" i="13"/>
  <c r="F186" i="13"/>
  <c r="E186" i="13"/>
  <c r="AS185" i="13"/>
  <c r="D186" i="13"/>
  <c r="AZ148" i="13"/>
  <c r="J149" i="13"/>
  <c r="AY148" i="13"/>
  <c r="I149" i="13"/>
  <c r="AX148" i="13"/>
  <c r="H149" i="13"/>
  <c r="AW148" i="13"/>
  <c r="G149" i="13"/>
  <c r="AV148" i="13"/>
  <c r="F149" i="13"/>
  <c r="AU148" i="13"/>
  <c r="E149" i="13"/>
  <c r="BA148" i="13"/>
  <c r="K149" i="13"/>
  <c r="AV111" i="13"/>
  <c r="F112" i="13"/>
  <c r="C104" i="13"/>
  <c r="C107" i="13"/>
  <c r="D104" i="13"/>
  <c r="D107" i="13"/>
  <c r="AU111" i="13"/>
  <c r="E112" i="13"/>
  <c r="K104" i="13"/>
  <c r="K107" i="13"/>
  <c r="AS111" i="13"/>
  <c r="D112" i="13"/>
  <c r="J104" i="13"/>
  <c r="J107" i="13"/>
  <c r="I104" i="13"/>
  <c r="I107" i="13"/>
  <c r="AZ111" i="13"/>
  <c r="J112" i="13"/>
  <c r="H104" i="13"/>
  <c r="H107" i="13"/>
  <c r="AY111" i="13"/>
  <c r="I112" i="13"/>
  <c r="G104" i="13"/>
  <c r="G107" i="13"/>
  <c r="AX111" i="13"/>
  <c r="H112" i="13"/>
  <c r="F104" i="13"/>
  <c r="F107" i="13"/>
  <c r="AW111" i="13"/>
  <c r="G112" i="13"/>
  <c r="E104" i="13"/>
  <c r="E107" i="13"/>
  <c r="C108" i="13"/>
  <c r="C109" i="13" s="1"/>
  <c r="D108" i="13"/>
  <c r="D109" i="13" s="1"/>
  <c r="K108" i="13"/>
  <c r="K109" i="13" s="1"/>
  <c r="I108" i="13"/>
  <c r="I109" i="13" s="1"/>
  <c r="H108" i="13"/>
  <c r="H109" i="13" s="1"/>
  <c r="J108" i="13"/>
  <c r="J109" i="13" s="1"/>
  <c r="F108" i="13"/>
  <c r="F109" i="13" s="1"/>
  <c r="E108" i="13"/>
  <c r="E109" i="13" s="1"/>
  <c r="AZ91" i="13"/>
  <c r="AW91" i="13"/>
  <c r="AV91" i="13"/>
  <c r="AU91" i="13"/>
  <c r="AY91" i="13"/>
  <c r="AT91" i="13"/>
  <c r="BA91" i="13"/>
  <c r="AS91" i="13"/>
  <c r="AS77" i="13"/>
  <c r="C78" i="13"/>
  <c r="AY77" i="13"/>
  <c r="I78" i="13"/>
  <c r="AZ77" i="13"/>
  <c r="J78" i="13"/>
  <c r="AW77" i="13"/>
  <c r="G78" i="13"/>
  <c r="AT77" i="13"/>
  <c r="D78" i="13"/>
  <c r="BA77" i="13"/>
  <c r="K78" i="13"/>
  <c r="AX77" i="13"/>
  <c r="H78" i="13"/>
  <c r="AU77" i="13"/>
  <c r="E78" i="13"/>
  <c r="AT19" i="13"/>
  <c r="AS21" i="13"/>
  <c r="AS19" i="13"/>
  <c r="AU19" i="13"/>
  <c r="AT21" i="13"/>
  <c r="AS22" i="13"/>
  <c r="AT22" i="13"/>
  <c r="AT29" i="13"/>
  <c r="AZ65" i="13"/>
  <c r="AS43" i="13"/>
  <c r="AS41" i="13"/>
  <c r="BA65" i="13"/>
  <c r="BA41" i="13"/>
  <c r="AU41" i="13"/>
  <c r="AT43" i="13"/>
  <c r="AV65" i="13"/>
  <c r="AS44" i="13"/>
  <c r="AT41" i="13"/>
  <c r="AW65" i="13"/>
  <c r="AT44" i="13"/>
  <c r="AX65" i="13"/>
  <c r="W68" i="13"/>
  <c r="AY65" i="13"/>
  <c r="AU68" i="13"/>
  <c r="AT51" i="13"/>
  <c r="Y51" i="13"/>
  <c r="AS65" i="13"/>
  <c r="AA65" i="13"/>
  <c r="AT65" i="13"/>
  <c r="Y65" i="13"/>
  <c r="AS67" i="13"/>
  <c r="AA67" i="13"/>
  <c r="AU65" i="13"/>
  <c r="W65" i="13"/>
  <c r="AT67" i="13"/>
  <c r="Y67" i="13"/>
  <c r="AT68" i="13"/>
  <c r="Y68" i="13"/>
  <c r="AS68" i="13"/>
  <c r="AA68" i="13"/>
  <c r="K51" i="13"/>
  <c r="J72" i="13"/>
  <c r="J26" i="13" s="1"/>
  <c r="C59" i="13"/>
  <c r="C13" i="13" s="1"/>
  <c r="AA13" i="13" s="1"/>
  <c r="G288" i="13"/>
  <c r="G289" i="13" s="1"/>
  <c r="J251" i="13"/>
  <c r="H51" i="13"/>
  <c r="G67" i="13"/>
  <c r="G21" i="13" s="1"/>
  <c r="K177" i="13"/>
  <c r="AT195" i="13"/>
  <c r="AS166" i="13"/>
  <c r="C55" i="13"/>
  <c r="C9" i="13" s="1"/>
  <c r="AA9" i="13" s="1"/>
  <c r="H68" i="13"/>
  <c r="H22" i="13" s="1"/>
  <c r="J177" i="13"/>
  <c r="F59" i="13"/>
  <c r="F13" i="13" s="1"/>
  <c r="J64" i="13"/>
  <c r="J18" i="13" s="1"/>
  <c r="K59" i="13"/>
  <c r="K13" i="13" s="1"/>
  <c r="BA13" i="13" s="1"/>
  <c r="H59" i="13"/>
  <c r="H13" i="13" s="1"/>
  <c r="F288" i="13"/>
  <c r="F289" i="13" s="1"/>
  <c r="AZ232" i="13"/>
  <c r="F68" i="13"/>
  <c r="F22" i="13" s="1"/>
  <c r="BB69" i="13"/>
  <c r="H66" i="13"/>
  <c r="H20" i="13" s="1"/>
  <c r="E72" i="13"/>
  <c r="E26" i="13" s="1"/>
  <c r="W26" i="13" s="1"/>
  <c r="I251" i="13"/>
  <c r="BB86" i="13"/>
  <c r="BB60" i="13"/>
  <c r="G51" i="13"/>
  <c r="I55" i="13"/>
  <c r="I9" i="13" s="1"/>
  <c r="H56" i="13"/>
  <c r="H10" i="13" s="1"/>
  <c r="G59" i="13"/>
  <c r="G13" i="13" s="1"/>
  <c r="F61" i="13"/>
  <c r="F15" i="13" s="1"/>
  <c r="E62" i="13"/>
  <c r="E16" i="13" s="1"/>
  <c r="W16" i="13" s="1"/>
  <c r="C64" i="13"/>
  <c r="C18" i="13" s="1"/>
  <c r="AA18" i="13" s="1"/>
  <c r="K64" i="13"/>
  <c r="K18" i="13" s="1"/>
  <c r="BA18" i="13" s="1"/>
  <c r="I66" i="13"/>
  <c r="I20" i="13" s="1"/>
  <c r="H67" i="13"/>
  <c r="H21" i="13" s="1"/>
  <c r="G68" i="13"/>
  <c r="G22" i="13" s="1"/>
  <c r="F72" i="13"/>
  <c r="F26" i="13" s="1"/>
  <c r="AS115" i="13"/>
  <c r="E61" i="13"/>
  <c r="E15" i="13" s="1"/>
  <c r="W15" i="13" s="1"/>
  <c r="G72" i="13"/>
  <c r="G26" i="13" s="1"/>
  <c r="C214" i="13"/>
  <c r="AZ103" i="13"/>
  <c r="AY232" i="13"/>
  <c r="E51" i="13"/>
  <c r="K55" i="13"/>
  <c r="K9" i="13" s="1"/>
  <c r="BA9" i="13" s="1"/>
  <c r="J56" i="13"/>
  <c r="J10" i="13" s="1"/>
  <c r="I59" i="13"/>
  <c r="I13" i="13" s="1"/>
  <c r="H61" i="13"/>
  <c r="H15" i="13" s="1"/>
  <c r="G62" i="13"/>
  <c r="G16" i="13" s="1"/>
  <c r="E64" i="13"/>
  <c r="E18" i="13" s="1"/>
  <c r="W18" i="13" s="1"/>
  <c r="C66" i="13"/>
  <c r="C20" i="13" s="1"/>
  <c r="AA20" i="13" s="1"/>
  <c r="K66" i="13"/>
  <c r="K20" i="13" s="1"/>
  <c r="BA20" i="13" s="1"/>
  <c r="J67" i="13"/>
  <c r="J21" i="13" s="1"/>
  <c r="I68" i="13"/>
  <c r="I22" i="13" s="1"/>
  <c r="H72" i="13"/>
  <c r="H26" i="13" s="1"/>
  <c r="BB131" i="13"/>
  <c r="BA111" i="13"/>
  <c r="F51" i="13"/>
  <c r="I56" i="13"/>
  <c r="I10" i="13" s="1"/>
  <c r="F62" i="13"/>
  <c r="F16" i="13" s="1"/>
  <c r="K214" i="13"/>
  <c r="AY103" i="13"/>
  <c r="AX91" i="13"/>
  <c r="AX174" i="13"/>
  <c r="C51" i="13"/>
  <c r="C7" i="13" s="1"/>
  <c r="AA7" i="13" s="1"/>
  <c r="D55" i="13"/>
  <c r="D9" i="13" s="1"/>
  <c r="Y9" i="13" s="1"/>
  <c r="C56" i="13"/>
  <c r="C10" i="13" s="1"/>
  <c r="AA10" i="13" s="1"/>
  <c r="K56" i="13"/>
  <c r="K10" i="13" s="1"/>
  <c r="BA10" i="13" s="1"/>
  <c r="J59" i="13"/>
  <c r="J13" i="13" s="1"/>
  <c r="I61" i="13"/>
  <c r="I15" i="13" s="1"/>
  <c r="H62" i="13"/>
  <c r="H16" i="13" s="1"/>
  <c r="F64" i="13"/>
  <c r="F18" i="13" s="1"/>
  <c r="D66" i="13"/>
  <c r="D20" i="13" s="1"/>
  <c r="Y20" i="13" s="1"/>
  <c r="K67" i="13"/>
  <c r="K21" i="13" s="1"/>
  <c r="BA21" i="13" s="1"/>
  <c r="J68" i="13"/>
  <c r="J22" i="13" s="1"/>
  <c r="I72" i="13"/>
  <c r="I26" i="13" s="1"/>
  <c r="G56" i="13"/>
  <c r="G10" i="13" s="1"/>
  <c r="J55" i="13"/>
  <c r="J9" i="13" s="1"/>
  <c r="D64" i="13"/>
  <c r="D18" i="13" s="1"/>
  <c r="Y18" i="13" s="1"/>
  <c r="H251" i="13"/>
  <c r="AU103" i="13"/>
  <c r="AV77" i="13"/>
  <c r="AT288" i="13"/>
  <c r="AU158" i="13"/>
  <c r="AZ143" i="13"/>
  <c r="E55" i="13"/>
  <c r="E9" i="13" s="1"/>
  <c r="W9" i="13" s="1"/>
  <c r="D56" i="13"/>
  <c r="D10" i="13" s="1"/>
  <c r="Y10" i="13" s="1"/>
  <c r="J61" i="13"/>
  <c r="J15" i="13" s="1"/>
  <c r="I62" i="13"/>
  <c r="I16" i="13" s="1"/>
  <c r="G64" i="13"/>
  <c r="G18" i="13" s="1"/>
  <c r="E66" i="13"/>
  <c r="E20" i="13" s="1"/>
  <c r="W20" i="13" s="1"/>
  <c r="K68" i="13"/>
  <c r="K22" i="13" s="1"/>
  <c r="BA22" i="13" s="1"/>
  <c r="G61" i="13"/>
  <c r="G15" i="13" s="1"/>
  <c r="J66" i="13"/>
  <c r="J20" i="13" s="1"/>
  <c r="I140" i="13"/>
  <c r="I141" i="13" s="1"/>
  <c r="AS158" i="13"/>
  <c r="J51" i="13"/>
  <c r="F55" i="13"/>
  <c r="F9" i="13" s="1"/>
  <c r="E56" i="13"/>
  <c r="E10" i="13" s="1"/>
  <c r="W10" i="13" s="1"/>
  <c r="D59" i="13"/>
  <c r="D13" i="13" s="1"/>
  <c r="Y13" i="13" s="1"/>
  <c r="C61" i="13"/>
  <c r="C15" i="13" s="1"/>
  <c r="AA15" i="13" s="1"/>
  <c r="K61" i="13"/>
  <c r="K15" i="13" s="1"/>
  <c r="BA15" i="13" s="1"/>
  <c r="J62" i="13"/>
  <c r="J16" i="13" s="1"/>
  <c r="H64" i="13"/>
  <c r="H18" i="13" s="1"/>
  <c r="F66" i="13"/>
  <c r="F20" i="13" s="1"/>
  <c r="E67" i="13"/>
  <c r="E21" i="13" s="1"/>
  <c r="W21" i="13" s="1"/>
  <c r="C72" i="13"/>
  <c r="C26" i="13" s="1"/>
  <c r="AA26" i="13" s="1"/>
  <c r="K72" i="13"/>
  <c r="K26" i="13" s="1"/>
  <c r="BA26" i="13" s="1"/>
  <c r="H55" i="13"/>
  <c r="H9" i="13" s="1"/>
  <c r="D62" i="13"/>
  <c r="D16" i="13" s="1"/>
  <c r="Y16" i="13" s="1"/>
  <c r="I67" i="13"/>
  <c r="I21" i="13" s="1"/>
  <c r="H140" i="13"/>
  <c r="H141" i="13" s="1"/>
  <c r="E251" i="13"/>
  <c r="AU195" i="13"/>
  <c r="I51" i="13"/>
  <c r="G55" i="13"/>
  <c r="G9" i="13" s="1"/>
  <c r="F56" i="13"/>
  <c r="F10" i="13" s="1"/>
  <c r="E59" i="13"/>
  <c r="E13" i="13" s="1"/>
  <c r="W13" i="13" s="1"/>
  <c r="D61" i="13"/>
  <c r="D15" i="13" s="1"/>
  <c r="Y15" i="13" s="1"/>
  <c r="C62" i="13"/>
  <c r="C16" i="13" s="1"/>
  <c r="AA16" i="13" s="1"/>
  <c r="K62" i="13"/>
  <c r="K16" i="13" s="1"/>
  <c r="BA16" i="13" s="1"/>
  <c r="I64" i="13"/>
  <c r="I18" i="13" s="1"/>
  <c r="G66" i="13"/>
  <c r="G20" i="13" s="1"/>
  <c r="F67" i="13"/>
  <c r="F21" i="13" s="1"/>
  <c r="D72" i="13"/>
  <c r="D26" i="13" s="1"/>
  <c r="Y26" i="13" s="1"/>
  <c r="BA121" i="13"/>
  <c r="K140" i="13"/>
  <c r="K141" i="13" s="1"/>
  <c r="AX195" i="13"/>
  <c r="H214" i="13"/>
  <c r="AV174" i="13"/>
  <c r="F164" i="13"/>
  <c r="F165" i="13" s="1"/>
  <c r="BA232" i="13"/>
  <c r="K251" i="13"/>
  <c r="AV248" i="13"/>
  <c r="F251" i="13"/>
  <c r="G108" i="13"/>
  <c r="G109" i="13" s="1"/>
  <c r="AW103" i="13"/>
  <c r="BB100" i="13"/>
  <c r="E292" i="13"/>
  <c r="E293" i="13" s="1"/>
  <c r="AU288" i="13"/>
  <c r="BB98" i="13"/>
  <c r="AW269" i="13"/>
  <c r="H201" i="13"/>
  <c r="H202" i="13" s="1"/>
  <c r="C251" i="13"/>
  <c r="AX103" i="13"/>
  <c r="BB85" i="13"/>
  <c r="BB75" i="13"/>
  <c r="BB287" i="13"/>
  <c r="BB250" i="13"/>
  <c r="AS121" i="13"/>
  <c r="C140" i="13"/>
  <c r="AY195" i="13"/>
  <c r="I214" i="13"/>
  <c r="AX269" i="13"/>
  <c r="H288" i="13"/>
  <c r="H289" i="13" s="1"/>
  <c r="AV158" i="13"/>
  <c r="F177" i="13"/>
  <c r="G164" i="13"/>
  <c r="G165" i="13" s="1"/>
  <c r="AW174" i="13"/>
  <c r="D256" i="13"/>
  <c r="D257" i="13" s="1"/>
  <c r="AT251" i="13"/>
  <c r="G140" i="13"/>
  <c r="G141" i="13" s="1"/>
  <c r="I177" i="13"/>
  <c r="J214" i="13"/>
  <c r="C288" i="13"/>
  <c r="C289" i="13" s="1"/>
  <c r="BB96" i="13"/>
  <c r="BB81" i="13"/>
  <c r="BB258" i="13"/>
  <c r="AX232" i="13"/>
  <c r="BB122" i="13"/>
  <c r="F140" i="13"/>
  <c r="F141" i="13" s="1"/>
  <c r="H177" i="13"/>
  <c r="K288" i="13"/>
  <c r="K289" i="13" s="1"/>
  <c r="AV103" i="13"/>
  <c r="BB95" i="13"/>
  <c r="BB79" i="13"/>
  <c r="BB196" i="13"/>
  <c r="BB168" i="13"/>
  <c r="BB71" i="13"/>
  <c r="E145" i="13"/>
  <c r="E146" i="13" s="1"/>
  <c r="AU140" i="13"/>
  <c r="G177" i="13"/>
  <c r="J288" i="13"/>
  <c r="J289" i="13" s="1"/>
  <c r="BB106" i="13"/>
  <c r="BB93" i="13"/>
  <c r="BB176" i="13"/>
  <c r="BB216" i="13"/>
  <c r="D140" i="13"/>
  <c r="G214" i="13"/>
  <c r="I288" i="13"/>
  <c r="I289" i="13" s="1"/>
  <c r="BB105" i="13"/>
  <c r="AT103" i="13"/>
  <c r="BB279" i="13"/>
  <c r="BB270" i="13"/>
  <c r="BB213" i="13"/>
  <c r="F214" i="13"/>
  <c r="G251" i="13"/>
  <c r="E164" i="13"/>
  <c r="E165" i="13" s="1"/>
  <c r="BA103" i="13"/>
  <c r="AS103" i="13"/>
  <c r="BB89" i="13"/>
  <c r="BB233" i="13"/>
  <c r="BB205" i="13"/>
  <c r="BB184" i="13"/>
  <c r="BB139" i="13"/>
  <c r="J140" i="13"/>
  <c r="J141" i="13" s="1"/>
  <c r="D177" i="13"/>
  <c r="D164" i="13"/>
  <c r="D165" i="13" s="1"/>
  <c r="BB102" i="13"/>
  <c r="BB87" i="13"/>
  <c r="BB290" i="13"/>
  <c r="BB242" i="13"/>
  <c r="BB142" i="13"/>
  <c r="BB110" i="13"/>
  <c r="BB253" i="13"/>
  <c r="BB221" i="13"/>
  <c r="BB179" i="13"/>
  <c r="BB147" i="13"/>
  <c r="BB159" i="13"/>
  <c r="G224" i="13"/>
  <c r="D201" i="13"/>
  <c r="D202" i="13" s="1"/>
  <c r="F224" i="13"/>
  <c r="K201" i="13"/>
  <c r="K202" i="13" s="1"/>
  <c r="E201" i="13"/>
  <c r="E202" i="13" s="1"/>
  <c r="G201" i="13"/>
  <c r="G202" i="13" s="1"/>
  <c r="I150" i="13"/>
  <c r="C201" i="13"/>
  <c r="C202" i="13" s="1"/>
  <c r="F201" i="13"/>
  <c r="F202" i="13" s="1"/>
  <c r="J201" i="13"/>
  <c r="J202" i="13" s="1"/>
  <c r="I201" i="13"/>
  <c r="I202" i="13" s="1"/>
  <c r="E238" i="13"/>
  <c r="E239" i="13" s="1"/>
  <c r="D238" i="13"/>
  <c r="D239" i="13" s="1"/>
  <c r="I224" i="13"/>
  <c r="H224" i="13"/>
  <c r="H150" i="13"/>
  <c r="J187" i="13"/>
  <c r="J150" i="13"/>
  <c r="J275" i="13"/>
  <c r="J276" i="13" s="1"/>
  <c r="J224" i="13"/>
  <c r="H238" i="13"/>
  <c r="H239" i="13" s="1"/>
  <c r="F238" i="13"/>
  <c r="F239" i="13" s="1"/>
  <c r="I187" i="13"/>
  <c r="E187" i="13"/>
  <c r="C150" i="13"/>
  <c r="K150" i="13"/>
  <c r="C224" i="13"/>
  <c r="K224" i="13"/>
  <c r="I238" i="13"/>
  <c r="I239" i="13" s="1"/>
  <c r="G238" i="13"/>
  <c r="G239" i="13" s="1"/>
  <c r="D224" i="13"/>
  <c r="J238" i="13"/>
  <c r="J239" i="13" s="1"/>
  <c r="E224" i="13"/>
  <c r="C238" i="13"/>
  <c r="C239" i="13" s="1"/>
  <c r="I275" i="13"/>
  <c r="I276" i="13" s="1"/>
  <c r="G275" i="13"/>
  <c r="G276" i="13" s="1"/>
  <c r="I164" i="13"/>
  <c r="I165" i="13" s="1"/>
  <c r="H261" i="13"/>
  <c r="F150" i="13"/>
  <c r="D150" i="13"/>
  <c r="J164" i="13"/>
  <c r="J165" i="13" s="1"/>
  <c r="H164" i="13"/>
  <c r="H165" i="13" s="1"/>
  <c r="G150" i="13"/>
  <c r="E150" i="13"/>
  <c r="K164" i="13"/>
  <c r="K165" i="13" s="1"/>
  <c r="I127" i="13"/>
  <c r="I128" i="13" s="1"/>
  <c r="D275" i="13"/>
  <c r="D276" i="13" s="1"/>
  <c r="I261" i="13"/>
  <c r="C113" i="13"/>
  <c r="C114" i="13" s="1"/>
  <c r="E275" i="13"/>
  <c r="E276" i="13" s="1"/>
  <c r="F113" i="13"/>
  <c r="J113" i="13"/>
  <c r="G127" i="13"/>
  <c r="G128" i="13" s="1"/>
  <c r="G261" i="13"/>
  <c r="C127" i="13"/>
  <c r="C128" i="13" s="1"/>
  <c r="C261" i="13"/>
  <c r="K113" i="13"/>
  <c r="I113" i="13"/>
  <c r="D127" i="13"/>
  <c r="D128" i="13" s="1"/>
  <c r="F127" i="13"/>
  <c r="F128" i="13" s="1"/>
  <c r="H127" i="13"/>
  <c r="H128" i="13" s="1"/>
  <c r="H113" i="13"/>
  <c r="E127" i="13"/>
  <c r="E128" i="13" s="1"/>
  <c r="K127" i="13"/>
  <c r="K128" i="13" s="1"/>
  <c r="K261" i="13"/>
  <c r="J127" i="13"/>
  <c r="J128" i="13" s="1"/>
  <c r="G113" i="13"/>
  <c r="F261" i="13"/>
  <c r="J261" i="13"/>
  <c r="H275" i="13"/>
  <c r="H276" i="13" s="1"/>
  <c r="F275" i="13"/>
  <c r="F276" i="13" s="1"/>
  <c r="D261" i="13"/>
  <c r="D113" i="13"/>
  <c r="E261" i="13"/>
  <c r="C275" i="13"/>
  <c r="C276" i="13" s="1"/>
  <c r="K275" i="13"/>
  <c r="K276" i="13" s="1"/>
  <c r="F187" i="13"/>
  <c r="G187" i="13"/>
  <c r="D187" i="13"/>
  <c r="C187" i="13"/>
  <c r="K187" i="13"/>
  <c r="H187" i="13"/>
  <c r="AU214" i="13" l="1"/>
  <c r="AT7" i="13"/>
  <c r="E219" i="13"/>
  <c r="E220" i="13" s="1"/>
  <c r="D52" i="13"/>
  <c r="H7" i="13"/>
  <c r="H52" i="13"/>
  <c r="E7" i="13"/>
  <c r="W7" i="13" s="1"/>
  <c r="E52" i="13"/>
  <c r="I7" i="13"/>
  <c r="I52" i="13"/>
  <c r="F7" i="13"/>
  <c r="F52" i="13"/>
  <c r="G7" i="13"/>
  <c r="G52" i="13"/>
  <c r="J7" i="13"/>
  <c r="J52" i="13"/>
  <c r="P259" i="13"/>
  <c r="Q259" i="13" s="1"/>
  <c r="K7" i="13"/>
  <c r="BA7" i="13" s="1"/>
  <c r="K52" i="13"/>
  <c r="L261" i="13"/>
  <c r="L112" i="13"/>
  <c r="L186" i="13"/>
  <c r="L223" i="13"/>
  <c r="M261" i="13"/>
  <c r="S223" i="13"/>
  <c r="D219" i="13"/>
  <c r="D220" i="13" s="1"/>
  <c r="S186" i="13"/>
  <c r="BB285" i="13"/>
  <c r="E182" i="13"/>
  <c r="E183" i="13" s="1"/>
  <c r="AT214" i="13"/>
  <c r="BB291" i="13"/>
  <c r="BB281" i="13"/>
  <c r="AU177" i="13"/>
  <c r="E178" i="13"/>
  <c r="G252" i="13"/>
  <c r="G255" i="13"/>
  <c r="J255" i="13"/>
  <c r="J252" i="13"/>
  <c r="T223" i="13"/>
  <c r="F255" i="13"/>
  <c r="F252" i="13"/>
  <c r="E252" i="13"/>
  <c r="E255" i="13"/>
  <c r="C255" i="13"/>
  <c r="C252" i="13"/>
  <c r="H255" i="13"/>
  <c r="H252" i="13"/>
  <c r="K255" i="13"/>
  <c r="K252" i="13"/>
  <c r="I255" i="13"/>
  <c r="I252" i="13"/>
  <c r="BB283" i="13"/>
  <c r="J215" i="13"/>
  <c r="J218" i="13"/>
  <c r="H218" i="13"/>
  <c r="H215" i="13"/>
  <c r="C218" i="13"/>
  <c r="C215" i="13"/>
  <c r="G215" i="13"/>
  <c r="G218" i="13"/>
  <c r="F218" i="13"/>
  <c r="F215" i="13"/>
  <c r="I218" i="13"/>
  <c r="I215" i="13"/>
  <c r="T186" i="13"/>
  <c r="K218" i="13"/>
  <c r="K215" i="13"/>
  <c r="J178" i="13"/>
  <c r="J181" i="13"/>
  <c r="L149" i="13"/>
  <c r="C182" i="13"/>
  <c r="C183" i="13" s="1"/>
  <c r="C181" i="13"/>
  <c r="C178" i="13"/>
  <c r="H178" i="13"/>
  <c r="H181" i="13"/>
  <c r="F181" i="13"/>
  <c r="F178" i="13"/>
  <c r="D181" i="13"/>
  <c r="D178" i="13"/>
  <c r="I181" i="13"/>
  <c r="I178" i="13"/>
  <c r="G181" i="13"/>
  <c r="G178" i="13"/>
  <c r="K181" i="13"/>
  <c r="K178" i="13"/>
  <c r="AX108" i="13"/>
  <c r="AW108" i="13"/>
  <c r="AY108" i="13"/>
  <c r="BA108" i="13"/>
  <c r="AT108" i="13"/>
  <c r="F144" i="13"/>
  <c r="J144" i="13"/>
  <c r="AS108" i="13"/>
  <c r="AU108" i="13"/>
  <c r="G144" i="13"/>
  <c r="K144" i="13"/>
  <c r="D144" i="13"/>
  <c r="D141" i="13"/>
  <c r="C145" i="13"/>
  <c r="C146" i="13" s="1"/>
  <c r="C141" i="13"/>
  <c r="AV108" i="13"/>
  <c r="C144" i="13"/>
  <c r="AZ108" i="13"/>
  <c r="H144" i="13"/>
  <c r="I144" i="13"/>
  <c r="AU292" i="13"/>
  <c r="AT292" i="13"/>
  <c r="G292" i="13"/>
  <c r="G293" i="13" s="1"/>
  <c r="AV288" i="13"/>
  <c r="BB273" i="13"/>
  <c r="BB277" i="13"/>
  <c r="BB271" i="13"/>
  <c r="AS275" i="13"/>
  <c r="AY275" i="13"/>
  <c r="AU275" i="13"/>
  <c r="AV275" i="13"/>
  <c r="AT275" i="13"/>
  <c r="AX275" i="13"/>
  <c r="AZ275" i="13"/>
  <c r="BA275" i="13"/>
  <c r="AW275" i="13"/>
  <c r="BB254" i="13"/>
  <c r="AT256" i="13"/>
  <c r="BB246" i="13"/>
  <c r="BB244" i="13"/>
  <c r="AY251" i="13"/>
  <c r="AZ251" i="13"/>
  <c r="AU251" i="13"/>
  <c r="BB248" i="13"/>
  <c r="AX251" i="13"/>
  <c r="BB240" i="13"/>
  <c r="AS238" i="13"/>
  <c r="BB209" i="13"/>
  <c r="BB211" i="13"/>
  <c r="AZ238" i="13"/>
  <c r="BB236" i="13"/>
  <c r="AW238" i="13"/>
  <c r="AV238" i="13"/>
  <c r="AT238" i="13"/>
  <c r="AY238" i="13"/>
  <c r="AX238" i="13"/>
  <c r="AU238" i="13"/>
  <c r="BB234" i="13"/>
  <c r="BB217" i="13"/>
  <c r="AU219" i="13"/>
  <c r="K219" i="13"/>
  <c r="K220" i="13" s="1"/>
  <c r="BB207" i="13"/>
  <c r="BB203" i="13"/>
  <c r="BB197" i="13"/>
  <c r="BB199" i="13"/>
  <c r="BB180" i="13"/>
  <c r="AX201" i="13"/>
  <c r="AW201" i="13"/>
  <c r="AU201" i="13"/>
  <c r="BA201" i="13"/>
  <c r="AY201" i="13"/>
  <c r="AS201" i="13"/>
  <c r="AT201" i="13"/>
  <c r="AZ201" i="13"/>
  <c r="AV201" i="13"/>
  <c r="BB172" i="13"/>
  <c r="AS177" i="13"/>
  <c r="K182" i="13"/>
  <c r="K183" i="13" s="1"/>
  <c r="J182" i="13"/>
  <c r="J183" i="13" s="1"/>
  <c r="BB170" i="13"/>
  <c r="BB160" i="13"/>
  <c r="BB162" i="13"/>
  <c r="AS164" i="13"/>
  <c r="BB166" i="13"/>
  <c r="AU164" i="13"/>
  <c r="BA164" i="13"/>
  <c r="AY164" i="13"/>
  <c r="AX164" i="13"/>
  <c r="AT164" i="13"/>
  <c r="AZ164" i="13"/>
  <c r="AW164" i="13"/>
  <c r="AV164" i="13"/>
  <c r="AU145" i="13"/>
  <c r="BB143" i="13"/>
  <c r="BB137" i="13"/>
  <c r="BB133" i="13"/>
  <c r="AX140" i="13"/>
  <c r="BB135" i="13"/>
  <c r="I145" i="13"/>
  <c r="I146" i="13" s="1"/>
  <c r="BB129" i="13"/>
  <c r="BB228" i="13"/>
  <c r="BB125" i="13"/>
  <c r="BB123" i="13"/>
  <c r="AX127" i="13"/>
  <c r="AW127" i="13"/>
  <c r="BB265" i="13"/>
  <c r="AV127" i="13"/>
  <c r="AZ127" i="13"/>
  <c r="AU127" i="13"/>
  <c r="AY127" i="13"/>
  <c r="BB263" i="13"/>
  <c r="BB226" i="13"/>
  <c r="AX59" i="13"/>
  <c r="AS261" i="13"/>
  <c r="C262" i="13"/>
  <c r="AX261" i="13"/>
  <c r="H262" i="13"/>
  <c r="AZ261" i="13"/>
  <c r="J262" i="13"/>
  <c r="AT261" i="13"/>
  <c r="D262" i="13"/>
  <c r="AW261" i="13"/>
  <c r="G262" i="13"/>
  <c r="AV261" i="13"/>
  <c r="F262" i="13"/>
  <c r="AY261" i="13"/>
  <c r="I262" i="13"/>
  <c r="AU261" i="13"/>
  <c r="E262" i="13"/>
  <c r="BA261" i="13"/>
  <c r="K262" i="13"/>
  <c r="BB191" i="13"/>
  <c r="BB189" i="13"/>
  <c r="AT224" i="13"/>
  <c r="D225" i="13"/>
  <c r="AX224" i="13"/>
  <c r="H225" i="13"/>
  <c r="AY224" i="13"/>
  <c r="I225" i="13"/>
  <c r="BB154" i="13"/>
  <c r="BA224" i="13"/>
  <c r="K225" i="13"/>
  <c r="AZ224" i="13"/>
  <c r="J225" i="13"/>
  <c r="AS224" i="13"/>
  <c r="C225" i="13"/>
  <c r="AV224" i="13"/>
  <c r="F225" i="13"/>
  <c r="AU224" i="13"/>
  <c r="E225" i="13"/>
  <c r="AW224" i="13"/>
  <c r="G225" i="13"/>
  <c r="BA187" i="13"/>
  <c r="K188" i="13"/>
  <c r="AT187" i="13"/>
  <c r="D188" i="13"/>
  <c r="AY187" i="13"/>
  <c r="I188" i="13"/>
  <c r="AV187" i="13"/>
  <c r="F188" i="13"/>
  <c r="AX187" i="13"/>
  <c r="H188" i="13"/>
  <c r="AZ187" i="13"/>
  <c r="J188" i="13"/>
  <c r="AW187" i="13"/>
  <c r="G188" i="13"/>
  <c r="AS187" i="13"/>
  <c r="C188" i="13"/>
  <c r="AU187" i="13"/>
  <c r="E188" i="13"/>
  <c r="BB152" i="13"/>
  <c r="BB117" i="13"/>
  <c r="AU150" i="13"/>
  <c r="E151" i="13"/>
  <c r="BB115" i="13"/>
  <c r="AV150" i="13"/>
  <c r="F151" i="13"/>
  <c r="BA150" i="13"/>
  <c r="K151" i="13"/>
  <c r="AZ150" i="13"/>
  <c r="J151" i="13"/>
  <c r="AW150" i="13"/>
  <c r="G151" i="13"/>
  <c r="AS150" i="13"/>
  <c r="C151" i="13"/>
  <c r="AT150" i="13"/>
  <c r="D151" i="13"/>
  <c r="AX150" i="13"/>
  <c r="H151" i="13"/>
  <c r="AY150" i="13"/>
  <c r="I151" i="13"/>
  <c r="BB222" i="13"/>
  <c r="BB148" i="13"/>
  <c r="BB259" i="13"/>
  <c r="AX113" i="13"/>
  <c r="H114" i="13"/>
  <c r="AZ113" i="13"/>
  <c r="J114" i="13"/>
  <c r="BB111" i="13"/>
  <c r="AY113" i="13"/>
  <c r="I114" i="13"/>
  <c r="AT113" i="13"/>
  <c r="D114" i="13"/>
  <c r="BA113" i="13"/>
  <c r="K114" i="13"/>
  <c r="AW113" i="13"/>
  <c r="G114" i="13"/>
  <c r="AV113" i="13"/>
  <c r="F114" i="13"/>
  <c r="BB185" i="13"/>
  <c r="BB91" i="13"/>
  <c r="BB77" i="13"/>
  <c r="AS15" i="13"/>
  <c r="AX13" i="13"/>
  <c r="AT13" i="13"/>
  <c r="AU20" i="13"/>
  <c r="AU21" i="13"/>
  <c r="AZ44" i="13"/>
  <c r="AZ22" i="13"/>
  <c r="AS10" i="13"/>
  <c r="AU15" i="13"/>
  <c r="AW13" i="13"/>
  <c r="AT9" i="13"/>
  <c r="AS20" i="13"/>
  <c r="AU22" i="13"/>
  <c r="AZ41" i="13"/>
  <c r="AZ19" i="13"/>
  <c r="AT26" i="13"/>
  <c r="AY13" i="13"/>
  <c r="AU26" i="13"/>
  <c r="AS16" i="13"/>
  <c r="AT20" i="13"/>
  <c r="AU18" i="13"/>
  <c r="AU16" i="13"/>
  <c r="AV41" i="13"/>
  <c r="AV19" i="13"/>
  <c r="AU10" i="13"/>
  <c r="AY41" i="13"/>
  <c r="AY19" i="13"/>
  <c r="AT15" i="13"/>
  <c r="AT10" i="13"/>
  <c r="AT18" i="13"/>
  <c r="AS9" i="13"/>
  <c r="AS13" i="13"/>
  <c r="AX41" i="13"/>
  <c r="AX19" i="13"/>
  <c r="AS26" i="13"/>
  <c r="AW41" i="13"/>
  <c r="AW19" i="13"/>
  <c r="AT16" i="13"/>
  <c r="AU9" i="13"/>
  <c r="AS18" i="13"/>
  <c r="AU40" i="13"/>
  <c r="AV68" i="13"/>
  <c r="AX55" i="13"/>
  <c r="AY35" i="13"/>
  <c r="AV67" i="13"/>
  <c r="AW55" i="13"/>
  <c r="BA72" i="13"/>
  <c r="BA48" i="13"/>
  <c r="AT35" i="13"/>
  <c r="BA68" i="13"/>
  <c r="BA44" i="13"/>
  <c r="AW56" i="13"/>
  <c r="AZ59" i="13"/>
  <c r="AY68" i="13"/>
  <c r="AZ56" i="13"/>
  <c r="AV61" i="13"/>
  <c r="BA59" i="13"/>
  <c r="AT37" i="13"/>
  <c r="AT48" i="13"/>
  <c r="AU38" i="13"/>
  <c r="AW66" i="13"/>
  <c r="AY51" i="13"/>
  <c r="AS48" i="13"/>
  <c r="AU32" i="13"/>
  <c r="AU42" i="13"/>
  <c r="AY72" i="13"/>
  <c r="BA56" i="13"/>
  <c r="BA32" i="13"/>
  <c r="AZ67" i="13"/>
  <c r="BA55" i="13"/>
  <c r="BA31" i="13"/>
  <c r="AV72" i="13"/>
  <c r="AW35" i="13"/>
  <c r="AU48" i="13"/>
  <c r="AZ64" i="13"/>
  <c r="AW67" i="13"/>
  <c r="AS38" i="13"/>
  <c r="AT42" i="13"/>
  <c r="AY66" i="13"/>
  <c r="AV56" i="13"/>
  <c r="AW61" i="13"/>
  <c r="AU37" i="13"/>
  <c r="AY64" i="13"/>
  <c r="AU43" i="13"/>
  <c r="AV55" i="13"/>
  <c r="AW64" i="13"/>
  <c r="AS32" i="13"/>
  <c r="AV62" i="13"/>
  <c r="BA66" i="13"/>
  <c r="BA42" i="13"/>
  <c r="AU29" i="13"/>
  <c r="AW68" i="13"/>
  <c r="AX56" i="13"/>
  <c r="AX66" i="13"/>
  <c r="AV59" i="13"/>
  <c r="AX51" i="13"/>
  <c r="AX64" i="13"/>
  <c r="AZ61" i="13"/>
  <c r="AV51" i="13"/>
  <c r="AX68" i="13"/>
  <c r="AY67" i="13"/>
  <c r="AS37" i="13"/>
  <c r="AY61" i="13"/>
  <c r="AX72" i="13"/>
  <c r="AX35" i="13"/>
  <c r="BA51" i="13"/>
  <c r="BA29" i="13"/>
  <c r="BA62" i="13"/>
  <c r="BA38" i="13"/>
  <c r="AV66" i="13"/>
  <c r="AZ51" i="13"/>
  <c r="AY62" i="13"/>
  <c r="BA67" i="13"/>
  <c r="BA43" i="13"/>
  <c r="AT31" i="13"/>
  <c r="AY56" i="13"/>
  <c r="AS42" i="13"/>
  <c r="AX67" i="13"/>
  <c r="AY55" i="13"/>
  <c r="AU44" i="13"/>
  <c r="AA51" i="13"/>
  <c r="AW51" i="13"/>
  <c r="AZ62" i="13"/>
  <c r="AT32" i="13"/>
  <c r="AT40" i="13"/>
  <c r="AV64" i="13"/>
  <c r="AW62" i="13"/>
  <c r="BA64" i="13"/>
  <c r="BA40" i="13"/>
  <c r="AS31" i="13"/>
  <c r="AS35" i="13"/>
  <c r="W59" i="13"/>
  <c r="AT38" i="13"/>
  <c r="BA61" i="13"/>
  <c r="BA37" i="13"/>
  <c r="AZ66" i="13"/>
  <c r="AU31" i="13"/>
  <c r="AZ55" i="13"/>
  <c r="AX62" i="13"/>
  <c r="AX61" i="13"/>
  <c r="AW72" i="13"/>
  <c r="AS40" i="13"/>
  <c r="AZ72" i="13"/>
  <c r="F292" i="13"/>
  <c r="F293" i="13" s="1"/>
  <c r="BB65" i="13"/>
  <c r="AY140" i="13"/>
  <c r="J256" i="13"/>
  <c r="J257" i="13" s="1"/>
  <c r="AW288" i="13"/>
  <c r="AT59" i="13"/>
  <c r="Y59" i="13"/>
  <c r="AS72" i="13"/>
  <c r="AA72" i="13"/>
  <c r="AU66" i="13"/>
  <c r="W66" i="13"/>
  <c r="AU72" i="13"/>
  <c r="W72" i="13"/>
  <c r="AU67" i="13"/>
  <c r="W67" i="13"/>
  <c r="AS56" i="13"/>
  <c r="AA56" i="13"/>
  <c r="AU51" i="13"/>
  <c r="W51" i="13"/>
  <c r="AU56" i="13"/>
  <c r="W56" i="13"/>
  <c r="AT55" i="13"/>
  <c r="Y55" i="13"/>
  <c r="AS66" i="13"/>
  <c r="AA66" i="13"/>
  <c r="AS62" i="13"/>
  <c r="AA62" i="13"/>
  <c r="AT61" i="13"/>
  <c r="Y61" i="13"/>
  <c r="AT56" i="13"/>
  <c r="Y56" i="13"/>
  <c r="AT64" i="13"/>
  <c r="Y64" i="13"/>
  <c r="AS55" i="13"/>
  <c r="AA55" i="13"/>
  <c r="C70" i="13"/>
  <c r="AA59" i="13"/>
  <c r="AU64" i="13"/>
  <c r="W64" i="13"/>
  <c r="AT62" i="13"/>
  <c r="Y62" i="13"/>
  <c r="AU55" i="13"/>
  <c r="W55" i="13"/>
  <c r="AS64" i="13"/>
  <c r="AA64" i="13"/>
  <c r="AT66" i="13"/>
  <c r="Y66" i="13"/>
  <c r="AT72" i="13"/>
  <c r="Y72" i="13"/>
  <c r="AS61" i="13"/>
  <c r="AA61" i="13"/>
  <c r="AU61" i="13"/>
  <c r="W61" i="13"/>
  <c r="AU62" i="13"/>
  <c r="W62" i="13"/>
  <c r="E256" i="13"/>
  <c r="E257" i="13" s="1"/>
  <c r="BB121" i="13"/>
  <c r="BB174" i="13"/>
  <c r="BA214" i="13"/>
  <c r="I256" i="13"/>
  <c r="I257" i="13" s="1"/>
  <c r="H256" i="13"/>
  <c r="H257" i="13" s="1"/>
  <c r="BB232" i="13"/>
  <c r="BB158" i="13"/>
  <c r="F70" i="13"/>
  <c r="H145" i="13"/>
  <c r="H146" i="13" s="1"/>
  <c r="H70" i="13"/>
  <c r="BA177" i="13"/>
  <c r="BB195" i="13"/>
  <c r="AS59" i="13"/>
  <c r="BB269" i="13"/>
  <c r="J63" i="13"/>
  <c r="J17" i="13" s="1"/>
  <c r="AZ177" i="13"/>
  <c r="G63" i="13"/>
  <c r="G17" i="13" s="1"/>
  <c r="I53" i="13"/>
  <c r="I54" i="13" s="1"/>
  <c r="K53" i="13"/>
  <c r="K54" i="13" s="1"/>
  <c r="F63" i="13"/>
  <c r="F17" i="13" s="1"/>
  <c r="F53" i="13"/>
  <c r="F54" i="13" s="1"/>
  <c r="K70" i="13"/>
  <c r="G53" i="13"/>
  <c r="G54" i="13" s="1"/>
  <c r="AU59" i="13"/>
  <c r="E70" i="13"/>
  <c r="E24" i="13" s="1"/>
  <c r="I63" i="13"/>
  <c r="I17" i="13" s="1"/>
  <c r="J70" i="13"/>
  <c r="J24" i="13" s="1"/>
  <c r="AZ68" i="13"/>
  <c r="AY59" i="13"/>
  <c r="I70" i="13"/>
  <c r="I24" i="13" s="1"/>
  <c r="E63" i="13"/>
  <c r="E17" i="13" s="1"/>
  <c r="W17" i="13" s="1"/>
  <c r="J53" i="13"/>
  <c r="J54" i="13" s="1"/>
  <c r="AT127" i="13"/>
  <c r="D63" i="13"/>
  <c r="D17" i="13" s="1"/>
  <c r="Y17" i="13" s="1"/>
  <c r="BA127" i="13"/>
  <c r="K63" i="13"/>
  <c r="K17" i="13" s="1"/>
  <c r="BA17" i="13" s="1"/>
  <c r="AW59" i="13"/>
  <c r="G70" i="13"/>
  <c r="G24" i="13" s="1"/>
  <c r="C219" i="13"/>
  <c r="C220" i="13" s="1"/>
  <c r="AS214" i="13"/>
  <c r="AS113" i="13"/>
  <c r="C53" i="13"/>
  <c r="AS127" i="13"/>
  <c r="C63" i="13"/>
  <c r="C17" i="13" s="1"/>
  <c r="AA17" i="13" s="1"/>
  <c r="AS51" i="13"/>
  <c r="D70" i="13"/>
  <c r="D24" i="13" s="1"/>
  <c r="H53" i="13"/>
  <c r="H54" i="13" s="1"/>
  <c r="E53" i="13"/>
  <c r="E54" i="13" s="1"/>
  <c r="D53" i="13"/>
  <c r="D54" i="13" s="1"/>
  <c r="H63" i="13"/>
  <c r="H17" i="13" s="1"/>
  <c r="AX288" i="13"/>
  <c r="H292" i="13"/>
  <c r="H293" i="13" s="1"/>
  <c r="C256" i="13"/>
  <c r="C257" i="13" s="1"/>
  <c r="AS251" i="13"/>
  <c r="J145" i="13"/>
  <c r="J146" i="13" s="1"/>
  <c r="AZ140" i="13"/>
  <c r="J292" i="13"/>
  <c r="J293" i="13" s="1"/>
  <c r="AZ288" i="13"/>
  <c r="G219" i="13"/>
  <c r="G220" i="13" s="1"/>
  <c r="AW214" i="13"/>
  <c r="BB103" i="13"/>
  <c r="C292" i="13"/>
  <c r="C293" i="13" s="1"/>
  <c r="AS288" i="13"/>
  <c r="I292" i="13"/>
  <c r="I293" i="13" s="1"/>
  <c r="AY288" i="13"/>
  <c r="F256" i="13"/>
  <c r="F257" i="13" s="1"/>
  <c r="AV251" i="13"/>
  <c r="D145" i="13"/>
  <c r="D146" i="13" s="1"/>
  <c r="AT140" i="13"/>
  <c r="G182" i="13"/>
  <c r="G183" i="13" s="1"/>
  <c r="AW177" i="13"/>
  <c r="K292" i="13"/>
  <c r="K293" i="13" s="1"/>
  <c r="BA288" i="13"/>
  <c r="J219" i="13"/>
  <c r="J220" i="13" s="1"/>
  <c r="AZ214" i="13"/>
  <c r="I219" i="13"/>
  <c r="I220" i="13" s="1"/>
  <c r="AY214" i="13"/>
  <c r="K256" i="13"/>
  <c r="K257" i="13" s="1"/>
  <c r="BA251" i="13"/>
  <c r="H219" i="13"/>
  <c r="H220" i="13" s="1"/>
  <c r="AX214" i="13"/>
  <c r="H182" i="13"/>
  <c r="H183" i="13" s="1"/>
  <c r="AX177" i="13"/>
  <c r="I182" i="13"/>
  <c r="I183" i="13" s="1"/>
  <c r="AY177" i="13"/>
  <c r="G256" i="13"/>
  <c r="G257" i="13" s="1"/>
  <c r="AW251" i="13"/>
  <c r="F145" i="13"/>
  <c r="F146" i="13" s="1"/>
  <c r="AV140" i="13"/>
  <c r="G145" i="13"/>
  <c r="G146" i="13" s="1"/>
  <c r="AW140" i="13"/>
  <c r="K145" i="13"/>
  <c r="K146" i="13" s="1"/>
  <c r="BA140" i="13"/>
  <c r="D182" i="13"/>
  <c r="D183" i="13" s="1"/>
  <c r="AT177" i="13"/>
  <c r="F219" i="13"/>
  <c r="F220" i="13" s="1"/>
  <c r="AV214" i="13"/>
  <c r="F182" i="13"/>
  <c r="F183" i="13" s="1"/>
  <c r="AV177" i="13"/>
  <c r="AS140" i="13"/>
  <c r="E8" i="4"/>
  <c r="F8" i="4"/>
  <c r="G8" i="4"/>
  <c r="H8" i="4"/>
  <c r="I8" i="4"/>
  <c r="J8" i="4"/>
  <c r="K8" i="4"/>
  <c r="L8" i="4"/>
  <c r="D8" i="4"/>
  <c r="M8" i="4" l="1"/>
  <c r="C8" i="13"/>
  <c r="AA8" i="13" s="1"/>
  <c r="C54" i="13"/>
  <c r="D8" i="13"/>
  <c r="Y8" i="13" s="1"/>
  <c r="AU7" i="13"/>
  <c r="J8" i="13"/>
  <c r="H8" i="13"/>
  <c r="G8" i="13"/>
  <c r="E8" i="13"/>
  <c r="W8" i="13" s="1"/>
  <c r="F8" i="13"/>
  <c r="K8" i="13"/>
  <c r="BA8" i="13" s="1"/>
  <c r="I8" i="13"/>
  <c r="N261" i="13"/>
  <c r="O261" i="13" s="1"/>
  <c r="P261" i="13" s="1"/>
  <c r="Q261" i="13" s="1"/>
  <c r="M223" i="13"/>
  <c r="N223" i="13" s="1"/>
  <c r="O223" i="13" s="1"/>
  <c r="P223" i="13" s="1"/>
  <c r="Q223" i="13" s="1"/>
  <c r="L222" i="13"/>
  <c r="M149" i="13"/>
  <c r="N149" i="13" s="1"/>
  <c r="O149" i="13" s="1"/>
  <c r="P149" i="13" s="1"/>
  <c r="L148" i="13"/>
  <c r="L185" i="13"/>
  <c r="L111" i="13"/>
  <c r="AU182" i="13"/>
  <c r="AT219" i="13"/>
  <c r="AS182" i="13"/>
  <c r="BB108" i="13"/>
  <c r="AX292" i="13"/>
  <c r="AW292" i="13"/>
  <c r="AZ292" i="13"/>
  <c r="AV292" i="13"/>
  <c r="BA292" i="13"/>
  <c r="AY292" i="13"/>
  <c r="AS292" i="13"/>
  <c r="BB275" i="13"/>
  <c r="AW256" i="13"/>
  <c r="BA256" i="13"/>
  <c r="AS256" i="13"/>
  <c r="AX256" i="13"/>
  <c r="AY256" i="13"/>
  <c r="AZ256" i="13"/>
  <c r="AV256" i="13"/>
  <c r="AU256" i="13"/>
  <c r="BB238" i="13"/>
  <c r="AY219" i="13"/>
  <c r="BA219" i="13"/>
  <c r="AW219" i="13"/>
  <c r="AV219" i="13"/>
  <c r="AZ219" i="13"/>
  <c r="AX219" i="13"/>
  <c r="AS219" i="13"/>
  <c r="BB201" i="13"/>
  <c r="BA182" i="13"/>
  <c r="AY182" i="13"/>
  <c r="AX182" i="13"/>
  <c r="AV182" i="13"/>
  <c r="AZ182" i="13"/>
  <c r="AW182" i="13"/>
  <c r="AT182" i="13"/>
  <c r="BB164" i="13"/>
  <c r="AZ145" i="13"/>
  <c r="AX145" i="13"/>
  <c r="AS145" i="13"/>
  <c r="AV145" i="13"/>
  <c r="BA145" i="13"/>
  <c r="AT145" i="13"/>
  <c r="AW145" i="13"/>
  <c r="AY145" i="13"/>
  <c r="BB261" i="13"/>
  <c r="BB224" i="13"/>
  <c r="BB187" i="13"/>
  <c r="BB150" i="13"/>
  <c r="BB113" i="13"/>
  <c r="AV70" i="13"/>
  <c r="F24" i="13"/>
  <c r="AS70" i="13"/>
  <c r="C24" i="13"/>
  <c r="AS24" i="13" s="1"/>
  <c r="AX70" i="13"/>
  <c r="H24" i="13"/>
  <c r="BB41" i="13"/>
  <c r="BB19" i="13"/>
  <c r="AZ29" i="13"/>
  <c r="AZ7" i="13"/>
  <c r="AX44" i="13"/>
  <c r="AY40" i="13"/>
  <c r="AY18" i="13"/>
  <c r="AX31" i="13"/>
  <c r="AX9" i="13"/>
  <c r="AW38" i="13"/>
  <c r="AW16" i="13"/>
  <c r="AZ38" i="13"/>
  <c r="AZ16" i="13"/>
  <c r="AY31" i="13"/>
  <c r="AY9" i="13"/>
  <c r="AV42" i="13"/>
  <c r="AV20" i="13"/>
  <c r="AZ43" i="13"/>
  <c r="AZ21" i="13"/>
  <c r="AV37" i="13"/>
  <c r="AV15" i="13"/>
  <c r="AW32" i="13"/>
  <c r="AW10" i="13"/>
  <c r="AX37" i="13"/>
  <c r="AX15" i="13"/>
  <c r="AZ42" i="13"/>
  <c r="AZ20" i="13"/>
  <c r="AY37" i="13"/>
  <c r="AY15" i="13"/>
  <c r="AV29" i="13"/>
  <c r="AV7" i="13"/>
  <c r="AV13" i="13"/>
  <c r="AW40" i="13"/>
  <c r="AW18" i="13"/>
  <c r="AW31" i="13"/>
  <c r="AW9" i="13"/>
  <c r="AV44" i="13"/>
  <c r="AV22" i="13"/>
  <c r="AT24" i="13"/>
  <c r="AS8" i="13"/>
  <c r="AY42" i="13"/>
  <c r="AY20" i="13"/>
  <c r="AU17" i="13"/>
  <c r="AW29" i="13"/>
  <c r="AW7" i="13"/>
  <c r="AZ48" i="13"/>
  <c r="AZ26" i="13"/>
  <c r="AX38" i="13"/>
  <c r="AX16" i="13"/>
  <c r="AZ37" i="13"/>
  <c r="AZ15" i="13"/>
  <c r="AX42" i="13"/>
  <c r="AX20" i="13"/>
  <c r="AV31" i="13"/>
  <c r="AV9" i="13"/>
  <c r="AW37" i="13"/>
  <c r="AW15" i="13"/>
  <c r="AV43" i="13"/>
  <c r="AV21" i="13"/>
  <c r="AY32" i="13"/>
  <c r="AY10" i="13"/>
  <c r="AT17" i="13"/>
  <c r="AW48" i="13"/>
  <c r="AW26" i="13"/>
  <c r="AW44" i="13"/>
  <c r="AZ40" i="13"/>
  <c r="AZ18" i="13"/>
  <c r="AS7" i="13"/>
  <c r="AY38" i="13"/>
  <c r="AY16" i="13"/>
  <c r="AV48" i="13"/>
  <c r="AV26" i="13"/>
  <c r="AY48" i="13"/>
  <c r="AY26" i="13"/>
  <c r="AY29" i="13"/>
  <c r="AY7" i="13"/>
  <c r="AY44" i="13"/>
  <c r="AU13" i="13"/>
  <c r="AX29" i="13"/>
  <c r="AX7" i="13"/>
  <c r="AV40" i="13"/>
  <c r="AV18" i="13"/>
  <c r="AX43" i="13"/>
  <c r="AX21" i="13"/>
  <c r="AZ32" i="13"/>
  <c r="AZ10" i="13"/>
  <c r="AS17" i="13"/>
  <c r="AZ31" i="13"/>
  <c r="AZ9" i="13"/>
  <c r="AY43" i="13"/>
  <c r="AY21" i="13"/>
  <c r="AX40" i="13"/>
  <c r="AX18" i="13"/>
  <c r="AX32" i="13"/>
  <c r="AX10" i="13"/>
  <c r="AV38" i="13"/>
  <c r="AV16" i="13"/>
  <c r="AV32" i="13"/>
  <c r="AV10" i="13"/>
  <c r="AW43" i="13"/>
  <c r="AW21" i="13"/>
  <c r="AW42" i="13"/>
  <c r="AW20" i="13"/>
  <c r="AZ13" i="13"/>
  <c r="AX48" i="13"/>
  <c r="AX26" i="13"/>
  <c r="AW53" i="13"/>
  <c r="AZ63" i="13"/>
  <c r="AU30" i="13"/>
  <c r="AZ53" i="13"/>
  <c r="AX53" i="13"/>
  <c r="AU39" i="13"/>
  <c r="AW63" i="13"/>
  <c r="AS46" i="13"/>
  <c r="AT46" i="13"/>
  <c r="AV35" i="13"/>
  <c r="BA35" i="13"/>
  <c r="K46" i="13"/>
  <c r="K24" i="13" s="1"/>
  <c r="BA24" i="13" s="1"/>
  <c r="AZ35" i="13"/>
  <c r="AY49" i="13"/>
  <c r="AY46" i="13"/>
  <c r="AS39" i="13"/>
  <c r="BA63" i="13"/>
  <c r="BA39" i="13"/>
  <c r="BB67" i="13"/>
  <c r="AS29" i="13"/>
  <c r="BB68" i="13"/>
  <c r="AV53" i="13"/>
  <c r="AX63" i="13"/>
  <c r="AS30" i="13"/>
  <c r="AT39" i="13"/>
  <c r="AV63" i="13"/>
  <c r="AU35" i="13"/>
  <c r="AT30" i="13"/>
  <c r="AY63" i="13"/>
  <c r="BA53" i="13"/>
  <c r="BA30" i="13"/>
  <c r="AY53" i="13"/>
  <c r="BB51" i="13"/>
  <c r="BB55" i="13"/>
  <c r="BB64" i="13"/>
  <c r="BB62" i="13"/>
  <c r="BB66" i="13"/>
  <c r="BB56" i="13"/>
  <c r="BB61" i="13"/>
  <c r="BB72" i="13"/>
  <c r="AS53" i="13"/>
  <c r="AA53" i="13"/>
  <c r="AT63" i="13"/>
  <c r="Y63" i="13"/>
  <c r="AT53" i="13"/>
  <c r="Y53" i="13"/>
  <c r="AU53" i="13"/>
  <c r="W53" i="13"/>
  <c r="AU63" i="13"/>
  <c r="W63" i="13"/>
  <c r="AS63" i="13"/>
  <c r="AA63" i="13"/>
  <c r="C73" i="13"/>
  <c r="C27" i="13" s="1"/>
  <c r="AA27" i="13" s="1"/>
  <c r="H73" i="13"/>
  <c r="BB251" i="13"/>
  <c r="BB127" i="13"/>
  <c r="F73" i="13"/>
  <c r="I73" i="13"/>
  <c r="AY70" i="13"/>
  <c r="AZ70" i="13"/>
  <c r="J73" i="13"/>
  <c r="BB214" i="13"/>
  <c r="AT70" i="13"/>
  <c r="D73" i="13"/>
  <c r="D27" i="13" s="1"/>
  <c r="Y27" i="13" s="1"/>
  <c r="AW70" i="13"/>
  <c r="G73" i="13"/>
  <c r="AU70" i="13"/>
  <c r="E73" i="13"/>
  <c r="E27" i="13" s="1"/>
  <c r="W27" i="13" s="1"/>
  <c r="BB59" i="13"/>
  <c r="BB140" i="13"/>
  <c r="K73" i="13"/>
  <c r="BA73" i="13" s="1"/>
  <c r="BA70" i="13"/>
  <c r="BB288" i="13"/>
  <c r="BB177" i="13"/>
  <c r="N8" i="4" l="1"/>
  <c r="O8" i="4" s="1"/>
  <c r="P8" i="4" s="1"/>
  <c r="Q8" i="4" s="1"/>
  <c r="R8" i="4" s="1"/>
  <c r="M185" i="13"/>
  <c r="N185" i="13" s="1"/>
  <c r="O185" i="13" s="1"/>
  <c r="P185" i="13" s="1"/>
  <c r="Q185" i="13" s="1"/>
  <c r="AT8" i="13"/>
  <c r="AU8" i="13"/>
  <c r="M222" i="13"/>
  <c r="N222" i="13" s="1"/>
  <c r="O222" i="13" s="1"/>
  <c r="P222" i="13" s="1"/>
  <c r="Q222" i="13" s="1"/>
  <c r="M148" i="13"/>
  <c r="N148" i="13" s="1"/>
  <c r="O148" i="13" s="1"/>
  <c r="P148" i="13" s="1"/>
  <c r="Q148" i="13" s="1"/>
  <c r="M111" i="13"/>
  <c r="L51" i="13"/>
  <c r="L52" i="13" s="1"/>
  <c r="BB292" i="13"/>
  <c r="BB256" i="13"/>
  <c r="BB219" i="13"/>
  <c r="BB182" i="13"/>
  <c r="BB145" i="13"/>
  <c r="BB13" i="13"/>
  <c r="AV73" i="13"/>
  <c r="F27" i="13"/>
  <c r="AY73" i="13"/>
  <c r="I27" i="13"/>
  <c r="AW73" i="13"/>
  <c r="G27" i="13"/>
  <c r="AZ73" i="13"/>
  <c r="J27" i="13"/>
  <c r="AZ27" i="13" s="1"/>
  <c r="AX73" i="13"/>
  <c r="H27" i="13"/>
  <c r="BB48" i="13"/>
  <c r="BB43" i="13"/>
  <c r="BB44" i="13"/>
  <c r="BB40" i="13"/>
  <c r="BB38" i="13"/>
  <c r="BB37" i="13"/>
  <c r="BB31" i="13"/>
  <c r="BB16" i="13"/>
  <c r="BB9" i="13"/>
  <c r="BB20" i="13"/>
  <c r="BB26" i="13"/>
  <c r="BB42" i="13"/>
  <c r="BB18" i="13"/>
  <c r="BB15" i="13"/>
  <c r="BB32" i="13"/>
  <c r="BB10" i="13"/>
  <c r="AX22" i="13"/>
  <c r="AW22" i="13"/>
  <c r="BB21" i="13"/>
  <c r="AT27" i="13"/>
  <c r="AZ30" i="13"/>
  <c r="AZ8" i="13"/>
  <c r="AY22" i="13"/>
  <c r="AY30" i="13"/>
  <c r="AY8" i="13"/>
  <c r="AV30" i="13"/>
  <c r="AV8" i="13"/>
  <c r="AW39" i="13"/>
  <c r="AW17" i="13"/>
  <c r="AS27" i="13"/>
  <c r="AV39" i="13"/>
  <c r="AV17" i="13"/>
  <c r="AW30" i="13"/>
  <c r="AW8" i="13"/>
  <c r="AU24" i="13"/>
  <c r="BB7" i="13"/>
  <c r="AX39" i="13"/>
  <c r="AX17" i="13"/>
  <c r="BB29" i="13"/>
  <c r="AZ39" i="13"/>
  <c r="AZ17" i="13"/>
  <c r="AZ24" i="13"/>
  <c r="AY39" i="13"/>
  <c r="AY17" i="13"/>
  <c r="AX30" i="13"/>
  <c r="AX8" i="13"/>
  <c r="BB35" i="13"/>
  <c r="AS49" i="13"/>
  <c r="AX46" i="13"/>
  <c r="AX49" i="13"/>
  <c r="AW46" i="13"/>
  <c r="AW49" i="13"/>
  <c r="K49" i="13"/>
  <c r="BA46" i="13"/>
  <c r="AV46" i="13"/>
  <c r="AV49" i="13"/>
  <c r="AU46" i="13"/>
  <c r="AT49" i="13"/>
  <c r="AZ49" i="13"/>
  <c r="AZ46" i="13"/>
  <c r="BB53" i="13"/>
  <c r="BB63" i="13"/>
  <c r="AU73" i="13"/>
  <c r="W73" i="13"/>
  <c r="AS73" i="13"/>
  <c r="AA73" i="13"/>
  <c r="AT73" i="13"/>
  <c r="Y73" i="13"/>
  <c r="BB70" i="13"/>
  <c r="L53" i="13" l="1"/>
  <c r="L54" i="13" s="1"/>
  <c r="M53" i="13"/>
  <c r="N111" i="13"/>
  <c r="M51" i="13"/>
  <c r="M52" i="13" s="1"/>
  <c r="K10" i="16" s="1"/>
  <c r="BB5" i="13"/>
  <c r="BA49" i="13"/>
  <c r="K27" i="13"/>
  <c r="BA27" i="13" s="1"/>
  <c r="BB22" i="13"/>
  <c r="BB17" i="13"/>
  <c r="BB39" i="13"/>
  <c r="BB46" i="13"/>
  <c r="BB8" i="13"/>
  <c r="BB30" i="13"/>
  <c r="AV27" i="13"/>
  <c r="AV24" i="13"/>
  <c r="AW27" i="13"/>
  <c r="AW24" i="13"/>
  <c r="AY24" i="13"/>
  <c r="AY27" i="13"/>
  <c r="AU27" i="13"/>
  <c r="AX27" i="13"/>
  <c r="AX24" i="13"/>
  <c r="AU49" i="13"/>
  <c r="BB73" i="13"/>
  <c r="X10" i="16" l="1"/>
  <c r="N27" i="4"/>
  <c r="N26" i="4" s="1"/>
  <c r="K9" i="16"/>
  <c r="N9" i="4"/>
  <c r="N7" i="4" s="1"/>
  <c r="N31" i="4"/>
  <c r="N28" i="4" s="1"/>
  <c r="J44" i="16"/>
  <c r="J49" i="16" s="1"/>
  <c r="M54" i="13"/>
  <c r="O111" i="13"/>
  <c r="N51" i="13"/>
  <c r="N52" i="13" s="1"/>
  <c r="L10" i="16" s="1"/>
  <c r="O27" i="4" s="1"/>
  <c r="BB49" i="13"/>
  <c r="BB27" i="13"/>
  <c r="BB24" i="13"/>
  <c r="O26" i="4" l="1"/>
  <c r="N68" i="4"/>
  <c r="N69" i="4" s="1"/>
  <c r="L6" i="17" s="1"/>
  <c r="X9" i="16"/>
  <c r="K18" i="16"/>
  <c r="L9" i="16"/>
  <c r="O9" i="4"/>
  <c r="O7" i="4" s="1"/>
  <c r="O31" i="4"/>
  <c r="O28" i="4" s="1"/>
  <c r="M34" i="4"/>
  <c r="M37" i="4"/>
  <c r="J33" i="16"/>
  <c r="T33" i="16" s="1"/>
  <c r="J7" i="16"/>
  <c r="P111" i="13"/>
  <c r="O51" i="13"/>
  <c r="O52" i="13" s="1"/>
  <c r="M10" i="16" s="1"/>
  <c r="P27" i="4" s="1"/>
  <c r="O53" i="13"/>
  <c r="N53" i="13"/>
  <c r="N54" i="13" s="1"/>
  <c r="O54" i="13" l="1"/>
  <c r="P26" i="4"/>
  <c r="O68" i="4"/>
  <c r="O69" i="4" s="1"/>
  <c r="M6" i="17" s="1"/>
  <c r="X18" i="16"/>
  <c r="L18" i="16"/>
  <c r="M9" i="16"/>
  <c r="P9" i="4"/>
  <c r="P7" i="4" s="1"/>
  <c r="P31" i="4"/>
  <c r="P28" i="4" s="1"/>
  <c r="J47" i="16"/>
  <c r="K47" i="16" s="1"/>
  <c r="X47" i="16" s="1"/>
  <c r="J45" i="16"/>
  <c r="Q111" i="13"/>
  <c r="P51" i="13"/>
  <c r="P52" i="13" s="1"/>
  <c r="N10" i="16" s="1"/>
  <c r="Q27" i="4" s="1"/>
  <c r="P53" i="13"/>
  <c r="P54" i="13" l="1"/>
  <c r="Q26" i="4"/>
  <c r="P68" i="4"/>
  <c r="P69" i="4" s="1"/>
  <c r="N6" i="17" s="1"/>
  <c r="M18" i="16"/>
  <c r="N9" i="16"/>
  <c r="Q31" i="4"/>
  <c r="Q28" i="4" s="1"/>
  <c r="Q9" i="4"/>
  <c r="Q7" i="4" s="1"/>
  <c r="K36" i="16"/>
  <c r="X36" i="16" s="1"/>
  <c r="L37" i="16"/>
  <c r="M37" i="16" s="1"/>
  <c r="N37" i="16" s="1"/>
  <c r="O37" i="16" s="1"/>
  <c r="Q51" i="13"/>
  <c r="Q52" i="13" s="1"/>
  <c r="O10" i="16" s="1"/>
  <c r="R27" i="4" s="1"/>
  <c r="Q53" i="13"/>
  <c r="Q54" i="13" l="1"/>
  <c r="R26" i="4"/>
  <c r="R68" i="4" s="1"/>
  <c r="Q68" i="4"/>
  <c r="Q69" i="4" s="1"/>
  <c r="O6" i="17" s="1"/>
  <c r="O9" i="16"/>
  <c r="R31" i="4"/>
  <c r="R28" i="4" s="1"/>
  <c r="R9" i="4"/>
  <c r="R7" i="4" s="1"/>
  <c r="N18" i="16"/>
  <c r="L36" i="16"/>
  <c r="M36" i="16"/>
  <c r="J51" i="16"/>
  <c r="R69" i="4" l="1"/>
  <c r="P6" i="17" s="1"/>
  <c r="O18" i="16"/>
  <c r="J56" i="16"/>
  <c r="J61" i="16" s="1"/>
  <c r="J63" i="16" s="1"/>
  <c r="K63" i="16" s="1"/>
  <c r="L63" i="16" l="1"/>
  <c r="M63" i="16" s="1"/>
  <c r="N63" i="16" s="1"/>
  <c r="O63" i="16" s="1"/>
  <c r="X63" i="16"/>
  <c r="O36" i="16"/>
  <c r="N36" i="16"/>
  <c r="J65" i="16"/>
  <c r="J68" i="16" s="1"/>
  <c r="J70" i="16" l="1"/>
  <c r="K5" i="17" l="1"/>
  <c r="K7" i="17" s="1"/>
  <c r="K50" i="17" s="1"/>
  <c r="J78" i="16"/>
  <c r="J84" i="16"/>
  <c r="J71" i="16"/>
  <c r="K9" i="17" l="1"/>
  <c r="K31" i="16"/>
  <c r="K33" i="16"/>
  <c r="K16" i="16"/>
  <c r="K30" i="16" l="1"/>
  <c r="X30" i="16" s="1"/>
  <c r="X31" i="16"/>
  <c r="K15" i="16"/>
  <c r="X16" i="16"/>
  <c r="K32" i="16"/>
  <c r="X32" i="16" s="1"/>
  <c r="X33" i="16"/>
  <c r="L31" i="16"/>
  <c r="M31" i="16" s="1"/>
  <c r="N31" i="16" s="1"/>
  <c r="L33" i="16"/>
  <c r="L32" i="16" s="1"/>
  <c r="L16" i="16"/>
  <c r="K23" i="16" l="1"/>
  <c r="K6" i="16" s="1"/>
  <c r="K28" i="16"/>
  <c r="K26" i="16" s="1"/>
  <c r="M30" i="16"/>
  <c r="M33" i="16"/>
  <c r="M32" i="16" s="1"/>
  <c r="X15" i="16"/>
  <c r="L30" i="16"/>
  <c r="L28" i="16" s="1"/>
  <c r="L26" i="16" s="1"/>
  <c r="M16" i="16"/>
  <c r="L15" i="16"/>
  <c r="N30" i="16"/>
  <c r="O31" i="16"/>
  <c r="O30" i="16" s="1"/>
  <c r="M28" i="16" l="1"/>
  <c r="M26" i="16" s="1"/>
  <c r="X28" i="16"/>
  <c r="N33" i="16"/>
  <c r="N32" i="16" s="1"/>
  <c r="N28" i="16" s="1"/>
  <c r="N26" i="16" s="1"/>
  <c r="L23" i="16"/>
  <c r="N34" i="4"/>
  <c r="K7" i="16"/>
  <c r="X7" i="16" s="1"/>
  <c r="N37" i="4"/>
  <c r="K44" i="16"/>
  <c r="X26" i="16"/>
  <c r="N16" i="16"/>
  <c r="M15" i="16"/>
  <c r="O33" i="16" l="1"/>
  <c r="O32" i="16" s="1"/>
  <c r="O28" i="16" s="1"/>
  <c r="O26" i="16" s="1"/>
  <c r="L6" i="16"/>
  <c r="L44" i="16" s="1"/>
  <c r="X23" i="16"/>
  <c r="X6" i="16" s="1"/>
  <c r="X44" i="16" s="1"/>
  <c r="O34" i="4"/>
  <c r="L7" i="16"/>
  <c r="M23" i="16"/>
  <c r="M6" i="16" s="1"/>
  <c r="K46" i="16"/>
  <c r="X46" i="16" s="1"/>
  <c r="K45" i="16"/>
  <c r="X45" i="16" s="1"/>
  <c r="O16" i="16"/>
  <c r="O15" i="16" s="1"/>
  <c r="N15" i="16"/>
  <c r="O37" i="4" l="1"/>
  <c r="L46" i="16" s="1"/>
  <c r="L49" i="16" s="1"/>
  <c r="L50" i="16" s="1"/>
  <c r="L56" i="16" s="1"/>
  <c r="L61" i="16" s="1"/>
  <c r="X49" i="16"/>
  <c r="L45" i="16"/>
  <c r="K49" i="16"/>
  <c r="P34" i="4"/>
  <c r="M7" i="16"/>
  <c r="P37" i="4"/>
  <c r="M46" i="16" s="1"/>
  <c r="M44" i="16"/>
  <c r="O23" i="16"/>
  <c r="O6" i="16" s="1"/>
  <c r="N23" i="16"/>
  <c r="N6" i="16" s="1"/>
  <c r="M49" i="16" l="1"/>
  <c r="M50" i="16" s="1"/>
  <c r="M56" i="16" s="1"/>
  <c r="M61" i="16" s="1"/>
  <c r="M45" i="16"/>
  <c r="N7" i="16"/>
  <c r="Q34" i="4"/>
  <c r="N44" i="16"/>
  <c r="Q37" i="4"/>
  <c r="N46" i="16" s="1"/>
  <c r="O7" i="16"/>
  <c r="O44" i="16"/>
  <c r="R37" i="4"/>
  <c r="R34" i="4"/>
  <c r="K50" i="16"/>
  <c r="K56" i="16" s="1"/>
  <c r="K61" i="16" s="1"/>
  <c r="K62" i="16" s="1"/>
  <c r="K65" i="16" s="1"/>
  <c r="K66" i="16" s="1"/>
  <c r="K70" i="16" s="1"/>
  <c r="X50" i="16"/>
  <c r="X56" i="16" s="1"/>
  <c r="X61" i="16" s="1"/>
  <c r="N45" i="16"/>
  <c r="L62" i="16"/>
  <c r="L65" i="16" s="1"/>
  <c r="O45" i="16" l="1"/>
  <c r="N49" i="16"/>
  <c r="O46" i="16"/>
  <c r="K84" i="16"/>
  <c r="X84" i="16" s="1"/>
  <c r="L5" i="17"/>
  <c r="K71" i="16"/>
  <c r="X71" i="16" s="1"/>
  <c r="K78" i="16"/>
  <c r="X62" i="16"/>
  <c r="X65" i="16" s="1"/>
  <c r="M62" i="16"/>
  <c r="M65" i="16" s="1"/>
  <c r="N50" i="16"/>
  <c r="N56" i="16" s="1"/>
  <c r="N61" i="16" s="1"/>
  <c r="L66" i="16"/>
  <c r="L70" i="16" s="1"/>
  <c r="L7" i="17" l="1"/>
  <c r="O49" i="16"/>
  <c r="O50" i="16" s="1"/>
  <c r="O56" i="16" s="1"/>
  <c r="O61" i="16" s="1"/>
  <c r="O62" i="16" s="1"/>
  <c r="O65" i="16" s="1"/>
  <c r="X66" i="16"/>
  <c r="X70" i="16" s="1"/>
  <c r="X79" i="16" s="1"/>
  <c r="K79" i="16" s="1"/>
  <c r="D29" i="20" s="1"/>
  <c r="N62" i="16"/>
  <c r="N65" i="16" s="1"/>
  <c r="M66" i="16"/>
  <c r="M70" i="16" s="1"/>
  <c r="L78" i="16"/>
  <c r="M5" i="17"/>
  <c r="M7" i="17" s="1"/>
  <c r="M50" i="17" s="1"/>
  <c r="L71" i="16"/>
  <c r="L84" i="16"/>
  <c r="L9" i="17" l="1"/>
  <c r="L50" i="17"/>
  <c r="L30" i="20"/>
  <c r="D2" i="22" s="1"/>
  <c r="M2" i="22" s="1"/>
  <c r="O30" i="20"/>
  <c r="G2" i="22" s="1"/>
  <c r="N30" i="20"/>
  <c r="F2" i="22" s="1"/>
  <c r="P30" i="20"/>
  <c r="H2" i="22" s="1"/>
  <c r="M30" i="20"/>
  <c r="E2" i="22" s="1"/>
  <c r="D30" i="20"/>
  <c r="E41" i="20" s="1"/>
  <c r="E43" i="20" s="1"/>
  <c r="N66" i="16"/>
  <c r="N70" i="16" s="1"/>
  <c r="M71" i="16"/>
  <c r="M84" i="16"/>
  <c r="M78" i="16"/>
  <c r="N5" i="17"/>
  <c r="N7" i="17" s="1"/>
  <c r="N50" i="17" s="1"/>
  <c r="O66" i="16"/>
  <c r="O70" i="16" s="1"/>
  <c r="M9" i="17"/>
  <c r="O2" i="22" l="1"/>
  <c r="N2" i="22"/>
  <c r="D8" i="21"/>
  <c r="E46" i="20"/>
  <c r="N9" i="17"/>
  <c r="O84" i="16"/>
  <c r="P5" i="17"/>
  <c r="P7" i="17" s="1"/>
  <c r="P50" i="17" s="1"/>
  <c r="O71" i="16"/>
  <c r="O78" i="16"/>
  <c r="N78" i="16"/>
  <c r="O5" i="17"/>
  <c r="O7" i="17" s="1"/>
  <c r="O50" i="17" s="1"/>
  <c r="N84" i="16"/>
  <c r="N71" i="16"/>
  <c r="L76" i="16" l="1"/>
  <c r="L82" i="16"/>
  <c r="O9" i="17"/>
  <c r="C16" i="17" l="1"/>
  <c r="C17" i="17" s="1"/>
  <c r="P9" i="17"/>
  <c r="C18" i="17" s="1"/>
  <c r="C19" i="17" l="1"/>
  <c r="C22" i="17" s="1"/>
  <c r="D7" i="21" s="1"/>
  <c r="D9" i="21" s="1"/>
  <c r="D10" i="21" s="1"/>
  <c r="C24" i="17" l="1"/>
  <c r="E2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tc={33292ECE-5FEF-4BD4-84C5-CB4F099D8D13}</author>
  </authors>
  <commentList>
    <comment ref="E43" authorId="0" shapeId="0" xr:uid="{33292ECE-5FEF-4BD4-84C5-CB4F099D8D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Include Goodwill impairment of 260
</t>
      </text>
    </comment>
  </commentList>
</comments>
</file>

<file path=xl/sharedStrings.xml><?xml version="1.0" encoding="utf-8"?>
<sst xmlns="http://schemas.openxmlformats.org/spreadsheetml/2006/main" count="4431" uniqueCount="697">
  <si>
    <t>MetLife Inc (MET US) - Adjusted</t>
  </si>
  <si>
    <t>In Millions of USD except Per Share</t>
  </si>
  <si>
    <t>FY 2016</t>
  </si>
  <si>
    <t>FY 2017</t>
  </si>
  <si>
    <t>FY 2018</t>
  </si>
  <si>
    <t>FY 2019</t>
  </si>
  <si>
    <t>FY 2020</t>
  </si>
  <si>
    <t>FY 2021</t>
  </si>
  <si>
    <t>FY 2022</t>
  </si>
  <si>
    <t>Last 12M</t>
  </si>
  <si>
    <t>12 Months Ending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</si>
  <si>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</si>
  <si>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</si>
  <si>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</si>
  <si>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</si>
  <si>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</si>
  <si>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</si>
  <si>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</si>
  <si>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06/30/2023</t>
  </si>
  <si>
    <t>Revenue</t>
  </si>
  <si>
    <t>SALES_REV_TURN</t>
  </si>
  <si>
    <t>+ Insurance Rev/Net Premium Earned</t>
  </si>
  <si>
    <t>IS_TOT_NET_PREM_EARN</t>
  </si>
  <si>
    <t xml:space="preserve">  + Net Premiums Earned (NL)</t>
  </si>
  <si>
    <t>IS_NET_PREMS_EARNED_NON_LIFE</t>
  </si>
  <si>
    <t xml:space="preserve">  + Net Premiums Earned (L)</t>
  </si>
  <si>
    <t>IS_NET_PREMS_EARNED_LIFE</t>
  </si>
  <si>
    <t xml:space="preserve">  + Other Premiums Earned (NL &amp; L)</t>
  </si>
  <si>
    <t>IS_OTH_PRM_EARNED_NL_LF</t>
  </si>
  <si>
    <t>+ Investment Income</t>
  </si>
  <si>
    <t>IS_ADJ_INVESTMENT_INCOME</t>
  </si>
  <si>
    <t>+ Other Operating Income</t>
  </si>
  <si>
    <t>IS_OTHER_OPER_INC_LOSSES</t>
  </si>
  <si>
    <t xml:space="preserve">  + Policy Charges &amp; Fees</t>
  </si>
  <si>
    <t>IS_POLICY_CHARGES_AND_FEES</t>
  </si>
  <si>
    <t xml:space="preserve">  + Other Income</t>
  </si>
  <si>
    <t>IS_ADJ_OTHER_INCOME</t>
  </si>
  <si>
    <t>- Claims &amp; Losses</t>
  </si>
  <si>
    <t>IS_TOTAL_CLAIMS_AND_LOSSES</t>
  </si>
  <si>
    <t xml:space="preserve">  + Claims &amp; Losses (NL)</t>
  </si>
  <si>
    <t>IS_CLAIMS_AND_LOSSES_NL</t>
  </si>
  <si>
    <t xml:space="preserve">  + Claims &amp; Losses (L)</t>
  </si>
  <si>
    <t>IS_INS_CLAIM_AND_LOSS_L</t>
  </si>
  <si>
    <t xml:space="preserve">  + LT Charges (L)</t>
  </si>
  <si>
    <t>IS_LT_INS_CHRG_L</t>
  </si>
  <si>
    <t xml:space="preserve">  + Oth Claims &amp; Losses (NL &amp; L)</t>
  </si>
  <si>
    <t>IS_OTH_CLM_LOSS_NL_LF</t>
  </si>
  <si>
    <t>- Underwriting Expense &amp; Acq Cost</t>
  </si>
  <si>
    <t>IS_TOT_UNDWRT_EXPN_ACQUIS_CST</t>
  </si>
  <si>
    <t xml:space="preserve">  + Underwriting &amp; Acq Cost (NL)</t>
  </si>
  <si>
    <t>IS_UNDW_AND_PLCY_ACQ_COST_NL</t>
  </si>
  <si>
    <t xml:space="preserve">    + Underwriting Cost (NL)</t>
  </si>
  <si>
    <t>IS_UNDERWRITING_EXPENSES_NL</t>
  </si>
  <si>
    <t xml:space="preserve">  + Underwriting &amp; Acq Cost (L)</t>
  </si>
  <si>
    <t>IS_UNDW_AND_PLCY_ACQ_COST_L</t>
  </si>
  <si>
    <t xml:space="preserve">    + Underwriting Cost (L)</t>
  </si>
  <si>
    <t>IS_UNDERWRITING_COSTS_LIFE</t>
  </si>
  <si>
    <t xml:space="preserve">  + Other Cost (NL &amp; L)</t>
  </si>
  <si>
    <t>IS_OTH_UNDRWRT_ACQUIS_CST_NL_LF</t>
  </si>
  <si>
    <t>Operating Income (Loss)</t>
  </si>
  <si>
    <t>IS_OPER_INC</t>
  </si>
  <si>
    <t>- Interest Expense</t>
  </si>
  <si>
    <t>IS_INT_EXPENSE</t>
  </si>
  <si>
    <t>PRETAX_INC</t>
  </si>
  <si>
    <t>Pretax Income (Loss), GAAP</t>
  </si>
  <si>
    <t xml:space="preserve">  - Income Tax Expense (Benefit)</t>
  </si>
  <si>
    <t>IS_INC_TAX_EXP</t>
  </si>
  <si>
    <t xml:space="preserve">  + Current Income Tax</t>
  </si>
  <si>
    <t>IS_CURRENT_INCOME_TAX_BENEFIT</t>
  </si>
  <si>
    <t xml:space="preserve">  + Deferred Income Tax</t>
  </si>
  <si>
    <t>IS_DEFERRED_INCOME_TAX_BENEFIT</t>
  </si>
  <si>
    <t xml:space="preserve">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</si>
  <si>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</si>
  <si>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</si>
  <si>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</si>
  <si>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</si>
  <si>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</si>
  <si>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+ Discontinued Operations</t>
  </si>
  <si>
    <t>IS_DISCONTINUED_OPERATIONS</t>
  </si>
  <si>
    <t xml:space="preserve">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</si>
  <si>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</si>
  <si>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</si>
  <si>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</si>
  <si>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</si>
  <si>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</si>
  <si>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</si>
  <si>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</si>
  <si>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</si>
  <si>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</si>
  <si>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</si>
  <si>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</si>
  <si>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</si>
  <si>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</si>
  <si>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</si>
  <si>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</si>
  <si>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</si>
  <si>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</si>
  <si>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</si>
  <si>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</si>
  <si>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</si>
  <si>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</si>
  <si>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</si>
  <si>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</si>
  <si>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</si>
  <si>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</si>
  <si>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</si>
  <si>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</si>
  <si>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</si>
  <si>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</si>
  <si>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</si>
  <si>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</si>
  <si>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</si>
  <si>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</si>
  <si>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Reference Items</t>
  </si>
  <si>
    <t>Accounting Standard</t>
  </si>
  <si>
    <t>ACCOUNTING_STANDARD</t>
  </si>
  <si>
    <t>US GAAP</t>
  </si>
  <si>
    <t>Profit Margin</t>
  </si>
  <si>
    <t>PROF_MARGIN</t>
  </si>
  <si>
    <t>Loss Ratio (Non-Life)</t>
  </si>
  <si>
    <t>LOSS_RATIO_NL</t>
  </si>
  <si>
    <t>Expense Ratio (Non-Life)</t>
  </si>
  <si>
    <t>EXP_RATIO_NL</t>
  </si>
  <si>
    <t>Combined Ratio (Non-Life)</t>
  </si>
  <si>
    <t>COMB_RATIO_NL</t>
  </si>
  <si>
    <t>Cost Ratio (Life)</t>
  </si>
  <si>
    <t>COST_RATIO_LIFE</t>
  </si>
  <si>
    <t>Benefit Ratio (Life)</t>
  </si>
  <si>
    <t>BENEFIT_RATIO_LIFE</t>
  </si>
  <si>
    <t>Basic EPS Before XO Growth</t>
  </si>
  <si>
    <t>EPS_GROWTH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</si>
  <si>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</si>
  <si>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</si>
  <si>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</si>
  <si>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</si>
  <si>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</si>
  <si>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</si>
  <si>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</si>
  <si>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Right click to show data transparency (not supported for all values)</t>
  </si>
  <si>
    <t>FY 2013</t>
  </si>
  <si>
    <t>FY 2014</t>
  </si>
  <si>
    <t>FY 2015</t>
  </si>
  <si>
    <t>12/31/2013</t>
  </si>
  <si>
    <t>12/31/2014</t>
  </si>
  <si>
    <t>12/31/2015</t>
  </si>
  <si>
    <t>Income Statement</t>
  </si>
  <si>
    <t>Interest Expense</t>
  </si>
  <si>
    <t>Net Income</t>
  </si>
  <si>
    <t>MetLife Inc (MET US) - Standardized</t>
  </si>
  <si>
    <t>Assets</t>
  </si>
  <si>
    <t xml:space="preserve">  + Total Investments</t>
  </si>
  <si>
    <t>BS_LT_INVEST</t>
  </si>
  <si>
    <t xml:space="preserve">    + Fixed Income-Trading/AFS &amp; ST Inv</t>
  </si>
  <si>
    <t>BS_MKT_SEC_OTHER_ST_INVEST</t>
  </si>
  <si>
    <t xml:space="preserve">    + Loans &amp; Mortgages</t>
  </si>
  <si>
    <t>BS_LOAN_MTG</t>
  </si>
  <si>
    <t xml:space="preserve">    + Fixed Income Securities-HTM</t>
  </si>
  <si>
    <t>BS_FIX_INCOME_SEC</t>
  </si>
  <si>
    <t xml:space="preserve">    + Equity Securities</t>
  </si>
  <si>
    <t>BS_EQY_SEC</t>
  </si>
  <si>
    <t xml:space="preserve">    + Real Estate Investments</t>
  </si>
  <si>
    <t>BS_RE_INVEST</t>
  </si>
  <si>
    <t xml:space="preserve">    + Other Investments</t>
  </si>
  <si>
    <t>BS_LT_INVEST_OTHER</t>
  </si>
  <si>
    <t xml:space="preserve">  + Cash &amp; Near Cash Items</t>
  </si>
  <si>
    <t>BS_CASH_NEAR_CASH_ITEM</t>
  </si>
  <si>
    <t xml:space="preserve">  + Net Receivables</t>
  </si>
  <si>
    <t>BS_ACCT_NOTE_RCV</t>
  </si>
  <si>
    <t xml:space="preserve">  + Net Fixed Assets</t>
  </si>
  <si>
    <t>BS_NET_FIX_ASSET</t>
  </si>
  <si>
    <t xml:space="preserve">  + Deferred Policy Acquisition Costs</t>
  </si>
  <si>
    <t>DEFERRED_POLICY_ACQUISITION_COST</t>
  </si>
  <si>
    <t xml:space="preserve">  + Other Assets</t>
  </si>
  <si>
    <t>BS_OTHER_ASSETS_DEF_CHRG_OTHER</t>
  </si>
  <si>
    <t>Total Assets</t>
  </si>
  <si>
    <t>BS_TOT_ASSET</t>
  </si>
  <si>
    <t>Liabilities &amp; Shareholders' Equity</t>
  </si>
  <si>
    <t xml:space="preserve">    + Life Policy Benefits</t>
  </si>
  <si>
    <t>BS_LIFE_PLCY_BNFT</t>
  </si>
  <si>
    <t xml:space="preserve">    + Other Insurance Reserves</t>
  </si>
  <si>
    <t>BS_OTHER_OPER_RSRV</t>
  </si>
  <si>
    <t xml:space="preserve">  + Total Insurance Reserves</t>
  </si>
  <si>
    <t>BS_TOT_INSUR_RSRV</t>
  </si>
  <si>
    <t xml:space="preserve">  + Short-Term Borrowings</t>
  </si>
  <si>
    <t>BS_ST_BORROW</t>
  </si>
  <si>
    <t xml:space="preserve">  + Other Short-Term Liabilities</t>
  </si>
  <si>
    <t>BS_OTHER_ST_LIAB</t>
  </si>
  <si>
    <t xml:space="preserve">  + Long-Term Borrowings</t>
  </si>
  <si>
    <t>BS_LT_BORROW</t>
  </si>
  <si>
    <t xml:space="preserve">  + Other Long-Term Liabilities</t>
  </si>
  <si>
    <t>BS_OTHER_LT_LIABILITIES</t>
  </si>
  <si>
    <t>Total Liabilities</t>
  </si>
  <si>
    <t>BS_TOT_LIAB2</t>
  </si>
  <si>
    <t xml:space="preserve">  + Total Preferred Equity</t>
  </si>
  <si>
    <t>PFD_EQTY_HYBRID_CAPITAL</t>
  </si>
  <si>
    <t xml:space="preserve">  + Minority Interest</t>
  </si>
  <si>
    <t>MINORITY_NONCONTROLLING_INTEREST</t>
  </si>
  <si>
    <t xml:space="preserve">  + Policyholders' Equity</t>
  </si>
  <si>
    <t>BS_PLCY_HOLD_EQY</t>
  </si>
  <si>
    <t xml:space="preserve">  + Share Capital &amp; APIC</t>
  </si>
  <si>
    <t>BS_SH_CAP_AND_APIC</t>
  </si>
  <si>
    <t xml:space="preserve">  + Retained Earnings &amp; Other Equity</t>
  </si>
  <si>
    <t>BS_RETAIN_EARN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</si>
  <si>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</si>
  <si>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</si>
  <si>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</si>
  <si>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</si>
  <si>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</si>
  <si>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</si>
  <si>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</si>
  <si>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</si>
  <si>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Amount of Treasury Shares</t>
  </si>
  <si>
    <t>BS_AMT_OF_TSY_STOCK</t>
  </si>
  <si>
    <t>Operating Leases</t>
  </si>
  <si>
    <t>BS_FUTURE_MIN_OPER_LEASE_OBLIG</t>
  </si>
  <si>
    <t>Capital Leases - Long Term</t>
  </si>
  <si>
    <t>LT_CAPITAL_LEASE_OBLIGATIONS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</si>
  <si>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</si>
  <si>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</si>
  <si>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</si>
  <si>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</si>
  <si>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</si>
  <si>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</si>
  <si>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Book Value per Share</t>
  </si>
  <si>
    <t>BOOK_VAL_PER_SH</t>
  </si>
  <si>
    <t>Net Debt</t>
  </si>
  <si>
    <t>NET_DEBT</t>
  </si>
  <si>
    <t>Tangible Common Equity Ratio</t>
  </si>
  <si>
    <t>TCE_RATIO</t>
  </si>
  <si>
    <t>Statutory Capital</t>
  </si>
  <si>
    <t>STATUTORY_CAPITAL</t>
  </si>
  <si>
    <t>Number of Employees</t>
  </si>
  <si>
    <t>NUM_OF_EMPLOYEES</t>
  </si>
  <si>
    <t>Cash From Operating Activities</t>
  </si>
  <si>
    <t>CF_NET_INC</t>
  </si>
  <si>
    <t xml:space="preserve">  + Depreciation &amp; Amortization</t>
  </si>
  <si>
    <t>CF_DEPR_AMORT</t>
  </si>
  <si>
    <t xml:space="preserve">  + Other Non-Cash Adjustments</t>
  </si>
  <si>
    <t>CF_OTHER_NON_CASH_ADJUST</t>
  </si>
  <si>
    <t xml:space="preserve">  + Changes in Non-Cash Capital</t>
  </si>
  <si>
    <t>CF_CHNG_NON_CASH_WORK_CAP</t>
  </si>
  <si>
    <t>CF_CASH_FROM_OPER</t>
  </si>
  <si>
    <t>Cash From Investing Activities</t>
  </si>
  <si>
    <t xml:space="preserve">  + Disposal of Fixed Assets</t>
  </si>
  <si>
    <t>CF_DISP_FIX_ASSET</t>
  </si>
  <si>
    <t xml:space="preserve">  + Capital Expenditures</t>
  </si>
  <si>
    <t>CF_CAP_EXPEND_PRPTY_ADD</t>
  </si>
  <si>
    <t xml:space="preserve">  + Increase in Investments</t>
  </si>
  <si>
    <t>CF_INCR_INVEST</t>
  </si>
  <si>
    <t xml:space="preserve">  + Decrease in Investments</t>
  </si>
  <si>
    <t>CF_DECR_INVEST</t>
  </si>
  <si>
    <t xml:space="preserve">  + Other Investing Activities</t>
  </si>
  <si>
    <t>CF_OTHER_INV_ACT</t>
  </si>
  <si>
    <t>CF_CASH_FROM_INV_ACT</t>
  </si>
  <si>
    <t>Cash from Financing Activities</t>
  </si>
  <si>
    <t xml:space="preserve">  + Dividends Paid</t>
  </si>
  <si>
    <t>CF_DVD_PAID</t>
  </si>
  <si>
    <t xml:space="preserve">  + Change in Short-Term Borrowings</t>
  </si>
  <si>
    <t>CF_INCR_ST_BORROW</t>
  </si>
  <si>
    <t xml:space="preserve">  + Increase in Long-Term Borrowings</t>
  </si>
  <si>
    <t>CF_INCR_LT_BORROW</t>
  </si>
  <si>
    <t xml:space="preserve">  + Decrease In Long-Term Borrowings</t>
  </si>
  <si>
    <t>CF_REIMB_LT_BORROW</t>
  </si>
  <si>
    <t xml:space="preserve">  + Increase in Capital Stocks</t>
  </si>
  <si>
    <t>CF_INCR_CAP_STOCK</t>
  </si>
  <si>
    <t xml:space="preserve">  + Decrease in Capital Stocks</t>
  </si>
  <si>
    <t>CF_DECR_CAP_STOCK</t>
  </si>
  <si>
    <t xml:space="preserve">  + Change in Insurance Reserves</t>
  </si>
  <si>
    <t>CF_INCR_DECR_INSUR_RSRV</t>
  </si>
  <si>
    <t xml:space="preserve">  + Other Financing Activities</t>
  </si>
  <si>
    <t>CF_OTHER_FNC_ACT</t>
  </si>
  <si>
    <t>CF_CASH_FROM_FNC_ACT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</si>
  <si>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</si>
  <si>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</si>
  <si>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</si>
  <si>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</si>
  <si>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</si>
  <si>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</si>
  <si>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</si>
  <si>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</si>
  <si>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</si>
  <si>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</si>
  <si>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</si>
  <si>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</si>
  <si>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</si>
  <si>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</si>
  <si>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</si>
  <si>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</si>
  <si>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Cash Flow per Share</t>
  </si>
  <si>
    <t>CASH_FLOW_PER_SH</t>
  </si>
  <si>
    <t>Cashflow to Net Income</t>
  </si>
  <si>
    <t>CASH_FLOW_TO_NET_INC</t>
  </si>
  <si>
    <t>MetLife Inc (MET US) - By Measure</t>
  </si>
  <si>
    <t xml:space="preserve">  U.S.</t>
  </si>
  <si>
    <t>—</t>
  </si>
  <si>
    <t xml:space="preserve">    Group Benefits</t>
  </si>
  <si>
    <t xml:space="preserve">    Retirement and Income Solutions</t>
  </si>
  <si>
    <t xml:space="preserve">    Property &amp; Casualty</t>
  </si>
  <si>
    <t xml:space="preserve">  Asia</t>
  </si>
  <si>
    <t xml:space="preserve">  MetLife Holdings</t>
  </si>
  <si>
    <t xml:space="preserve">  Latin America</t>
  </si>
  <si>
    <t xml:space="preserve">  EMEA</t>
  </si>
  <si>
    <t xml:space="preserve">  Corporate &amp; Other</t>
  </si>
  <si>
    <t xml:space="preserve">  Adjustments</t>
  </si>
  <si>
    <t xml:space="preserve">  Brighthouse Financial</t>
  </si>
  <si>
    <t xml:space="preserve">  Reconciliation</t>
  </si>
  <si>
    <t xml:space="preserve">  The Americas</t>
  </si>
  <si>
    <t xml:space="preserve">    Latin America -The Americas</t>
  </si>
  <si>
    <t xml:space="preserve">    Corporate Benefit Funding</t>
  </si>
  <si>
    <t xml:space="preserve">    Group Voluntary and Worksite Benefits</t>
  </si>
  <si>
    <t xml:space="preserve">    Retail</t>
  </si>
  <si>
    <t>Revenue - Supplementary Breakdown</t>
  </si>
  <si>
    <t xml:space="preserve">  Life Insurance</t>
  </si>
  <si>
    <t xml:space="preserve">    Americas</t>
  </si>
  <si>
    <t xml:space="preserve">      Retirement and Income Solutions</t>
  </si>
  <si>
    <t xml:space="preserve">      Group, Voluntary &amp; Worksite Benefits</t>
  </si>
  <si>
    <t xml:space="preserve">      Latin America</t>
  </si>
  <si>
    <t xml:space="preserve">      Corporate Benefit Funding</t>
  </si>
  <si>
    <t xml:space="preserve">      Property and Casualty - Life Insurance</t>
  </si>
  <si>
    <t xml:space="preserve">    Asia</t>
  </si>
  <si>
    <t xml:space="preserve">    EMEA</t>
  </si>
  <si>
    <t xml:space="preserve">    Corporate &amp; Other</t>
  </si>
  <si>
    <t xml:space="preserve">    Reconciling Items</t>
  </si>
  <si>
    <t xml:space="preserve">      Life &amp; Other</t>
  </si>
  <si>
    <t xml:space="preserve">      Annuities</t>
  </si>
  <si>
    <t xml:space="preserve">  Adjustment</t>
  </si>
  <si>
    <t xml:space="preserve">  Property and Casualty</t>
  </si>
  <si>
    <t xml:space="preserve">    Group P&amp;C</t>
  </si>
  <si>
    <t xml:space="preserve">    Retail P&amp;C</t>
  </si>
  <si>
    <t>Other Operating Income (Expense)</t>
  </si>
  <si>
    <t>Operating Income</t>
  </si>
  <si>
    <t>Investment Income</t>
  </si>
  <si>
    <t>Pretax Income</t>
  </si>
  <si>
    <t>Income Taxes</t>
  </si>
  <si>
    <t>Net Income Before Minority Interest</t>
  </si>
  <si>
    <t>Other Operating Expense</t>
  </si>
  <si>
    <t>Total Operating Expense</t>
  </si>
  <si>
    <t>Return on Equity (ROE)</t>
  </si>
  <si>
    <t xml:space="preserve">  Latin America -The Americas</t>
  </si>
  <si>
    <t xml:space="preserve">  Corporate Benefit Funding</t>
  </si>
  <si>
    <t xml:space="preserve">  Group Voluntary and Worksite Benefits</t>
  </si>
  <si>
    <t xml:space="preserve">  Retail</t>
  </si>
  <si>
    <t>Adjusted Revenue</t>
  </si>
  <si>
    <t>Adjusted Net Income</t>
  </si>
  <si>
    <t>Goodwill</t>
  </si>
  <si>
    <t>Net Premiums earned</t>
  </si>
  <si>
    <t>Insurance Claims &amp; Losses</t>
  </si>
  <si>
    <t>Interest Credited</t>
  </si>
  <si>
    <t>Amortization of Deferred Acquisition Cost</t>
  </si>
  <si>
    <t>Future Policy Benefits</t>
  </si>
  <si>
    <t xml:space="preserve">    Life &amp; Other</t>
  </si>
  <si>
    <t xml:space="preserve">    Annuities</t>
  </si>
  <si>
    <t>Policyholder Account Balances</t>
  </si>
  <si>
    <t>MetLife Inc (MET US) - By Geography</t>
  </si>
  <si>
    <t xml:space="preserve">  Americas</t>
  </si>
  <si>
    <t xml:space="preserve">    U.S.</t>
  </si>
  <si>
    <t xml:space="preserve">    Latin America</t>
  </si>
  <si>
    <t>Net Sales on a Constant Currency Basis</t>
  </si>
  <si>
    <t xml:space="preserve">  Japan</t>
  </si>
  <si>
    <t xml:space="preserve">    Life</t>
  </si>
  <si>
    <t xml:space="preserve">    Accident &amp; Health</t>
  </si>
  <si>
    <t xml:space="preserve">    Other</t>
  </si>
  <si>
    <t xml:space="preserve">  Other Asia</t>
  </si>
  <si>
    <t xml:space="preserve">  Mexico</t>
  </si>
  <si>
    <t xml:space="preserve">  Chile</t>
  </si>
  <si>
    <t xml:space="preserve">  Other</t>
  </si>
  <si>
    <t xml:space="preserve">    GMIB</t>
  </si>
  <si>
    <t xml:space="preserve">    GMDB</t>
  </si>
  <si>
    <t xml:space="preserve">    GMWB</t>
  </si>
  <si>
    <t xml:space="preserve">    GMAB</t>
  </si>
  <si>
    <t xml:space="preserve">  European Region</t>
  </si>
  <si>
    <t>MetLife Inc (MET US) - By Segment</t>
  </si>
  <si>
    <t>Asia</t>
  </si>
  <si>
    <t xml:space="preserve">  Revenue</t>
  </si>
  <si>
    <t xml:space="preserve">  Operating Income</t>
  </si>
  <si>
    <t xml:space="preserve">  Assets</t>
  </si>
  <si>
    <t xml:space="preserve">  Goodwill</t>
  </si>
  <si>
    <t xml:space="preserve">  Net Income</t>
  </si>
  <si>
    <t xml:space="preserve">  Net Premiums earned</t>
  </si>
  <si>
    <t xml:space="preserve">  Pretax Income</t>
  </si>
  <si>
    <t xml:space="preserve">  Insurance Claims &amp; Losses</t>
  </si>
  <si>
    <t xml:space="preserve">  Interest Expense</t>
  </si>
  <si>
    <t xml:space="preserve">  Income Taxes</t>
  </si>
  <si>
    <t xml:space="preserve">  Return on Equity (ROE)</t>
  </si>
  <si>
    <t xml:space="preserve">  Investment Income</t>
  </si>
  <si>
    <t xml:space="preserve">  Adjusted Revenue</t>
  </si>
  <si>
    <t xml:space="preserve">  Policyholder Account Balances</t>
  </si>
  <si>
    <t xml:space="preserve">  Adjusted Net Income</t>
  </si>
  <si>
    <t xml:space="preserve">  Other Operating Expense</t>
  </si>
  <si>
    <t xml:space="preserve">  Total Operating Expense</t>
  </si>
  <si>
    <t xml:space="preserve">  Net Income Before Minority Interest</t>
  </si>
  <si>
    <t xml:space="preserve">  Other Operating Income (Expense)</t>
  </si>
  <si>
    <t xml:space="preserve">  Amortization of Deferred Acquisition Cost</t>
  </si>
  <si>
    <t xml:space="preserve">  Interest Credited</t>
  </si>
  <si>
    <t xml:space="preserve">  Future Policy Benefits</t>
  </si>
  <si>
    <t>EMEA</t>
  </si>
  <si>
    <t>Corporate &amp; Other</t>
  </si>
  <si>
    <t>Latin America</t>
  </si>
  <si>
    <t>U.S.</t>
  </si>
  <si>
    <t>MetLife Holdings</t>
  </si>
  <si>
    <t>Adjustments</t>
  </si>
  <si>
    <t>Reconciliation</t>
  </si>
  <si>
    <t xml:space="preserve">  Revenue - Supplementary Breakdown</t>
  </si>
  <si>
    <t>Life Insurance</t>
  </si>
  <si>
    <t>Adjustment</t>
  </si>
  <si>
    <t>Brighthouse Financial</t>
  </si>
  <si>
    <t>The Americas</t>
  </si>
  <si>
    <t>Property and Casualty</t>
  </si>
  <si>
    <t>Retail</t>
  </si>
  <si>
    <t>Group Voluntary and Worksite Benefits</t>
  </si>
  <si>
    <t>Corporate Benefit Funding</t>
  </si>
  <si>
    <t>Latin America -The Americas</t>
  </si>
  <si>
    <t>% Growth Rate</t>
  </si>
  <si>
    <t>% of Revenue</t>
  </si>
  <si>
    <t>% Tax Rate</t>
  </si>
  <si>
    <t>% of Income (Loss) Incl. MI</t>
  </si>
  <si>
    <t>% of Net Income, GAAP</t>
  </si>
  <si>
    <t>% Profit Margin</t>
  </si>
  <si>
    <t>% Yield</t>
  </si>
  <si>
    <t>Cost of Equity</t>
  </si>
  <si>
    <t>Terminal Value</t>
  </si>
  <si>
    <t>Equity Value</t>
  </si>
  <si>
    <t xml:space="preserve">  Policy fees</t>
  </si>
  <si>
    <t xml:space="preserve">  Capitalization of DAC</t>
  </si>
  <si>
    <t xml:space="preserve">  Amortization of negative VOBA</t>
  </si>
  <si>
    <t>Back Up</t>
  </si>
  <si>
    <t>Check</t>
  </si>
  <si>
    <t>Total (Adjusted)</t>
  </si>
  <si>
    <t>Brighthouse 2016</t>
  </si>
  <si>
    <t>Brighthouse 2015</t>
  </si>
  <si>
    <t>Brighthouse 2014</t>
  </si>
  <si>
    <t>Brighthouse</t>
  </si>
  <si>
    <t xml:space="preserve">  Net investment gains (losses)</t>
  </si>
  <si>
    <t xml:space="preserve">  Net derivative gains (losses)</t>
  </si>
  <si>
    <t>Total Consolidated</t>
  </si>
  <si>
    <t>% of Premiums</t>
  </si>
  <si>
    <t>% of Tax Rate</t>
  </si>
  <si>
    <t>% of Net Premiums</t>
  </si>
  <si>
    <t>*=policyholder dividends + capitalization of DAC + Amortization of DAC and VOBA + Amortization of negative VOBA</t>
  </si>
  <si>
    <t>*=interest credited to policyholder account balances</t>
  </si>
  <si>
    <t>*mortgage loan + policy loan</t>
  </si>
  <si>
    <t>*fixed maturity security + contractholder + short-term investments</t>
  </si>
  <si>
    <t>*other limited + other invested</t>
  </si>
  <si>
    <t>*Accrued inv income + premium receivables</t>
  </si>
  <si>
    <t>*separate accounts + other assets + assets held-for-ale + goodwill - net fixed assets</t>
  </si>
  <si>
    <t>policy benefits + policyholder balances</t>
  </si>
  <si>
    <t>other policy-related balances + policy dividends payable + policy dividend obligation+ separate account</t>
  </si>
  <si>
    <t>payables under securities loaned + current income tax payable</t>
  </si>
  <si>
    <t>long term debt</t>
  </si>
  <si>
    <t>collateral financing arrangement</t>
  </si>
  <si>
    <t xml:space="preserve">junior debt </t>
  </si>
  <si>
    <t>defer income tax liabilities</t>
  </si>
  <si>
    <t>liabilities held-for sale</t>
  </si>
  <si>
    <t>other liabilities</t>
  </si>
  <si>
    <t>ARD_FUTURE_POLICY_BENEFITS</t>
  </si>
  <si>
    <t>Policyholder's Account Balances</t>
  </si>
  <si>
    <t>ARD_POLICYHOLDERS_ACCT_BALANCES</t>
  </si>
  <si>
    <t>% of Policy holder account balances</t>
  </si>
  <si>
    <t>% of Debt</t>
  </si>
  <si>
    <t>FY 2023 Q3</t>
  </si>
  <si>
    <t>FY 2023 E</t>
  </si>
  <si>
    <t>Notes</t>
  </si>
  <si>
    <t>Expenses</t>
  </si>
  <si>
    <t>Revenues</t>
  </si>
  <si>
    <t>Continue to lose money on net investment and net derivative until 2024. Then it should go back to its average.</t>
  </si>
  <si>
    <t>Refer to "By Segment(2)" sheet for growth rates of each segment</t>
  </si>
  <si>
    <t>% Growth Rate of Premiums</t>
  </si>
  <si>
    <t>Forecast</t>
  </si>
  <si>
    <t>Year</t>
  </si>
  <si>
    <t>2016A</t>
  </si>
  <si>
    <t>2017A</t>
  </si>
  <si>
    <t>2018A</t>
  </si>
  <si>
    <t>2019A</t>
  </si>
  <si>
    <t>2020A</t>
  </si>
  <si>
    <t>2021A</t>
  </si>
  <si>
    <t>2022A</t>
  </si>
  <si>
    <t>2023E</t>
  </si>
  <si>
    <t xml:space="preserve">2024E </t>
  </si>
  <si>
    <t>2025E</t>
  </si>
  <si>
    <t>2026E</t>
  </si>
  <si>
    <t xml:space="preserve">2027E </t>
  </si>
  <si>
    <t>Tax Rate</t>
  </si>
  <si>
    <t>Discount Period</t>
  </si>
  <si>
    <t>Present Value of Free Cash Flow to Firm</t>
  </si>
  <si>
    <t>Valuation Date</t>
  </si>
  <si>
    <t>Terminal Growth Rate</t>
  </si>
  <si>
    <t>Present Value of Terminal Value</t>
  </si>
  <si>
    <t>Total Present Value of Cash Flows</t>
  </si>
  <si>
    <t>Price Per Share</t>
  </si>
  <si>
    <t>Current Stock Price</t>
  </si>
  <si>
    <t>Upside</t>
  </si>
  <si>
    <t>Sensitivity Analysis</t>
  </si>
  <si>
    <t>Min</t>
  </si>
  <si>
    <t>25th</t>
  </si>
  <si>
    <t>Median</t>
  </si>
  <si>
    <t>75th</t>
  </si>
  <si>
    <t>Max</t>
  </si>
  <si>
    <t>Predicted Price</t>
  </si>
  <si>
    <t>Item</t>
  </si>
  <si>
    <t>Input</t>
  </si>
  <si>
    <t>Sources</t>
  </si>
  <si>
    <t>Beta</t>
  </si>
  <si>
    <t>Risk Free Rate</t>
  </si>
  <si>
    <t>Market Return</t>
  </si>
  <si>
    <t>Formula is based on the capital asset pricing model (CAPM)</t>
  </si>
  <si>
    <t>j</t>
  </si>
  <si>
    <t>S&amp;P Netadvantage, cited date: Nov 04, 2023</t>
  </si>
  <si>
    <t>CNBC, cited date: Nov 04, 2023. 10-year U.S. treasury bond</t>
  </si>
  <si>
    <t>Number of Shares Outstanding (M)</t>
  </si>
  <si>
    <t>Market Cap (M)</t>
  </si>
  <si>
    <t>Stock Price</t>
  </si>
  <si>
    <t>2028E</t>
  </si>
  <si>
    <t>NYU, Geometric Average Historical Return of S&amp;P 500 from 1973-2022, cited date: Nov 04, 2023</t>
  </si>
  <si>
    <t>Yield should gradually decrease to its average.</t>
  </si>
  <si>
    <t>It should decrease gradually to its average.</t>
  </si>
  <si>
    <t>This is interest credited to policyholder account balances. It should gradually decrease to its average.</t>
  </si>
  <si>
    <t>Interest rate should decrease to its average.</t>
  </si>
  <si>
    <t>2022 10-K</t>
  </si>
  <si>
    <t>MET</t>
  </si>
  <si>
    <t>MetLife Inc</t>
  </si>
  <si>
    <t>GL</t>
  </si>
  <si>
    <t>Globe Life Inc</t>
  </si>
  <si>
    <t>PRU</t>
  </si>
  <si>
    <t>Prudential Financial Inc</t>
  </si>
  <si>
    <t>MFC</t>
  </si>
  <si>
    <t>Manulife Financial Corporation</t>
  </si>
  <si>
    <t>PFG</t>
  </si>
  <si>
    <t>Principal Financial Group</t>
  </si>
  <si>
    <t>Average</t>
  </si>
  <si>
    <t>Target Price</t>
  </si>
  <si>
    <t xml:space="preserve">Latest # of Shares Outstanding </t>
  </si>
  <si>
    <t>BV per Share</t>
  </si>
  <si>
    <t>Weights</t>
  </si>
  <si>
    <t>Price</t>
  </si>
  <si>
    <t>P/E Valuation</t>
  </si>
  <si>
    <t>Industry Average</t>
  </si>
  <si>
    <t>Sector Average</t>
  </si>
  <si>
    <t>P/B</t>
  </si>
  <si>
    <t>P/E</t>
  </si>
  <si>
    <t>Industry</t>
  </si>
  <si>
    <t>Sector</t>
  </si>
  <si>
    <t>Financials</t>
  </si>
  <si>
    <t>Canada</t>
  </si>
  <si>
    <t>Country</t>
  </si>
  <si>
    <t>Sun Life Financial Inc</t>
  </si>
  <si>
    <t>SLF</t>
  </si>
  <si>
    <t>Aflac Incorporated</t>
  </si>
  <si>
    <t>AFL</t>
  </si>
  <si>
    <t>Great-West Lifeco Inc.</t>
  </si>
  <si>
    <t>GWLI.F</t>
  </si>
  <si>
    <t>Yahoo Finance</t>
  </si>
  <si>
    <t>Total Equity (Excluding Accumulated Other Comprehensive Income)</t>
  </si>
  <si>
    <t>Accumulated Other Comprehensive Income</t>
  </si>
  <si>
    <t>* Helpful sources for finding market data are S&amp;P net advantage, Bloomberg, yahoo finance, and 10Ks. It is imperative that your cite your sources</t>
  </si>
  <si>
    <t>($ in Millions, except per share data)</t>
  </si>
  <si>
    <t>Enterprise Value</t>
  </si>
  <si>
    <t>Market Cap.</t>
  </si>
  <si>
    <t>LTM Revenue</t>
  </si>
  <si>
    <t>LTM EPS</t>
  </si>
  <si>
    <t xml:space="preserve">Gross Margin </t>
  </si>
  <si>
    <t>Net Margin</t>
  </si>
  <si>
    <t>Price/Earnings</t>
  </si>
  <si>
    <t>Company</t>
  </si>
  <si>
    <t xml:space="preserve">LTM </t>
  </si>
  <si>
    <t>NTM*</t>
  </si>
  <si>
    <t>Source</t>
  </si>
  <si>
    <t>EPS Estimate (Pull from income statement)</t>
  </si>
  <si>
    <t xml:space="preserve">Valuation Method </t>
  </si>
  <si>
    <t xml:space="preserve">Blended Target Price </t>
  </si>
  <si>
    <t>Current Price</t>
  </si>
  <si>
    <t>Downside</t>
  </si>
  <si>
    <t xml:space="preserve">Current price </t>
  </si>
  <si>
    <t>Method</t>
  </si>
  <si>
    <t xml:space="preserve">Intrinsic Valuation </t>
  </si>
  <si>
    <t>Relative Valuation</t>
  </si>
  <si>
    <t xml:space="preserve">Target Price </t>
  </si>
  <si>
    <t>Column1</t>
  </si>
  <si>
    <t>Column2</t>
  </si>
  <si>
    <t>Median - Min</t>
  </si>
  <si>
    <t>Max - Median</t>
  </si>
  <si>
    <t>Forward P/E</t>
  </si>
  <si>
    <t>Historical Stock Price (5 years)</t>
  </si>
  <si>
    <t>Ticker</t>
  </si>
  <si>
    <t>Metlife Inc (MET) - Market Multiples Approach</t>
  </si>
  <si>
    <t>Metlife Inc (MET)</t>
  </si>
  <si>
    <t>P/E, and P/B ratios cited from CNBC. Other numbers cited from NetAdvantage.</t>
  </si>
  <si>
    <t>Latest BV of Equity</t>
  </si>
  <si>
    <t>P/B Valuation</t>
  </si>
  <si>
    <t>Date</t>
  </si>
  <si>
    <t>Open</t>
  </si>
  <si>
    <t>High</t>
  </si>
  <si>
    <t>Low</t>
  </si>
  <si>
    <t>Close</t>
  </si>
  <si>
    <t>Adj Close</t>
  </si>
  <si>
    <t>Volume</t>
  </si>
  <si>
    <t xml:space="preserve">Source: </t>
  </si>
  <si>
    <t xml:space="preserve">25th </t>
  </si>
  <si>
    <t xml:space="preserve">9.5%-12% WACC, 1.25% - 3.25% Terminal Growth Rate </t>
  </si>
  <si>
    <t>Weight</t>
  </si>
  <si>
    <t>Premiums</t>
  </si>
  <si>
    <t>Policy fees</t>
  </si>
  <si>
    <t>Net investment income</t>
  </si>
  <si>
    <t>Other revenues</t>
  </si>
  <si>
    <t>Net investment gains (losses) + Net derivative gains (losses)</t>
  </si>
  <si>
    <t>Interest credited to policyholder account balances</t>
  </si>
  <si>
    <t>Interest expense on debt</t>
  </si>
  <si>
    <t>Other expenses</t>
  </si>
  <si>
    <t>Policyholder benefits and claims</t>
  </si>
  <si>
    <t>Income (loss) before provision for income tax</t>
  </si>
  <si>
    <t>Income tax expense (benefit)</t>
  </si>
  <si>
    <t>Gross Margin</t>
  </si>
  <si>
    <t>Policyholder dividends</t>
  </si>
  <si>
    <t>Gross Profit</t>
  </si>
  <si>
    <t>EBIT Margin</t>
  </si>
  <si>
    <t>EBIT</t>
  </si>
  <si>
    <t>Return on Assets</t>
  </si>
  <si>
    <t>Return on Equity</t>
  </si>
  <si>
    <t>Profit Margin (Net Income Avail. for Common Margin %)</t>
  </si>
  <si>
    <t>Prudential</t>
  </si>
  <si>
    <t>Manulife</t>
  </si>
  <si>
    <t>Sun Life</t>
  </si>
  <si>
    <t xml:space="preserve">Aflac </t>
  </si>
  <si>
    <t>Metlife</t>
  </si>
  <si>
    <t>Principal Financial</t>
  </si>
  <si>
    <t>Globe Life</t>
  </si>
  <si>
    <t>Great-West</t>
  </si>
  <si>
    <t>+ Net Investment Gain (Loss) + Net Derivative Gain (Loss)</t>
  </si>
  <si>
    <t>% of (Premium+Investment Income+Other Operating Income)</t>
  </si>
  <si>
    <t>Assuming there is no abnormal net investment loss and net derivative loss</t>
  </si>
  <si>
    <t>Basic EPS, GAAP (assuming there is not abnormal net investment loss and net derivative loss)</t>
  </si>
  <si>
    <t>Change in regulatory capital</t>
  </si>
  <si>
    <t>Metropolitan Life Insurance Company</t>
  </si>
  <si>
    <t>American Life Insurance Company</t>
  </si>
  <si>
    <t>Metropolitan Tower Life Insurance Company</t>
  </si>
  <si>
    <t>Other</t>
  </si>
  <si>
    <t>Metropolitan Property and Casualty Insurance Company</t>
  </si>
  <si>
    <t>MetLife Insurance Company USA</t>
  </si>
  <si>
    <t>New England Life Insurance Company</t>
  </si>
  <si>
    <t>General American Life Insurance Company</t>
  </si>
  <si>
    <t>Change in statutory capital</t>
  </si>
  <si>
    <t>Total</t>
  </si>
  <si>
    <t>(as % of future policy benefits)</t>
  </si>
  <si>
    <t>Statutory capital and surplus (as reported in 10K)</t>
  </si>
  <si>
    <t>Debt to Equity Ratio</t>
  </si>
  <si>
    <t>1. Revenue by Geography</t>
  </si>
  <si>
    <t>USA</t>
  </si>
  <si>
    <t>Latin</t>
  </si>
  <si>
    <t>Metlife Holdings</t>
  </si>
  <si>
    <t>Amount</t>
  </si>
  <si>
    <t>Percentage</t>
  </si>
  <si>
    <t>2. Revenue by Products</t>
  </si>
  <si>
    <t>Premiums and Policy Fees</t>
  </si>
  <si>
    <t>Net Investment Income</t>
  </si>
  <si>
    <t>Other Revenues</t>
  </si>
  <si>
    <t>3. (Premiums+Policy Fees+Other Revenues) by Insurance Types</t>
  </si>
  <si>
    <t>Accident &amp; Health Insurance</t>
  </si>
  <si>
    <t>Annuities</t>
  </si>
  <si>
    <t>Threat of New Entry</t>
  </si>
  <si>
    <t>Bargaining Power of Customers</t>
  </si>
  <si>
    <t>Competitive Rivalry</t>
  </si>
  <si>
    <t>Bargaining Power of Suppliers</t>
  </si>
  <si>
    <t>Threat of Substitutes</t>
  </si>
  <si>
    <t>4. Porter's Five Forces</t>
  </si>
  <si>
    <t>5. Compounded Growth Rate of Premiumns</t>
  </si>
  <si>
    <t>6. Maturities of Fixed Securities</t>
  </si>
  <si>
    <t>Due in 1Y or Less</t>
  </si>
  <si>
    <t>Due in 1-5 Years</t>
  </si>
  <si>
    <t>Due After 5 Years</t>
  </si>
  <si>
    <t>Structured Products</t>
  </si>
  <si>
    <t>7. Yields</t>
  </si>
  <si>
    <t>Fixed Maturity Securities</t>
  </si>
  <si>
    <t>Mortgage Loans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</si>
  <si>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</si>
  <si>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</si>
  <si>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</si>
  <si>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</si>
  <si>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</si>
  <si>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</si>
  <si>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</si>
  <si>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</si>
  <si>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</si>
  <si>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</si>
  <si>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8. Mortality Ratio</t>
  </si>
  <si>
    <t>2021Q1</t>
  </si>
  <si>
    <t>2020Q4</t>
  </si>
  <si>
    <t>2020Q3</t>
  </si>
  <si>
    <t>2020Q2</t>
  </si>
  <si>
    <t>9. Revenue</t>
  </si>
  <si>
    <t>FCFE</t>
  </si>
  <si>
    <t>LTM Revenue Growth</t>
  </si>
  <si>
    <t>American International Group</t>
  </si>
  <si>
    <t>AIG</t>
  </si>
  <si>
    <t>Full Line Insurance</t>
  </si>
  <si>
    <t>Profit</t>
  </si>
  <si>
    <t>ROE</t>
  </si>
  <si>
    <t>Debt to Equity</t>
  </si>
  <si>
    <t>S&amp;P Netadvantage, cited date: Nov 16,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</si>
</sst>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%"/>
    <numFmt numFmtId="166" formatCode="0.000"/>
    <numFmt numFmtId="167" formatCode="_(* #,##0_);_(* \(#,##0\);_(* &quot;-&quot;??_);_(@_)"/>
    <numFmt numFmtId="168" formatCode="&quot;$&quot;#,##0.00"/>
    <numFmt numFmtId="169" formatCode="_([$$-409]* #,##0.00_);_([$$-409]* \(#,##0.00\);_([$$-409]* &quot;-&quot;??_);_(@_)"/>
    <numFmt numFmtId="170" formatCode="0.000%"/>
    <numFmt numFmtId="171" formatCode="0.0"/>
  </numFmts>
  <fonts count="6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b/>
      <sz val="10"/>
      <color indexed="63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6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b/>
      <sz val="18"/>
      <color theme="1"/>
      <name val="Times New Roman"/>
      <family val="1"/>
    </font>
    <font>
      <sz val="16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i/>
      <sz val="11"/>
      <color theme="0"/>
      <name val="Arial"/>
      <family val="2"/>
    </font>
    <font>
      <b/>
      <sz val="11"/>
      <color rgb="FF00B05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B153E"/>
        <bgColor rgb="FFCB153E"/>
      </patternFill>
    </fill>
    <fill>
      <patternFill patternType="solid">
        <fgColor rgb="FF7F7F7F"/>
        <bgColor rgb="FF7F7F7F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CB153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164" fontId="11" fillId="34" borderId="2">
      <alignment horizontal="right"/>
    </xf>
    <xf numFmtId="0" fontId="7" fillId="33" borderId="16">
      <alignment horizontal="centerContinuous"/>
    </xf>
    <xf numFmtId="0" fontId="7" fillId="33" borderId="17">
      <alignment horizontal="centerContinuous"/>
    </xf>
    <xf numFmtId="164" fontId="1" fillId="34" borderId="18">
      <alignment horizontal="right"/>
    </xf>
    <xf numFmtId="165" fontId="1" fillId="34" borderId="19">
      <alignment horizontal="right"/>
    </xf>
    <xf numFmtId="4" fontId="1" fillId="34" borderId="18">
      <alignment horizontal="right"/>
    </xf>
    <xf numFmtId="10" fontId="1" fillId="34" borderId="19">
      <alignment horizontal="right"/>
    </xf>
    <xf numFmtId="164" fontId="8" fillId="34" borderId="18">
      <alignment horizontal="right"/>
    </xf>
    <xf numFmtId="165" fontId="8" fillId="34" borderId="19">
      <alignment horizontal="right"/>
    </xf>
    <xf numFmtId="4" fontId="8" fillId="34" borderId="18">
      <alignment horizontal="right"/>
    </xf>
    <xf numFmtId="10" fontId="8" fillId="34" borderId="19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0" fillId="0" borderId="0"/>
    <xf numFmtId="0" fontId="12" fillId="0" borderId="0"/>
    <xf numFmtId="44" fontId="12" fillId="0" borderId="0" applyFont="0" applyFill="0" applyBorder="0" applyAlignment="0" applyProtection="0"/>
  </cellStyleXfs>
  <cellXfs count="276">
    <xf numFmtId="0" fontId="0" fillId="0" borderId="0" xfId="0"/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5" xfId="35"/>
    <xf numFmtId="0" fontId="11" fillId="36" borderId="4" xfId="34"/>
    <xf numFmtId="0" fontId="5" fillId="33" borderId="15" xfId="51">
      <alignment horizontal="left" vertical="center" readingOrder="1"/>
    </xf>
    <xf numFmtId="0" fontId="7" fillId="33" borderId="1" xfId="52">
      <alignment horizontal="left"/>
    </xf>
    <xf numFmtId="0" fontId="3" fillId="34" borderId="5" xfId="37" applyFont="1"/>
    <xf numFmtId="0" fontId="4" fillId="34" borderId="5" xfId="36" applyFont="1"/>
    <xf numFmtId="3" fontId="1" fillId="34" borderId="2" xfId="53">
      <alignment horizontal="right"/>
    </xf>
    <xf numFmtId="164" fontId="1" fillId="34" borderId="2" xfId="54">
      <alignment horizontal="right"/>
    </xf>
    <xf numFmtId="4" fontId="1" fillId="34" borderId="2" xfId="55">
      <alignment horizontal="right"/>
    </xf>
    <xf numFmtId="164" fontId="1" fillId="35" borderId="2" xfId="56">
      <alignment horizontal="right"/>
    </xf>
    <xf numFmtId="4" fontId="1" fillId="35" borderId="2" xfId="57">
      <alignment horizontal="right"/>
    </xf>
    <xf numFmtId="3" fontId="8" fillId="34" borderId="2" xfId="58">
      <alignment horizontal="right"/>
    </xf>
    <xf numFmtId="164" fontId="8" fillId="34" borderId="2" xfId="59">
      <alignment horizontal="right"/>
    </xf>
    <xf numFmtId="4" fontId="8" fillId="34" borderId="2" xfId="60">
      <alignment horizontal="right"/>
    </xf>
    <xf numFmtId="3" fontId="8" fillId="35" borderId="2" xfId="61">
      <alignment horizontal="right"/>
    </xf>
    <xf numFmtId="164" fontId="8" fillId="35" borderId="2" xfId="62">
      <alignment horizontal="right"/>
    </xf>
    <xf numFmtId="164" fontId="11" fillId="34" borderId="2" xfId="63">
      <alignment horizontal="right"/>
    </xf>
    <xf numFmtId="0" fontId="7" fillId="33" borderId="16" xfId="64">
      <alignment horizontal="centerContinuous"/>
    </xf>
    <xf numFmtId="0" fontId="7" fillId="33" borderId="17" xfId="65">
      <alignment horizontal="centerContinuous"/>
    </xf>
    <xf numFmtId="164" fontId="1" fillId="34" borderId="18" xfId="66">
      <alignment horizontal="right"/>
    </xf>
    <xf numFmtId="165" fontId="1" fillId="34" borderId="19" xfId="67">
      <alignment horizontal="right"/>
    </xf>
    <xf numFmtId="4" fontId="1" fillId="34" borderId="18" xfId="68">
      <alignment horizontal="right"/>
    </xf>
    <xf numFmtId="10" fontId="1" fillId="34" borderId="19" xfId="69">
      <alignment horizontal="right"/>
    </xf>
    <xf numFmtId="164" fontId="8" fillId="34" borderId="18" xfId="70">
      <alignment horizontal="right"/>
    </xf>
    <xf numFmtId="165" fontId="8" fillId="34" borderId="19" xfId="71">
      <alignment horizontal="right"/>
    </xf>
    <xf numFmtId="4" fontId="8" fillId="34" borderId="18" xfId="72">
      <alignment horizontal="right"/>
    </xf>
    <xf numFmtId="10" fontId="8" fillId="34" borderId="19" xfId="73">
      <alignment horizontal="right"/>
    </xf>
    <xf numFmtId="0" fontId="29" fillId="34" borderId="5" xfId="35" applyFont="1"/>
    <xf numFmtId="164" fontId="29" fillId="34" borderId="2" xfId="59" applyFont="1">
      <alignment horizontal="right"/>
    </xf>
    <xf numFmtId="0" fontId="30" fillId="0" borderId="0" xfId="0" applyFont="1"/>
    <xf numFmtId="10" fontId="29" fillId="34" borderId="2" xfId="74" applyNumberFormat="1" applyFont="1" applyFill="1" applyBorder="1" applyAlignment="1">
      <alignment horizontal="right"/>
    </xf>
    <xf numFmtId="0" fontId="31" fillId="37" borderId="3" xfId="32" applyFont="1" applyFill="1">
      <alignment horizontal="right"/>
    </xf>
    <xf numFmtId="0" fontId="31" fillId="37" borderId="1" xfId="30" applyFont="1" applyFill="1">
      <alignment horizontal="right"/>
    </xf>
    <xf numFmtId="0" fontId="32" fillId="34" borderId="5" xfId="37" applyFont="1"/>
    <xf numFmtId="164" fontId="32" fillId="34" borderId="2" xfId="54" applyFont="1">
      <alignment horizontal="right"/>
    </xf>
    <xf numFmtId="0" fontId="7" fillId="37" borderId="3" xfId="32" applyFill="1">
      <alignment horizontal="right"/>
    </xf>
    <xf numFmtId="0" fontId="7" fillId="37" borderId="1" xfId="30" applyFill="1">
      <alignment horizontal="right"/>
    </xf>
    <xf numFmtId="10" fontId="32" fillId="34" borderId="2" xfId="74" applyNumberFormat="1" applyFont="1" applyFill="1" applyBorder="1" applyAlignment="1">
      <alignment horizontal="right"/>
    </xf>
    <xf numFmtId="164" fontId="1" fillId="0" borderId="2" xfId="54" applyFill="1">
      <alignment horizontal="right"/>
    </xf>
    <xf numFmtId="0" fontId="29" fillId="34" borderId="5" xfId="37" applyFont="1"/>
    <xf numFmtId="0" fontId="33" fillId="0" borderId="0" xfId="0" applyFont="1"/>
    <xf numFmtId="0" fontId="34" fillId="34" borderId="5" xfId="37" applyFont="1"/>
    <xf numFmtId="164" fontId="8" fillId="34" borderId="2" xfId="54" applyFont="1">
      <alignment horizontal="right"/>
    </xf>
    <xf numFmtId="0" fontId="27" fillId="0" borderId="0" xfId="0" applyFont="1"/>
    <xf numFmtId="164" fontId="1" fillId="34" borderId="0" xfId="54" applyBorder="1">
      <alignment horizontal="right"/>
    </xf>
    <xf numFmtId="0" fontId="34" fillId="0" borderId="5" xfId="37" applyFont="1" applyFill="1"/>
    <xf numFmtId="164" fontId="8" fillId="0" borderId="2" xfId="54" applyFont="1" applyFill="1">
      <alignment horizontal="right"/>
    </xf>
    <xf numFmtId="4" fontId="1" fillId="0" borderId="2" xfId="55" applyFill="1">
      <alignment horizontal="right"/>
    </xf>
    <xf numFmtId="164" fontId="0" fillId="0" borderId="0" xfId="0" applyNumberFormat="1"/>
    <xf numFmtId="164" fontId="8" fillId="34" borderId="0" xfId="54" applyFont="1" applyBorder="1">
      <alignment horizontal="right"/>
    </xf>
    <xf numFmtId="0" fontId="7" fillId="33" borderId="18" xfId="30" applyBorder="1">
      <alignment horizontal="right"/>
    </xf>
    <xf numFmtId="164" fontId="1" fillId="38" borderId="2" xfId="54" applyFill="1">
      <alignment horizontal="right"/>
    </xf>
    <xf numFmtId="164" fontId="32" fillId="0" borderId="2" xfId="54" applyFont="1" applyFill="1">
      <alignment horizontal="right"/>
    </xf>
    <xf numFmtId="164" fontId="32" fillId="34" borderId="0" xfId="54" applyFont="1" applyBorder="1">
      <alignment horizontal="right"/>
    </xf>
    <xf numFmtId="164" fontId="30" fillId="0" borderId="0" xfId="0" applyNumberFormat="1" applyFont="1"/>
    <xf numFmtId="10" fontId="30" fillId="0" borderId="0" xfId="0" applyNumberFormat="1" applyFont="1"/>
    <xf numFmtId="10" fontId="30" fillId="0" borderId="0" xfId="74" applyNumberFormat="1" applyFont="1"/>
    <xf numFmtId="0" fontId="3" fillId="34" borderId="5" xfId="37" applyFont="1" applyAlignment="1">
      <alignment horizontal="left" indent="4"/>
    </xf>
    <xf numFmtId="14" fontId="7" fillId="33" borderId="1" xfId="30" applyNumberFormat="1">
      <alignment horizontal="right"/>
    </xf>
    <xf numFmtId="167" fontId="0" fillId="38" borderId="0" xfId="76" applyNumberFormat="1" applyFont="1" applyFill="1"/>
    <xf numFmtId="167" fontId="0" fillId="0" borderId="0" xfId="76" applyNumberFormat="1" applyFont="1"/>
    <xf numFmtId="167" fontId="30" fillId="38" borderId="0" xfId="76" applyNumberFormat="1" applyFont="1" applyFill="1"/>
    <xf numFmtId="167" fontId="30" fillId="0" borderId="0" xfId="76" applyNumberFormat="1" applyFont="1"/>
    <xf numFmtId="164" fontId="8" fillId="0" borderId="2" xfId="59" applyFill="1">
      <alignment horizontal="right"/>
    </xf>
    <xf numFmtId="0" fontId="8" fillId="0" borderId="5" xfId="35" applyFill="1"/>
    <xf numFmtId="10" fontId="29" fillId="0" borderId="2" xfId="74" applyNumberFormat="1" applyFont="1" applyFill="1" applyBorder="1" applyAlignment="1">
      <alignment horizontal="right"/>
    </xf>
    <xf numFmtId="0" fontId="6" fillId="34" borderId="0" xfId="31" applyAlignment="1">
      <alignment horizontal="left"/>
    </xf>
    <xf numFmtId="10" fontId="35" fillId="34" borderId="2" xfId="74" applyNumberFormat="1" applyFont="1" applyFill="1" applyBorder="1" applyAlignment="1">
      <alignment horizontal="left"/>
    </xf>
    <xf numFmtId="0" fontId="36" fillId="33" borderId="0" xfId="26" applyFont="1" applyAlignment="1">
      <alignment horizontal="left"/>
    </xf>
    <xf numFmtId="0" fontId="37" fillId="33" borderId="15" xfId="51" applyFont="1">
      <alignment horizontal="left" vertical="center" readingOrder="1"/>
    </xf>
    <xf numFmtId="164" fontId="35" fillId="34" borderId="2" xfId="59" applyFont="1" applyAlignment="1">
      <alignment horizontal="left"/>
    </xf>
    <xf numFmtId="164" fontId="35" fillId="34" borderId="2" xfId="54" applyFont="1" applyAlignment="1">
      <alignment horizontal="left"/>
    </xf>
    <xf numFmtId="164" fontId="35" fillId="0" borderId="2" xfId="59" applyFont="1" applyFill="1" applyAlignment="1">
      <alignment horizontal="left"/>
    </xf>
    <xf numFmtId="3" fontId="35" fillId="34" borderId="2" xfId="58" applyFont="1" applyAlignment="1">
      <alignment horizontal="left"/>
    </xf>
    <xf numFmtId="4" fontId="35" fillId="34" borderId="2" xfId="60" applyFont="1" applyAlignment="1">
      <alignment horizontal="left"/>
    </xf>
    <xf numFmtId="3" fontId="35" fillId="34" borderId="2" xfId="53" applyFont="1" applyAlignment="1">
      <alignment horizontal="left"/>
    </xf>
    <xf numFmtId="4" fontId="35" fillId="34" borderId="2" xfId="55" applyFont="1" applyAlignment="1">
      <alignment horizontal="left"/>
    </xf>
    <xf numFmtId="0" fontId="38" fillId="36" borderId="4" xfId="34" applyFont="1" applyAlignment="1">
      <alignment horizontal="left"/>
    </xf>
    <xf numFmtId="0" fontId="39" fillId="0" borderId="0" xfId="0" applyFont="1" applyAlignment="1">
      <alignment horizontal="left"/>
    </xf>
    <xf numFmtId="14" fontId="35" fillId="39" borderId="1" xfId="30" applyNumberFormat="1" applyFont="1" applyFill="1" applyAlignment="1">
      <alignment horizontal="center" vertical="center"/>
    </xf>
    <xf numFmtId="0" fontId="31" fillId="39" borderId="3" xfId="32" applyFont="1" applyFill="1" applyAlignment="1">
      <alignment horizontal="center" vertical="center"/>
    </xf>
    <xf numFmtId="10" fontId="32" fillId="34" borderId="18" xfId="74" applyNumberFormat="1" applyFont="1" applyFill="1" applyBorder="1" applyAlignment="1">
      <alignment horizontal="right"/>
    </xf>
    <xf numFmtId="10" fontId="32" fillId="0" borderId="2" xfId="74" applyNumberFormat="1" applyFont="1" applyFill="1" applyBorder="1" applyAlignment="1">
      <alignment horizontal="right"/>
    </xf>
    <xf numFmtId="10" fontId="8" fillId="34" borderId="2" xfId="74" applyNumberFormat="1" applyFont="1" applyFill="1" applyBorder="1" applyAlignment="1">
      <alignment horizontal="right"/>
    </xf>
    <xf numFmtId="0" fontId="40" fillId="0" borderId="0" xfId="77"/>
    <xf numFmtId="0" fontId="40" fillId="44" borderId="0" xfId="77" applyFill="1"/>
    <xf numFmtId="0" fontId="41" fillId="45" borderId="0" xfId="77" applyFont="1" applyFill="1"/>
    <xf numFmtId="0" fontId="42" fillId="45" borderId="0" xfId="77" applyFont="1" applyFill="1"/>
    <xf numFmtId="0" fontId="43" fillId="44" borderId="0" xfId="77" applyFont="1" applyFill="1"/>
    <xf numFmtId="10" fontId="40" fillId="44" borderId="0" xfId="77" applyNumberFormat="1" applyFill="1"/>
    <xf numFmtId="0" fontId="44" fillId="44" borderId="4" xfId="77" applyFont="1" applyFill="1" applyBorder="1"/>
    <xf numFmtId="0" fontId="43" fillId="44" borderId="4" xfId="77" applyFont="1" applyFill="1" applyBorder="1"/>
    <xf numFmtId="0" fontId="44" fillId="44" borderId="0" xfId="77" applyFont="1" applyFill="1"/>
    <xf numFmtId="0" fontId="45" fillId="44" borderId="0" xfId="77" applyFont="1" applyFill="1"/>
    <xf numFmtId="4" fontId="40" fillId="44" borderId="0" xfId="77" applyNumberFormat="1" applyFill="1"/>
    <xf numFmtId="164" fontId="8" fillId="38" borderId="2" xfId="59" applyFill="1">
      <alignment horizontal="right"/>
    </xf>
    <xf numFmtId="4" fontId="8" fillId="34" borderId="2" xfId="58" applyNumberFormat="1">
      <alignment horizontal="right"/>
    </xf>
    <xf numFmtId="10" fontId="44" fillId="44" borderId="4" xfId="79" applyNumberFormat="1" applyFont="1" applyFill="1" applyBorder="1"/>
    <xf numFmtId="9" fontId="40" fillId="44" borderId="0" xfId="77" applyNumberFormat="1" applyFill="1"/>
    <xf numFmtId="14" fontId="40" fillId="44" borderId="0" xfId="77" applyNumberFormat="1" applyFill="1"/>
    <xf numFmtId="0" fontId="46" fillId="40" borderId="0" xfId="77" applyFont="1" applyFill="1"/>
    <xf numFmtId="0" fontId="46" fillId="0" borderId="0" xfId="77" applyFont="1"/>
    <xf numFmtId="0" fontId="47" fillId="41" borderId="0" xfId="77" applyFont="1" applyFill="1"/>
    <xf numFmtId="0" fontId="47" fillId="42" borderId="0" xfId="77" applyFont="1" applyFill="1"/>
    <xf numFmtId="0" fontId="49" fillId="40" borderId="0" xfId="77" applyFont="1" applyFill="1"/>
    <xf numFmtId="4" fontId="49" fillId="40" borderId="0" xfId="77" applyNumberFormat="1" applyFont="1" applyFill="1"/>
    <xf numFmtId="0" fontId="49" fillId="0" borderId="0" xfId="77" applyFont="1"/>
    <xf numFmtId="166" fontId="46" fillId="40" borderId="0" xfId="77" applyNumberFormat="1" applyFont="1" applyFill="1"/>
    <xf numFmtId="15" fontId="46" fillId="40" borderId="0" xfId="77" applyNumberFormat="1" applyFont="1" applyFill="1"/>
    <xf numFmtId="2" fontId="46" fillId="40" borderId="0" xfId="77" applyNumberFormat="1" applyFont="1" applyFill="1"/>
    <xf numFmtId="14" fontId="46" fillId="40" borderId="0" xfId="77" applyNumberFormat="1" applyFont="1" applyFill="1"/>
    <xf numFmtId="9" fontId="46" fillId="40" borderId="0" xfId="77" applyNumberFormat="1" applyFont="1" applyFill="1"/>
    <xf numFmtId="10" fontId="46" fillId="40" borderId="0" xfId="77" applyNumberFormat="1" applyFont="1" applyFill="1"/>
    <xf numFmtId="43" fontId="46" fillId="40" borderId="0" xfId="78" applyFont="1" applyFill="1"/>
    <xf numFmtId="43" fontId="49" fillId="40" borderId="0" xfId="78" applyFont="1" applyFill="1"/>
    <xf numFmtId="0" fontId="50" fillId="40" borderId="0" xfId="77" applyFont="1" applyFill="1"/>
    <xf numFmtId="10" fontId="50" fillId="40" borderId="0" xfId="77" applyNumberFormat="1" applyFont="1" applyFill="1"/>
    <xf numFmtId="2" fontId="46" fillId="40" borderId="21" xfId="77" applyNumberFormat="1" applyFont="1" applyFill="1" applyBorder="1"/>
    <xf numFmtId="10" fontId="46" fillId="40" borderId="21" xfId="77" applyNumberFormat="1" applyFont="1" applyFill="1" applyBorder="1"/>
    <xf numFmtId="0" fontId="46" fillId="40" borderId="21" xfId="77" applyFont="1" applyFill="1" applyBorder="1"/>
    <xf numFmtId="43" fontId="46" fillId="40" borderId="21" xfId="78" applyFont="1" applyFill="1" applyBorder="1"/>
    <xf numFmtId="10" fontId="40" fillId="44" borderId="0" xfId="74" applyNumberFormat="1" applyFont="1" applyFill="1" applyAlignment="1">
      <alignment horizontal="left"/>
    </xf>
    <xf numFmtId="0" fontId="29" fillId="0" borderId="5" xfId="35" applyFont="1" applyFill="1"/>
    <xf numFmtId="10" fontId="35" fillId="0" borderId="2" xfId="74" applyNumberFormat="1" applyFont="1" applyFill="1" applyBorder="1" applyAlignment="1">
      <alignment horizontal="left"/>
    </xf>
    <xf numFmtId="0" fontId="45" fillId="0" borderId="0" xfId="77" applyFont="1"/>
    <xf numFmtId="10" fontId="40" fillId="0" borderId="0" xfId="77" applyNumberFormat="1"/>
    <xf numFmtId="0" fontId="43" fillId="0" borderId="0" xfId="77" applyFont="1"/>
    <xf numFmtId="0" fontId="1" fillId="34" borderId="5" xfId="35" applyFont="1"/>
    <xf numFmtId="164" fontId="1" fillId="34" borderId="2" xfId="59" applyFont="1">
      <alignment horizontal="right"/>
    </xf>
    <xf numFmtId="167" fontId="12" fillId="38" borderId="0" xfId="76" applyNumberFormat="1" applyFont="1" applyFill="1"/>
    <xf numFmtId="167" fontId="12" fillId="0" borderId="0" xfId="76" applyNumberFormat="1" applyFont="1"/>
    <xf numFmtId="0" fontId="51" fillId="44" borderId="0" xfId="80" applyFont="1" applyFill="1"/>
    <xf numFmtId="0" fontId="46" fillId="0" borderId="0" xfId="81" applyFont="1"/>
    <xf numFmtId="44" fontId="46" fillId="0" borderId="0" xfId="82" applyFont="1"/>
    <xf numFmtId="0" fontId="52" fillId="0" borderId="0" xfId="81" applyFont="1"/>
    <xf numFmtId="0" fontId="53" fillId="48" borderId="32" xfId="81" applyFont="1" applyFill="1" applyBorder="1"/>
    <xf numFmtId="0" fontId="53" fillId="48" borderId="33" xfId="81" applyFont="1" applyFill="1" applyBorder="1" applyAlignment="1">
      <alignment horizontal="right"/>
    </xf>
    <xf numFmtId="0" fontId="53" fillId="48" borderId="34" xfId="81" applyFont="1" applyFill="1" applyBorder="1" applyAlignment="1">
      <alignment horizontal="right"/>
    </xf>
    <xf numFmtId="0" fontId="46" fillId="0" borderId="35" xfId="81" applyFont="1" applyBorder="1"/>
    <xf numFmtId="9" fontId="46" fillId="0" borderId="0" xfId="81" applyNumberFormat="1" applyFont="1"/>
    <xf numFmtId="44" fontId="46" fillId="0" borderId="36" xfId="82" applyFont="1" applyBorder="1" applyAlignment="1"/>
    <xf numFmtId="0" fontId="49" fillId="49" borderId="35" xfId="81" applyFont="1" applyFill="1" applyBorder="1"/>
    <xf numFmtId="0" fontId="49" fillId="49" borderId="0" xfId="81" applyFont="1" applyFill="1"/>
    <xf numFmtId="44" fontId="49" fillId="49" borderId="36" xfId="82" applyFont="1" applyFill="1" applyBorder="1" applyAlignment="1"/>
    <xf numFmtId="10" fontId="46" fillId="0" borderId="0" xfId="75" applyNumberFormat="1" applyFont="1"/>
    <xf numFmtId="0" fontId="54" fillId="0" borderId="0" xfId="77" applyFont="1"/>
    <xf numFmtId="2" fontId="54" fillId="0" borderId="0" xfId="77" applyNumberFormat="1" applyFont="1"/>
    <xf numFmtId="43" fontId="54" fillId="0" borderId="0" xfId="77" applyNumberFormat="1" applyFont="1"/>
    <xf numFmtId="0" fontId="55" fillId="0" borderId="0" xfId="77" applyFont="1"/>
    <xf numFmtId="0" fontId="56" fillId="0" borderId="0" xfId="77" applyFont="1"/>
    <xf numFmtId="0" fontId="57" fillId="46" borderId="0" xfId="77" applyFont="1" applyFill="1"/>
    <xf numFmtId="0" fontId="55" fillId="46" borderId="0" xfId="77" applyFont="1" applyFill="1"/>
    <xf numFmtId="0" fontId="58" fillId="46" borderId="0" xfId="77" applyFont="1" applyFill="1"/>
    <xf numFmtId="0" fontId="59" fillId="45" borderId="25" xfId="77" applyFont="1" applyFill="1" applyBorder="1"/>
    <xf numFmtId="0" fontId="47" fillId="45" borderId="26" xfId="77" applyFont="1" applyFill="1" applyBorder="1" applyAlignment="1">
      <alignment horizontal="center" vertical="center" wrapText="1"/>
    </xf>
    <xf numFmtId="0" fontId="47" fillId="45" borderId="26" xfId="77" applyFont="1" applyFill="1" applyBorder="1" applyAlignment="1">
      <alignment horizontal="center"/>
    </xf>
    <xf numFmtId="0" fontId="47" fillId="45" borderId="27" xfId="77" applyFont="1" applyFill="1" applyBorder="1"/>
    <xf numFmtId="0" fontId="47" fillId="45" borderId="0" xfId="77" applyFont="1" applyFill="1" applyAlignment="1">
      <alignment horizontal="center" vertical="center" wrapText="1"/>
    </xf>
    <xf numFmtId="0" fontId="47" fillId="45" borderId="28" xfId="77" applyFont="1" applyFill="1" applyBorder="1" applyAlignment="1">
      <alignment horizontal="center"/>
    </xf>
    <xf numFmtId="0" fontId="47" fillId="45" borderId="0" xfId="77" applyFont="1" applyFill="1" applyAlignment="1">
      <alignment horizontal="center"/>
    </xf>
    <xf numFmtId="0" fontId="55" fillId="0" borderId="20" xfId="77" applyFont="1" applyBorder="1"/>
    <xf numFmtId="43" fontId="46" fillId="0" borderId="20" xfId="78" applyFont="1" applyBorder="1"/>
    <xf numFmtId="10" fontId="46" fillId="0" borderId="20" xfId="78" applyNumberFormat="1" applyFont="1" applyBorder="1"/>
    <xf numFmtId="43" fontId="46" fillId="0" borderId="20" xfId="78" applyFont="1" applyFill="1" applyBorder="1"/>
    <xf numFmtId="43" fontId="46" fillId="0" borderId="0" xfId="78" applyFont="1" applyFill="1"/>
    <xf numFmtId="10" fontId="46" fillId="0" borderId="0" xfId="78" applyNumberFormat="1" applyFont="1" applyFill="1"/>
    <xf numFmtId="43" fontId="46" fillId="0" borderId="0" xfId="78" applyFont="1" applyFill="1" applyBorder="1"/>
    <xf numFmtId="10" fontId="46" fillId="0" borderId="0" xfId="78" applyNumberFormat="1" applyFont="1" applyFill="1" applyBorder="1"/>
    <xf numFmtId="43" fontId="55" fillId="0" borderId="0" xfId="77" applyNumberFormat="1" applyFont="1"/>
    <xf numFmtId="0" fontId="47" fillId="45" borderId="22" xfId="77" applyFont="1" applyFill="1" applyBorder="1" applyAlignment="1">
      <alignment horizontal="center"/>
    </xf>
    <xf numFmtId="0" fontId="47" fillId="45" borderId="4" xfId="77" applyFont="1" applyFill="1" applyBorder="1" applyAlignment="1">
      <alignment horizontal="center"/>
    </xf>
    <xf numFmtId="0" fontId="47" fillId="45" borderId="23" xfId="77" applyFont="1" applyFill="1" applyBorder="1" applyAlignment="1">
      <alignment horizontal="center"/>
    </xf>
    <xf numFmtId="0" fontId="55" fillId="0" borderId="21" xfId="77" applyFont="1" applyBorder="1"/>
    <xf numFmtId="0" fontId="55" fillId="0" borderId="18" xfId="77" applyFont="1" applyBorder="1"/>
    <xf numFmtId="168" fontId="55" fillId="0" borderId="19" xfId="77" applyNumberFormat="1" applyFont="1" applyBorder="1" applyAlignment="1">
      <alignment horizontal="right"/>
    </xf>
    <xf numFmtId="168" fontId="55" fillId="0" borderId="21" xfId="77" applyNumberFormat="1" applyFont="1" applyBorder="1"/>
    <xf numFmtId="0" fontId="55" fillId="47" borderId="24" xfId="77" applyFont="1" applyFill="1" applyBorder="1"/>
    <xf numFmtId="0" fontId="55" fillId="47" borderId="20" xfId="77" applyFont="1" applyFill="1" applyBorder="1"/>
    <xf numFmtId="169" fontId="55" fillId="47" borderId="29" xfId="77" quotePrefix="1" applyNumberFormat="1" applyFont="1" applyFill="1" applyBorder="1"/>
    <xf numFmtId="43" fontId="46" fillId="0" borderId="21" xfId="78" applyFont="1" applyBorder="1"/>
    <xf numFmtId="0" fontId="55" fillId="47" borderId="18" xfId="77" applyFont="1" applyFill="1" applyBorder="1"/>
    <xf numFmtId="0" fontId="55" fillId="47" borderId="0" xfId="77" applyFont="1" applyFill="1"/>
    <xf numFmtId="0" fontId="55" fillId="0" borderId="18" xfId="77" applyFont="1" applyBorder="1" applyAlignment="1">
      <alignment horizontal="left" indent="1"/>
    </xf>
    <xf numFmtId="0" fontId="55" fillId="0" borderId="0" xfId="77" applyFont="1" applyAlignment="1">
      <alignment horizontal="left" indent="1"/>
    </xf>
    <xf numFmtId="0" fontId="49" fillId="47" borderId="15" xfId="77" applyFont="1" applyFill="1" applyBorder="1"/>
    <xf numFmtId="9" fontId="55" fillId="0" borderId="18" xfId="77" applyNumberFormat="1" applyFont="1" applyBorder="1" applyAlignment="1">
      <alignment horizontal="center"/>
    </xf>
    <xf numFmtId="9" fontId="55" fillId="0" borderId="0" xfId="77" applyNumberFormat="1" applyFont="1" applyAlignment="1">
      <alignment horizontal="center"/>
    </xf>
    <xf numFmtId="0" fontId="55" fillId="0" borderId="0" xfId="77" applyFont="1" applyAlignment="1">
      <alignment horizontal="center"/>
    </xf>
    <xf numFmtId="169" fontId="55" fillId="0" borderId="19" xfId="77" applyNumberFormat="1" applyFont="1" applyBorder="1"/>
    <xf numFmtId="9" fontId="55" fillId="47" borderId="24" xfId="77" applyNumberFormat="1" applyFont="1" applyFill="1" applyBorder="1" applyAlignment="1">
      <alignment horizontal="center"/>
    </xf>
    <xf numFmtId="9" fontId="55" fillId="47" borderId="20" xfId="77" applyNumberFormat="1" applyFont="1" applyFill="1" applyBorder="1" applyAlignment="1">
      <alignment horizontal="center"/>
    </xf>
    <xf numFmtId="0" fontId="55" fillId="47" borderId="20" xfId="77" applyFont="1" applyFill="1" applyBorder="1" applyAlignment="1">
      <alignment horizontal="center"/>
    </xf>
    <xf numFmtId="44" fontId="55" fillId="47" borderId="29" xfId="77" applyNumberFormat="1" applyFont="1" applyFill="1" applyBorder="1"/>
    <xf numFmtId="169" fontId="55" fillId="0" borderId="31" xfId="77" applyNumberFormat="1" applyFont="1" applyBorder="1"/>
    <xf numFmtId="2" fontId="55" fillId="0" borderId="0" xfId="77" applyNumberFormat="1" applyFont="1"/>
    <xf numFmtId="43" fontId="55" fillId="0" borderId="21" xfId="77" applyNumberFormat="1" applyFont="1" applyBorder="1"/>
    <xf numFmtId="43" fontId="46" fillId="0" borderId="0" xfId="78" applyFont="1" applyBorder="1"/>
    <xf numFmtId="0" fontId="60" fillId="49" borderId="37" xfId="81" applyFont="1" applyFill="1" applyBorder="1"/>
    <xf numFmtId="0" fontId="60" fillId="49" borderId="38" xfId="81" applyFont="1" applyFill="1" applyBorder="1"/>
    <xf numFmtId="10" fontId="60" fillId="49" borderId="39" xfId="75" applyNumberFormat="1" applyFont="1" applyFill="1" applyBorder="1" applyAlignment="1"/>
    <xf numFmtId="14" fontId="0" fillId="0" borderId="0" xfId="0" applyNumberFormat="1"/>
    <xf numFmtId="0" fontId="0" fillId="39" borderId="0" xfId="0" applyFill="1"/>
    <xf numFmtId="0" fontId="0" fillId="0" borderId="21" xfId="0" applyBorder="1"/>
    <xf numFmtId="0" fontId="39" fillId="39" borderId="21" xfId="0" applyFont="1" applyFill="1" applyBorder="1"/>
    <xf numFmtId="43" fontId="55" fillId="0" borderId="19" xfId="78" applyFont="1" applyBorder="1"/>
    <xf numFmtId="43" fontId="55" fillId="47" borderId="19" xfId="78" applyFont="1" applyFill="1" applyBorder="1"/>
    <xf numFmtId="43" fontId="61" fillId="47" borderId="31" xfId="78" applyFont="1" applyFill="1" applyBorder="1"/>
    <xf numFmtId="0" fontId="61" fillId="47" borderId="30" xfId="77" applyFont="1" applyFill="1" applyBorder="1"/>
    <xf numFmtId="10" fontId="55" fillId="0" borderId="0" xfId="79" applyNumberFormat="1" applyFont="1"/>
    <xf numFmtId="0" fontId="47" fillId="45" borderId="21" xfId="77" applyFont="1" applyFill="1" applyBorder="1" applyAlignment="1">
      <alignment horizontal="center"/>
    </xf>
    <xf numFmtId="14" fontId="46" fillId="0" borderId="0" xfId="82" applyNumberFormat="1" applyFont="1"/>
    <xf numFmtId="49" fontId="0" fillId="0" borderId="0" xfId="0" applyNumberFormat="1"/>
    <xf numFmtId="43" fontId="0" fillId="0" borderId="0" xfId="76" applyFont="1"/>
    <xf numFmtId="43" fontId="27" fillId="0" borderId="0" xfId="76" applyFont="1"/>
    <xf numFmtId="0" fontId="27" fillId="39" borderId="0" xfId="0" applyFont="1" applyFill="1"/>
    <xf numFmtId="167" fontId="27" fillId="39" borderId="0" xfId="76" applyNumberFormat="1" applyFont="1" applyFill="1"/>
    <xf numFmtId="165" fontId="0" fillId="0" borderId="0" xfId="74" applyNumberFormat="1" applyFont="1"/>
    <xf numFmtId="43" fontId="0" fillId="0" borderId="0" xfId="74" applyNumberFormat="1" applyFont="1"/>
    <xf numFmtId="10" fontId="0" fillId="0" borderId="0" xfId="74" applyNumberFormat="1" applyFont="1"/>
    <xf numFmtId="165" fontId="0" fillId="0" borderId="0" xfId="76" applyNumberFormat="1" applyFont="1"/>
    <xf numFmtId="10" fontId="0" fillId="0" borderId="0" xfId="76" applyNumberFormat="1" applyFont="1"/>
    <xf numFmtId="9" fontId="0" fillId="0" borderId="0" xfId="76" applyNumberFormat="1" applyFont="1"/>
    <xf numFmtId="10" fontId="0" fillId="0" borderId="0" xfId="0" applyNumberFormat="1"/>
    <xf numFmtId="0" fontId="8" fillId="34" borderId="5" xfId="35" applyAlignment="1">
      <alignment wrapText="1"/>
    </xf>
    <xf numFmtId="0" fontId="29" fillId="34" borderId="5" xfId="35" applyFont="1" applyAlignment="1">
      <alignment wrapText="1"/>
    </xf>
    <xf numFmtId="43" fontId="3" fillId="34" borderId="0" xfId="76" applyFont="1" applyFill="1" applyBorder="1"/>
    <xf numFmtId="43" fontId="0" fillId="38" borderId="0" xfId="76" applyFont="1" applyFill="1"/>
    <xf numFmtId="43" fontId="0" fillId="0" borderId="0" xfId="0" applyNumberFormat="1"/>
    <xf numFmtId="43" fontId="46" fillId="40" borderId="0" xfId="77" applyNumberFormat="1" applyFont="1" applyFill="1"/>
    <xf numFmtId="0" fontId="27" fillId="0" borderId="21" xfId="0" applyFont="1" applyBorder="1"/>
    <xf numFmtId="167" fontId="27" fillId="38" borderId="0" xfId="76" applyNumberFormat="1" applyFont="1" applyFill="1"/>
    <xf numFmtId="167" fontId="27" fillId="0" borderId="0" xfId="76" applyNumberFormat="1" applyFont="1"/>
    <xf numFmtId="9" fontId="0" fillId="0" borderId="0" xfId="74" applyFont="1"/>
    <xf numFmtId="9" fontId="0" fillId="0" borderId="0" xfId="0" applyNumberFormat="1"/>
    <xf numFmtId="170" fontId="0" fillId="0" borderId="0" xfId="74" applyNumberFormat="1" applyFont="1"/>
    <xf numFmtId="170" fontId="0" fillId="0" borderId="0" xfId="0" applyNumberFormat="1"/>
    <xf numFmtId="171" fontId="0" fillId="0" borderId="0" xfId="0" applyNumberFormat="1"/>
    <xf numFmtId="171" fontId="0" fillId="0" borderId="0" xfId="76" applyNumberFormat="1" applyFont="1"/>
    <xf numFmtId="49" fontId="0" fillId="0" borderId="0" xfId="76" applyNumberFormat="1" applyFont="1"/>
    <xf numFmtId="3" fontId="46" fillId="40" borderId="0" xfId="77" applyNumberFormat="1" applyFont="1" applyFill="1"/>
    <xf numFmtId="0" fontId="55" fillId="0" borderId="0" xfId="77" applyFont="1" applyAlignment="1">
      <alignment vertical="top" wrapText="1"/>
    </xf>
    <xf numFmtId="43" fontId="46" fillId="0" borderId="0" xfId="77" applyNumberFormat="1" applyFont="1"/>
    <xf numFmtId="10" fontId="46" fillId="0" borderId="20" xfId="78" applyNumberFormat="1" applyFont="1" applyFill="1" applyBorder="1"/>
    <xf numFmtId="0" fontId="55" fillId="0" borderId="0" xfId="77" applyFont="1" applyAlignment="1">
      <alignment horizontal="center" vertical="top" wrapText="1"/>
    </xf>
    <xf numFmtId="9" fontId="30" fillId="0" borderId="0" xfId="0" applyNumberFormat="1" applyFont="1"/>
    <xf numFmtId="0" fontId="55" fillId="0" borderId="30" xfId="77" applyFont="1" applyBorder="1" applyAlignment="1">
      <alignment horizontal="center"/>
    </xf>
    <xf numFmtId="0" fontId="55" fillId="0" borderId="15" xfId="77" applyFont="1" applyBorder="1" applyAlignment="1">
      <alignment horizontal="center"/>
    </xf>
    <xf numFmtId="0" fontId="47" fillId="45" borderId="26" xfId="77" applyFont="1" applyFill="1" applyBorder="1" applyAlignment="1">
      <alignment horizontal="center" vertical="center" wrapText="1"/>
    </xf>
    <xf numFmtId="0" fontId="47" fillId="45" borderId="0" xfId="77" applyFont="1" applyFill="1" applyAlignment="1">
      <alignment horizontal="center" vertical="center" wrapText="1"/>
    </xf>
    <xf numFmtId="0" fontId="47" fillId="39" borderId="0" xfId="77" applyFont="1" applyFill="1" applyAlignment="1">
      <alignment horizontal="center"/>
    </xf>
    <xf numFmtId="0" fontId="55" fillId="0" borderId="0" xfId="77" applyFont="1" applyAlignment="1">
      <alignment horizontal="center"/>
    </xf>
    <xf numFmtId="14" fontId="55" fillId="0" borderId="40" xfId="77" applyNumberFormat="1" applyFont="1" applyBorder="1" applyAlignment="1">
      <alignment horizontal="left"/>
    </xf>
    <xf numFmtId="0" fontId="47" fillId="45" borderId="30" xfId="77" applyFont="1" applyFill="1" applyBorder="1" applyAlignment="1">
      <alignment horizontal="center"/>
    </xf>
    <xf numFmtId="0" fontId="47" fillId="45" borderId="15" xfId="77" applyFont="1" applyFill="1" applyBorder="1" applyAlignment="1">
      <alignment horizontal="center"/>
    </xf>
    <xf numFmtId="0" fontId="47" fillId="45" borderId="31" xfId="77" applyFont="1" applyFill="1" applyBorder="1" applyAlignment="1">
      <alignment horizontal="center"/>
    </xf>
    <xf numFmtId="0" fontId="47" fillId="45" borderId="22" xfId="77" applyFont="1" applyFill="1" applyBorder="1" applyAlignment="1">
      <alignment horizontal="center"/>
    </xf>
    <xf numFmtId="0" fontId="47" fillId="45" borderId="4" xfId="77" applyFont="1" applyFill="1" applyBorder="1" applyAlignment="1">
      <alignment horizontal="center"/>
    </xf>
    <xf numFmtId="0" fontId="47" fillId="45" borderId="23" xfId="77" applyFont="1" applyFill="1" applyBorder="1" applyAlignment="1">
      <alignment horizontal="center"/>
    </xf>
    <xf numFmtId="0" fontId="47" fillId="45" borderId="26" xfId="77" applyFont="1" applyFill="1" applyBorder="1" applyAlignment="1">
      <alignment horizontal="center"/>
    </xf>
    <xf numFmtId="0" fontId="47" fillId="41" borderId="0" xfId="77" applyFont="1" applyFill="1" applyAlignment="1">
      <alignment horizontal="center"/>
    </xf>
    <xf numFmtId="0" fontId="48" fillId="0" borderId="0" xfId="77" applyFont="1"/>
    <xf numFmtId="0" fontId="49" fillId="43" borderId="0" xfId="77" applyFont="1" applyFill="1" applyAlignment="1">
      <alignment horizontal="center" vertical="center"/>
    </xf>
    <xf numFmtId="0" fontId="49" fillId="43" borderId="20" xfId="77" applyFont="1" applyFill="1" applyBorder="1" applyAlignment="1">
      <alignment horizontal="center" vertical="center"/>
    </xf>
    <xf numFmtId="0" fontId="49" fillId="40" borderId="21" xfId="77" applyFont="1" applyFill="1" applyBorder="1" applyAlignment="1">
      <alignment horizontal="center"/>
    </xf>
    <xf numFmtId="0" fontId="49" fillId="40" borderId="16" xfId="77" applyFont="1" applyFill="1" applyBorder="1" applyAlignment="1">
      <alignment horizontal="center" vertical="center"/>
    </xf>
    <xf numFmtId="0" fontId="49" fillId="40" borderId="2" xfId="77" applyFont="1" applyFill="1" applyBorder="1" applyAlignment="1">
      <alignment horizontal="center" vertical="center"/>
    </xf>
    <xf numFmtId="0" fontId="49" fillId="40" borderId="17" xfId="77" applyFont="1" applyFill="1" applyBorder="1" applyAlignment="1">
      <alignment horizontal="center" vertical="center"/>
    </xf>
    <xf numFmtId="0" fontId="47" fillId="42" borderId="0" xfId="77" applyFont="1" applyFill="1" applyAlignment="1">
      <alignment horizontal="center"/>
    </xf>
    <xf numFmtId="0" fontId="27" fillId="0" borderId="20" xfId="0" applyFont="1" applyBorder="1" applyAlignment="1">
      <alignment horizontal="center"/>
    </xf>
    <xf numFmtId="0" fontId="0" fillId="39" borderId="0" xfId="0" applyFill="1" applyAlignment="1">
      <alignment horizontal="center"/>
    </xf>
  </cellXfs>
  <cellStyles count="8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Comma" xfId="76" builtinId="3"/>
    <cellStyle name="Comma 2" xfId="78" xr:uid="{B257E9EB-274E-4392-90B8-67EE40B04F61}"/>
    <cellStyle name="Currency 2" xfId="82" xr:uid="{CE1D48AE-74CD-402B-9CAC-C47B25D3DEE2}"/>
    <cellStyle name="Explanatory Text" xfId="29" builtinId="53" customBuiltin="1"/>
    <cellStyle name="fa_column_header_bottom" xfId="30" xr:uid="{00000000-0005-0000-0000-00001E000000}"/>
    <cellStyle name="fa_column_header_bottom_centered" xfId="65" xr:uid="{00000000-0005-0000-0000-00001F000000}"/>
    <cellStyle name="fa_column_header_bottom_left" xfId="52" xr:uid="{00000000-0005-0000-0000-000020000000}"/>
    <cellStyle name="fa_column_header_empty" xfId="31" xr:uid="{00000000-0005-0000-0000-000021000000}"/>
    <cellStyle name="fa_column_header_top" xfId="32" xr:uid="{00000000-0005-0000-0000-000022000000}"/>
    <cellStyle name="fa_column_header_top_centered" xfId="64" xr:uid="{00000000-0005-0000-0000-000023000000}"/>
    <cellStyle name="fa_column_header_top_left" xfId="33" xr:uid="{00000000-0005-0000-0000-000024000000}"/>
    <cellStyle name="fa_data_bold_0_grouped" xfId="58" xr:uid="{00000000-0005-0000-0000-000025000000}"/>
    <cellStyle name="fa_data_bold_1_grouped" xfId="59" xr:uid="{00000000-0005-0000-0000-000026000000}"/>
    <cellStyle name="fa_data_bold_1_grouped_single_border" xfId="70" xr:uid="{00000000-0005-0000-0000-000027000000}"/>
    <cellStyle name="fa_data_bold_1_percent_single_border" xfId="71" xr:uid="{00000000-0005-0000-0000-000028000000}"/>
    <cellStyle name="fa_data_bold_2_grouped" xfId="60" xr:uid="{00000000-0005-0000-0000-000029000000}"/>
    <cellStyle name="fa_data_bold_2_grouped_single_border" xfId="72" xr:uid="{00000000-0005-0000-0000-00002A000000}"/>
    <cellStyle name="fa_data_bold_2_percent_single_border" xfId="73" xr:uid="{00000000-0005-0000-0000-00002B000000}"/>
    <cellStyle name="fa_data_current_bold_0_grouped" xfId="61" xr:uid="{00000000-0005-0000-0000-00002C000000}"/>
    <cellStyle name="fa_data_current_bold_1_grouped" xfId="62" xr:uid="{00000000-0005-0000-0000-00002D000000}"/>
    <cellStyle name="fa_data_current_standard_1_grouped" xfId="56" xr:uid="{00000000-0005-0000-0000-000030000000}"/>
    <cellStyle name="fa_data_current_standard_2_grouped" xfId="57" xr:uid="{00000000-0005-0000-0000-000031000000}"/>
    <cellStyle name="fa_data_italic_1_grouped" xfId="63" xr:uid="{00000000-0005-0000-0000-000032000000}"/>
    <cellStyle name="fa_data_standard_0_grouped" xfId="53" xr:uid="{00000000-0005-0000-0000-000033000000}"/>
    <cellStyle name="fa_data_standard_1_grouped" xfId="54" xr:uid="{00000000-0005-0000-0000-000034000000}"/>
    <cellStyle name="fa_data_standard_1_grouped_single_border" xfId="66" xr:uid="{00000000-0005-0000-0000-000035000000}"/>
    <cellStyle name="fa_data_standard_1_percent_single_border" xfId="67" xr:uid="{00000000-0005-0000-0000-000036000000}"/>
    <cellStyle name="fa_data_standard_2_grouped" xfId="55" xr:uid="{00000000-0005-0000-0000-000037000000}"/>
    <cellStyle name="fa_data_standard_2_grouped_single_border" xfId="68" xr:uid="{00000000-0005-0000-0000-000038000000}"/>
    <cellStyle name="fa_data_standard_2_percent_single_border" xfId="69" xr:uid="{00000000-0005-0000-0000-000039000000}"/>
    <cellStyle name="fa_footer_italic" xfId="34" xr:uid="{00000000-0005-0000-0000-00003A000000}"/>
    <cellStyle name="fa_row_header_bold" xfId="35" xr:uid="{00000000-0005-0000-0000-00003B000000}"/>
    <cellStyle name="fa_row_header_italic" xfId="36" xr:uid="{00000000-0005-0000-0000-00003C000000}"/>
    <cellStyle name="fa_row_header_standard" xfId="37" xr:uid="{00000000-0005-0000-0000-00003D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2" xfId="77" xr:uid="{4EE34DAF-12AE-41EE-91B9-42A0003EE2C0}"/>
    <cellStyle name="Normal 2 2" xfId="80" xr:uid="{14961D4C-7367-48A6-9EE9-ED2B02B0BF37}"/>
    <cellStyle name="Normal 4" xfId="81" xr:uid="{320CA28D-BE3C-4B29-83FA-8B78D1315740}"/>
    <cellStyle name="Note" xfId="46" builtinId="10" customBuiltin="1"/>
    <cellStyle name="Output" xfId="47" builtinId="21" customBuiltin="1"/>
    <cellStyle name="Percent" xfId="74" builtinId="5"/>
    <cellStyle name="Percent 2" xfId="75" xr:uid="{A0CBA951-42AE-4029-8ED3-05910B163C26}"/>
    <cellStyle name="Percent 3" xfId="79" xr:uid="{4E597154-5050-4EFA-A3E6-514560405BC5}"/>
    <cellStyle name="Title" xfId="48" builtinId="15" customBuiltin="1"/>
    <cellStyle name="Total" xfId="49" builtinId="25" customBuiltin="1"/>
    <cellStyle name="Warning Text" xfId="50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A3D043"/>
      <color rgb="FF008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F.Analysis!$A$49</c:f>
              <c:strCache>
                <c:ptCount val="1"/>
                <c:pt idx="0">
                  <c:v> Profit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F.Analysis!$B$48:$F$48</c:f>
              <c:numCache>
                <c:formatCode>@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F.Analysis!$B$49:$F$49</c:f>
              <c:numCache>
                <c:formatCode>0.0%</c:formatCode>
                <c:ptCount val="5"/>
                <c:pt idx="0">
                  <c:v>7.332832899133071E-2</c:v>
                </c:pt>
                <c:pt idx="1">
                  <c:v>8.2174662453318018E-2</c:v>
                </c:pt>
                <c:pt idx="2">
                  <c:v>7.6516022522920904E-2</c:v>
                </c:pt>
                <c:pt idx="3">
                  <c:v>8.9378165447383237E-2</c:v>
                </c:pt>
                <c:pt idx="4">
                  <c:v>3.3677644567798794E-2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45FA-9009-1FD048C630F8}"/>
            </c:ext>
          </c:extLst>
        </c:ser>
        <c:ser>
          <c:idx val="1"/>
          <c:order val="1"/>
          <c:tx>
            <c:strRef>
              <c:f>F.Analysis!$A$50</c:f>
              <c:strCache>
                <c:ptCount val="1"/>
                <c:pt idx="0">
                  <c:v> ROE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F.Analysis!$B$48:$F$48</c:f>
              <c:numCache>
                <c:formatCode>@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F.Analysis!$B$50:$F$50</c:f>
              <c:numCache>
                <c:formatCode>0.0%</c:formatCode>
                <c:ptCount val="5"/>
                <c:pt idx="0">
                  <c:v>9.1712272418356763E-2</c:v>
                </c:pt>
                <c:pt idx="1">
                  <c:v>9.9027987263281381E-2</c:v>
                </c:pt>
                <c:pt idx="2">
                  <c:v>7.6742753135645436E-2</c:v>
                </c:pt>
                <c:pt idx="3">
                  <c:v>9.223798100528878E-2</c:v>
                </c:pt>
                <c:pt idx="4">
                  <c:v>5.3832231996296137E-2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5FA-9009-1FD048C6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535439"/>
        <c:axId val="179759007"/>
      </c:barChart>
      <c:catAx>
        <c:axId val="1292535439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9007"/>
        <c:crosses val="autoZero"/>
        <c:auto val="1"/>
        <c:lblAlgn val="ctr"/>
        <c:lblOffset val="100"/>
        <c:noMultiLvlLbl val="0"/>
      </c:catAx>
      <c:valAx>
        <c:axId val="1797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3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F.Analysis!$A$45</c:f>
              <c:strCache>
                <c:ptCount val="1"/>
                <c:pt idx="0">
                  <c:v> Profit Margin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F.Analysis!$B$44:$F$44</c:f>
              <c:strCache>
                <c:ptCount val="5"/>
                <c:pt idx="0">
                  <c:v> Globe Life </c:v>
                </c:pt>
                <c:pt idx="1">
                  <c:v> Sun Life </c:v>
                </c:pt>
                <c:pt idx="2">
                  <c:v> Great-West </c:v>
                </c:pt>
                <c:pt idx="3">
                  <c:v> Metlife </c:v>
                </c:pt>
                <c:pt idx="4">
                  <c:v> Prudential </c:v>
                </c:pt>
              </c:strCache>
            </c:strRef>
          </c:cat>
          <c:val>
            <c:numRef>
              <c:f>F.Analysis!$B$45:$F$45</c:f>
              <c:numCache>
                <c:formatCode>0.00%</c:formatCode>
                <c:ptCount val="5"/>
                <c:pt idx="0">
                  <c:v>0.14199999999999999</c:v>
                </c:pt>
                <c:pt idx="1">
                  <c:v>0.13100000000000001</c:v>
                </c:pt>
                <c:pt idx="2">
                  <c:v>7.1999999999999995E-2</c:v>
                </c:pt>
                <c:pt idx="3" formatCode="0.0%">
                  <c:v>3.3677644567798794E-2</c:v>
                </c:pt>
                <c:pt idx="4">
                  <c:v>-2.5000000000000001E-2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8-4C2E-B66D-5126041E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2728991"/>
        <c:axId val="1301800671"/>
      </c:barChart>
      <c:catAx>
        <c:axId val="2927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00671"/>
        <c:crosses val="autoZero"/>
        <c:auto val="1"/>
        <c:lblAlgn val="ctr"/>
        <c:lblOffset val="100"/>
        <c:noMultiLvlLbl val="0"/>
      </c:catAx>
      <c:valAx>
        <c:axId val="130180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2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F.Analysis!$A$54</c:f>
              <c:strCache>
                <c:ptCount val="1"/>
                <c:pt idx="0">
                  <c:v> Debt to Equity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F.Analysis!$B$53:$F$53</c:f>
              <c:strCache>
                <c:ptCount val="5"/>
                <c:pt idx="0">
                  <c:v> Metlife </c:v>
                </c:pt>
                <c:pt idx="1">
                  <c:v> Prudential </c:v>
                </c:pt>
                <c:pt idx="2">
                  <c:v> Sun Life </c:v>
                </c:pt>
                <c:pt idx="3">
                  <c:v> Globe Life </c:v>
                </c:pt>
                <c:pt idx="4">
                  <c:v> Great-West </c:v>
                </c:pt>
              </c:strCache>
            </c:strRef>
          </c:cat>
          <c:val>
            <c:numRef>
              <c:f>F.Analysis!$B$54:$F$54</c:f>
              <c:numCache>
                <c:formatCode>0.00%</c:formatCode>
                <c:ptCount val="5"/>
                <c:pt idx="0" formatCode="0.0%">
                  <c:v>3.7389999999999999</c:v>
                </c:pt>
                <c:pt idx="1">
                  <c:v>1.9830000000000001</c:v>
                </c:pt>
                <c:pt idx="2">
                  <c:v>0.66300000000000003</c:v>
                </c:pt>
                <c:pt idx="3">
                  <c:v>0.42399999999999999</c:v>
                </c:pt>
                <c:pt idx="4">
                  <c:v>0.34899999999999998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7-4914-BCEB-35C87905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483679"/>
        <c:axId val="1301776863"/>
      </c:barChart>
      <c:catAx>
        <c:axId val="12944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76863"/>
        <c:crosses val="autoZero"/>
        <c:auto val="1"/>
        <c:lblAlgn val="ctr"/>
        <c:lblOffset val="100"/>
        <c:noMultiLvlLbl val="0"/>
      </c:catAx>
      <c:valAx>
        <c:axId val="13017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8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Graph'!$M$1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Graph'!$M$2:$M$5</c:f>
              <c:numCache>
                <c:formatCode>_(* #,##0.00_);_(* \(#,##0.00\);_(* "-"??_);_(@_)</c:formatCode>
                <c:ptCount val="4"/>
                <c:pt idx="0" formatCode="0.00">
                  <c:v>26.802724978674185</c:v>
                </c:pt>
                <c:pt idx="1">
                  <c:v>52.168672908307322</c:v>
                </c:pt>
                <c:pt idx="2">
                  <c:v>23.530000999999999</c:v>
                </c:pt>
                <c:pt idx="3">
                  <c:v>58.409239539272811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E-4B4A-A530-53E7F6B4723E}"/>
            </c:ext>
          </c:extLst>
        </c:ser>
        <c:ser>
          <c:idx val="1"/>
          <c:order val="1"/>
          <c:tx>
            <c:strRef>
              <c:f>'Valuation Graph'!$N$1</c:f>
              <c:strCache>
                <c:ptCount val="1"/>
                <c:pt idx="0">
                  <c:v>Median - Min</c:v>
                </c:pt>
              </c:strCache>
            </c:strRef>
          </c:tx>
          <c:spPr>
            <a:solidFill>
              <a:srgbClr val="008EDD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Graph'!$N$2:$N$5</c:f>
              <c:numCache>
                <c:formatCode>0.00</c:formatCode>
                <c:ptCount val="4"/>
                <c:pt idx="0">
                  <c:v>34.07681415381559</c:v>
                </c:pt>
                <c:pt idx="1">
                  <c:v>22.35800267498886</c:v>
                </c:pt>
                <c:pt idx="2">
                  <c:v>33.58</c:v>
                </c:pt>
                <c:pt idx="3">
                  <c:v>13.67521955178443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E-4B4A-A530-53E7F6B4723E}"/>
            </c:ext>
          </c:extLst>
        </c:ser>
        <c:ser>
          <c:idx val="2"/>
          <c:order val="2"/>
          <c:tx>
            <c:strRef>
              <c:f>'Valuation Graph'!$O$1</c:f>
              <c:strCache>
                <c:ptCount val="1"/>
                <c:pt idx="0">
                  <c:v>Max - Median</c:v>
                </c:pt>
              </c:strCache>
            </c:strRef>
          </c:tx>
          <c:spPr>
            <a:solidFill>
              <a:srgbClr val="A3D043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Graph'!$O$2:$O$5</c:f>
              <c:numCache>
                <c:formatCode>0.00</c:formatCode>
                <c:ptCount val="4"/>
                <c:pt idx="0">
                  <c:v>28.572098021276155</c:v>
                </c:pt>
                <c:pt idx="1">
                  <c:v>50.813642443156482</c:v>
                </c:pt>
                <c:pt idx="2">
                  <c:v>19.839995999999999</c:v>
                </c:pt>
                <c:pt idx="3">
                  <c:v>23.369789765036614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8E-4B4A-A530-53E7F6B4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081056"/>
        <c:axId val="1261249216"/>
      </c:barChart>
      <c:catAx>
        <c:axId val="132208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49216"/>
        <c:crosses val="autoZero"/>
        <c:auto val="1"/>
        <c:lblAlgn val="ctr"/>
        <c:lblOffset val="100"/>
        <c:noMultiLvlLbl val="0"/>
      </c:catAx>
      <c:valAx>
        <c:axId val="1261249216"/>
        <c:scaling>
          <c:orientation val="minMax"/>
          <c:max val="13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81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FCFE!$J$50</c:f>
              <c:strCache>
                <c:ptCount val="1"/>
                <c:pt idx="0">
                  <c:v>FCFE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FCFE!$K$49:$P$49</c:f>
              <c:strCache>
                <c:ptCount val="6"/>
                <c:pt idx="0">
                  <c:v>2023E</c:v>
                </c:pt>
                <c:pt idx="1">
                  <c:v>2024E </c:v>
                </c:pt>
                <c:pt idx="2">
                  <c:v>2025E</c:v>
                </c:pt>
                <c:pt idx="3">
                  <c:v>2026E</c:v>
                </c:pt>
                <c:pt idx="4">
                  <c:v>2027E </c:v>
                </c:pt>
                <c:pt idx="5">
                  <c:v>2028E</c:v>
                </c:pt>
              </c:strCache>
            </c:strRef>
          </c:cat>
          <c:val>
            <c:numRef>
              <c:f>FCFE!$K$50:$P$50</c:f>
              <c:numCache>
                <c:formatCode>#,##0</c:formatCode>
                <c:ptCount val="6"/>
                <c:pt idx="0">
                  <c:v>1388.3254316659147</c:v>
                </c:pt>
                <c:pt idx="1">
                  <c:v>1725.2969804253917</c:v>
                </c:pt>
                <c:pt idx="2">
                  <c:v>4779.0159211868586</c:v>
                </c:pt>
                <c:pt idx="3">
                  <c:v>4901.2160086736176</c:v>
                </c:pt>
                <c:pt idx="4">
                  <c:v>5022.1676497766084</c:v>
                </c:pt>
                <c:pt idx="5">
                  <c:v>5146.2198112159467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0-4895-B07E-8B87B7E07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070112"/>
        <c:axId val="537211376"/>
      </c:barChart>
      <c:catAx>
        <c:axId val="3110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11376"/>
        <c:crosses val="autoZero"/>
        <c:auto val="1"/>
        <c:lblAlgn val="ctr"/>
        <c:lblOffset val="100"/>
        <c:noMultiLvlLbl val="0"/>
      </c:catAx>
      <c:valAx>
        <c:axId val="5372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geography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56-43D5-90A7-08A944B36C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56-43D5-90A7-08A944B36C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56-43D5-90A7-08A944B36C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56-43D5-90A7-08A944B36C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56-43D5-90A7-08A944B36C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56-43D5-90A7-08A944B36CB4}"/>
              </c:ext>
            </c:extLst>
          </c:dPt>
          <c:dLbls>
            <c:dLbl>
              <c:idx val="0"/>
              <c:layout>
                <c:manualLayout>
                  <c:x val="8.9992800575953991E-2"/>
                  <c:y val="0.138888888888888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56-43D5-90A7-08A944B36CB4}"/>
                </c:ext>
              </c:extLst>
            </c:dLbl>
            <c:dLbl>
              <c:idx val="1"/>
              <c:layout>
                <c:manualLayout>
                  <c:x val="-0.10439164866810655"/>
                  <c:y val="7.870370370370370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56-43D5-90A7-08A944B36CB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Graph!$B$4:$B$9</c:f>
              <c:strCache>
                <c:ptCount val="6"/>
                <c:pt idx="0">
                  <c:v>USA</c:v>
                </c:pt>
                <c:pt idx="1">
                  <c:v>Asia</c:v>
                </c:pt>
                <c:pt idx="2">
                  <c:v>Metlife Holdings</c:v>
                </c:pt>
                <c:pt idx="3">
                  <c:v>Latin</c:v>
                </c:pt>
                <c:pt idx="4">
                  <c:v>EMEA</c:v>
                </c:pt>
                <c:pt idx="5">
                  <c:v>Other</c:v>
                </c:pt>
              </c:strCache>
            </c:strRef>
          </c:cat>
          <c:val>
            <c:numRef>
              <c:f>Graph!$C$4:$C$9</c:f>
              <c:numCache>
                <c:formatCode>0%</c:formatCode>
                <c:ptCount val="6"/>
                <c:pt idx="0">
                  <c:v>0.60626356753322386</c:v>
                </c:pt>
                <c:pt idx="1">
                  <c:v>0.15099009900990099</c:v>
                </c:pt>
                <c:pt idx="2">
                  <c:v>0.12242547784190183</c:v>
                </c:pt>
                <c:pt idx="3">
                  <c:v>7.985651506327103E-2</c:v>
                </c:pt>
                <c:pt idx="4">
                  <c:v>3.2548843119606076E-2</c:v>
                </c:pt>
                <c:pt idx="5">
                  <c:v>7.915497432096151E-3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6-43D5-90A7-08A944B36CB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products</a:t>
            </a:r>
            <a:endParaRPr lang="en-US"/>
          </a:p>
        </c:rich>
      </c:tx>
      <c:layout>
        <c:manualLayout>
          <c:xMode val="edge"/>
          <c:yMode val="edge"/>
          <c:x val="0.27289566929133857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666-41B7-8264-BF37A0221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666-41B7-8264-BF37A02216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666-41B7-8264-BF37A022161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666-41B7-8264-BF37A022161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666-41B7-8264-BF37A0221610}"/>
                </c:ext>
              </c:extLst>
            </c:dLbl>
            <c:dLbl>
              <c:idx val="2"/>
              <c:layout>
                <c:manualLayout>
                  <c:x val="-2.2222222222222223E-2"/>
                  <c:y val="3.703703703703703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66-41B7-8264-BF37A022161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Graph!$B$21:$B$23</c:f>
              <c:strCache>
                <c:ptCount val="3"/>
                <c:pt idx="0">
                  <c:v>Premiums and Policy Fees</c:v>
                </c:pt>
                <c:pt idx="1">
                  <c:v>Net Investment Income</c:v>
                </c:pt>
                <c:pt idx="2">
                  <c:v>Other Revenues</c:v>
                </c:pt>
              </c:strCache>
            </c:strRef>
          </c:cat>
          <c:val>
            <c:numRef>
              <c:f>Graph!$C$21:$C$23</c:f>
              <c:numCache>
                <c:formatCode>0%</c:formatCode>
                <c:ptCount val="3"/>
                <c:pt idx="0">
                  <c:v>0.72653147667707951</c:v>
                </c:pt>
                <c:pt idx="1">
                  <c:v>0.24076084078996135</c:v>
                </c:pt>
                <c:pt idx="2">
                  <c:v>3.2707682532959179E-2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6-41B7-8264-BF37A022161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insurance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DBC-4EE9-B366-3A83795888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BC-4EE9-B366-3A83795888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BC-4EE9-B366-3A83795888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DBC-4EE9-B366-3A83795888E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DBC-4EE9-B366-3A83795888E2}"/>
                </c:ext>
              </c:extLst>
            </c:dLbl>
            <c:dLbl>
              <c:idx val="1"/>
              <c:layout>
                <c:manualLayout>
                  <c:x val="-0.13055555555555559"/>
                  <c:y val="-8.487556272013328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BC-4EE9-B366-3A83795888E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DBC-4EE9-B366-3A83795888E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DBC-4EE9-B366-3A83795888E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Graph!$B$40:$B$43</c:f>
              <c:strCache>
                <c:ptCount val="4"/>
                <c:pt idx="0">
                  <c:v>Life Insurance</c:v>
                </c:pt>
                <c:pt idx="1">
                  <c:v>Accident &amp; Health Insurance</c:v>
                </c:pt>
                <c:pt idx="2">
                  <c:v>Annuities</c:v>
                </c:pt>
                <c:pt idx="3">
                  <c:v>Other</c:v>
                </c:pt>
              </c:strCache>
            </c:strRef>
          </c:cat>
          <c:val>
            <c:numRef>
              <c:f>Graph!$C$40:$C$43</c:f>
              <c:numCache>
                <c:formatCode>0%</c:formatCode>
                <c:ptCount val="4"/>
                <c:pt idx="0">
                  <c:v>0.38130033324076645</c:v>
                </c:pt>
                <c:pt idx="1">
                  <c:v>0.30291932796445431</c:v>
                </c:pt>
                <c:pt idx="2">
                  <c:v>0.28893015828936408</c:v>
                </c:pt>
                <c:pt idx="3">
                  <c:v>2.6850180505415162E-2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C-4EE9-B366-3A83795888E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Porter's</a:t>
            </a:r>
            <a:r>
              <a:rPr lang="en-US" baseline="0"/>
              <a:t> Five Forces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Graph!$B$54:$B$58</c:f>
              <c:strCache>
                <c:ptCount val="5"/>
                <c:pt idx="0">
                  <c:v>Competitive Rivalry</c:v>
                </c:pt>
                <c:pt idx="1">
                  <c:v>Bargaining Power of Customers</c:v>
                </c:pt>
                <c:pt idx="2">
                  <c:v>Bargaining Power of Suppliers</c:v>
                </c:pt>
                <c:pt idx="3">
                  <c:v>Threat of New Entry</c:v>
                </c:pt>
                <c:pt idx="4">
                  <c:v>Threat of Substitutes</c:v>
                </c:pt>
              </c:strCache>
            </c:strRef>
          </c:cat>
          <c:val>
            <c:numRef>
              <c:f>Graph!$C$54:$C$58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E-46AF-9713-51CCD93B1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364864"/>
        <c:axId val="102353440"/>
      </c:radarChart>
      <c:catAx>
        <c:axId val="13193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440"/>
        <c:crosses val="autoZero"/>
        <c:auto val="1"/>
        <c:lblAlgn val="ctr"/>
        <c:lblOffset val="100"/>
        <c:noMultiLvlLbl val="0"/>
      </c:catAx>
      <c:valAx>
        <c:axId val="1023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3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Graph!$D$106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Graph!$C$107:$C$115</c:f>
              <c:numCache>
                <c:formatCode>@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Graph!$D$107:$D$115</c:f>
              <c:numCache>
                <c:formatCode>_(* #,##0_);_(* \(#,##0\);_(* "-"??_);_(@_)</c:formatCode>
                <c:ptCount val="9"/>
                <c:pt idx="0">
                  <c:v>67842</c:v>
                </c:pt>
                <c:pt idx="1">
                  <c:v>71080</c:v>
                </c:pt>
                <c:pt idx="2">
                  <c:v>69898</c:v>
                </c:pt>
                <c:pt idx="3">
                  <c:v>63836.000000000007</c:v>
                </c:pt>
                <c:pt idx="4">
                  <c:v>67709.054460089697</c:v>
                </c:pt>
                <c:pt idx="5">
                  <c:v>72138.736876667957</c:v>
                </c:pt>
                <c:pt idx="6">
                  <c:v>72704.66640857303</c:v>
                </c:pt>
                <c:pt idx="7">
                  <c:v>73190.758189429092</c:v>
                </c:pt>
                <c:pt idx="8">
                  <c:v>73570.861504497545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5-496F-9866-AFFE9172D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693983"/>
        <c:axId val="1567255488"/>
      </c:barChart>
      <c:catAx>
        <c:axId val="625693983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255488"/>
        <c:crosses val="autoZero"/>
        <c:auto val="1"/>
        <c:lblAlgn val="ctr"/>
        <c:lblOffset val="100"/>
        <c:noMultiLvlLbl val="0"/>
      </c:catAx>
      <c:valAx>
        <c:axId val="15672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9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57</xdr:row>
      <xdr:rowOff>64770</xdr:rowOff>
    </xdr:from>
    <xdr:to>
      <xdr:col>15</xdr:col>
      <xdr:colOff>556260</xdr:colOff>
      <xdr:row>72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86E38-7D07-62C1-98EE-3CA67DCEA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57</xdr:row>
      <xdr:rowOff>72390</xdr:rowOff>
    </xdr:from>
    <xdr:to>
      <xdr:col>7</xdr:col>
      <xdr:colOff>297180</xdr:colOff>
      <xdr:row>72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83E642-4878-C9A1-E8AB-45CD2D158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670560</xdr:colOff>
      <xdr:row>74</xdr:row>
      <xdr:rowOff>49530</xdr:rowOff>
    </xdr:from>
    <xdr:to>
      <xdr:col>7</xdr:col>
      <xdr:colOff>396240</xdr:colOff>
      <xdr:row>89</xdr:row>
      <xdr:rowOff>49530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00E30-90CE-6246-EC9D-F9CF0003C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803910</xdr:colOff>
      <xdr:row>6</xdr:row>
      <xdr:rowOff>114300</xdr:rowOff>
    </xdr:from>
    <xdr:to>
      <xdr:col>11</xdr:col>
      <xdr:colOff>579120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77037-4A07-4CA8-BB8B-14F40A1CB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643890</xdr:colOff>
      <xdr:row>0</xdr:row>
      <xdr:rowOff>135255</xdr:rowOff>
    </xdr:from>
    <xdr:to>
      <xdr:col>1</xdr:col>
      <xdr:colOff>1535430</xdr:colOff>
      <xdr:row>4</xdr:row>
      <xdr:rowOff>131171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4C844-AE42-4997-A601-559663991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" y="135255"/>
          <a:ext cx="1562100" cy="76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22225</xdr:rowOff>
    </xdr:from>
    <xdr:to>
      <xdr:col>1</xdr:col>
      <xdr:colOff>2111375</xdr:colOff>
      <xdr:row>1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378ACB-BFA1-4A7C-8C24-CD708DC82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" y="22225"/>
          <a:ext cx="2054225" cy="1018540"/>
        </a:xfrm>
        <a:prstGeom prst="rect">
          <a:avLst/>
        </a:prstGeom>
      </xdr:spPr>
    </xdr:pic>
    <xdr:clientData/>
  </xdr:twoCellAnchor>
  <xdr:twoCellAnchor>
    <xdr:from>
      <xdr:col>9</xdr:col>
      <xdr:colOff>262890</xdr:colOff>
      <xdr:row>51</xdr:row>
      <xdr:rowOff>30480</xdr:rowOff>
    </xdr:from>
    <xdr:to>
      <xdr:col>14</xdr:col>
      <xdr:colOff>720090</xdr:colOff>
      <xdr:row>66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3D854-3DC4-0541-E624-C9D84356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1</xdr:col>
      <xdr:colOff>1987550</xdr:colOff>
      <xdr:row>1</xdr:row>
      <xdr:rowOff>16510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2CA33-8392-43C9-A0C8-C4B94F5D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2056130" cy="10299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0</xdr:row>
      <xdr:rowOff>179070</xdr:rowOff>
    </xdr:from>
    <xdr:to>
      <xdr:col>9</xdr:col>
      <xdr:colOff>457200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42529-11D5-80FA-5F91-36B50785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449580</xdr:colOff>
      <xdr:row>18</xdr:row>
      <xdr:rowOff>163830</xdr:rowOff>
    </xdr:from>
    <xdr:to>
      <xdr:col>10</xdr:col>
      <xdr:colOff>335280</xdr:colOff>
      <xdr:row>33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30F71-093B-8A9B-10E4-3175A66CC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36</xdr:row>
      <xdr:rowOff>34290</xdr:rowOff>
    </xdr:from>
    <xdr:to>
      <xdr:col>12</xdr:col>
      <xdr:colOff>190500</xdr:colOff>
      <xdr:row>51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2E6E99-7505-180B-B5E3-E1B56D96F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358140</xdr:colOff>
      <xdr:row>54</xdr:row>
      <xdr:rowOff>41910</xdr:rowOff>
    </xdr:from>
    <xdr:to>
      <xdr:col>12</xdr:col>
      <xdr:colOff>76200</xdr:colOff>
      <xdr:row>69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5BAB43-CD6B-7278-2B74-414ABEDF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436685</xdr:colOff>
      <xdr:row>103</xdr:row>
      <xdr:rowOff>111370</xdr:rowOff>
    </xdr:from>
    <xdr:to>
      <xdr:col>10</xdr:col>
      <xdr:colOff>401516</xdr:colOff>
      <xdr:row>118</xdr:row>
      <xdr:rowOff>128954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063268-DE77-F74B-F47E-ED374E4E7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dhawks.sharepoint.com/Users/chauthingoclien/Downloads/XL-03-17-Sensitivity-Tables-Af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Financial%20Statement\ADBE%20Template%20Model%20(Please%20Download).xlsx" TargetMode="External"/><Relationship Id="rId1" Type="http://schemas.openxmlformats.org/officeDocument/2006/relationships/externalLinkPath" Target="/Users/yada/Documents/3.%20School/Redhawk%20Fund/Financial%20Statement/ADBE%20Template%20Model%20(Please%20Downloa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Graphs"/>
      <sheetName val="WMT_Model"/>
      <sheetName val="Q1_Results"/>
      <sheetName val="DCF"/>
      <sheetName val="WACC"/>
      <sheetName val="ValSum"/>
      <sheetName val="ValGraph"/>
      <sheetName val="Public_Comps"/>
      <sheetName val="Public_Comps_Data"/>
      <sheetName val="MA_Comp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Valuation Graph"/>
      <sheetName val="Targeted Price"/>
      <sheetName val="WACC"/>
      <sheetName val="DCF "/>
      <sheetName val="Relative Valuation"/>
      <sheetName val="Financial Analysis"/>
      <sheetName val="Income - Adjusted"/>
      <sheetName val="Bal Sheet - Standardized"/>
      <sheetName val="Cash Flow - Standardized"/>
      <sheetName val="By Geography"/>
      <sheetName val="By Segment"/>
      <sheetName val="By Measure"/>
      <sheetName val="Risk Matrix"/>
    </sheetNames>
    <sheetDataSet>
      <sheetData sheetId="0"/>
      <sheetData sheetId="1">
        <row r="32">
          <cell r="B32" t="str">
            <v xml:space="preserve">9%-13% WACC, 2% - 4% Terminal FCF Growth Rate </v>
          </cell>
        </row>
      </sheetData>
      <sheetData sheetId="2"/>
      <sheetData sheetId="3"/>
      <sheetData sheetId="4">
        <row r="9">
          <cell r="E9">
            <v>333.5</v>
          </cell>
        </row>
        <row r="10">
          <cell r="E10">
            <v>457.8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ada so" id="{45EA6F40-B27C-4DBA-9618-245DCAD2AE1A}" userId="88a427aecdc5f43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F5EE5-C88E-4EA3-BA9D-C6D892D5B27A}" name="Table6" displayName="Table6" ref="B1:H5" totalsRowShown="0" headerRowDxfId="14" dataDxfId="13">
  <autoFilter ref="B1:H5" xr:uid="{3B0C6FF0-BE35-47E5-BE5E-2DE0C32817BB}"/>
  <tableColumns count="7">
    <tableColumn id="1" xr3:uid="{FA8296E3-5981-4D00-8C1D-DF36381133E4}" name="Column1" dataDxfId="12"/>
    <tableColumn id="2" xr3:uid="{851B32FD-4E79-4932-9691-E92348116BCD}" name="Column2" dataDxfId="11"/>
    <tableColumn id="3" xr3:uid="{DF164C51-F2A7-46B1-9E87-78E2810DDFBA}" name="Min" dataDxfId="10"/>
    <tableColumn id="4" xr3:uid="{9666CEC7-1616-41CA-A04D-A1353A08067B}" name="25th" dataDxfId="9"/>
    <tableColumn id="5" xr3:uid="{ECDB9193-9F53-4940-89F7-045D2EC7AC9A}" name="Median" dataDxfId="8"/>
    <tableColumn id="6" xr3:uid="{E94A0CD8-225A-4C63-B21B-A59A665CBD2C}" name="75th" dataDxfId="7"/>
    <tableColumn id="7" xr3:uid="{D1C2F7E0-F6E3-4E30-88E3-DF914C5F9C1D}" name="Max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456B44-FE4B-4002-BD6B-CF64ECABFEE3}" name="Table7" displayName="Table7" ref="L1:O5" totalsRowShown="0" headerRowDxfId="5" dataDxfId="4">
  <autoFilter ref="L1:O5" xr:uid="{2EC475CC-164E-4F19-A235-DC9630E4280E}"/>
  <tableColumns count="4">
    <tableColumn id="1" xr3:uid="{907F86A9-5B67-4625-ACC6-FED12D6B1B88}" name="Column1" dataDxfId="3">
      <calculatedColumnFormula>Table6[[#This Row],[Column1]]</calculatedColumnFormula>
    </tableColumn>
    <tableColumn id="2" xr3:uid="{90D57549-8AF8-4356-A737-5D60B83C5045}" name="Min" dataDxfId="2"/>
    <tableColumn id="3" xr3:uid="{14AC2138-5A81-472C-B973-73D40B96780E}" name="Median - Min" dataDxfId="1">
      <calculatedColumnFormula>Table6[[#This Row],[Median]]-Table6[[#This Row],[Min]]</calculatedColumnFormula>
    </tableColumn>
    <tableColumn id="4" xr3:uid="{0B0E02C1-F182-43C1-A918-9F400A72FC3D}" name="Max - Median" dataDxfId="0">
      <calculatedColumnFormula>Table6[[#This Row],[Max]]-Table6[[#This Row],[Median]]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3-11-02T17:20:39.52" personId="{45EA6F40-B27C-4DBA-9618-245DCAD2AE1A}" id="{33292ECE-5FEF-4BD4-84C5-CB4F099D8D13}">
    <text xml:space="preserve">Include Goodwill impairment of 260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CBCD-648C-450A-9346-F15E35685A81}"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RowHeight="14.4" x14ac:dyDescent="0.3"/>
  <cols>
    <col min="1" max="1" width="49.77734375" bestFit="1" customWidth="1"/>
    <col min="2" max="8" width="11.77734375" style="218" customWidth="1"/>
  </cols>
  <sheetData>
    <row r="1" spans="1:8" s="49" customFormat="1" x14ac:dyDescent="0.3">
      <c r="A1" s="220" t="s">
        <v>468</v>
      </c>
      <c r="B1" s="221">
        <v>2016</v>
      </c>
      <c r="C1" s="221">
        <v>2017</v>
      </c>
      <c r="D1" s="221">
        <v>2018</v>
      </c>
      <c r="E1" s="221">
        <v>2019</v>
      </c>
      <c r="F1" s="221">
        <v>2020</v>
      </c>
      <c r="G1" s="221">
        <v>2021</v>
      </c>
      <c r="H1" s="221">
        <v>2022</v>
      </c>
    </row>
    <row r="2" spans="1:8" s="49" customFormat="1" x14ac:dyDescent="0.3">
      <c r="A2" s="49" t="s">
        <v>19</v>
      </c>
      <c r="B2" s="219">
        <f>B3+B4+B5+B6+B7</f>
        <v>60787</v>
      </c>
      <c r="C2" s="219">
        <f t="shared" ref="C2:H2" si="0">C3+C4+C5+C6+C7</f>
        <v>62308</v>
      </c>
      <c r="D2" s="219">
        <f t="shared" si="0"/>
        <v>67941</v>
      </c>
      <c r="E2" s="219">
        <f t="shared" si="0"/>
        <v>69620</v>
      </c>
      <c r="F2" s="219">
        <f t="shared" si="0"/>
        <v>67842</v>
      </c>
      <c r="G2" s="219">
        <f t="shared" si="0"/>
        <v>71080</v>
      </c>
      <c r="H2" s="219">
        <f t="shared" si="0"/>
        <v>69898</v>
      </c>
    </row>
    <row r="3" spans="1:8" x14ac:dyDescent="0.3">
      <c r="A3" s="217" t="s">
        <v>599</v>
      </c>
      <c r="B3" s="218">
        <f>'Income - Adjusted'!C9</f>
        <v>37202</v>
      </c>
      <c r="C3" s="218">
        <f>'Income - Adjusted'!D9</f>
        <v>38992</v>
      </c>
      <c r="D3" s="218">
        <f>'Income - Adjusted'!E9</f>
        <v>43840</v>
      </c>
      <c r="E3" s="218">
        <f>'Income - Adjusted'!F9</f>
        <v>42235</v>
      </c>
      <c r="F3" s="218">
        <f>'Income - Adjusted'!G9</f>
        <v>42034</v>
      </c>
      <c r="G3" s="218">
        <f>'Income - Adjusted'!H9</f>
        <v>42009</v>
      </c>
      <c r="H3" s="218">
        <f>'Income - Adjusted'!I9</f>
        <v>49397</v>
      </c>
    </row>
    <row r="4" spans="1:8" x14ac:dyDescent="0.3">
      <c r="A4" t="s">
        <v>600</v>
      </c>
      <c r="B4" s="218">
        <f>'Income - Adjusted'!C20</f>
        <v>5483</v>
      </c>
      <c r="C4" s="218">
        <f>'Income - Adjusted'!D20</f>
        <v>5510</v>
      </c>
      <c r="D4" s="218">
        <f>'Income - Adjusted'!E20</f>
        <v>5502</v>
      </c>
      <c r="E4" s="218">
        <f>'Income - Adjusted'!F20</f>
        <v>5603</v>
      </c>
      <c r="F4" s="218">
        <f>'Income - Adjusted'!G20</f>
        <v>5603</v>
      </c>
      <c r="G4" s="218">
        <f>'Income - Adjusted'!H20</f>
        <v>5756</v>
      </c>
      <c r="H4" s="218">
        <f>'Income - Adjusted'!I20</f>
        <v>5585</v>
      </c>
    </row>
    <row r="5" spans="1:8" x14ac:dyDescent="0.3">
      <c r="A5" t="s">
        <v>601</v>
      </c>
      <c r="B5" s="218">
        <f>'Income - Adjusted'!C15</f>
        <v>16790</v>
      </c>
      <c r="C5" s="218">
        <f>'Income - Adjusted'!D15</f>
        <v>17363</v>
      </c>
      <c r="D5" s="218">
        <f>'Income - Adjusted'!E15</f>
        <v>16166</v>
      </c>
      <c r="E5" s="218">
        <f>'Income - Adjusted'!F15</f>
        <v>18868</v>
      </c>
      <c r="F5" s="218">
        <f>'Income - Adjusted'!G15</f>
        <v>17117</v>
      </c>
      <c r="G5" s="218">
        <f>'Income - Adjusted'!H15</f>
        <v>21395</v>
      </c>
      <c r="H5" s="218">
        <f>'Income - Adjusted'!I15</f>
        <v>15916</v>
      </c>
    </row>
    <row r="6" spans="1:8" x14ac:dyDescent="0.3">
      <c r="A6" t="s">
        <v>602</v>
      </c>
      <c r="B6" s="218">
        <f>'Income - Adjusted'!C21</f>
        <v>1685</v>
      </c>
      <c r="C6" s="218">
        <f>'Income - Adjusted'!D21</f>
        <v>1341</v>
      </c>
      <c r="D6" s="218">
        <f>'Income - Adjusted'!E21</f>
        <v>1880</v>
      </c>
      <c r="E6" s="218">
        <f>'Income - Adjusted'!F21</f>
        <v>1842</v>
      </c>
      <c r="F6" s="218">
        <f>'Income - Adjusted'!G21</f>
        <v>1849</v>
      </c>
      <c r="G6" s="218">
        <f>'Income - Adjusted'!H21</f>
        <v>2619</v>
      </c>
      <c r="H6" s="218">
        <f>'Income - Adjusted'!I21</f>
        <v>2634</v>
      </c>
    </row>
    <row r="7" spans="1:8" x14ac:dyDescent="0.3">
      <c r="A7" t="s">
        <v>603</v>
      </c>
      <c r="B7" s="218">
        <f>'Income - Adjusted'!C23</f>
        <v>-373</v>
      </c>
      <c r="C7" s="218">
        <f>'Income - Adjusted'!D23</f>
        <v>-898</v>
      </c>
      <c r="D7" s="218">
        <f>'Income - Adjusted'!E23</f>
        <v>553</v>
      </c>
      <c r="E7" s="218">
        <f>'Income - Adjusted'!F23</f>
        <v>1072</v>
      </c>
      <c r="F7" s="218">
        <f>'Income - Adjusted'!G23</f>
        <v>1239</v>
      </c>
      <c r="G7" s="218">
        <f>'Income - Adjusted'!H23</f>
        <v>-699</v>
      </c>
      <c r="H7" s="218">
        <f>'Income - Adjusted'!I23</f>
        <v>-3634</v>
      </c>
    </row>
    <row r="9" spans="1:8" s="49" customFormat="1" x14ac:dyDescent="0.3">
      <c r="A9" s="49" t="s">
        <v>462</v>
      </c>
      <c r="B9" s="219">
        <f>B10+B11+B12+B13+B14</f>
        <v>56506</v>
      </c>
      <c r="C9" s="219">
        <f t="shared" ref="C9:H9" si="1">C10+C11+C12+C13+C14</f>
        <v>58772</v>
      </c>
      <c r="D9" s="219">
        <f t="shared" si="1"/>
        <v>61634</v>
      </c>
      <c r="E9" s="219">
        <f t="shared" si="1"/>
        <v>62825</v>
      </c>
      <c r="F9" s="219">
        <f t="shared" si="1"/>
        <v>60915</v>
      </c>
      <c r="G9" s="219">
        <f t="shared" si="1"/>
        <v>62954</v>
      </c>
      <c r="H9" s="219">
        <f t="shared" si="1"/>
        <v>67039</v>
      </c>
    </row>
    <row r="10" spans="1:8" x14ac:dyDescent="0.3">
      <c r="A10" t="s">
        <v>607</v>
      </c>
      <c r="B10" s="218">
        <f>'Income - Adjusted'!C29+'Income - Adjusted'!C30</f>
        <v>36358</v>
      </c>
      <c r="C10" s="218">
        <f>'Income - Adjusted'!D29+'Income - Adjusted'!D30</f>
        <v>38313</v>
      </c>
      <c r="D10" s="218">
        <f>'Income - Adjusted'!E29+'Income - Adjusted'!E30</f>
        <v>42656</v>
      </c>
      <c r="E10" s="218">
        <f>'Income - Adjusted'!F29+'Income - Adjusted'!F30</f>
        <v>41461</v>
      </c>
      <c r="F10" s="218">
        <f>'Income - Adjusted'!G29+'Income - Adjusted'!G30</f>
        <v>41461</v>
      </c>
      <c r="G10" s="218">
        <f>'Income - Adjusted'!H29+'Income - Adjusted'!H30</f>
        <v>43954</v>
      </c>
      <c r="H10" s="218">
        <f>'Income - Adjusted'!I29+'Income - Adjusted'!I30</f>
        <v>50612</v>
      </c>
    </row>
    <row r="11" spans="1:8" x14ac:dyDescent="0.3">
      <c r="A11" t="s">
        <v>611</v>
      </c>
      <c r="B11" s="218">
        <v>1223</v>
      </c>
      <c r="C11" s="218">
        <v>1231</v>
      </c>
      <c r="D11" s="218">
        <v>1251</v>
      </c>
      <c r="E11" s="218">
        <v>1211</v>
      </c>
      <c r="F11" s="218">
        <v>1090</v>
      </c>
      <c r="G11" s="218">
        <v>876</v>
      </c>
      <c r="H11" s="218">
        <v>701</v>
      </c>
    </row>
    <row r="12" spans="1:8" x14ac:dyDescent="0.3">
      <c r="A12" t="s">
        <v>604</v>
      </c>
      <c r="B12" s="218">
        <f>'Income - Adjusted'!C32</f>
        <v>5176</v>
      </c>
      <c r="C12" s="218">
        <f>'Income - Adjusted'!D32</f>
        <v>5607</v>
      </c>
      <c r="D12" s="218">
        <f>'Income - Adjusted'!E32</f>
        <v>4013</v>
      </c>
      <c r="E12" s="218">
        <f>'Income - Adjusted'!F32</f>
        <v>6464</v>
      </c>
      <c r="F12" s="218">
        <f>'Income - Adjusted'!G32</f>
        <v>5214</v>
      </c>
      <c r="G12" s="218">
        <f>'Income - Adjusted'!H32</f>
        <v>5538</v>
      </c>
      <c r="H12" s="218">
        <f>'Income - Adjusted'!I32</f>
        <v>3692</v>
      </c>
    </row>
    <row r="13" spans="1:8" x14ac:dyDescent="0.3">
      <c r="A13" t="s">
        <v>605</v>
      </c>
      <c r="B13" s="218">
        <f>'Income - Adjusted'!C46</f>
        <v>1157</v>
      </c>
      <c r="C13" s="218">
        <f>'Income - Adjusted'!D46</f>
        <v>1129</v>
      </c>
      <c r="D13" s="218">
        <f>'Income - Adjusted'!E46</f>
        <v>1122</v>
      </c>
      <c r="E13" s="218">
        <f>'Income - Adjusted'!F46</f>
        <v>955</v>
      </c>
      <c r="F13" s="218">
        <f>'Income - Adjusted'!G46</f>
        <v>913</v>
      </c>
      <c r="G13" s="218">
        <f>'Income - Adjusted'!H46</f>
        <v>920</v>
      </c>
      <c r="H13" s="218">
        <f>'Income - Adjusted'!I46</f>
        <v>938</v>
      </c>
    </row>
    <row r="14" spans="1:8" x14ac:dyDescent="0.3">
      <c r="A14" t="s">
        <v>606</v>
      </c>
      <c r="B14" s="218">
        <f>'Income - Adjusted'!C36-B11</f>
        <v>12592</v>
      </c>
      <c r="C14" s="218">
        <f>'Income - Adjusted'!D36-C11</f>
        <v>12492</v>
      </c>
      <c r="D14" s="218">
        <f>'Income - Adjusted'!E36-D11</f>
        <v>12592</v>
      </c>
      <c r="E14" s="218">
        <f>'Income - Adjusted'!F36-E11</f>
        <v>12734</v>
      </c>
      <c r="F14" s="218">
        <f>'Income - Adjusted'!G36-F11</f>
        <v>12237</v>
      </c>
      <c r="G14" s="218">
        <f>'Income - Adjusted'!H36-G11</f>
        <v>11666</v>
      </c>
      <c r="H14" s="218">
        <f>'Income - Adjusted'!I36-H11</f>
        <v>11096</v>
      </c>
    </row>
    <row r="16" spans="1:8" s="49" customFormat="1" x14ac:dyDescent="0.3">
      <c r="A16" s="49" t="s">
        <v>608</v>
      </c>
      <c r="B16" s="219">
        <f>B2-B9</f>
        <v>4281</v>
      </c>
      <c r="C16" s="219">
        <f t="shared" ref="C16:G16" si="2">C2-C9</f>
        <v>3536</v>
      </c>
      <c r="D16" s="219">
        <f t="shared" si="2"/>
        <v>6307</v>
      </c>
      <c r="E16" s="219">
        <f t="shared" si="2"/>
        <v>6795</v>
      </c>
      <c r="F16" s="219">
        <f t="shared" si="2"/>
        <v>6927</v>
      </c>
      <c r="G16" s="219">
        <f t="shared" si="2"/>
        <v>8126</v>
      </c>
      <c r="H16" s="219">
        <f>H2-H9</f>
        <v>2859</v>
      </c>
    </row>
    <row r="17" spans="1:8" x14ac:dyDescent="0.3">
      <c r="A17" t="s">
        <v>609</v>
      </c>
      <c r="B17" s="218">
        <f>'Income - Adjusted'!C50</f>
        <v>693</v>
      </c>
      <c r="C17" s="218">
        <f>'Income - Adjusted'!D50</f>
        <v>-1470</v>
      </c>
      <c r="D17" s="218">
        <f>'Income - Adjusted'!E50</f>
        <v>1179</v>
      </c>
      <c r="E17" s="218">
        <f>'Income - Adjusted'!F50</f>
        <v>886</v>
      </c>
      <c r="F17" s="218">
        <f>'Income - Adjusted'!G50</f>
        <v>1509</v>
      </c>
      <c r="G17" s="218">
        <f>'Income - Adjusted'!H50</f>
        <v>1551</v>
      </c>
      <c r="H17" s="218">
        <f>'Income - Adjusted'!I50</f>
        <v>301</v>
      </c>
    </row>
    <row r="19" spans="1:8" s="49" customFormat="1" x14ac:dyDescent="0.3">
      <c r="A19" s="49" t="s">
        <v>73</v>
      </c>
      <c r="B19" s="219">
        <f>B16-B17</f>
        <v>3588</v>
      </c>
      <c r="C19" s="219">
        <f t="shared" ref="C19:H19" si="3">C16-C17</f>
        <v>5006</v>
      </c>
      <c r="D19" s="219">
        <f t="shared" si="3"/>
        <v>5128</v>
      </c>
      <c r="E19" s="219">
        <f t="shared" si="3"/>
        <v>5909</v>
      </c>
      <c r="F19" s="219">
        <f t="shared" si="3"/>
        <v>5418</v>
      </c>
      <c r="G19" s="219">
        <f t="shared" si="3"/>
        <v>6575</v>
      </c>
      <c r="H19" s="219">
        <f t="shared" si="3"/>
        <v>2558</v>
      </c>
    </row>
    <row r="20" spans="1:8" x14ac:dyDescent="0.3">
      <c r="A20" t="s">
        <v>77</v>
      </c>
      <c r="B20" s="218">
        <v>2734</v>
      </c>
      <c r="C20" s="218">
        <v>986</v>
      </c>
      <c r="D20" s="218">
        <v>0</v>
      </c>
      <c r="E20" s="218">
        <v>0</v>
      </c>
      <c r="F20" s="218">
        <v>0</v>
      </c>
      <c r="G20" s="218">
        <v>0</v>
      </c>
      <c r="H20" s="218">
        <v>0</v>
      </c>
    </row>
    <row r="22" spans="1:8" s="49" customFormat="1" x14ac:dyDescent="0.3">
      <c r="A22" s="49" t="s">
        <v>81</v>
      </c>
      <c r="B22" s="219">
        <f>B19-B20</f>
        <v>854</v>
      </c>
      <c r="C22" s="219">
        <f t="shared" ref="C22:H22" si="4">C19-C20</f>
        <v>4020</v>
      </c>
      <c r="D22" s="219">
        <f t="shared" si="4"/>
        <v>5128</v>
      </c>
      <c r="E22" s="219">
        <f t="shared" si="4"/>
        <v>5909</v>
      </c>
      <c r="F22" s="219">
        <f t="shared" si="4"/>
        <v>5418</v>
      </c>
      <c r="G22" s="219">
        <f t="shared" si="4"/>
        <v>6575</v>
      </c>
      <c r="H22" s="219">
        <f t="shared" si="4"/>
        <v>2558</v>
      </c>
    </row>
    <row r="23" spans="1:8" x14ac:dyDescent="0.3">
      <c r="A23" t="s">
        <v>83</v>
      </c>
      <c r="B23" s="218">
        <f>'Income - Adjusted'!C62</f>
        <v>4</v>
      </c>
      <c r="C23" s="218">
        <f>'Income - Adjusted'!D62</f>
        <v>10</v>
      </c>
      <c r="D23" s="218">
        <f>'Income - Adjusted'!E62</f>
        <v>5</v>
      </c>
      <c r="E23" s="218">
        <f>'Income - Adjusted'!F62</f>
        <v>10</v>
      </c>
      <c r="F23" s="218">
        <f>'Income - Adjusted'!G62</f>
        <v>11</v>
      </c>
      <c r="G23" s="218">
        <f>'Income - Adjusted'!H62</f>
        <v>21</v>
      </c>
      <c r="H23" s="218">
        <f>'Income - Adjusted'!I62</f>
        <v>19</v>
      </c>
    </row>
    <row r="25" spans="1:8" s="49" customFormat="1" x14ac:dyDescent="0.3">
      <c r="A25" s="49" t="s">
        <v>85</v>
      </c>
      <c r="B25" s="219">
        <f>B22-B23</f>
        <v>850</v>
      </c>
      <c r="C25" s="219">
        <f t="shared" ref="C25:H25" si="5">C22-C23</f>
        <v>4010</v>
      </c>
      <c r="D25" s="219">
        <f t="shared" si="5"/>
        <v>5123</v>
      </c>
      <c r="E25" s="219">
        <f t="shared" si="5"/>
        <v>5899</v>
      </c>
      <c r="F25" s="219">
        <f t="shared" si="5"/>
        <v>5407</v>
      </c>
      <c r="G25" s="219">
        <f t="shared" si="5"/>
        <v>6554</v>
      </c>
      <c r="H25" s="219">
        <f t="shared" si="5"/>
        <v>2539</v>
      </c>
    </row>
    <row r="26" spans="1:8" x14ac:dyDescent="0.3">
      <c r="A26" t="s">
        <v>87</v>
      </c>
      <c r="B26" s="218">
        <f>'Income - Adjusted'!C66+'Income - Adjusted'!C67</f>
        <v>103</v>
      </c>
      <c r="C26" s="218">
        <f>'Income - Adjusted'!D66+'Income - Adjusted'!D67</f>
        <v>103</v>
      </c>
      <c r="D26" s="218">
        <f>'Income - Adjusted'!E66+'Income - Adjusted'!E67</f>
        <v>141</v>
      </c>
      <c r="E26" s="218">
        <f>'Income - Adjusted'!F66+'Income - Adjusted'!F67</f>
        <v>178</v>
      </c>
      <c r="F26" s="218">
        <f>'Income - Adjusted'!G66+'Income - Adjusted'!G67</f>
        <v>216</v>
      </c>
      <c r="G26" s="218">
        <f>'Income - Adjusted'!H66+'Income - Adjusted'!H67</f>
        <v>201</v>
      </c>
      <c r="H26" s="218">
        <f>'Income - Adjusted'!I66+'Income - Adjusted'!I67</f>
        <v>185</v>
      </c>
    </row>
    <row r="28" spans="1:8" s="49" customFormat="1" x14ac:dyDescent="0.3">
      <c r="A28" s="49" t="s">
        <v>91</v>
      </c>
      <c r="B28" s="219">
        <f>B25-B26</f>
        <v>747</v>
      </c>
      <c r="C28" s="219">
        <f t="shared" ref="C28:H28" si="6">C25-C26</f>
        <v>3907</v>
      </c>
      <c r="D28" s="219">
        <f t="shared" si="6"/>
        <v>4982</v>
      </c>
      <c r="E28" s="219">
        <f t="shared" si="6"/>
        <v>5721</v>
      </c>
      <c r="F28" s="219">
        <f t="shared" si="6"/>
        <v>5191</v>
      </c>
      <c r="G28" s="219">
        <f t="shared" si="6"/>
        <v>6353</v>
      </c>
      <c r="H28" s="219">
        <f t="shared" si="6"/>
        <v>2354</v>
      </c>
    </row>
    <row r="30" spans="1:8" x14ac:dyDescent="0.3">
      <c r="A30" t="s">
        <v>612</v>
      </c>
      <c r="B30" s="218">
        <f>B2-(B10+B11+B12)</f>
        <v>18030</v>
      </c>
      <c r="C30" s="218">
        <f t="shared" ref="C30:H30" si="7">C2-(C10+C11+C12)</f>
        <v>17157</v>
      </c>
      <c r="D30" s="218">
        <f t="shared" si="7"/>
        <v>20021</v>
      </c>
      <c r="E30" s="218">
        <f t="shared" si="7"/>
        <v>20484</v>
      </c>
      <c r="F30" s="218">
        <f t="shared" si="7"/>
        <v>20077</v>
      </c>
      <c r="G30" s="218">
        <f t="shared" si="7"/>
        <v>20712</v>
      </c>
      <c r="H30" s="218">
        <f t="shared" si="7"/>
        <v>14893</v>
      </c>
    </row>
    <row r="31" spans="1:8" x14ac:dyDescent="0.3">
      <c r="A31" t="s">
        <v>610</v>
      </c>
      <c r="B31" s="222">
        <f>B30/B2</f>
        <v>0.29660947242008984</v>
      </c>
      <c r="C31" s="222">
        <f t="shared" ref="C31:H31" si="8">C30/C2</f>
        <v>0.2753578994671631</v>
      </c>
      <c r="D31" s="222">
        <f t="shared" si="8"/>
        <v>0.29468215068956888</v>
      </c>
      <c r="E31" s="222">
        <f t="shared" si="8"/>
        <v>0.29422579718471703</v>
      </c>
      <c r="F31" s="222">
        <f t="shared" si="8"/>
        <v>0.2959376197635683</v>
      </c>
      <c r="G31" s="222">
        <f t="shared" si="8"/>
        <v>0.29138998311761394</v>
      </c>
      <c r="H31" s="222">
        <f t="shared" si="8"/>
        <v>0.21306761280723341</v>
      </c>
    </row>
    <row r="32" spans="1:8" x14ac:dyDescent="0.3">
      <c r="A32" t="s">
        <v>614</v>
      </c>
      <c r="B32" s="223">
        <f>B30-B14</f>
        <v>5438</v>
      </c>
      <c r="C32" s="223">
        <f t="shared" ref="C32:H32" si="9">C30-C14</f>
        <v>4665</v>
      </c>
      <c r="D32" s="223">
        <f t="shared" si="9"/>
        <v>7429</v>
      </c>
      <c r="E32" s="223">
        <f t="shared" si="9"/>
        <v>7750</v>
      </c>
      <c r="F32" s="223">
        <f t="shared" si="9"/>
        <v>7840</v>
      </c>
      <c r="G32" s="223">
        <f t="shared" si="9"/>
        <v>9046</v>
      </c>
      <c r="H32" s="223">
        <f t="shared" si="9"/>
        <v>3797</v>
      </c>
    </row>
    <row r="33" spans="1:13" x14ac:dyDescent="0.3">
      <c r="A33" t="s">
        <v>613</v>
      </c>
      <c r="B33" s="222">
        <f>B32/B2</f>
        <v>8.9459917416552875E-2</v>
      </c>
      <c r="C33" s="222">
        <f t="shared" ref="C33:H33" si="10">C32/C2</f>
        <v>7.4870000641972134E-2</v>
      </c>
      <c r="D33" s="222">
        <f t="shared" si="10"/>
        <v>0.10934487275724526</v>
      </c>
      <c r="E33" s="222">
        <f t="shared" si="10"/>
        <v>0.11131858661304223</v>
      </c>
      <c r="F33" s="222">
        <f t="shared" si="10"/>
        <v>0.1155626308186669</v>
      </c>
      <c r="G33" s="222">
        <f t="shared" si="10"/>
        <v>0.12726505346088915</v>
      </c>
      <c r="H33" s="222">
        <f t="shared" si="10"/>
        <v>5.4322012074737476E-2</v>
      </c>
    </row>
    <row r="34" spans="1:13" x14ac:dyDescent="0.3">
      <c r="A34" t="s">
        <v>617</v>
      </c>
      <c r="B34" s="222">
        <f>B28/B2</f>
        <v>1.2288811752512873E-2</v>
      </c>
      <c r="C34" s="222">
        <f t="shared" ref="C34:H34" si="11">C28/C2</f>
        <v>6.2704628619117936E-2</v>
      </c>
      <c r="D34" s="222">
        <f t="shared" si="11"/>
        <v>7.332832899133071E-2</v>
      </c>
      <c r="E34" s="222">
        <f t="shared" si="11"/>
        <v>8.2174662453318018E-2</v>
      </c>
      <c r="F34" s="222">
        <f t="shared" si="11"/>
        <v>7.6516022522920904E-2</v>
      </c>
      <c r="G34" s="222">
        <f t="shared" si="11"/>
        <v>8.9378165447383237E-2</v>
      </c>
      <c r="H34" s="222">
        <f t="shared" si="11"/>
        <v>3.3677644567798794E-2</v>
      </c>
    </row>
    <row r="36" spans="1:13" x14ac:dyDescent="0.3">
      <c r="A36" t="s">
        <v>174</v>
      </c>
      <c r="B36" s="218">
        <f>'Bal Sheet - Standardized'!F22</f>
        <v>898764</v>
      </c>
      <c r="C36" s="218">
        <f>'Bal Sheet - Standardized'!G22</f>
        <v>719892</v>
      </c>
      <c r="D36" s="218">
        <f>'Bal Sheet - Standardized'!H22</f>
        <v>687538</v>
      </c>
      <c r="E36" s="218">
        <f>'Bal Sheet - Standardized'!I22</f>
        <v>740463</v>
      </c>
      <c r="F36" s="218">
        <f>'Bal Sheet - Standardized'!J22</f>
        <v>795146</v>
      </c>
      <c r="G36" s="218">
        <f>'Bal Sheet - Standardized'!K22</f>
        <v>759708</v>
      </c>
      <c r="H36" s="218">
        <f>'Bal Sheet - Standardized'!L22</f>
        <v>666611</v>
      </c>
    </row>
    <row r="37" spans="1:13" x14ac:dyDescent="0.3">
      <c r="A37" t="s">
        <v>615</v>
      </c>
      <c r="C37" s="224">
        <f>C32*(1-0.375)/(C36+B36)*2</f>
        <v>3.6025257991815431E-3</v>
      </c>
      <c r="D37" s="224">
        <f>D32*(1-0.375)/(D36+C36)*2</f>
        <v>6.598019084430487E-3</v>
      </c>
      <c r="E37" s="224">
        <f t="shared" ref="E37:H37" si="12">E32*(1-0.375)/(E36+D36)*2</f>
        <v>6.7839588347627204E-3</v>
      </c>
      <c r="F37" s="224">
        <f t="shared" si="12"/>
        <v>6.3818328754259709E-3</v>
      </c>
      <c r="G37" s="224">
        <f t="shared" si="12"/>
        <v>7.2723869893893574E-3</v>
      </c>
      <c r="H37" s="224">
        <f t="shared" si="12"/>
        <v>3.3276216610730138E-3</v>
      </c>
    </row>
    <row r="38" spans="1:13" x14ac:dyDescent="0.3">
      <c r="A38" t="s">
        <v>203</v>
      </c>
      <c r="B38" s="218">
        <f>'Bal Sheet - Standardized'!F46</f>
        <v>67702</v>
      </c>
      <c r="C38" s="218">
        <f>'Bal Sheet - Standardized'!G46</f>
        <v>58870</v>
      </c>
      <c r="D38" s="218">
        <f>'Bal Sheet - Standardized'!H46</f>
        <v>52958</v>
      </c>
      <c r="E38" s="218">
        <f>'Bal Sheet - Standardized'!I46</f>
        <v>66382</v>
      </c>
      <c r="F38" s="218">
        <f>'Bal Sheet - Standardized'!J46</f>
        <v>74817</v>
      </c>
      <c r="G38" s="218">
        <f>'Bal Sheet - Standardized'!K46</f>
        <v>67749</v>
      </c>
      <c r="H38" s="218">
        <f>'Bal Sheet - Standardized'!L46</f>
        <v>27287</v>
      </c>
    </row>
    <row r="39" spans="1:13" x14ac:dyDescent="0.3">
      <c r="A39" t="s">
        <v>616</v>
      </c>
      <c r="C39" s="224">
        <f t="shared" ref="C39:G39" si="13">C19/(C38+B38)*2</f>
        <v>7.9101223019309164E-2</v>
      </c>
      <c r="D39" s="222">
        <f t="shared" si="13"/>
        <v>9.1712272418356763E-2</v>
      </c>
      <c r="E39" s="222">
        <f t="shared" si="13"/>
        <v>9.9027987263281381E-2</v>
      </c>
      <c r="F39" s="222">
        <f t="shared" si="13"/>
        <v>7.6742753135645436E-2</v>
      </c>
      <c r="G39" s="222">
        <f t="shared" si="13"/>
        <v>9.223798100528878E-2</v>
      </c>
      <c r="H39" s="222">
        <f>H19/(H38+G38)*2</f>
        <v>5.3832231996296137E-2</v>
      </c>
    </row>
    <row r="40" spans="1:13" x14ac:dyDescent="0.3">
      <c r="A40" t="s">
        <v>643</v>
      </c>
      <c r="D40" s="226">
        <v>1.7470000000000001</v>
      </c>
      <c r="E40" s="226">
        <v>1.494</v>
      </c>
      <c r="F40" s="226">
        <v>1.454</v>
      </c>
      <c r="G40" s="227">
        <v>1.61</v>
      </c>
      <c r="H40" s="226">
        <v>3.7389999999999999</v>
      </c>
    </row>
    <row r="42" spans="1:13" x14ac:dyDescent="0.3">
      <c r="M42" s="218"/>
    </row>
    <row r="43" spans="1:13" x14ac:dyDescent="0.3">
      <c r="M43" s="228"/>
    </row>
    <row r="44" spans="1:13" x14ac:dyDescent="0.3">
      <c r="A44" s="218"/>
      <c r="B44" s="218" t="s">
        <v>624</v>
      </c>
      <c r="C44" s="218" t="s">
        <v>620</v>
      </c>
      <c r="D44" s="218" t="s">
        <v>625</v>
      </c>
      <c r="E44" s="218" t="s">
        <v>622</v>
      </c>
      <c r="F44" s="218" t="s">
        <v>618</v>
      </c>
      <c r="G44" s="218" t="s">
        <v>623</v>
      </c>
      <c r="H44" s="218" t="s">
        <v>621</v>
      </c>
      <c r="I44" s="218" t="s">
        <v>619</v>
      </c>
      <c r="M44" s="228"/>
    </row>
    <row r="45" spans="1:13" x14ac:dyDescent="0.3">
      <c r="A45" s="218" t="s">
        <v>117</v>
      </c>
      <c r="B45" s="228">
        <v>0.14199999999999999</v>
      </c>
      <c r="C45" s="226">
        <v>0.13100000000000001</v>
      </c>
      <c r="D45" s="228">
        <v>7.1999999999999995E-2</v>
      </c>
      <c r="E45" s="225">
        <f>H34</f>
        <v>3.3677644567798794E-2</v>
      </c>
      <c r="F45" s="226">
        <v>-2.5000000000000001E-2</v>
      </c>
      <c r="G45" s="228">
        <v>0.27500000000000002</v>
      </c>
      <c r="H45" s="226">
        <v>0.215</v>
      </c>
      <c r="I45" s="227">
        <v>0.46</v>
      </c>
    </row>
    <row r="46" spans="1:13" x14ac:dyDescent="0.3">
      <c r="A46" s="218" t="s">
        <v>616</v>
      </c>
      <c r="B46" s="228">
        <v>0.109</v>
      </c>
      <c r="C46" s="226">
        <v>0.111</v>
      </c>
      <c r="D46" s="228">
        <v>0.113</v>
      </c>
      <c r="E46" s="226">
        <f>H39</f>
        <v>5.3832231996296137E-2</v>
      </c>
      <c r="F46" s="226">
        <v>-3.6999999999999998E-2</v>
      </c>
      <c r="G46" s="228">
        <v>0.36299999999999999</v>
      </c>
      <c r="H46" s="226">
        <v>0.151</v>
      </c>
      <c r="I46" s="226">
        <v>0.125</v>
      </c>
    </row>
    <row r="47" spans="1:13" x14ac:dyDescent="0.3">
      <c r="A47" s="218"/>
      <c r="G47"/>
      <c r="H47"/>
    </row>
    <row r="48" spans="1:13" x14ac:dyDescent="0.3">
      <c r="A48" s="218"/>
      <c r="B48" s="244">
        <v>2018</v>
      </c>
      <c r="C48" s="244">
        <v>2019</v>
      </c>
      <c r="D48" s="244">
        <v>2020</v>
      </c>
      <c r="E48" s="244">
        <v>2021</v>
      </c>
      <c r="F48" s="244">
        <v>2022</v>
      </c>
      <c r="G48"/>
      <c r="H48"/>
    </row>
    <row r="49" spans="1:8" x14ac:dyDescent="0.3">
      <c r="A49" s="218" t="s">
        <v>693</v>
      </c>
      <c r="B49" s="225">
        <f>D34</f>
        <v>7.332832899133071E-2</v>
      </c>
      <c r="C49" s="225">
        <f>E34</f>
        <v>8.2174662453318018E-2</v>
      </c>
      <c r="D49" s="225">
        <f>F34</f>
        <v>7.6516022522920904E-2</v>
      </c>
      <c r="E49" s="225">
        <f>G34</f>
        <v>8.9378165447383237E-2</v>
      </c>
      <c r="F49" s="225">
        <f>H34</f>
        <v>3.3677644567798794E-2</v>
      </c>
      <c r="G49"/>
      <c r="H49"/>
    </row>
    <row r="50" spans="1:8" x14ac:dyDescent="0.3">
      <c r="A50" s="218" t="s">
        <v>694</v>
      </c>
      <c r="B50" s="222">
        <f>D39</f>
        <v>9.1712272418356763E-2</v>
      </c>
      <c r="C50" s="222">
        <f>E39</f>
        <v>9.9027987263281381E-2</v>
      </c>
      <c r="D50" s="222">
        <f>F39</f>
        <v>7.6742753135645436E-2</v>
      </c>
      <c r="E50" s="222">
        <f>G39</f>
        <v>9.223798100528878E-2</v>
      </c>
      <c r="F50" s="222">
        <f>H39</f>
        <v>5.3832231996296137E-2</v>
      </c>
      <c r="G50"/>
      <c r="H50"/>
    </row>
    <row r="51" spans="1:8" x14ac:dyDescent="0.3">
      <c r="D51" s="244"/>
      <c r="E51" s="244"/>
      <c r="F51" s="244"/>
      <c r="G51" s="244"/>
      <c r="H51" s="244"/>
    </row>
    <row r="52" spans="1:8" x14ac:dyDescent="0.3">
      <c r="D52" s="226"/>
      <c r="E52" s="226"/>
      <c r="F52" s="226"/>
      <c r="G52" s="226"/>
      <c r="H52" s="226"/>
    </row>
    <row r="53" spans="1:8" x14ac:dyDescent="0.3">
      <c r="A53" s="218"/>
      <c r="B53" s="218" t="s">
        <v>622</v>
      </c>
      <c r="C53" s="218" t="s">
        <v>618</v>
      </c>
      <c r="D53" s="218" t="s">
        <v>620</v>
      </c>
      <c r="E53" s="218" t="s">
        <v>624</v>
      </c>
      <c r="F53" s="218" t="s">
        <v>625</v>
      </c>
    </row>
    <row r="54" spans="1:8" x14ac:dyDescent="0.3">
      <c r="A54" s="218" t="s">
        <v>695</v>
      </c>
      <c r="B54" s="225">
        <v>3.7389999999999999</v>
      </c>
      <c r="C54" s="226">
        <v>1.9830000000000001</v>
      </c>
      <c r="D54" s="226">
        <v>0.66300000000000003</v>
      </c>
      <c r="E54" s="226">
        <v>0.42399999999999999</v>
      </c>
      <c r="F54" s="228">
        <v>0.34899999999999998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12A-D6E6-4569-B8B0-82E88958B12C}">
  <dimension ref="B1:O5"/>
  <sheetViews>
    <sheetView zoomScaleNormal="100" workbookViewId="0">
      <selection activeCell="B17" sqref="B17"/>
    </sheetView>
  </sheetViews>
  <sheetFormatPr defaultRowHeight="15.6" x14ac:dyDescent="0.3"/>
  <cols>
    <col min="1" max="1" width="8.88671875" style="151"/>
    <col min="2" max="2" width="20.33203125" style="151" bestFit="1" customWidth="1"/>
    <col min="3" max="3" width="10.77734375" style="151" customWidth="1"/>
    <col min="4" max="11" width="8.88671875" style="151"/>
    <col min="12" max="12" width="10.77734375" style="151" customWidth="1"/>
    <col min="13" max="13" width="17.5546875" style="151" customWidth="1"/>
    <col min="14" max="14" width="18.33203125" style="151" customWidth="1"/>
    <col min="15" max="15" width="17.88671875" style="151" customWidth="1"/>
    <col min="16" max="16384" width="8.88671875" style="151"/>
  </cols>
  <sheetData>
    <row r="1" spans="2:15" x14ac:dyDescent="0.3">
      <c r="B1" s="151" t="s">
        <v>576</v>
      </c>
      <c r="C1" s="151" t="s">
        <v>577</v>
      </c>
      <c r="D1" s="151" t="s">
        <v>492</v>
      </c>
      <c r="E1" s="151" t="s">
        <v>493</v>
      </c>
      <c r="F1" s="151" t="s">
        <v>494</v>
      </c>
      <c r="G1" s="151" t="s">
        <v>495</v>
      </c>
      <c r="H1" s="151" t="s">
        <v>496</v>
      </c>
      <c r="L1" s="151" t="s">
        <v>576</v>
      </c>
      <c r="M1" s="151" t="s">
        <v>492</v>
      </c>
      <c r="N1" s="151" t="s">
        <v>578</v>
      </c>
      <c r="O1" s="151" t="s">
        <v>579</v>
      </c>
    </row>
    <row r="2" spans="2:15" x14ac:dyDescent="0.3">
      <c r="B2" s="151" t="s">
        <v>580</v>
      </c>
      <c r="D2" s="152">
        <f>'Relative V.'!L30</f>
        <v>26.802724978674185</v>
      </c>
      <c r="E2" s="152">
        <f>'Relative V.'!M30</f>
        <v>48.362863164453664</v>
      </c>
      <c r="F2" s="152">
        <f>'Relative V.'!N30</f>
        <v>60.879539132489775</v>
      </c>
      <c r="G2" s="152">
        <f>'Relative V.'!O30</f>
        <v>69.464275005854859</v>
      </c>
      <c r="H2" s="152">
        <f>'Relative V.'!P30</f>
        <v>89.45163715376593</v>
      </c>
      <c r="L2" s="151" t="str">
        <f>Table6[[#This Row],[Column1]]</f>
        <v>Forward P/E</v>
      </c>
      <c r="M2" s="152">
        <f>Table6[[#This Row],[Min]]</f>
        <v>26.802724978674185</v>
      </c>
      <c r="N2" s="152">
        <f>Table6[[#This Row],[Median]]-Table6[[#This Row],[Min]]</f>
        <v>34.07681415381559</v>
      </c>
      <c r="O2" s="152">
        <f>Table6[[#This Row],[Max]]-Table6[[#This Row],[Median]]</f>
        <v>28.572098021276155</v>
      </c>
    </row>
    <row r="3" spans="2:15" x14ac:dyDescent="0.3">
      <c r="B3" s="151" t="s">
        <v>537</v>
      </c>
      <c r="D3" s="153">
        <f>'Relative V.'!L34</f>
        <v>52.168672908307322</v>
      </c>
      <c r="E3" s="153">
        <f>'Relative V.'!M34</f>
        <v>67.07400802496656</v>
      </c>
      <c r="F3" s="153">
        <f>'Relative V.'!N34</f>
        <v>74.526675583296182</v>
      </c>
      <c r="G3" s="153">
        <f>'Relative V.'!O34</f>
        <v>95.529647793134174</v>
      </c>
      <c r="H3" s="153">
        <f>'Relative V.'!P34</f>
        <v>125.34031802645266</v>
      </c>
      <c r="L3" s="151" t="str">
        <f>Table6[[#This Row],[Column1]]</f>
        <v>P/B</v>
      </c>
      <c r="M3" s="153">
        <f>Table6[[#This Row],[Min]]</f>
        <v>52.168672908307322</v>
      </c>
      <c r="N3" s="152">
        <f>Table6[[#This Row],[Median]]-Table6[[#This Row],[Min]]</f>
        <v>22.35800267498886</v>
      </c>
      <c r="O3" s="152">
        <f>Table6[[#This Row],[Max]]-Table6[[#This Row],[Median]]</f>
        <v>50.813642443156482</v>
      </c>
    </row>
    <row r="4" spans="2:15" x14ac:dyDescent="0.3">
      <c r="B4" s="151" t="s">
        <v>581</v>
      </c>
      <c r="D4" s="153">
        <f>'Stock P.'!J4</f>
        <v>23.530000999999999</v>
      </c>
      <c r="E4" s="153">
        <f>'Stock P.'!K4</f>
        <v>45.57</v>
      </c>
      <c r="F4" s="153">
        <f>'Stock P.'!L4</f>
        <v>57.110000999999997</v>
      </c>
      <c r="G4" s="153">
        <f>'Stock P.'!M4</f>
        <v>63.630001</v>
      </c>
      <c r="H4" s="153">
        <f>'Stock P.'!N4</f>
        <v>76.949996999999996</v>
      </c>
      <c r="L4" s="151" t="str">
        <f>Table6[[#This Row],[Column1]]</f>
        <v>Historical Stock Price (5 years)</v>
      </c>
      <c r="M4" s="153">
        <f>Table6[[#This Row],[Min]]</f>
        <v>23.530000999999999</v>
      </c>
      <c r="N4" s="152">
        <f>Table6[[#This Row],[Median]]-Table6[[#This Row],[Min]]</f>
        <v>33.58</v>
      </c>
      <c r="O4" s="152">
        <f>Table6[[#This Row],[Max]]-Table6[[#This Row],[Median]]</f>
        <v>19.839995999999999</v>
      </c>
    </row>
    <row r="5" spans="2:15" x14ac:dyDescent="0.3">
      <c r="B5" s="151" t="s">
        <v>597</v>
      </c>
      <c r="D5" s="153">
        <f>FCFE!E45</f>
        <v>58.409239539272811</v>
      </c>
      <c r="E5" s="153">
        <f>FCFE!F45</f>
        <v>66.523117698402444</v>
      </c>
      <c r="F5" s="153">
        <f>FCFE!G45</f>
        <v>72.084459091057241</v>
      </c>
      <c r="G5" s="153">
        <f>FCFE!H45</f>
        <v>78.659888758654006</v>
      </c>
      <c r="H5" s="153">
        <f>FCFE!I45</f>
        <v>95.454248856093855</v>
      </c>
      <c r="L5" s="151" t="str">
        <f>Table6[[#This Row],[Column1]]</f>
        <v xml:space="preserve">9.5%-12% WACC, 1.25% - 3.25% Terminal Growth Rate </v>
      </c>
      <c r="M5" s="153">
        <f>Table6[[#This Row],[Min]]</f>
        <v>58.409239539272811</v>
      </c>
      <c r="N5" s="152">
        <f>Table6[[#This Row],[Median]]-Table6[[#This Row],[Min]]</f>
        <v>13.67521955178443</v>
      </c>
      <c r="O5" s="152">
        <f>Table6[[#This Row],[Max]]-Table6[[#This Row],[Median]]</f>
        <v>23.369789765036614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BEDB-4FC1-48B3-8706-68B39764E772}">
  <sheetPr>
    <tabColor theme="9" tint="0.59999389629810485"/>
  </sheetPr>
  <dimension ref="B2:D12"/>
  <sheetViews>
    <sheetView showGridLines="0" tabSelected="1" zoomScale="114" workbookViewId="0">
      <selection activeCell="D17" sqref="D17"/>
    </sheetView>
  </sheetViews>
  <sheetFormatPr defaultColWidth="10.88671875" defaultRowHeight="13.8" x14ac:dyDescent="0.25"/>
  <cols>
    <col min="1" max="1" width="4" style="138" customWidth="1"/>
    <col min="2" max="2" width="18.44140625" style="138" customWidth="1"/>
    <col min="3" max="3" width="12.33203125" style="138" customWidth="1"/>
    <col min="4" max="4" width="15.109375" style="138" customWidth="1"/>
    <col min="5" max="5" width="12.109375" style="138" customWidth="1"/>
    <col min="6" max="16384" width="10.88671875" style="138"/>
  </cols>
  <sheetData>
    <row r="2" spans="2:4" ht="22.8" x14ac:dyDescent="0.4">
      <c r="B2" s="137" t="s">
        <v>584</v>
      </c>
    </row>
    <row r="3" spans="2:4" x14ac:dyDescent="0.25">
      <c r="B3" s="138" t="s">
        <v>571</v>
      </c>
      <c r="D3" s="139">
        <f>'Cost.E'!C13</f>
        <v>62.03</v>
      </c>
    </row>
    <row r="4" spans="2:4" x14ac:dyDescent="0.25">
      <c r="B4" s="138" t="s">
        <v>484</v>
      </c>
      <c r="D4" s="216">
        <f>'Cost.E'!C16</f>
        <v>45246</v>
      </c>
    </row>
    <row r="5" spans="2:4" ht="11.1" customHeight="1" x14ac:dyDescent="0.35">
      <c r="B5" s="140"/>
    </row>
    <row r="6" spans="2:4" x14ac:dyDescent="0.25">
      <c r="B6" s="141" t="s">
        <v>572</v>
      </c>
      <c r="C6" s="142" t="s">
        <v>598</v>
      </c>
      <c r="D6" s="143" t="s">
        <v>533</v>
      </c>
    </row>
    <row r="7" spans="2:4" x14ac:dyDescent="0.25">
      <c r="B7" s="144" t="s">
        <v>573</v>
      </c>
      <c r="C7" s="145">
        <v>0.5</v>
      </c>
      <c r="D7" s="146">
        <f>FCFE!C22</f>
        <v>71.996107505112462</v>
      </c>
    </row>
    <row r="8" spans="2:4" x14ac:dyDescent="0.25">
      <c r="B8" s="144" t="s">
        <v>574</v>
      </c>
      <c r="C8" s="145">
        <v>0.5</v>
      </c>
      <c r="D8" s="146">
        <f>'Relative V.'!E43</f>
        <v>67.703107357892975</v>
      </c>
    </row>
    <row r="9" spans="2:4" x14ac:dyDescent="0.25">
      <c r="B9" s="147" t="s">
        <v>575</v>
      </c>
      <c r="C9" s="148"/>
      <c r="D9" s="149">
        <f>SUMPRODUCT(D7:D8,C7:C8)</f>
        <v>69.849607431502719</v>
      </c>
    </row>
    <row r="10" spans="2:4" x14ac:dyDescent="0.25">
      <c r="B10" s="203" t="s">
        <v>490</v>
      </c>
      <c r="C10" s="204"/>
      <c r="D10" s="205">
        <f>(D9-D3)/D3</f>
        <v>0.12606170290992613</v>
      </c>
    </row>
    <row r="11" spans="2:4" x14ac:dyDescent="0.25">
      <c r="D11" s="150"/>
    </row>
    <row r="12" spans="2:4" x14ac:dyDescent="0.25">
      <c r="D12" s="1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4D84-DE61-4007-B371-632DC850F5CA}">
  <dimension ref="A4:Z46"/>
  <sheetViews>
    <sheetView showGridLines="0" view="pageBreakPreview" topLeftCell="A6" zoomScale="70" zoomScaleNormal="100" zoomScaleSheetLayoutView="70" workbookViewId="0">
      <pane xSplit="3" ySplit="4" topLeftCell="D10" activePane="bottomRight" state="frozen"/>
      <selection activeCell="A6" sqref="A6"/>
      <selection pane="topRight" activeCell="D6" sqref="D6"/>
      <selection pane="bottomLeft" activeCell="A10" sqref="A10"/>
      <selection pane="bottomRight" activeCell="F27" sqref="F27"/>
    </sheetView>
  </sheetViews>
  <sheetFormatPr defaultRowHeight="15" x14ac:dyDescent="0.25"/>
  <cols>
    <col min="1" max="1" width="8.88671875" style="154"/>
    <col min="2" max="2" width="32.5546875" style="154" customWidth="1"/>
    <col min="3" max="3" width="8.6640625" style="154" customWidth="1"/>
    <col min="4" max="4" width="17.44140625" style="154" bestFit="1" customWidth="1"/>
    <col min="5" max="5" width="12.33203125" style="154" bestFit="1" customWidth="1"/>
    <col min="6" max="7" width="12.6640625" style="154" customWidth="1"/>
    <col min="8" max="8" width="12.33203125" style="154" bestFit="1" customWidth="1"/>
    <col min="9" max="9" width="11.21875" style="154" bestFit="1" customWidth="1"/>
    <col min="10" max="10" width="12.44140625" style="154" customWidth="1"/>
    <col min="11" max="12" width="12.77734375" style="154" customWidth="1"/>
    <col min="13" max="14" width="12.6640625" style="154" customWidth="1"/>
    <col min="15" max="16" width="12.77734375" style="154" customWidth="1"/>
    <col min="17" max="17" width="9.5546875" style="154" customWidth="1"/>
    <col min="18" max="18" width="12" style="154" customWidth="1"/>
    <col min="19" max="19" width="11.5546875" style="154" customWidth="1"/>
    <col min="20" max="20" width="17.77734375" style="154" bestFit="1" customWidth="1"/>
    <col min="21" max="21" width="16.33203125" style="154" bestFit="1" customWidth="1"/>
    <col min="22" max="22" width="17.77734375" style="154" bestFit="1" customWidth="1"/>
    <col min="23" max="23" width="16.33203125" style="154" bestFit="1" customWidth="1"/>
    <col min="24" max="24" width="31.109375" style="154" bestFit="1" customWidth="1"/>
    <col min="25" max="25" width="10.5546875" style="154" bestFit="1" customWidth="1"/>
    <col min="26" max="26" width="8.5546875" style="154" bestFit="1" customWidth="1"/>
    <col min="27" max="16384" width="8.88671875" style="154"/>
  </cols>
  <sheetData>
    <row r="4" spans="1:26" ht="15.6" x14ac:dyDescent="0.3">
      <c r="D4" s="155" t="s">
        <v>553</v>
      </c>
    </row>
    <row r="6" spans="1:26" ht="15.6" x14ac:dyDescent="0.3">
      <c r="B6" s="156" t="s">
        <v>583</v>
      </c>
      <c r="C6" s="156"/>
      <c r="D6" s="157"/>
      <c r="E6" s="158"/>
      <c r="F6" s="157"/>
      <c r="G6" s="157"/>
      <c r="H6" s="157"/>
      <c r="I6" s="157"/>
    </row>
    <row r="7" spans="1:26" ht="15.6" x14ac:dyDescent="0.3">
      <c r="B7" s="154" t="s">
        <v>484</v>
      </c>
      <c r="C7" s="257">
        <f>'Cost.E'!C16</f>
        <v>45246</v>
      </c>
      <c r="D7" s="257"/>
      <c r="P7" s="155"/>
      <c r="Q7" s="155"/>
      <c r="R7" s="155"/>
      <c r="S7" s="155"/>
      <c r="T7" s="155"/>
      <c r="U7" s="155"/>
    </row>
    <row r="8" spans="1:26" ht="15.6" x14ac:dyDescent="0.3">
      <c r="B8" s="159" t="s">
        <v>554</v>
      </c>
      <c r="C8" s="253" t="s">
        <v>582</v>
      </c>
      <c r="D8" s="253" t="s">
        <v>555</v>
      </c>
      <c r="E8" s="253" t="s">
        <v>556</v>
      </c>
      <c r="F8" s="253" t="s">
        <v>557</v>
      </c>
      <c r="G8" s="253" t="s">
        <v>689</v>
      </c>
      <c r="H8" s="253" t="s">
        <v>558</v>
      </c>
      <c r="I8" s="253" t="s">
        <v>559</v>
      </c>
      <c r="J8" s="253" t="s">
        <v>560</v>
      </c>
      <c r="K8" s="160"/>
      <c r="L8" s="264" t="s">
        <v>561</v>
      </c>
      <c r="M8" s="264"/>
      <c r="N8" s="161"/>
      <c r="O8" s="264" t="s">
        <v>537</v>
      </c>
      <c r="P8" s="264"/>
      <c r="Q8" s="161"/>
      <c r="R8" s="255" t="s">
        <v>565</v>
      </c>
      <c r="T8" s="256" t="s">
        <v>538</v>
      </c>
      <c r="U8" s="256"/>
      <c r="V8" s="256" t="s">
        <v>537</v>
      </c>
      <c r="W8" s="256"/>
    </row>
    <row r="9" spans="1:26" ht="23.4" customHeight="1" x14ac:dyDescent="0.25">
      <c r="B9" s="162" t="s">
        <v>562</v>
      </c>
      <c r="C9" s="254"/>
      <c r="D9" s="254"/>
      <c r="E9" s="254"/>
      <c r="F9" s="254"/>
      <c r="G9" s="254"/>
      <c r="H9" s="254"/>
      <c r="I9" s="254"/>
      <c r="J9" s="254"/>
      <c r="K9" s="163"/>
      <c r="L9" s="164" t="s">
        <v>563</v>
      </c>
      <c r="M9" s="164" t="s">
        <v>564</v>
      </c>
      <c r="N9" s="165"/>
      <c r="O9" s="164" t="s">
        <v>563</v>
      </c>
      <c r="P9" s="164" t="s">
        <v>564</v>
      </c>
      <c r="Q9" s="165"/>
      <c r="R9" s="255"/>
      <c r="T9" s="154" t="s">
        <v>535</v>
      </c>
      <c r="U9" s="154" t="s">
        <v>536</v>
      </c>
      <c r="V9" s="154" t="s">
        <v>535</v>
      </c>
      <c r="W9" s="154" t="s">
        <v>536</v>
      </c>
      <c r="X9" s="154" t="s">
        <v>539</v>
      </c>
      <c r="Y9" s="154" t="s">
        <v>540</v>
      </c>
      <c r="Z9" s="154" t="s">
        <v>543</v>
      </c>
    </row>
    <row r="10" spans="1:26" ht="15.6" customHeight="1" x14ac:dyDescent="0.25">
      <c r="B10" s="166" t="s">
        <v>519</v>
      </c>
      <c r="C10" s="166" t="s">
        <v>518</v>
      </c>
      <c r="D10" s="167">
        <v>137222.70000000001</v>
      </c>
      <c r="E10" s="167">
        <f>'Cost.E'!C12</f>
        <v>45914</v>
      </c>
      <c r="F10" s="167">
        <v>64613</v>
      </c>
      <c r="G10" s="168">
        <v>-0.11799999999999999</v>
      </c>
      <c r="H10" s="167">
        <v>0.51</v>
      </c>
      <c r="I10" s="168">
        <v>0.21299999999999999</v>
      </c>
      <c r="J10" s="168">
        <v>3.4000000000000002E-2</v>
      </c>
      <c r="K10" s="167"/>
      <c r="L10" s="167"/>
      <c r="M10" s="167">
        <v>7.43</v>
      </c>
      <c r="N10" s="169"/>
      <c r="O10" s="167">
        <v>1.1000000000000001</v>
      </c>
      <c r="P10" s="169"/>
      <c r="Q10" s="169"/>
      <c r="R10" s="246" t="s">
        <v>585</v>
      </c>
      <c r="T10" s="154">
        <v>15.69</v>
      </c>
      <c r="U10" s="154">
        <v>14.04</v>
      </c>
      <c r="V10" s="154">
        <v>1.33</v>
      </c>
      <c r="W10" s="154">
        <v>2.6</v>
      </c>
      <c r="X10" s="154" t="s">
        <v>403</v>
      </c>
      <c r="Y10" s="154" t="s">
        <v>541</v>
      </c>
    </row>
    <row r="11" spans="1:26" x14ac:dyDescent="0.25">
      <c r="A11" s="154">
        <v>1</v>
      </c>
      <c r="B11" s="154" t="s">
        <v>546</v>
      </c>
      <c r="C11" s="154" t="s">
        <v>547</v>
      </c>
      <c r="D11" s="172">
        <v>54270.5</v>
      </c>
      <c r="E11" s="172">
        <v>47568.5</v>
      </c>
      <c r="F11" s="172">
        <v>19233</v>
      </c>
      <c r="G11" s="173">
        <v>-6.8000000000000005E-2</v>
      </c>
      <c r="H11" s="172">
        <v>7.19</v>
      </c>
      <c r="I11" s="173">
        <v>0.41399999999999998</v>
      </c>
      <c r="J11" s="173">
        <v>0.215</v>
      </c>
      <c r="K11" s="172"/>
      <c r="L11" s="172"/>
      <c r="M11" s="172">
        <v>13.65</v>
      </c>
      <c r="N11" s="172"/>
      <c r="O11" s="172">
        <v>1.85</v>
      </c>
      <c r="P11" s="172"/>
      <c r="Q11" s="172"/>
      <c r="R11" s="246"/>
      <c r="T11" s="154">
        <v>15.69</v>
      </c>
      <c r="U11" s="154">
        <v>14.04</v>
      </c>
      <c r="V11" s="154">
        <v>1.33</v>
      </c>
      <c r="W11" s="154">
        <v>2.6</v>
      </c>
      <c r="X11" s="154" t="s">
        <v>403</v>
      </c>
      <c r="Y11" s="154" t="s">
        <v>541</v>
      </c>
    </row>
    <row r="12" spans="1:26" x14ac:dyDescent="0.25">
      <c r="A12" s="154">
        <v>2</v>
      </c>
      <c r="B12" s="154" t="s">
        <v>525</v>
      </c>
      <c r="C12" s="154" t="s">
        <v>524</v>
      </c>
      <c r="D12" s="170">
        <v>51855.9</v>
      </c>
      <c r="E12" s="170">
        <v>46148.9</v>
      </c>
      <c r="F12" s="170">
        <v>20087</v>
      </c>
      <c r="G12" s="171">
        <v>-0.45900000000000002</v>
      </c>
      <c r="H12" s="170">
        <v>6.82</v>
      </c>
      <c r="I12" s="171">
        <v>1.155</v>
      </c>
      <c r="J12" s="171">
        <v>0.46</v>
      </c>
      <c r="K12" s="170"/>
      <c r="L12" s="170"/>
      <c r="M12" s="170">
        <v>4.09</v>
      </c>
      <c r="N12" s="170"/>
      <c r="O12" s="170">
        <v>0.78</v>
      </c>
      <c r="P12" s="170"/>
      <c r="Q12" s="170"/>
      <c r="R12" s="246"/>
      <c r="T12" s="154">
        <v>11.13</v>
      </c>
      <c r="U12" s="154">
        <v>12.24</v>
      </c>
      <c r="V12" s="154">
        <v>1.1200000000000001</v>
      </c>
      <c r="W12" s="154">
        <v>1.47</v>
      </c>
      <c r="X12" s="154" t="s">
        <v>403</v>
      </c>
      <c r="Z12" s="154" t="s">
        <v>542</v>
      </c>
    </row>
    <row r="13" spans="1:26" x14ac:dyDescent="0.25">
      <c r="A13" s="154">
        <v>3</v>
      </c>
      <c r="B13" s="154" t="s">
        <v>690</v>
      </c>
      <c r="C13" s="154" t="s">
        <v>691</v>
      </c>
      <c r="D13" s="170">
        <v>70516</v>
      </c>
      <c r="E13" s="170">
        <v>44741</v>
      </c>
      <c r="F13" s="170">
        <v>50151</v>
      </c>
      <c r="G13" s="171">
        <v>-0.122</v>
      </c>
      <c r="H13" s="170">
        <v>5.6</v>
      </c>
      <c r="I13" s="171">
        <v>0.443</v>
      </c>
      <c r="J13" s="171">
        <v>0.182</v>
      </c>
      <c r="K13" s="170"/>
      <c r="L13" s="170"/>
      <c r="M13" s="170">
        <v>9.2899999999999991</v>
      </c>
      <c r="N13" s="170"/>
      <c r="O13" s="170">
        <v>0.77</v>
      </c>
      <c r="P13" s="170"/>
      <c r="Q13" s="170"/>
      <c r="R13" s="246"/>
      <c r="T13" s="154">
        <v>10.76</v>
      </c>
      <c r="U13" s="154">
        <v>14.04</v>
      </c>
      <c r="V13" s="154">
        <v>1.29</v>
      </c>
      <c r="W13" s="154">
        <v>2.6</v>
      </c>
      <c r="X13" s="154" t="s">
        <v>692</v>
      </c>
      <c r="Y13" s="154" t="s">
        <v>541</v>
      </c>
    </row>
    <row r="14" spans="1:26" x14ac:dyDescent="0.25">
      <c r="A14" s="154">
        <v>4</v>
      </c>
      <c r="B14" s="154" t="s">
        <v>544</v>
      </c>
      <c r="C14" s="154" t="s">
        <v>545</v>
      </c>
      <c r="D14" s="170">
        <v>39059.4</v>
      </c>
      <c r="E14" s="170">
        <v>38177.4</v>
      </c>
      <c r="F14" s="170">
        <v>25254</v>
      </c>
      <c r="G14" s="171">
        <v>-0.29299999999999998</v>
      </c>
      <c r="H14" s="170">
        <v>4.99</v>
      </c>
      <c r="I14" s="171">
        <v>0.621</v>
      </c>
      <c r="J14" s="171">
        <v>0.13100000000000001</v>
      </c>
      <c r="K14" s="170"/>
      <c r="L14" s="170"/>
      <c r="M14" s="170">
        <v>5.47</v>
      </c>
      <c r="N14" s="170"/>
      <c r="O14" s="170">
        <v>1.41</v>
      </c>
      <c r="P14" s="170"/>
      <c r="Q14" s="170"/>
      <c r="R14" s="246"/>
      <c r="T14" s="154">
        <v>11.13</v>
      </c>
      <c r="U14" s="154">
        <v>12.24</v>
      </c>
      <c r="V14" s="154">
        <v>1.1200000000000001</v>
      </c>
      <c r="W14" s="154">
        <v>1.47</v>
      </c>
      <c r="X14" s="154" t="s">
        <v>403</v>
      </c>
      <c r="Z14" s="154" t="s">
        <v>542</v>
      </c>
    </row>
    <row r="15" spans="1:26" x14ac:dyDescent="0.25">
      <c r="A15" s="154">
        <v>5</v>
      </c>
      <c r="B15" s="154" t="s">
        <v>548</v>
      </c>
      <c r="C15" s="154" t="s">
        <v>549</v>
      </c>
      <c r="D15" s="172">
        <v>45137.2</v>
      </c>
      <c r="E15" s="172">
        <v>37461.199999999997</v>
      </c>
      <c r="F15" s="172">
        <v>44984</v>
      </c>
      <c r="G15" s="173">
        <v>0.112</v>
      </c>
      <c r="H15" s="172">
        <v>2.4</v>
      </c>
      <c r="I15" s="173">
        <v>0.27600000000000002</v>
      </c>
      <c r="J15" s="173">
        <v>7.1999999999999995E-2</v>
      </c>
      <c r="L15" s="174"/>
      <c r="M15" s="247">
        <v>12.37</v>
      </c>
      <c r="O15" s="247">
        <v>1.36</v>
      </c>
      <c r="P15" s="174"/>
      <c r="R15" s="246"/>
      <c r="T15" s="154">
        <v>11.13</v>
      </c>
      <c r="U15" s="154">
        <v>12.24</v>
      </c>
      <c r="V15" s="154">
        <v>1.1200000000000001</v>
      </c>
      <c r="W15" s="154">
        <v>1.47</v>
      </c>
      <c r="X15" s="154" t="s">
        <v>403</v>
      </c>
      <c r="Z15" s="154" t="s">
        <v>542</v>
      </c>
    </row>
    <row r="16" spans="1:26" x14ac:dyDescent="0.25">
      <c r="A16" s="154">
        <v>6</v>
      </c>
      <c r="B16" s="154" t="s">
        <v>523</v>
      </c>
      <c r="C16" s="154" t="s">
        <v>522</v>
      </c>
      <c r="D16" s="170">
        <v>49310.2</v>
      </c>
      <c r="E16" s="170">
        <v>33172.199999999997</v>
      </c>
      <c r="F16" s="170">
        <v>51527</v>
      </c>
      <c r="G16" s="171">
        <v>-0.13900000000000001</v>
      </c>
      <c r="H16" s="170">
        <v>3.56</v>
      </c>
      <c r="I16" s="171">
        <v>0.17</v>
      </c>
      <c r="J16" s="171">
        <v>-2.5000000000000001E-2</v>
      </c>
      <c r="K16" s="170"/>
      <c r="L16" s="170"/>
      <c r="M16" s="170">
        <v>7.38</v>
      </c>
      <c r="N16" s="170"/>
      <c r="O16" s="170">
        <v>0.99</v>
      </c>
      <c r="P16" s="170"/>
      <c r="Q16" s="170"/>
      <c r="R16" s="246"/>
      <c r="T16" s="154">
        <v>15.69</v>
      </c>
      <c r="U16" s="154">
        <v>14.04</v>
      </c>
      <c r="V16" s="154">
        <v>1.33</v>
      </c>
      <c r="W16" s="154">
        <v>2.6</v>
      </c>
      <c r="X16" s="154" t="s">
        <v>403</v>
      </c>
      <c r="Y16" s="154" t="s">
        <v>541</v>
      </c>
    </row>
    <row r="17" spans="1:25" x14ac:dyDescent="0.25">
      <c r="A17" s="154">
        <v>7</v>
      </c>
      <c r="B17" s="154" t="s">
        <v>527</v>
      </c>
      <c r="C17" s="154" t="s">
        <v>526</v>
      </c>
      <c r="D17" s="170">
        <v>17076.8</v>
      </c>
      <c r="E17" s="170">
        <v>16800.900000000001</v>
      </c>
      <c r="F17" s="170">
        <v>14081.3</v>
      </c>
      <c r="G17" s="171">
        <v>-0.23799999999999999</v>
      </c>
      <c r="H17" s="170">
        <v>6.22</v>
      </c>
      <c r="I17" s="171">
        <v>0.63</v>
      </c>
      <c r="J17" s="171">
        <v>0.27500000000000002</v>
      </c>
      <c r="K17" s="170"/>
      <c r="L17" s="170"/>
      <c r="M17" s="170">
        <v>10.52</v>
      </c>
      <c r="N17" s="170"/>
      <c r="O17" s="170">
        <v>1.1000000000000001</v>
      </c>
      <c r="P17" s="170"/>
      <c r="Q17" s="170"/>
      <c r="R17" s="246"/>
      <c r="T17" s="154">
        <v>15.69</v>
      </c>
      <c r="U17" s="154">
        <v>14.04</v>
      </c>
      <c r="V17" s="154">
        <v>1.33</v>
      </c>
      <c r="W17" s="154">
        <v>2.6</v>
      </c>
      <c r="X17" s="154" t="s">
        <v>403</v>
      </c>
      <c r="Y17" s="154" t="s">
        <v>541</v>
      </c>
    </row>
    <row r="18" spans="1:25" x14ac:dyDescent="0.25">
      <c r="A18" s="154">
        <v>8</v>
      </c>
      <c r="B18" s="166" t="s">
        <v>521</v>
      </c>
      <c r="C18" s="166" t="s">
        <v>520</v>
      </c>
      <c r="D18" s="169">
        <v>12985.2</v>
      </c>
      <c r="E18" s="169">
        <v>11003.8</v>
      </c>
      <c r="F18" s="169">
        <v>5355</v>
      </c>
      <c r="G18" s="248">
        <v>3.2000000000000001E-2</v>
      </c>
      <c r="H18" s="169">
        <v>8.06</v>
      </c>
      <c r="I18" s="248">
        <v>0.25900000000000001</v>
      </c>
      <c r="J18" s="248">
        <v>0.14199999999999999</v>
      </c>
      <c r="K18" s="169"/>
      <c r="L18" s="169"/>
      <c r="M18" s="169">
        <v>10.6</v>
      </c>
      <c r="N18" s="169"/>
      <c r="O18" s="169">
        <v>1.56</v>
      </c>
      <c r="P18" s="169"/>
      <c r="Q18" s="169"/>
      <c r="R18" s="246"/>
      <c r="T18" s="154">
        <v>15.69</v>
      </c>
      <c r="U18" s="154">
        <v>14.04</v>
      </c>
      <c r="V18" s="154">
        <v>1.33</v>
      </c>
      <c r="W18" s="154">
        <v>2.6</v>
      </c>
      <c r="X18" s="154" t="s">
        <v>403</v>
      </c>
      <c r="Y18" s="154" t="s">
        <v>541</v>
      </c>
    </row>
    <row r="19" spans="1:25" x14ac:dyDescent="0.25">
      <c r="D19" s="172"/>
      <c r="E19" s="172"/>
      <c r="F19" s="172"/>
      <c r="G19" s="172"/>
      <c r="H19" s="172"/>
      <c r="I19" s="173"/>
      <c r="J19" s="173"/>
      <c r="L19" s="174"/>
      <c r="M19" s="247"/>
      <c r="O19" s="247"/>
      <c r="P19" s="174"/>
      <c r="R19" s="249"/>
    </row>
    <row r="20" spans="1:25" x14ac:dyDescent="0.25">
      <c r="Q20" s="174"/>
    </row>
    <row r="21" spans="1:25" x14ac:dyDescent="0.25">
      <c r="K21" s="178"/>
      <c r="L21" s="215" t="s">
        <v>492</v>
      </c>
      <c r="M21" s="215" t="s">
        <v>493</v>
      </c>
      <c r="N21" s="215" t="s">
        <v>494</v>
      </c>
      <c r="O21" s="215" t="s">
        <v>495</v>
      </c>
      <c r="P21" s="215" t="s">
        <v>496</v>
      </c>
      <c r="Q21" s="215" t="s">
        <v>528</v>
      </c>
    </row>
    <row r="22" spans="1:25" x14ac:dyDescent="0.25">
      <c r="K22" s="178" t="s">
        <v>538</v>
      </c>
      <c r="L22" s="201">
        <f>MIN(M10:M18)</f>
        <v>4.09</v>
      </c>
      <c r="M22" s="178">
        <f>QUARTILE(M10:M18,1)</f>
        <v>7.38</v>
      </c>
      <c r="N22" s="201">
        <f>MEDIAN(M10:M18)</f>
        <v>9.2899999999999991</v>
      </c>
      <c r="O22" s="178">
        <f>QUARTILE(M10:M18,3)</f>
        <v>10.6</v>
      </c>
      <c r="P22" s="201">
        <f>MAX(M10:M18)</f>
        <v>13.65</v>
      </c>
      <c r="Q22" s="201">
        <f>AVERAGE(M10:M18)</f>
        <v>8.9777777777777761</v>
      </c>
    </row>
    <row r="23" spans="1:25" x14ac:dyDescent="0.25">
      <c r="K23" s="178" t="s">
        <v>537</v>
      </c>
      <c r="L23" s="201">
        <f>MIN(O10:O18)</f>
        <v>0.77</v>
      </c>
      <c r="M23" s="178">
        <f>QUARTILE(O10:O18,1)</f>
        <v>0.99</v>
      </c>
      <c r="N23" s="201">
        <f>MEDIAN(O10:O18)</f>
        <v>1.1000000000000001</v>
      </c>
      <c r="O23" s="178">
        <f>QUARTILE(O10:O18,3)</f>
        <v>1.41</v>
      </c>
      <c r="P23" s="201">
        <f>MAX(O10:O18)</f>
        <v>1.85</v>
      </c>
      <c r="Q23" s="201">
        <f>AVERAGE(O10:O18)</f>
        <v>1.2133333333333334</v>
      </c>
    </row>
    <row r="24" spans="1:25" x14ac:dyDescent="0.25">
      <c r="Q24" s="174"/>
    </row>
    <row r="25" spans="1:25" x14ac:dyDescent="0.25">
      <c r="Q25" s="174"/>
    </row>
    <row r="26" spans="1:25" x14ac:dyDescent="0.25">
      <c r="Q26" s="174"/>
    </row>
    <row r="28" spans="1:25" x14ac:dyDescent="0.25">
      <c r="B28" s="261" t="s">
        <v>534</v>
      </c>
      <c r="C28" s="262"/>
      <c r="D28" s="263"/>
      <c r="L28" s="258" t="s">
        <v>534</v>
      </c>
      <c r="M28" s="259"/>
      <c r="N28" s="259"/>
      <c r="O28" s="259"/>
      <c r="P28" s="260"/>
    </row>
    <row r="29" spans="1:25" x14ac:dyDescent="0.25">
      <c r="B29" s="179" t="s">
        <v>566</v>
      </c>
      <c r="D29" s="180">
        <f>'Income - Adjusted'!K79</f>
        <v>6.5532334911183829</v>
      </c>
      <c r="L29" s="178" t="s">
        <v>492</v>
      </c>
      <c r="M29" s="178" t="s">
        <v>493</v>
      </c>
      <c r="N29" s="178" t="s">
        <v>494</v>
      </c>
      <c r="O29" s="178" t="s">
        <v>495</v>
      </c>
      <c r="P29" s="178" t="s">
        <v>496</v>
      </c>
    </row>
    <row r="30" spans="1:25" ht="14.4" customHeight="1" x14ac:dyDescent="0.25">
      <c r="B30" s="182" t="s">
        <v>529</v>
      </c>
      <c r="C30" s="183"/>
      <c r="D30" s="184">
        <f>D29*N22</f>
        <v>60.879539132489775</v>
      </c>
      <c r="L30" s="181">
        <f>$D$29*L22</f>
        <v>26.802724978674185</v>
      </c>
      <c r="M30" s="181">
        <f>$D$29*M22</f>
        <v>48.362863164453664</v>
      </c>
      <c r="N30" s="181">
        <f>$D$29*N22</f>
        <v>60.879539132489775</v>
      </c>
      <c r="O30" s="181">
        <f>$D$29*O22</f>
        <v>69.464275005854859</v>
      </c>
      <c r="P30" s="181">
        <f>$D$29*P22</f>
        <v>89.45163715376593</v>
      </c>
    </row>
    <row r="32" spans="1:25" x14ac:dyDescent="0.25">
      <c r="B32" s="261" t="s">
        <v>587</v>
      </c>
      <c r="C32" s="262"/>
      <c r="D32" s="263"/>
      <c r="L32" s="258" t="s">
        <v>587</v>
      </c>
      <c r="M32" s="259"/>
      <c r="N32" s="259"/>
      <c r="O32" s="259"/>
      <c r="P32" s="259"/>
    </row>
    <row r="33" spans="2:16" x14ac:dyDescent="0.25">
      <c r="B33" s="179" t="s">
        <v>586</v>
      </c>
      <c r="D33" s="210">
        <f>'Bal Sheet - Standardized'!M48</f>
        <v>50149</v>
      </c>
      <c r="L33" s="178" t="s">
        <v>492</v>
      </c>
      <c r="M33" s="178" t="s">
        <v>493</v>
      </c>
      <c r="N33" s="178" t="s">
        <v>494</v>
      </c>
      <c r="O33" s="178" t="s">
        <v>495</v>
      </c>
      <c r="P33" s="178" t="s">
        <v>496</v>
      </c>
    </row>
    <row r="34" spans="2:16" x14ac:dyDescent="0.25">
      <c r="B34" s="186" t="s">
        <v>530</v>
      </c>
      <c r="C34" s="187"/>
      <c r="D34" s="211">
        <f>'Cost.E'!C10</f>
        <v>740.19</v>
      </c>
      <c r="L34" s="185">
        <f>$D$35*L23</f>
        <v>52.168672908307322</v>
      </c>
      <c r="M34" s="185">
        <f>$D$35*M23</f>
        <v>67.07400802496656</v>
      </c>
      <c r="N34" s="185">
        <f>$D$35*N23</f>
        <v>74.526675583296182</v>
      </c>
      <c r="O34" s="185">
        <f>$D$35*O23</f>
        <v>95.529647793134174</v>
      </c>
      <c r="P34" s="185">
        <f>$D$35*P23</f>
        <v>125.34031802645266</v>
      </c>
    </row>
    <row r="35" spans="2:16" x14ac:dyDescent="0.25">
      <c r="B35" s="188" t="s">
        <v>531</v>
      </c>
      <c r="C35" s="189"/>
      <c r="D35" s="210">
        <f>D33/D34</f>
        <v>67.751523257541976</v>
      </c>
      <c r="J35" s="202"/>
      <c r="K35" s="202"/>
      <c r="L35" s="202"/>
      <c r="M35" s="202"/>
      <c r="N35" s="202"/>
    </row>
    <row r="36" spans="2:16" x14ac:dyDescent="0.25">
      <c r="B36" s="179"/>
      <c r="D36" s="210"/>
      <c r="J36" s="202"/>
      <c r="K36" s="202"/>
      <c r="L36" s="202"/>
      <c r="M36" s="202"/>
      <c r="N36" s="202"/>
    </row>
    <row r="37" spans="2:16" ht="15.6" x14ac:dyDescent="0.3">
      <c r="B37" s="213" t="s">
        <v>529</v>
      </c>
      <c r="C37" s="190"/>
      <c r="D37" s="212">
        <f>D35*N23</f>
        <v>74.526675583296182</v>
      </c>
      <c r="J37" s="202"/>
      <c r="K37" s="202"/>
      <c r="L37" s="202"/>
      <c r="M37" s="202"/>
      <c r="N37" s="202"/>
    </row>
    <row r="38" spans="2:16" x14ac:dyDescent="0.25">
      <c r="J38" s="202"/>
      <c r="K38" s="202"/>
      <c r="L38" s="202"/>
      <c r="M38" s="202"/>
      <c r="N38" s="202"/>
    </row>
    <row r="40" spans="2:16" x14ac:dyDescent="0.25">
      <c r="B40" s="175" t="s">
        <v>532</v>
      </c>
      <c r="C40" s="176"/>
      <c r="D40" s="176" t="s">
        <v>567</v>
      </c>
      <c r="E40" s="177" t="s">
        <v>533</v>
      </c>
    </row>
    <row r="41" spans="2:16" x14ac:dyDescent="0.25">
      <c r="B41" s="191">
        <v>0.5</v>
      </c>
      <c r="C41" s="192"/>
      <c r="D41" s="193" t="s">
        <v>538</v>
      </c>
      <c r="E41" s="194">
        <f>D30</f>
        <v>60.879539132489775</v>
      </c>
    </row>
    <row r="42" spans="2:16" x14ac:dyDescent="0.25">
      <c r="B42" s="195">
        <v>0.5</v>
      </c>
      <c r="C42" s="196"/>
      <c r="D42" s="197" t="s">
        <v>537</v>
      </c>
      <c r="E42" s="198">
        <f>D37</f>
        <v>74.526675583296182</v>
      </c>
    </row>
    <row r="43" spans="2:16" x14ac:dyDescent="0.25">
      <c r="B43" s="251" t="s">
        <v>568</v>
      </c>
      <c r="C43" s="252"/>
      <c r="D43" s="252"/>
      <c r="E43" s="199">
        <f>SUMPRODUCT(B41:B42,E41:E42)</f>
        <v>67.703107357892975</v>
      </c>
    </row>
    <row r="45" spans="2:16" x14ac:dyDescent="0.25">
      <c r="D45" s="154" t="s">
        <v>569</v>
      </c>
      <c r="E45" s="200">
        <f>'Cost.E'!C13</f>
        <v>62.03</v>
      </c>
    </row>
    <row r="46" spans="2:16" x14ac:dyDescent="0.25">
      <c r="D46" s="154" t="s">
        <v>570</v>
      </c>
      <c r="E46" s="214">
        <f>E43/E45-1</f>
        <v>9.1457477960550815E-2</v>
      </c>
    </row>
  </sheetData>
  <sortState xmlns:xlrd2="http://schemas.microsoft.com/office/spreadsheetml/2017/richdata2" ref="A11:Z18">
    <sortCondition descending="1" ref="E11:E18"/>
  </sortState>
  <mergeCells count="19">
    <mergeCell ref="C7:D7"/>
    <mergeCell ref="V8:W8"/>
    <mergeCell ref="L28:P28"/>
    <mergeCell ref="L32:P32"/>
    <mergeCell ref="B28:D28"/>
    <mergeCell ref="B32:D32"/>
    <mergeCell ref="H8:H9"/>
    <mergeCell ref="I8:I9"/>
    <mergeCell ref="J8:J9"/>
    <mergeCell ref="L8:M8"/>
    <mergeCell ref="O8:P8"/>
    <mergeCell ref="D8:D9"/>
    <mergeCell ref="E8:E9"/>
    <mergeCell ref="F8:F9"/>
    <mergeCell ref="B43:D43"/>
    <mergeCell ref="C8:C9"/>
    <mergeCell ref="R8:R9"/>
    <mergeCell ref="T8:U8"/>
    <mergeCell ref="G8:G9"/>
  </mergeCells>
  <pageMargins left="0.7" right="0.7" top="0.75" bottom="0.75" header="0.3" footer="0.3"/>
  <pageSetup scale="54" orientation="landscape" horizontalDpi="1200" verticalDpi="1200" r:id="rId1"/>
  <colBreaks count="2" manualBreakCount="2">
    <brk id="17" max="43" man="1"/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8A3A-F1CF-4E07-8216-ED9ECE8D1B04}">
  <dimension ref="A1:Z934"/>
  <sheetViews>
    <sheetView topLeftCell="A2" zoomScale="85" zoomScaleNormal="85" zoomScaleSheetLayoutView="85" workbookViewId="0">
      <pane xSplit="3" ySplit="4" topLeftCell="D24" activePane="bottomRight" state="frozen"/>
      <selection activeCell="A2" sqref="A2"/>
      <selection pane="topRight" activeCell="D2" sqref="D2"/>
      <selection pane="bottomLeft" activeCell="A6" sqref="A6"/>
      <selection pane="bottomRight" activeCell="B37" sqref="B37"/>
    </sheetView>
  </sheetViews>
  <sheetFormatPr defaultColWidth="12.44140625" defaultRowHeight="15" customHeight="1" x14ac:dyDescent="0.25"/>
  <cols>
    <col min="1" max="1" width="7.109375" style="107" customWidth="1"/>
    <col min="2" max="2" width="35.77734375" style="107" customWidth="1"/>
    <col min="3" max="4" width="16.109375" style="107" customWidth="1"/>
    <col min="5" max="26" width="12" style="107" customWidth="1"/>
    <col min="27" max="16384" width="12.44140625" style="107"/>
  </cols>
  <sheetData>
    <row r="1" spans="1:26" ht="79.5" customHeigh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13.8" x14ac:dyDescent="0.25">
      <c r="A2" s="106"/>
      <c r="B2" s="108"/>
      <c r="C2" s="108"/>
      <c r="D2" s="265"/>
      <c r="E2" s="266"/>
      <c r="F2" s="266"/>
      <c r="G2" s="266"/>
      <c r="H2" s="266"/>
      <c r="I2" s="266"/>
      <c r="J2" s="266"/>
      <c r="K2" s="273" t="s">
        <v>467</v>
      </c>
      <c r="L2" s="273"/>
      <c r="M2" s="273"/>
      <c r="N2" s="273"/>
      <c r="O2" s="273"/>
      <c r="P2" s="273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ht="13.8" x14ac:dyDescent="0.25">
      <c r="A3" s="106"/>
      <c r="B3" s="108" t="s">
        <v>468</v>
      </c>
      <c r="C3" s="108"/>
      <c r="D3" s="108" t="s">
        <v>469</v>
      </c>
      <c r="E3" s="108" t="s">
        <v>470</v>
      </c>
      <c r="F3" s="108" t="s">
        <v>471</v>
      </c>
      <c r="G3" s="108" t="s">
        <v>472</v>
      </c>
      <c r="H3" s="108" t="s">
        <v>473</v>
      </c>
      <c r="I3" s="108" t="s">
        <v>474</v>
      </c>
      <c r="J3" s="108" t="s">
        <v>475</v>
      </c>
      <c r="K3" s="109" t="s">
        <v>476</v>
      </c>
      <c r="L3" s="109" t="s">
        <v>477</v>
      </c>
      <c r="M3" s="109" t="s">
        <v>478</v>
      </c>
      <c r="N3" s="109" t="s">
        <v>479</v>
      </c>
      <c r="O3" s="109" t="s">
        <v>480</v>
      </c>
      <c r="P3" s="109" t="s">
        <v>511</v>
      </c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ht="24" customHeight="1" x14ac:dyDescent="0.25">
      <c r="A4" s="106"/>
      <c r="B4" s="110" t="s">
        <v>145</v>
      </c>
      <c r="C4" s="110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ht="13.8" x14ac:dyDescent="0.25">
      <c r="A5" s="110"/>
      <c r="B5" s="110" t="s">
        <v>147</v>
      </c>
      <c r="C5" s="110"/>
      <c r="D5" s="111">
        <f>'Income - Adjusted'!C70</f>
        <v>747</v>
      </c>
      <c r="E5" s="111">
        <f>'Income - Adjusted'!D70</f>
        <v>3907</v>
      </c>
      <c r="F5" s="111">
        <f>'Income - Adjusted'!E70</f>
        <v>4982</v>
      </c>
      <c r="G5" s="111">
        <f>'Income - Adjusted'!F70</f>
        <v>5721</v>
      </c>
      <c r="H5" s="111">
        <f>'Income - Adjusted'!G70</f>
        <v>5191</v>
      </c>
      <c r="I5" s="111">
        <f>'Income - Adjusted'!H70</f>
        <v>6353</v>
      </c>
      <c r="J5" s="111">
        <f>'Income - Adjusted'!I70</f>
        <v>2354</v>
      </c>
      <c r="K5" s="111">
        <f>'Income - Adjusted'!J70</f>
        <v>1074.6666666666713</v>
      </c>
      <c r="L5" s="111">
        <f>'Income - Adjusted'!K70</f>
        <v>2067.9910089482692</v>
      </c>
      <c r="M5" s="111">
        <f>'Income - Adjusted'!L70</f>
        <v>5115.8982608929828</v>
      </c>
      <c r="N5" s="111">
        <f>'Income - Adjusted'!M70</f>
        <v>5235.2269634149879</v>
      </c>
      <c r="O5" s="111">
        <f>'Income - Adjusted'!N70</f>
        <v>5353.1563298482388</v>
      </c>
      <c r="P5" s="111">
        <f>'Income - Adjusted'!O70</f>
        <v>5467.4219101968565</v>
      </c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3.8" x14ac:dyDescent="0.25">
      <c r="A6" s="106"/>
      <c r="B6" s="106" t="s">
        <v>630</v>
      </c>
      <c r="C6" s="106"/>
      <c r="D6" s="106"/>
      <c r="E6" s="234">
        <f>'Bal Sheet - Standardized'!G69</f>
        <v>-4376</v>
      </c>
      <c r="F6" s="234">
        <f>'Bal Sheet - Standardized'!H69</f>
        <v>-1053</v>
      </c>
      <c r="G6" s="234">
        <f>'Bal Sheet - Standardized'!I69</f>
        <v>-345</v>
      </c>
      <c r="H6" s="234">
        <f>'Bal Sheet - Standardized'!J69</f>
        <v>-98</v>
      </c>
      <c r="I6" s="234">
        <f>'Bal Sheet - Standardized'!K69</f>
        <v>-334</v>
      </c>
      <c r="J6" s="234">
        <f>'Bal Sheet - Standardized'!L69</f>
        <v>-1205</v>
      </c>
      <c r="K6" s="234">
        <f>'Bal Sheet - Standardized'!M69</f>
        <v>-313.65876499924343</v>
      </c>
      <c r="L6" s="234">
        <f>'Bal Sheet - Standardized'!N69</f>
        <v>342.69402852287749</v>
      </c>
      <c r="M6" s="234">
        <f>'Bal Sheet - Standardized'!O69</f>
        <v>336.88233970612418</v>
      </c>
      <c r="N6" s="234">
        <f>'Bal Sheet - Standardized'!P69</f>
        <v>334.01095474137037</v>
      </c>
      <c r="O6" s="234">
        <f>'Bal Sheet - Standardized'!Q69</f>
        <v>330.98868007163037</v>
      </c>
      <c r="P6" s="234">
        <f>'Bal Sheet - Standardized'!R69</f>
        <v>321.2020989809098</v>
      </c>
      <c r="Q6" s="114"/>
      <c r="R6" s="106"/>
      <c r="S6" s="106"/>
      <c r="T6" s="106"/>
      <c r="U6" s="106"/>
      <c r="V6" s="106"/>
      <c r="W6" s="106"/>
      <c r="X6" s="106"/>
      <c r="Y6" s="106"/>
      <c r="Z6" s="106"/>
    </row>
    <row r="7" spans="1:26" s="112" customFormat="1" ht="13.8" x14ac:dyDescent="0.25">
      <c r="A7" s="110"/>
      <c r="B7" s="110" t="s">
        <v>284</v>
      </c>
      <c r="C7" s="110"/>
      <c r="D7" s="111"/>
      <c r="E7" s="111">
        <f t="shared" ref="E7:P7" si="0">E5-E6</f>
        <v>8283</v>
      </c>
      <c r="F7" s="111">
        <f t="shared" si="0"/>
        <v>6035</v>
      </c>
      <c r="G7" s="111">
        <f t="shared" si="0"/>
        <v>6066</v>
      </c>
      <c r="H7" s="111">
        <f t="shared" si="0"/>
        <v>5289</v>
      </c>
      <c r="I7" s="111">
        <f t="shared" si="0"/>
        <v>6687</v>
      </c>
      <c r="J7" s="111">
        <f t="shared" si="0"/>
        <v>3559</v>
      </c>
      <c r="K7" s="111">
        <f t="shared" si="0"/>
        <v>1388.3254316659147</v>
      </c>
      <c r="L7" s="111">
        <f t="shared" si="0"/>
        <v>1725.2969804253917</v>
      </c>
      <c r="M7" s="111">
        <f t="shared" si="0"/>
        <v>4779.0159211868586</v>
      </c>
      <c r="N7" s="111">
        <f t="shared" si="0"/>
        <v>4901.2160086736176</v>
      </c>
      <c r="O7" s="111">
        <f t="shared" si="0"/>
        <v>5022.1676497766084</v>
      </c>
      <c r="P7" s="111">
        <f t="shared" si="0"/>
        <v>5146.2198112159467</v>
      </c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3.8" x14ac:dyDescent="0.25">
      <c r="A8" s="106"/>
      <c r="B8" s="106" t="s">
        <v>482</v>
      </c>
      <c r="C8" s="106"/>
      <c r="D8" s="106"/>
      <c r="E8" s="106"/>
      <c r="F8" s="106"/>
      <c r="G8" s="106"/>
      <c r="H8" s="106"/>
      <c r="I8" s="106"/>
      <c r="J8" s="106"/>
      <c r="K8" s="113">
        <f>(K10-C12)/365</f>
        <v>0.12328767123287671</v>
      </c>
      <c r="L8" s="113">
        <f t="shared" ref="L8:P8" si="1">K8+1</f>
        <v>1.1232876712328768</v>
      </c>
      <c r="M8" s="113">
        <f t="shared" si="1"/>
        <v>2.1232876712328768</v>
      </c>
      <c r="N8" s="113">
        <f t="shared" si="1"/>
        <v>3.1232876712328768</v>
      </c>
      <c r="O8" s="113">
        <f t="shared" si="1"/>
        <v>4.1232876712328768</v>
      </c>
      <c r="P8" s="113">
        <f t="shared" si="1"/>
        <v>5.1232876712328768</v>
      </c>
      <c r="Q8" s="114"/>
      <c r="R8" s="106"/>
      <c r="S8" s="106"/>
      <c r="T8" s="106"/>
      <c r="U8" s="106"/>
      <c r="V8" s="106"/>
      <c r="W8" s="106"/>
      <c r="X8" s="106"/>
      <c r="Y8" s="106"/>
      <c r="Z8" s="106"/>
    </row>
    <row r="9" spans="1:26" ht="13.8" x14ac:dyDescent="0.25">
      <c r="A9" s="106"/>
      <c r="B9" s="106" t="s">
        <v>483</v>
      </c>
      <c r="C9" s="106"/>
      <c r="D9" s="106"/>
      <c r="E9" s="106"/>
      <c r="F9" s="106"/>
      <c r="G9" s="106"/>
      <c r="H9" s="106"/>
      <c r="I9" s="106"/>
      <c r="J9" s="106"/>
      <c r="K9" s="115">
        <f>K7/(1+$C$14)^K8</f>
        <v>1371.2183019383692</v>
      </c>
      <c r="L9" s="115">
        <f t="shared" ref="L9:P9" si="2">L7/(1+$C$14)^L8</f>
        <v>1541.0029235657057</v>
      </c>
      <c r="M9" s="115">
        <f t="shared" si="2"/>
        <v>3860.1337802145827</v>
      </c>
      <c r="N9" s="115">
        <f t="shared" si="2"/>
        <v>3580.0739758253344</v>
      </c>
      <c r="O9" s="115">
        <f t="shared" si="2"/>
        <v>3317.4443165192311</v>
      </c>
      <c r="P9" s="115">
        <f t="shared" si="2"/>
        <v>3074.1499424661442</v>
      </c>
      <c r="Q9" s="114"/>
      <c r="R9" s="106"/>
      <c r="S9" s="106"/>
      <c r="T9" s="106"/>
      <c r="U9" s="106"/>
      <c r="V9" s="106"/>
      <c r="W9" s="106"/>
      <c r="X9" s="106"/>
      <c r="Y9" s="106"/>
      <c r="Z9" s="106"/>
    </row>
    <row r="10" spans="1:26" ht="13.8" x14ac:dyDescent="0.25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16">
        <v>45291</v>
      </c>
      <c r="L10" s="116">
        <v>45657</v>
      </c>
      <c r="M10" s="116">
        <v>46022</v>
      </c>
      <c r="N10" s="116">
        <v>46387</v>
      </c>
      <c r="O10" s="116">
        <v>46752</v>
      </c>
      <c r="P10" s="116">
        <v>47118</v>
      </c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13.8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16"/>
      <c r="L11" s="116"/>
      <c r="M11" s="116"/>
      <c r="N11" s="116"/>
      <c r="O11" s="116"/>
      <c r="P11" s="11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13.8" x14ac:dyDescent="0.25">
      <c r="A12" s="106"/>
      <c r="B12" s="106" t="s">
        <v>484</v>
      </c>
      <c r="C12" s="116">
        <f>'Cost.E'!C16</f>
        <v>45246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13.8" x14ac:dyDescent="0.25">
      <c r="A13" s="106"/>
      <c r="B13" s="106"/>
      <c r="C13" s="117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ht="13.8" x14ac:dyDescent="0.25">
      <c r="A14" s="106"/>
      <c r="B14" s="106" t="s">
        <v>419</v>
      </c>
      <c r="C14" s="118">
        <f>'Cost.E'!C6</f>
        <v>0.10579780000000001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ht="13.8" x14ac:dyDescent="0.25">
      <c r="A15" s="106"/>
      <c r="B15" s="106" t="s">
        <v>485</v>
      </c>
      <c r="C15" s="118">
        <v>0.02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ht="13.8" x14ac:dyDescent="0.25">
      <c r="A16" s="106"/>
      <c r="B16" s="106" t="s">
        <v>420</v>
      </c>
      <c r="C16" s="119">
        <f>P7*(1+C15)/(C14-C15)</f>
        <v>61180.405644903076</v>
      </c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s="112" customFormat="1" ht="13.8" x14ac:dyDescent="0.25">
      <c r="A17" s="110"/>
      <c r="B17" s="110" t="s">
        <v>486</v>
      </c>
      <c r="C17" s="120">
        <f>C16/(1+C14)^P8</f>
        <v>36546.775573679828</v>
      </c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3.8" x14ac:dyDescent="0.25">
      <c r="A18" s="110"/>
      <c r="B18" s="110" t="s">
        <v>487</v>
      </c>
      <c r="C18" s="120">
        <f>SUM(K9:P9)</f>
        <v>16744.023240529368</v>
      </c>
      <c r="D18" s="110"/>
      <c r="E18" s="110"/>
      <c r="F18" s="106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3.8" x14ac:dyDescent="0.25">
      <c r="A19" s="106"/>
      <c r="B19" s="110" t="s">
        <v>421</v>
      </c>
      <c r="C19" s="120">
        <f>C18+C17</f>
        <v>53290.798814209193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ht="13.8" x14ac:dyDescent="0.25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ht="13.8" x14ac:dyDescent="0.25">
      <c r="A21" s="106"/>
      <c r="B21" s="106" t="s">
        <v>207</v>
      </c>
      <c r="C21" s="106">
        <f>'Cost.E'!C10</f>
        <v>740.19</v>
      </c>
      <c r="D21" s="106"/>
      <c r="E21" s="106"/>
      <c r="F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ht="13.8" x14ac:dyDescent="0.25">
      <c r="A22" s="106"/>
      <c r="B22" s="106" t="s">
        <v>488</v>
      </c>
      <c r="C22" s="115">
        <f>C19/C21</f>
        <v>71.996107505112462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ht="13.8" x14ac:dyDescent="0.25">
      <c r="A23" s="106"/>
      <c r="B23" s="106" t="s">
        <v>489</v>
      </c>
      <c r="C23" s="115">
        <f>'Cost.E'!C13</f>
        <v>62.03</v>
      </c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ht="13.8" x14ac:dyDescent="0.25">
      <c r="A24" s="106"/>
      <c r="B24" s="121" t="s">
        <v>490</v>
      </c>
      <c r="C24" s="122">
        <f>C22/C23-1</f>
        <v>0.16066592785930123</v>
      </c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ht="13.8" x14ac:dyDescent="0.25">
      <c r="A25" s="106"/>
      <c r="B25" s="106"/>
      <c r="C25" s="118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ht="20.399999999999999" customHeight="1" x14ac:dyDescent="0.25">
      <c r="A26" s="106"/>
      <c r="B26" s="106"/>
      <c r="C26" s="118"/>
      <c r="D26" s="267" t="s">
        <v>491</v>
      </c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ht="13.8" x14ac:dyDescent="0.25">
      <c r="A27" s="106"/>
      <c r="B27" s="106"/>
      <c r="C27" s="118"/>
      <c r="D27" s="268"/>
      <c r="E27" s="268"/>
      <c r="F27" s="268"/>
      <c r="G27" s="268"/>
      <c r="H27" s="268"/>
      <c r="I27" s="268"/>
      <c r="J27" s="268"/>
      <c r="K27" s="268"/>
      <c r="L27" s="268"/>
      <c r="M27" s="268"/>
      <c r="N27" s="268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ht="13.8" x14ac:dyDescent="0.25">
      <c r="A28" s="106"/>
      <c r="B28" s="106"/>
      <c r="C28" s="106"/>
      <c r="D28" s="123"/>
      <c r="E28" s="269" t="s">
        <v>485</v>
      </c>
      <c r="F28" s="269"/>
      <c r="G28" s="269"/>
      <c r="H28" s="269"/>
      <c r="I28" s="269"/>
      <c r="J28" s="269"/>
      <c r="K28" s="269"/>
      <c r="L28" s="269"/>
      <c r="M28" s="269"/>
      <c r="N28" s="269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ht="13.8" x14ac:dyDescent="0.25">
      <c r="A29" s="106"/>
      <c r="B29" s="106"/>
      <c r="C29" s="106"/>
      <c r="D29" s="270" t="s">
        <v>419</v>
      </c>
      <c r="E29" s="123">
        <f>C22</f>
        <v>71.996107505112462</v>
      </c>
      <c r="F29" s="124">
        <v>1.2500000000000001E-2</v>
      </c>
      <c r="G29" s="124">
        <f>F29+0.0025</f>
        <v>1.5000000000000001E-2</v>
      </c>
      <c r="H29" s="124">
        <f t="shared" ref="H29:N29" si="3">G29+0.0025</f>
        <v>1.7500000000000002E-2</v>
      </c>
      <c r="I29" s="124">
        <f t="shared" si="3"/>
        <v>0.02</v>
      </c>
      <c r="J29" s="124">
        <f t="shared" si="3"/>
        <v>2.2499999999999999E-2</v>
      </c>
      <c r="K29" s="124">
        <f t="shared" si="3"/>
        <v>2.4999999999999998E-2</v>
      </c>
      <c r="L29" s="124">
        <f t="shared" si="3"/>
        <v>2.7499999999999997E-2</v>
      </c>
      <c r="M29" s="124">
        <f>L29+0.0025</f>
        <v>2.9999999999999995E-2</v>
      </c>
      <c r="N29" s="124">
        <f t="shared" si="3"/>
        <v>3.2499999999999994E-2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ht="13.8" x14ac:dyDescent="0.25">
      <c r="A30" s="106"/>
      <c r="B30" s="106"/>
      <c r="C30" s="106"/>
      <c r="D30" s="271"/>
      <c r="E30" s="124">
        <v>9.5000000000000001E-2</v>
      </c>
      <c r="F30" s="123">
        <f t="dataTable" ref="F30:N40" dt2D="1" dtr="1" r1="C15" r2="C14"/>
        <v>76.905039753333739</v>
      </c>
      <c r="G30" s="123">
        <v>78.716485954775166</v>
      </c>
      <c r="H30" s="123">
        <v>80.64479965308378</v>
      </c>
      <c r="I30" s="123">
        <v>82.701667597946297</v>
      </c>
      <c r="J30" s="123">
        <v>84.900388504523448</v>
      </c>
      <c r="K30" s="123">
        <v>87.256160904427546</v>
      </c>
      <c r="L30" s="123">
        <v>89.786434963583829</v>
      </c>
      <c r="M30" s="123">
        <v>92.511345488829036</v>
      </c>
      <c r="N30" s="123">
        <v>95.454248856093855</v>
      </c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ht="13.8" x14ac:dyDescent="0.25">
      <c r="A31" s="106"/>
      <c r="B31" s="106"/>
      <c r="C31" s="106"/>
      <c r="D31" s="271"/>
      <c r="E31" s="124">
        <f>E30+0.0025</f>
        <v>9.7500000000000003E-2</v>
      </c>
      <c r="F31" s="123">
        <v>74.562890702699519</v>
      </c>
      <c r="G31" s="123">
        <v>76.251825009071226</v>
      </c>
      <c r="H31" s="123">
        <v>78.04631770959115</v>
      </c>
      <c r="I31" s="123">
        <v>79.956584132725268</v>
      </c>
      <c r="J31" s="123">
        <v>81.994201650734979</v>
      </c>
      <c r="K31" s="123">
        <v>84.172344514814313</v>
      </c>
      <c r="L31" s="123">
        <v>86.506069012042218</v>
      </c>
      <c r="M31" s="123">
        <v>89.012661990546235</v>
      </c>
      <c r="N31" s="123">
        <v>91.712069813550542</v>
      </c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ht="13.8" x14ac:dyDescent="0.25">
      <c r="A32" s="106"/>
      <c r="B32" s="106"/>
      <c r="C32" s="106"/>
      <c r="D32" s="271"/>
      <c r="E32" s="124">
        <f t="shared" ref="E32:E39" si="4">E31+0.0025</f>
        <v>0.1</v>
      </c>
      <c r="F32" s="123">
        <v>72.355235058467343</v>
      </c>
      <c r="G32" s="123">
        <v>73.932788935959451</v>
      </c>
      <c r="H32" s="123">
        <v>75.605952139360198</v>
      </c>
      <c r="I32" s="123">
        <v>77.383688042973475</v>
      </c>
      <c r="J32" s="123">
        <v>79.276116585529522</v>
      </c>
      <c r="K32" s="123">
        <v>81.294707030922666</v>
      </c>
      <c r="L32" s="123">
        <v>83.452510610480871</v>
      </c>
      <c r="M32" s="123">
        <v>85.764443017150342</v>
      </c>
      <c r="N32" s="123">
        <v>88.247629676165715</v>
      </c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ht="13.8" x14ac:dyDescent="0.25">
      <c r="A33" s="106"/>
      <c r="B33" s="106"/>
      <c r="C33" s="106"/>
      <c r="D33" s="271"/>
      <c r="E33" s="124">
        <f t="shared" si="4"/>
        <v>0.10250000000000001</v>
      </c>
      <c r="F33" s="123">
        <v>70.270859742905273</v>
      </c>
      <c r="G33" s="123">
        <v>71.746890522382159</v>
      </c>
      <c r="H33" s="123">
        <v>73.309746641828269</v>
      </c>
      <c r="I33" s="123">
        <v>74.967321313968085</v>
      </c>
      <c r="J33" s="123">
        <v>76.728494403116628</v>
      </c>
      <c r="K33" s="123">
        <v>78.603291562532831</v>
      </c>
      <c r="L33" s="123">
        <v>80.603075199243463</v>
      </c>
      <c r="M33" s="123">
        <v>82.740774948830676</v>
      </c>
      <c r="N33" s="123">
        <v>85.031167537674108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ht="13.8" x14ac:dyDescent="0.25">
      <c r="A34" s="106"/>
      <c r="B34" s="106"/>
      <c r="C34" s="106"/>
      <c r="D34" s="271"/>
      <c r="E34" s="124">
        <f t="shared" si="4"/>
        <v>0.10500000000000001</v>
      </c>
      <c r="F34" s="123">
        <v>68.299763960085883</v>
      </c>
      <c r="G34" s="123">
        <v>69.683030076975811</v>
      </c>
      <c r="H34" s="123">
        <v>71.145339971973755</v>
      </c>
      <c r="I34" s="123">
        <v>72.693668096089226</v>
      </c>
      <c r="J34" s="123">
        <v>74.33583428833289</v>
      </c>
      <c r="K34" s="123">
        <v>76.080635867591781</v>
      </c>
      <c r="L34" s="123">
        <v>77.938005290673843</v>
      </c>
      <c r="M34" s="123">
        <v>79.919199341961388</v>
      </c>
      <c r="N34" s="123">
        <v>82.037027465751478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ht="13.8" x14ac:dyDescent="0.25">
      <c r="A35" s="106"/>
      <c r="B35" s="106"/>
      <c r="C35" s="106"/>
      <c r="D35" s="271"/>
      <c r="E35" s="124">
        <f t="shared" si="4"/>
        <v>0.10750000000000001</v>
      </c>
      <c r="F35" s="123">
        <v>66.432999684344921</v>
      </c>
      <c r="G35" s="123">
        <v>67.731307926427476</v>
      </c>
      <c r="H35" s="123">
        <v>69.101744404181304</v>
      </c>
      <c r="I35" s="123">
        <v>70.550491537806749</v>
      </c>
      <c r="J35" s="123">
        <v>72.084459091057241</v>
      </c>
      <c r="K35" s="123">
        <v>73.711394374807725</v>
      </c>
      <c r="L35" s="123">
        <v>75.440013113792659</v>
      </c>
      <c r="M35" s="123">
        <v>77.280155642389516</v>
      </c>
      <c r="N35" s="123">
        <v>79.242974339559481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ht="13.8" x14ac:dyDescent="0.25">
      <c r="A36" s="106"/>
      <c r="B36" s="106"/>
      <c r="C36" s="106"/>
      <c r="D36" s="271"/>
      <c r="E36" s="124">
        <f t="shared" si="4"/>
        <v>0.11000000000000001</v>
      </c>
      <c r="F36" s="123">
        <v>64.662536688989576</v>
      </c>
      <c r="G36" s="123">
        <v>65.882866517680512</v>
      </c>
      <c r="H36" s="123">
        <v>67.169160120895285</v>
      </c>
      <c r="I36" s="123">
        <v>68.526914479844237</v>
      </c>
      <c r="J36" s="123">
        <v>69.962254802161667</v>
      </c>
      <c r="K36" s="123">
        <v>71.48202690814486</v>
      </c>
      <c r="L36" s="123">
        <v>73.093906414490647</v>
      </c>
      <c r="M36" s="123">
        <v>74.806528389983058</v>
      </c>
      <c r="N36" s="123">
        <v>76.629642105829817</v>
      </c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ht="13.8" x14ac:dyDescent="0.25">
      <c r="A37" s="106"/>
      <c r="B37" s="106"/>
      <c r="C37" s="106"/>
      <c r="D37" s="271"/>
      <c r="E37" s="124">
        <f>E36+0.0025</f>
        <v>0.11250000000000002</v>
      </c>
      <c r="F37" s="123">
        <v>62.981147820712856</v>
      </c>
      <c r="G37" s="123">
        <v>64.12975681212005</v>
      </c>
      <c r="H37" s="123">
        <v>65.338818908338155</v>
      </c>
      <c r="I37" s="123">
        <v>66.613235712459954</v>
      </c>
      <c r="J37" s="123">
        <v>67.958453450144049</v>
      </c>
      <c r="K37" s="123">
        <v>69.380540772838671</v>
      </c>
      <c r="L37" s="123">
        <v>70.886280290985937</v>
      </c>
      <c r="M37" s="123">
        <v>72.483276749626967</v>
      </c>
      <c r="N37" s="123">
        <v>74.180085486933052</v>
      </c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ht="13.8" x14ac:dyDescent="0.25">
      <c r="A38" s="106"/>
      <c r="B38" s="106"/>
      <c r="C38" s="106"/>
      <c r="D38" s="271"/>
      <c r="E38" s="124">
        <f t="shared" si="4"/>
        <v>0.11500000000000002</v>
      </c>
      <c r="F38" s="123">
        <v>61.382311063129372</v>
      </c>
      <c r="G38" s="123">
        <v>62.4648247206405</v>
      </c>
      <c r="H38" s="123">
        <v>63.602851899049618</v>
      </c>
      <c r="I38" s="123">
        <v>64.800775244743448</v>
      </c>
      <c r="J38" s="123">
        <v>66.063451203718003</v>
      </c>
      <c r="K38" s="123">
        <v>67.396275827080046</v>
      </c>
      <c r="L38" s="123">
        <v>68.805261857491359</v>
      </c>
      <c r="M38" s="123">
        <v>70.297129419103328</v>
      </c>
      <c r="N38" s="123">
        <v>71.879413196570553</v>
      </c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ht="13.8" x14ac:dyDescent="0.25">
      <c r="A39" s="106"/>
      <c r="B39" s="106"/>
      <c r="C39" s="106"/>
      <c r="D39" s="271"/>
      <c r="E39" s="124">
        <f t="shared" si="4"/>
        <v>0.11750000000000002</v>
      </c>
      <c r="F39" s="123">
        <v>59.860125591246003</v>
      </c>
      <c r="G39" s="123">
        <v>60.881614157981886</v>
      </c>
      <c r="H39" s="123">
        <v>61.954177153054566</v>
      </c>
      <c r="I39" s="123">
        <v>63.081743378643786</v>
      </c>
      <c r="J39" s="123">
        <v>64.268655195053483</v>
      </c>
      <c r="K39" s="123">
        <v>65.519724406944803</v>
      </c>
      <c r="L39" s="123">
        <v>66.840297463941198</v>
      </c>
      <c r="M39" s="123">
        <v>68.236331838480226</v>
      </c>
      <c r="N39" s="123">
        <v>69.714485882109784</v>
      </c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ht="13.8" x14ac:dyDescent="0.25">
      <c r="A40" s="106"/>
      <c r="B40" s="106"/>
      <c r="C40" s="106"/>
      <c r="D40" s="272"/>
      <c r="E40" s="124">
        <f>E39+0.0025</f>
        <v>0.12000000000000002</v>
      </c>
      <c r="F40" s="123">
        <v>58.409239539272811</v>
      </c>
      <c r="G40" s="123">
        <v>59.374283946456181</v>
      </c>
      <c r="H40" s="123">
        <v>60.386403690575335</v>
      </c>
      <c r="I40" s="123">
        <v>61.449129421900437</v>
      </c>
      <c r="J40" s="123">
        <v>62.566353908678096</v>
      </c>
      <c r="K40" s="123">
        <v>63.742379684233541</v>
      </c>
      <c r="L40" s="123">
        <v>64.981974420629825</v>
      </c>
      <c r="M40" s="123">
        <v>66.290435531270347</v>
      </c>
      <c r="N40" s="123">
        <v>67.673665848233185</v>
      </c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ht="13.8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ht="13.8" x14ac:dyDescent="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ht="13.8" x14ac:dyDescent="0.25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ht="13.8" x14ac:dyDescent="0.25">
      <c r="A44" s="106"/>
      <c r="B44" s="106"/>
      <c r="C44" s="106"/>
      <c r="D44" s="125"/>
      <c r="E44" s="125" t="s">
        <v>492</v>
      </c>
      <c r="F44" s="125" t="s">
        <v>493</v>
      </c>
      <c r="G44" s="125" t="s">
        <v>494</v>
      </c>
      <c r="H44" s="125" t="s">
        <v>495</v>
      </c>
      <c r="I44" s="125" t="s">
        <v>496</v>
      </c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ht="13.8" x14ac:dyDescent="0.25">
      <c r="A45" s="106"/>
      <c r="B45" s="106"/>
      <c r="C45" s="106"/>
      <c r="D45" s="125" t="s">
        <v>497</v>
      </c>
      <c r="E45" s="126">
        <f>MIN(F30:N40)</f>
        <v>58.409239539272811</v>
      </c>
      <c r="F45" s="126">
        <f>QUARTILE(F30:N40,1)</f>
        <v>66.523117698402444</v>
      </c>
      <c r="G45" s="126">
        <f>MEDIAN(F30:N40)</f>
        <v>72.084459091057241</v>
      </c>
      <c r="H45" s="126">
        <f>QUARTILE(F30:N40,3)</f>
        <v>78.659888758654006</v>
      </c>
      <c r="I45" s="126">
        <f>MAX(F30:N40)</f>
        <v>95.454248856093855</v>
      </c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ht="13.8" x14ac:dyDescent="0.25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ht="13.8" x14ac:dyDescent="0.25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ht="13.8" x14ac:dyDescent="0.25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ht="13.8" x14ac:dyDescent="0.25">
      <c r="A49" s="106"/>
      <c r="B49" s="106"/>
      <c r="C49" s="106"/>
      <c r="D49" s="106"/>
      <c r="E49" s="106"/>
      <c r="F49" s="106"/>
      <c r="G49" s="106"/>
      <c r="H49" s="106"/>
      <c r="I49" s="106"/>
      <c r="J49" s="106" t="s">
        <v>468</v>
      </c>
      <c r="K49" s="106" t="str">
        <f>K3</f>
        <v>2023E</v>
      </c>
      <c r="L49" s="106" t="str">
        <f t="shared" ref="L49:P49" si="5">L3</f>
        <v xml:space="preserve">2024E </v>
      </c>
      <c r="M49" s="106" t="str">
        <f t="shared" si="5"/>
        <v>2025E</v>
      </c>
      <c r="N49" s="106" t="str">
        <f t="shared" si="5"/>
        <v>2026E</v>
      </c>
      <c r="O49" s="106" t="str">
        <f t="shared" si="5"/>
        <v xml:space="preserve">2027E </v>
      </c>
      <c r="P49" s="106" t="str">
        <f t="shared" si="5"/>
        <v>2028E</v>
      </c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ht="13.8" x14ac:dyDescent="0.25">
      <c r="A50" s="106"/>
      <c r="B50" s="106"/>
      <c r="C50" s="106"/>
      <c r="D50" s="106"/>
      <c r="E50" s="106"/>
      <c r="F50" s="106"/>
      <c r="G50" s="106"/>
      <c r="H50" s="106"/>
      <c r="I50" s="106"/>
      <c r="J50" s="106" t="s">
        <v>688</v>
      </c>
      <c r="K50" s="245">
        <f>K7</f>
        <v>1388.3254316659147</v>
      </c>
      <c r="L50" s="245">
        <f t="shared" ref="L50:P50" si="6">L7</f>
        <v>1725.2969804253917</v>
      </c>
      <c r="M50" s="245">
        <f t="shared" si="6"/>
        <v>4779.0159211868586</v>
      </c>
      <c r="N50" s="245">
        <f t="shared" si="6"/>
        <v>4901.2160086736176</v>
      </c>
      <c r="O50" s="245">
        <f t="shared" si="6"/>
        <v>5022.1676497766084</v>
      </c>
      <c r="P50" s="245">
        <f t="shared" si="6"/>
        <v>5146.2198112159467</v>
      </c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ht="13.8" x14ac:dyDescent="0.25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spans="1:26" ht="13.8" x14ac:dyDescent="0.25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spans="1:26" ht="13.8" x14ac:dyDescent="0.25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spans="1:26" ht="13.8" x14ac:dyDescent="0.25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spans="1:26" ht="13.8" x14ac:dyDescent="0.2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6" ht="13.8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6" ht="13.8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spans="1:26" ht="13.8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spans="1:26" ht="13.8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spans="1:26" ht="13.8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spans="1:26" ht="13.8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spans="1:26" ht="13.8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 ht="13.8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spans="1:26" ht="13.8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spans="1:26" ht="13.8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spans="1:26" ht="13.8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spans="1:26" ht="13.8" x14ac:dyDescent="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spans="1:26" ht="13.8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spans="1:26" ht="13.8" x14ac:dyDescent="0.25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spans="1:26" ht="13.8" x14ac:dyDescent="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spans="1:26" ht="13.8" x14ac:dyDescent="0.2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spans="1:26" ht="13.8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spans="1:26" ht="13.8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spans="1:26" ht="13.8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spans="1:26" ht="13.8" x14ac:dyDescent="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spans="1:26" ht="13.8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spans="1:26" ht="13.8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spans="1:26" ht="13.8" x14ac:dyDescent="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spans="1:26" ht="13.8" x14ac:dyDescent="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spans="1:26" ht="13.8" x14ac:dyDescent="0.25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spans="1:26" ht="13.8" x14ac:dyDescent="0.25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spans="1:26" ht="13.8" x14ac:dyDescent="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spans="1:26" ht="13.8" x14ac:dyDescent="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spans="1:26" ht="13.8" x14ac:dyDescent="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spans="1:26" ht="13.8" x14ac:dyDescent="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spans="1:26" ht="13.8" x14ac:dyDescent="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 ht="13.8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spans="1:26" ht="13.8" x14ac:dyDescent="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spans="1:26" ht="13.8" x14ac:dyDescent="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spans="1:26" ht="13.8" x14ac:dyDescent="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spans="1:26" ht="13.8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spans="1:26" ht="13.8" x14ac:dyDescent="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spans="1:26" ht="13.8" x14ac:dyDescent="0.25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spans="1:26" ht="13.8" x14ac:dyDescent="0.25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spans="1:26" ht="13.8" x14ac:dyDescent="0.2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spans="1:26" ht="13.8" x14ac:dyDescent="0.25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spans="1:26" ht="13.8" x14ac:dyDescent="0.25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spans="1:26" ht="13.8" x14ac:dyDescent="0.25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spans="1:26" ht="13.8" x14ac:dyDescent="0.25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spans="1:26" ht="13.8" x14ac:dyDescent="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spans="1:26" ht="13.8" x14ac:dyDescent="0.25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spans="1:26" ht="13.8" x14ac:dyDescent="0.25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spans="1:26" ht="13.8" x14ac:dyDescent="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spans="1:26" ht="13.8" x14ac:dyDescent="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spans="1:26" ht="13.8" x14ac:dyDescent="0.2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spans="1:26" ht="13.8" x14ac:dyDescent="0.25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spans="1:26" ht="13.8" x14ac:dyDescent="0.2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spans="1:26" ht="13.8" x14ac:dyDescent="0.25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spans="1:26" ht="13.8" x14ac:dyDescent="0.25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spans="1:26" ht="13.8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spans="1:26" ht="13.8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spans="1:26" ht="13.8" x14ac:dyDescent="0.25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spans="1:26" ht="13.8" x14ac:dyDescent="0.25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spans="1:26" ht="13.8" x14ac:dyDescent="0.25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spans="1:26" ht="13.8" x14ac:dyDescent="0.2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spans="1:26" ht="13.8" x14ac:dyDescent="0.25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spans="1:26" ht="13.8" x14ac:dyDescent="0.25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spans="1:26" ht="13.8" x14ac:dyDescent="0.25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spans="1:26" ht="13.8" x14ac:dyDescent="0.25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spans="1:26" ht="13.8" x14ac:dyDescent="0.25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spans="1:26" ht="13.8" x14ac:dyDescent="0.25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spans="1:26" ht="13.8" x14ac:dyDescent="0.25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spans="1:26" ht="13.8" x14ac:dyDescent="0.25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spans="1:26" ht="13.8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spans="1:26" ht="13.8" x14ac:dyDescent="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spans="1:26" ht="13.8" x14ac:dyDescent="0.25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spans="1:26" ht="13.8" x14ac:dyDescent="0.25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spans="1:26" ht="13.8" x14ac:dyDescent="0.25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spans="1:26" ht="13.8" x14ac:dyDescent="0.25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spans="1:26" ht="13.8" x14ac:dyDescent="0.25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spans="1:26" ht="13.8" x14ac:dyDescent="0.25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ht="13.8" x14ac:dyDescent="0.25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spans="1:26" ht="13.8" x14ac:dyDescent="0.25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spans="1:26" ht="13.8" x14ac:dyDescent="0.25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spans="1:26" ht="13.8" x14ac:dyDescent="0.2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spans="1:26" ht="13.8" x14ac:dyDescent="0.25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spans="1:26" ht="13.8" x14ac:dyDescent="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spans="1:26" ht="13.8" x14ac:dyDescent="0.25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spans="1:26" ht="13.8" x14ac:dyDescent="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spans="1:26" ht="13.8" x14ac:dyDescent="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spans="1:26" ht="13.8" x14ac:dyDescent="0.25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spans="1:26" ht="13.8" x14ac:dyDescent="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spans="1:26" ht="13.8" x14ac:dyDescent="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spans="1:26" ht="13.8" x14ac:dyDescent="0.25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spans="1:26" ht="13.8" x14ac:dyDescent="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spans="1:26" ht="13.8" x14ac:dyDescent="0.25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spans="1:26" ht="13.8" x14ac:dyDescent="0.25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ht="13.8" x14ac:dyDescent="0.25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spans="1:26" ht="13.8" x14ac:dyDescent="0.25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ht="13.8" x14ac:dyDescent="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spans="1:26" ht="13.8" x14ac:dyDescent="0.25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spans="1:26" ht="13.8" x14ac:dyDescent="0.25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spans="1:26" ht="13.8" x14ac:dyDescent="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spans="1:26" ht="13.8" x14ac:dyDescent="0.25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spans="1:26" ht="13.8" x14ac:dyDescent="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spans="1:26" ht="13.8" x14ac:dyDescent="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1:26" ht="13.8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spans="1:26" ht="13.8" x14ac:dyDescent="0.25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spans="1:26" ht="13.8" x14ac:dyDescent="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spans="1:26" ht="13.8" x14ac:dyDescent="0.25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spans="1:26" ht="13.8" x14ac:dyDescent="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spans="1:26" ht="13.8" x14ac:dyDescent="0.25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spans="1:26" ht="13.8" x14ac:dyDescent="0.25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spans="1:26" ht="13.8" x14ac:dyDescent="0.25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spans="1:26" ht="13.8" x14ac:dyDescent="0.2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spans="1:26" ht="13.8" x14ac:dyDescent="0.25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spans="1:26" ht="13.8" x14ac:dyDescent="0.25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spans="1:26" ht="13.8" x14ac:dyDescent="0.25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spans="1:26" ht="13.8" x14ac:dyDescent="0.25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spans="1:26" ht="13.8" x14ac:dyDescent="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spans="1:26" ht="13.8" x14ac:dyDescent="0.25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ht="13.8" x14ac:dyDescent="0.25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spans="1:26" ht="13.8" x14ac:dyDescent="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spans="1:26" ht="13.8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spans="1:26" ht="13.8" x14ac:dyDescent="0.2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spans="1:26" ht="13.8" x14ac:dyDescent="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spans="1:26" ht="13.8" x14ac:dyDescent="0.25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spans="1:26" ht="13.8" x14ac:dyDescent="0.25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spans="1:26" ht="13.8" x14ac:dyDescent="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spans="1:26" ht="13.8" x14ac:dyDescent="0.25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spans="1:26" ht="13.8" x14ac:dyDescent="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spans="1:26" ht="13.8" x14ac:dyDescent="0.25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spans="1:26" ht="13.8" x14ac:dyDescent="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spans="1:26" ht="13.8" x14ac:dyDescent="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spans="1:26" ht="13.8" x14ac:dyDescent="0.2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spans="1:26" ht="13.8" x14ac:dyDescent="0.25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spans="1:26" ht="13.8" x14ac:dyDescent="0.25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spans="1:26" ht="13.8" x14ac:dyDescent="0.25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spans="1:26" ht="13.8" x14ac:dyDescent="0.25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spans="1:26" ht="13.8" x14ac:dyDescent="0.25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spans="1:26" ht="13.8" x14ac:dyDescent="0.25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spans="1:26" ht="13.8" x14ac:dyDescent="0.25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spans="1:26" ht="13.8" x14ac:dyDescent="0.25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spans="1:26" ht="13.8" x14ac:dyDescent="0.25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spans="1:26" ht="13.8" x14ac:dyDescent="0.2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spans="1:26" ht="13.8" x14ac:dyDescent="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spans="1:26" ht="13.8" x14ac:dyDescent="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spans="1:26" ht="13.8" x14ac:dyDescent="0.25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spans="1:26" ht="13.8" x14ac:dyDescent="0.25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spans="1:26" ht="13.8" x14ac:dyDescent="0.25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spans="1:26" ht="13.8" x14ac:dyDescent="0.25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spans="1:26" ht="13.8" x14ac:dyDescent="0.25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spans="1:26" ht="13.8" x14ac:dyDescent="0.25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spans="1:26" ht="13.8" x14ac:dyDescent="0.25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spans="1:26" ht="13.8" x14ac:dyDescent="0.2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spans="1:26" ht="13.8" x14ac:dyDescent="0.2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spans="1:26" ht="13.8" x14ac:dyDescent="0.2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spans="1:26" ht="13.8" x14ac:dyDescent="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spans="1:26" ht="13.8" x14ac:dyDescent="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spans="1:26" ht="13.8" x14ac:dyDescent="0.2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spans="1:26" ht="13.8" x14ac:dyDescent="0.2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spans="1:26" ht="13.8" x14ac:dyDescent="0.2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spans="1:26" ht="13.8" x14ac:dyDescent="0.2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spans="1:26" ht="13.8" x14ac:dyDescent="0.2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spans="1:26" ht="13.8" x14ac:dyDescent="0.2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spans="1:26" ht="13.8" x14ac:dyDescent="0.2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spans="1:26" ht="13.8" x14ac:dyDescent="0.2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spans="1:26" ht="13.8" x14ac:dyDescent="0.2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spans="1:26" ht="13.8" x14ac:dyDescent="0.2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spans="1:26" ht="13.8" x14ac:dyDescent="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spans="1:26" ht="13.8" x14ac:dyDescent="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spans="1:26" ht="13.8" x14ac:dyDescent="0.2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spans="1:26" ht="13.8" x14ac:dyDescent="0.2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spans="1:26" ht="13.8" x14ac:dyDescent="0.2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spans="1:26" ht="13.8" x14ac:dyDescent="0.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spans="1:26" ht="13.8" x14ac:dyDescent="0.2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spans="1:26" ht="13.8" x14ac:dyDescent="0.2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spans="1:26" ht="13.8" x14ac:dyDescent="0.2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spans="1:26" ht="13.8" x14ac:dyDescent="0.2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spans="1:26" ht="13.8" x14ac:dyDescent="0.2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spans="1:26" ht="13.8" x14ac:dyDescent="0.2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spans="1:26" ht="13.8" x14ac:dyDescent="0.2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spans="1:26" ht="13.8" x14ac:dyDescent="0.2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spans="1:26" ht="13.8" x14ac:dyDescent="0.2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spans="1:26" ht="13.8" x14ac:dyDescent="0.2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spans="1:26" ht="13.8" x14ac:dyDescent="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spans="1:26" ht="13.8" x14ac:dyDescent="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spans="1:26" ht="13.8" x14ac:dyDescent="0.2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spans="1:26" ht="13.8" x14ac:dyDescent="0.2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spans="1:26" ht="13.8" x14ac:dyDescent="0.2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spans="1:26" ht="13.8" x14ac:dyDescent="0.2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spans="1:26" ht="13.8" x14ac:dyDescent="0.2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spans="1:26" ht="13.8" x14ac:dyDescent="0.2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spans="1:26" ht="13.8" x14ac:dyDescent="0.2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spans="1:26" ht="13.8" x14ac:dyDescent="0.2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spans="1:26" ht="13.8" x14ac:dyDescent="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spans="1:26" ht="13.8" x14ac:dyDescent="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spans="1:26" ht="13.8" x14ac:dyDescent="0.2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spans="1:26" ht="13.8" x14ac:dyDescent="0.2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spans="1:26" ht="13.8" x14ac:dyDescent="0.2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spans="1:26" ht="13.8" x14ac:dyDescent="0.2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spans="1:26" ht="13.8" x14ac:dyDescent="0.2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spans="1:26" ht="13.8" x14ac:dyDescent="0.2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spans="1:26" ht="13.8" x14ac:dyDescent="0.2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spans="1:26" ht="13.8" x14ac:dyDescent="0.2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spans="1:26" ht="13.8" x14ac:dyDescent="0.2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spans="1:26" ht="13.8" x14ac:dyDescent="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spans="1:26" ht="13.8" x14ac:dyDescent="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spans="1:26" ht="13.8" x14ac:dyDescent="0.2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spans="1:26" ht="13.8" x14ac:dyDescent="0.2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spans="1:26" ht="13.8" x14ac:dyDescent="0.2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spans="1:26" ht="13.8" x14ac:dyDescent="0.2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spans="1:26" ht="13.8" x14ac:dyDescent="0.2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spans="1:26" ht="13.8" x14ac:dyDescent="0.2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spans="1:26" ht="13.8" x14ac:dyDescent="0.2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spans="1:26" ht="13.8" x14ac:dyDescent="0.25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spans="1:26" ht="13.8" x14ac:dyDescent="0.25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spans="1:26" ht="13.8" x14ac:dyDescent="0.2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spans="1:26" ht="13.8" x14ac:dyDescent="0.2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spans="1:26" ht="13.8" x14ac:dyDescent="0.25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spans="1:26" ht="13.8" x14ac:dyDescent="0.25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spans="1:26" ht="13.8" x14ac:dyDescent="0.25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spans="1:26" ht="13.8" x14ac:dyDescent="0.25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spans="1:26" ht="13.8" x14ac:dyDescent="0.25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spans="1:26" ht="13.8" x14ac:dyDescent="0.2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spans="1:26" ht="13.8" x14ac:dyDescent="0.25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spans="1:26" ht="13.8" x14ac:dyDescent="0.2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spans="1:26" ht="13.8" x14ac:dyDescent="0.2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spans="1:26" ht="13.8" x14ac:dyDescent="0.25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spans="1:26" ht="13.8" x14ac:dyDescent="0.25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spans="1:26" ht="13.8" x14ac:dyDescent="0.25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spans="1:26" ht="13.8" x14ac:dyDescent="0.25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spans="1:26" ht="13.8" x14ac:dyDescent="0.25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spans="1:26" ht="13.8" x14ac:dyDescent="0.25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spans="1:26" ht="13.8" x14ac:dyDescent="0.2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spans="1:26" ht="13.8" x14ac:dyDescent="0.2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spans="1:26" ht="13.8" x14ac:dyDescent="0.2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spans="1:26" ht="13.8" x14ac:dyDescent="0.25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spans="1:26" ht="13.8" x14ac:dyDescent="0.25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spans="1:26" ht="13.8" x14ac:dyDescent="0.25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spans="1:26" ht="13.8" x14ac:dyDescent="0.25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spans="1:26" ht="13.8" x14ac:dyDescent="0.25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spans="1:26" ht="13.8" x14ac:dyDescent="0.25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spans="1:26" ht="13.8" x14ac:dyDescent="0.25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spans="1:26" ht="13.8" x14ac:dyDescent="0.2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ht="13.8" x14ac:dyDescent="0.2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spans="1:26" ht="13.8" x14ac:dyDescent="0.25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spans="1:26" ht="13.8" x14ac:dyDescent="0.25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spans="1:26" ht="13.8" x14ac:dyDescent="0.25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spans="1:26" ht="13.8" x14ac:dyDescent="0.25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spans="1:26" ht="13.8" x14ac:dyDescent="0.25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spans="1:26" ht="13.8" x14ac:dyDescent="0.25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spans="1:26" ht="13.8" x14ac:dyDescent="0.25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spans="1:26" ht="13.8" x14ac:dyDescent="0.2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spans="1:26" ht="13.8" x14ac:dyDescent="0.2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spans="1:26" ht="13.8" x14ac:dyDescent="0.25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spans="1:26" ht="13.8" x14ac:dyDescent="0.25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spans="1:26" ht="13.8" x14ac:dyDescent="0.25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spans="1:26" ht="13.8" x14ac:dyDescent="0.25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spans="1:26" ht="13.8" x14ac:dyDescent="0.25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spans="1:26" ht="13.8" x14ac:dyDescent="0.25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spans="1:26" ht="13.8" x14ac:dyDescent="0.25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spans="1:26" ht="13.8" x14ac:dyDescent="0.25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spans="1:26" ht="13.8" x14ac:dyDescent="0.25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spans="1:26" ht="13.8" x14ac:dyDescent="0.2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spans="1:26" ht="13.8" x14ac:dyDescent="0.25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spans="1:26" ht="13.8" x14ac:dyDescent="0.25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spans="1:26" ht="13.8" x14ac:dyDescent="0.2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spans="1:26" ht="13.8" x14ac:dyDescent="0.2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spans="1:26" ht="13.8" x14ac:dyDescent="0.25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spans="1:26" ht="13.8" x14ac:dyDescent="0.25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spans="1:26" ht="13.8" x14ac:dyDescent="0.25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spans="1:26" ht="13.8" x14ac:dyDescent="0.2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spans="1:26" ht="13.8" x14ac:dyDescent="0.25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spans="1:26" ht="13.8" x14ac:dyDescent="0.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spans="1:26" ht="13.8" x14ac:dyDescent="0.25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spans="1:26" ht="13.8" x14ac:dyDescent="0.25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spans="1:26" ht="13.8" x14ac:dyDescent="0.25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spans="1:26" ht="13.8" x14ac:dyDescent="0.2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spans="1:26" ht="13.8" x14ac:dyDescent="0.2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spans="1:26" ht="13.8" x14ac:dyDescent="0.25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spans="1:26" ht="13.8" x14ac:dyDescent="0.25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spans="1:26" ht="13.8" x14ac:dyDescent="0.25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spans="1:26" ht="13.8" x14ac:dyDescent="0.25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spans="1:26" ht="13.8" x14ac:dyDescent="0.2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spans="1:26" ht="13.8" x14ac:dyDescent="0.25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spans="1:26" ht="13.8" x14ac:dyDescent="0.25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spans="1:26" ht="13.8" x14ac:dyDescent="0.25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spans="1:26" ht="13.8" x14ac:dyDescent="0.25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spans="1:26" ht="13.8" x14ac:dyDescent="0.2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spans="1:26" ht="13.8" x14ac:dyDescent="0.2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spans="1:26" ht="13.8" x14ac:dyDescent="0.25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spans="1:26" ht="13.8" x14ac:dyDescent="0.25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spans="1:26" ht="13.8" x14ac:dyDescent="0.25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spans="1:26" ht="13.8" x14ac:dyDescent="0.2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spans="1:26" ht="13.8" x14ac:dyDescent="0.25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spans="1:26" ht="13.8" x14ac:dyDescent="0.25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spans="1:26" ht="13.8" x14ac:dyDescent="0.25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spans="1:26" ht="13.8" x14ac:dyDescent="0.25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spans="1:26" ht="13.8" x14ac:dyDescent="0.25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spans="1:26" ht="13.8" x14ac:dyDescent="0.25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spans="1:26" ht="13.8" x14ac:dyDescent="0.25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spans="1:26" ht="13.8" x14ac:dyDescent="0.25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spans="1:26" ht="13.8" x14ac:dyDescent="0.25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spans="1:26" ht="13.8" x14ac:dyDescent="0.2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spans="1:26" ht="13.8" x14ac:dyDescent="0.25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spans="1:26" ht="13.8" x14ac:dyDescent="0.25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spans="1:26" ht="13.8" x14ac:dyDescent="0.25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spans="1:26" ht="13.8" x14ac:dyDescent="0.25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spans="1:26" ht="13.8" x14ac:dyDescent="0.25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spans="1:26" ht="13.8" x14ac:dyDescent="0.25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spans="1:26" ht="13.8" x14ac:dyDescent="0.25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spans="1:26" ht="13.8" x14ac:dyDescent="0.25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spans="1:26" ht="13.8" x14ac:dyDescent="0.25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spans="1:26" ht="13.8" x14ac:dyDescent="0.2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spans="1:26" ht="13.8" x14ac:dyDescent="0.25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spans="1:26" ht="13.8" x14ac:dyDescent="0.25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spans="1:26" ht="13.8" x14ac:dyDescent="0.25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spans="1:26" ht="13.8" x14ac:dyDescent="0.25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spans="1:26" ht="13.8" x14ac:dyDescent="0.25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spans="1:26" ht="13.8" x14ac:dyDescent="0.25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spans="1:26" ht="13.8" x14ac:dyDescent="0.25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spans="1:26" ht="13.8" x14ac:dyDescent="0.25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spans="1:26" ht="13.8" x14ac:dyDescent="0.25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spans="1:26" ht="13.8" x14ac:dyDescent="0.2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spans="1:26" ht="13.8" x14ac:dyDescent="0.25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spans="1:26" ht="13.8" x14ac:dyDescent="0.25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spans="1:26" ht="13.8" x14ac:dyDescent="0.25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spans="1:26" ht="13.8" x14ac:dyDescent="0.25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spans="1:26" ht="13.8" x14ac:dyDescent="0.25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spans="1:26" ht="13.8" x14ac:dyDescent="0.25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spans="1:26" ht="13.8" x14ac:dyDescent="0.25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spans="1:26" ht="13.8" x14ac:dyDescent="0.25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spans="1:26" ht="13.8" x14ac:dyDescent="0.25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spans="1:26" ht="13.8" x14ac:dyDescent="0.2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spans="1:26" ht="13.8" x14ac:dyDescent="0.25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spans="1:26" ht="13.8" x14ac:dyDescent="0.25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spans="1:26" ht="13.8" x14ac:dyDescent="0.25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spans="1:26" ht="13.8" x14ac:dyDescent="0.25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spans="1:26" ht="13.8" x14ac:dyDescent="0.25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spans="1:26" ht="13.8" x14ac:dyDescent="0.25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spans="1:26" ht="13.8" x14ac:dyDescent="0.25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spans="1:26" ht="13.8" x14ac:dyDescent="0.25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spans="1:26" ht="13.8" x14ac:dyDescent="0.25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spans="1:26" ht="13.8" x14ac:dyDescent="0.2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spans="1:26" ht="13.8" x14ac:dyDescent="0.25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spans="1:26" ht="13.8" x14ac:dyDescent="0.25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spans="1:26" ht="13.8" x14ac:dyDescent="0.25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spans="1:26" ht="13.8" x14ac:dyDescent="0.25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spans="1:26" ht="13.8" x14ac:dyDescent="0.25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spans="1:26" ht="13.8" x14ac:dyDescent="0.25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spans="1:26" ht="13.8" x14ac:dyDescent="0.25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spans="1:26" ht="13.8" x14ac:dyDescent="0.25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spans="1:26" ht="13.8" x14ac:dyDescent="0.25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spans="1:26" ht="13.8" x14ac:dyDescent="0.2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spans="1:26" ht="13.8" x14ac:dyDescent="0.25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spans="1:26" ht="13.8" x14ac:dyDescent="0.25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spans="1:26" ht="13.8" x14ac:dyDescent="0.25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spans="1:26" ht="13.8" x14ac:dyDescent="0.25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spans="1:26" ht="13.8" x14ac:dyDescent="0.25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spans="1:26" ht="13.8" x14ac:dyDescent="0.25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spans="1:26" ht="13.8" x14ac:dyDescent="0.25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spans="1:26" ht="13.8" x14ac:dyDescent="0.25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spans="1:26" ht="13.8" x14ac:dyDescent="0.25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spans="1:26" ht="13.8" x14ac:dyDescent="0.2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spans="1:26" ht="13.8" x14ac:dyDescent="0.25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spans="1:26" ht="13.8" x14ac:dyDescent="0.25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spans="1:26" ht="13.8" x14ac:dyDescent="0.25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spans="1:26" ht="13.8" x14ac:dyDescent="0.25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spans="1:26" ht="13.8" x14ac:dyDescent="0.25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spans="1:26" ht="13.8" x14ac:dyDescent="0.25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spans="1:26" ht="13.8" x14ac:dyDescent="0.25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spans="1:26" ht="13.8" x14ac:dyDescent="0.25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spans="1:26" ht="13.8" x14ac:dyDescent="0.25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spans="1:26" ht="13.8" x14ac:dyDescent="0.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spans="1:26" ht="13.8" x14ac:dyDescent="0.25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spans="1:26" ht="13.8" x14ac:dyDescent="0.25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spans="1:26" ht="13.8" x14ac:dyDescent="0.25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spans="1:26" ht="13.8" x14ac:dyDescent="0.25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spans="1:26" ht="13.8" x14ac:dyDescent="0.25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spans="1:26" ht="13.8" x14ac:dyDescent="0.25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spans="1:26" ht="13.8" x14ac:dyDescent="0.25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spans="1:26" ht="13.8" x14ac:dyDescent="0.25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spans="1:26" ht="13.8" x14ac:dyDescent="0.25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spans="1:26" ht="13.8" x14ac:dyDescent="0.2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spans="1:26" ht="13.8" x14ac:dyDescent="0.25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spans="1:26" ht="13.8" x14ac:dyDescent="0.25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spans="1:26" ht="13.8" x14ac:dyDescent="0.25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spans="1:26" ht="13.8" x14ac:dyDescent="0.25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spans="1:26" ht="13.8" x14ac:dyDescent="0.25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spans="1:26" ht="13.8" x14ac:dyDescent="0.25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spans="1:26" ht="13.8" x14ac:dyDescent="0.25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spans="1:26" ht="13.8" x14ac:dyDescent="0.25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spans="1:26" ht="13.8" x14ac:dyDescent="0.25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spans="1:26" ht="13.8" x14ac:dyDescent="0.2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spans="1:26" ht="13.8" x14ac:dyDescent="0.25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spans="1:26" ht="13.8" x14ac:dyDescent="0.25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spans="1:26" ht="13.8" x14ac:dyDescent="0.25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spans="1:26" ht="13.8" x14ac:dyDescent="0.25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spans="1:26" ht="13.8" x14ac:dyDescent="0.25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spans="1:26" ht="13.8" x14ac:dyDescent="0.25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spans="1:26" ht="13.8" x14ac:dyDescent="0.25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spans="1:26" ht="13.8" x14ac:dyDescent="0.25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spans="1:26" ht="13.8" x14ac:dyDescent="0.25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spans="1:26" ht="13.8" x14ac:dyDescent="0.2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spans="1:26" ht="13.8" x14ac:dyDescent="0.25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spans="1:26" ht="13.8" x14ac:dyDescent="0.25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spans="1:26" ht="13.8" x14ac:dyDescent="0.25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spans="1:26" ht="13.8" x14ac:dyDescent="0.25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spans="1:26" ht="13.8" x14ac:dyDescent="0.25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spans="1:26" ht="13.8" x14ac:dyDescent="0.25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spans="1:26" ht="13.8" x14ac:dyDescent="0.25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spans="1:26" ht="13.8" x14ac:dyDescent="0.25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spans="1:26" ht="13.8" x14ac:dyDescent="0.25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spans="1:26" ht="13.8" x14ac:dyDescent="0.2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spans="1:26" ht="13.8" x14ac:dyDescent="0.25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spans="1:26" ht="13.8" x14ac:dyDescent="0.25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spans="1:26" ht="13.8" x14ac:dyDescent="0.25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spans="1:26" ht="13.8" x14ac:dyDescent="0.25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spans="1:26" ht="13.8" x14ac:dyDescent="0.25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spans="1:26" ht="13.8" x14ac:dyDescent="0.25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spans="1:26" ht="13.8" x14ac:dyDescent="0.25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spans="1:26" ht="13.8" x14ac:dyDescent="0.25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spans="1:26" ht="13.8" x14ac:dyDescent="0.25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spans="1:26" ht="13.8" x14ac:dyDescent="0.2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spans="1:26" ht="13.8" x14ac:dyDescent="0.25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spans="1:26" ht="13.8" x14ac:dyDescent="0.25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spans="1:26" ht="13.8" x14ac:dyDescent="0.25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spans="1:26" ht="13.8" x14ac:dyDescent="0.25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spans="1:26" ht="13.8" x14ac:dyDescent="0.25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spans="1:26" ht="13.8" x14ac:dyDescent="0.25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spans="1:26" ht="13.8" x14ac:dyDescent="0.25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spans="1:26" ht="13.8" x14ac:dyDescent="0.25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spans="1:26" ht="13.8" x14ac:dyDescent="0.25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spans="1:26" ht="13.8" x14ac:dyDescent="0.2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spans="1:26" ht="13.8" x14ac:dyDescent="0.25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spans="1:26" ht="13.8" x14ac:dyDescent="0.25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spans="1:26" ht="13.8" x14ac:dyDescent="0.25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spans="1:26" ht="13.8" x14ac:dyDescent="0.25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spans="1:26" ht="13.8" x14ac:dyDescent="0.25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spans="1:26" ht="13.8" x14ac:dyDescent="0.25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spans="1:26" ht="13.8" x14ac:dyDescent="0.25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spans="1:26" ht="13.8" x14ac:dyDescent="0.25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spans="1:26" ht="13.8" x14ac:dyDescent="0.25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spans="1:26" ht="13.8" x14ac:dyDescent="0.2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spans="1:26" ht="13.8" x14ac:dyDescent="0.25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spans="1:26" ht="13.8" x14ac:dyDescent="0.25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spans="1:26" ht="13.8" x14ac:dyDescent="0.25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spans="1:26" ht="13.8" x14ac:dyDescent="0.25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spans="1:26" ht="13.8" x14ac:dyDescent="0.25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spans="1:26" ht="13.8" x14ac:dyDescent="0.25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spans="1:26" ht="13.8" x14ac:dyDescent="0.25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spans="1:26" ht="13.8" x14ac:dyDescent="0.25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spans="1:26" ht="13.8" x14ac:dyDescent="0.25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spans="1:26" ht="13.8" x14ac:dyDescent="0.2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spans="1:26" ht="13.8" x14ac:dyDescent="0.25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spans="1:26" ht="13.8" x14ac:dyDescent="0.25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spans="1:26" ht="13.8" x14ac:dyDescent="0.25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spans="1:26" ht="13.8" x14ac:dyDescent="0.25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spans="1:26" ht="13.8" x14ac:dyDescent="0.25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spans="1:26" ht="13.8" x14ac:dyDescent="0.25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spans="1:26" ht="13.8" x14ac:dyDescent="0.25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spans="1:26" ht="13.8" x14ac:dyDescent="0.25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spans="1:26" ht="13.8" x14ac:dyDescent="0.25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spans="1:26" ht="13.8" x14ac:dyDescent="0.2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spans="1:26" ht="13.8" x14ac:dyDescent="0.25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spans="1:26" ht="13.8" x14ac:dyDescent="0.25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spans="1:26" ht="13.8" x14ac:dyDescent="0.25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spans="1:26" ht="13.8" x14ac:dyDescent="0.25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spans="1:26" ht="13.8" x14ac:dyDescent="0.25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spans="1:26" ht="13.8" x14ac:dyDescent="0.25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spans="1:26" ht="13.8" x14ac:dyDescent="0.25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spans="1:26" ht="13.8" x14ac:dyDescent="0.25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spans="1:26" ht="13.8" x14ac:dyDescent="0.25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spans="1:26" ht="13.8" x14ac:dyDescent="0.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spans="1:26" ht="13.8" x14ac:dyDescent="0.25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spans="1:26" ht="13.8" x14ac:dyDescent="0.25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spans="1:26" ht="13.8" x14ac:dyDescent="0.25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spans="1:26" ht="13.8" x14ac:dyDescent="0.25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spans="1:26" ht="13.8" x14ac:dyDescent="0.25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spans="1:26" ht="13.8" x14ac:dyDescent="0.25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spans="1:26" ht="13.8" x14ac:dyDescent="0.25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spans="1:26" ht="13.8" x14ac:dyDescent="0.25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spans="1:26" ht="13.8" x14ac:dyDescent="0.25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spans="1:26" ht="13.8" x14ac:dyDescent="0.2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spans="1:26" ht="13.8" x14ac:dyDescent="0.25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spans="1:26" ht="13.8" x14ac:dyDescent="0.25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spans="1:26" ht="13.8" x14ac:dyDescent="0.25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spans="1:26" ht="13.8" x14ac:dyDescent="0.25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spans="1:26" ht="13.8" x14ac:dyDescent="0.25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spans="1:26" ht="13.8" x14ac:dyDescent="0.25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spans="1:26" ht="13.8" x14ac:dyDescent="0.25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spans="1:26" ht="13.8" x14ac:dyDescent="0.25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spans="1:26" ht="13.8" x14ac:dyDescent="0.25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spans="1:26" ht="13.8" x14ac:dyDescent="0.2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spans="1:26" ht="13.8" x14ac:dyDescent="0.25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spans="1:26" ht="13.8" x14ac:dyDescent="0.25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spans="1:26" ht="13.8" x14ac:dyDescent="0.25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spans="1:26" ht="13.8" x14ac:dyDescent="0.25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spans="1:26" ht="13.8" x14ac:dyDescent="0.25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spans="1:26" ht="13.8" x14ac:dyDescent="0.25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spans="1:26" ht="13.8" x14ac:dyDescent="0.25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spans="1:26" ht="13.8" x14ac:dyDescent="0.25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spans="1:26" ht="13.8" x14ac:dyDescent="0.25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spans="1:26" ht="13.8" x14ac:dyDescent="0.2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spans="1:26" ht="13.8" x14ac:dyDescent="0.25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spans="1:26" ht="13.8" x14ac:dyDescent="0.25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spans="1:26" ht="13.8" x14ac:dyDescent="0.25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spans="1:26" ht="13.8" x14ac:dyDescent="0.25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spans="1:26" ht="13.8" x14ac:dyDescent="0.25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spans="1:26" ht="13.8" x14ac:dyDescent="0.25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spans="1:26" ht="13.8" x14ac:dyDescent="0.25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spans="1:26" ht="13.8" x14ac:dyDescent="0.25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spans="1:26" ht="13.8" x14ac:dyDescent="0.25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spans="1:26" ht="13.8" x14ac:dyDescent="0.2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spans="1:26" ht="13.8" x14ac:dyDescent="0.25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spans="1:26" ht="13.8" x14ac:dyDescent="0.25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spans="1:26" ht="13.8" x14ac:dyDescent="0.25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spans="1:26" ht="13.8" x14ac:dyDescent="0.25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spans="1:26" ht="13.8" x14ac:dyDescent="0.25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spans="1:26" ht="13.8" x14ac:dyDescent="0.25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spans="1:26" ht="13.8" x14ac:dyDescent="0.25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spans="1:26" ht="13.8" x14ac:dyDescent="0.25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spans="1:26" ht="13.8" x14ac:dyDescent="0.25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spans="1:26" ht="13.8" x14ac:dyDescent="0.2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spans="1:26" ht="13.8" x14ac:dyDescent="0.25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spans="1:26" ht="13.8" x14ac:dyDescent="0.25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spans="1:26" ht="13.8" x14ac:dyDescent="0.25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spans="1:26" ht="13.8" x14ac:dyDescent="0.25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spans="1:26" ht="13.8" x14ac:dyDescent="0.25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spans="1:26" ht="13.8" x14ac:dyDescent="0.25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spans="1:26" ht="13.8" x14ac:dyDescent="0.25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spans="1:26" ht="13.8" x14ac:dyDescent="0.25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spans="1:26" ht="13.8" x14ac:dyDescent="0.25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spans="1:26" ht="13.8" x14ac:dyDescent="0.2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spans="1:26" ht="13.8" x14ac:dyDescent="0.25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spans="1:26" ht="13.8" x14ac:dyDescent="0.25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spans="1:26" ht="13.8" x14ac:dyDescent="0.25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spans="1:26" ht="13.8" x14ac:dyDescent="0.25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spans="1:26" ht="13.8" x14ac:dyDescent="0.25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spans="1:26" ht="13.8" x14ac:dyDescent="0.25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spans="1:26" ht="13.8" x14ac:dyDescent="0.25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spans="1:26" ht="13.8" x14ac:dyDescent="0.25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spans="1:26" ht="13.8" x14ac:dyDescent="0.25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spans="1:26" ht="13.8" x14ac:dyDescent="0.2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spans="1:26" ht="13.8" x14ac:dyDescent="0.25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spans="1:26" ht="13.8" x14ac:dyDescent="0.25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spans="1:26" ht="13.8" x14ac:dyDescent="0.25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spans="1:26" ht="13.8" x14ac:dyDescent="0.25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spans="1:26" ht="13.8" x14ac:dyDescent="0.25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spans="1:26" ht="13.8" x14ac:dyDescent="0.25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spans="1:26" ht="13.8" x14ac:dyDescent="0.25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spans="1:26" ht="13.8" x14ac:dyDescent="0.25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spans="1:26" ht="13.8" x14ac:dyDescent="0.25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spans="1:26" ht="13.8" x14ac:dyDescent="0.2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spans="1:26" ht="13.8" x14ac:dyDescent="0.25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spans="1:26" ht="13.8" x14ac:dyDescent="0.25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spans="1:26" ht="13.8" x14ac:dyDescent="0.25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spans="1:26" ht="13.8" x14ac:dyDescent="0.25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spans="1:26" ht="13.8" x14ac:dyDescent="0.25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spans="1:26" ht="13.8" x14ac:dyDescent="0.25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spans="1:26" ht="13.8" x14ac:dyDescent="0.25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spans="1:26" ht="13.8" x14ac:dyDescent="0.25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spans="1:26" ht="13.8" x14ac:dyDescent="0.25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spans="1:26" ht="13.8" x14ac:dyDescent="0.2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spans="1:26" ht="13.8" x14ac:dyDescent="0.25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spans="1:26" ht="13.8" x14ac:dyDescent="0.25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spans="1:26" ht="13.8" x14ac:dyDescent="0.25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spans="1:26" ht="13.8" x14ac:dyDescent="0.25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spans="1:26" ht="13.8" x14ac:dyDescent="0.25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spans="1:26" ht="13.8" x14ac:dyDescent="0.25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spans="1:26" ht="13.8" x14ac:dyDescent="0.25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spans="1:26" ht="13.8" x14ac:dyDescent="0.25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spans="1:26" ht="13.8" x14ac:dyDescent="0.25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spans="1:26" ht="13.8" x14ac:dyDescent="0.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spans="1:26" ht="13.8" x14ac:dyDescent="0.25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spans="1:26" ht="13.8" x14ac:dyDescent="0.25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spans="1:26" ht="13.8" x14ac:dyDescent="0.25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spans="1:26" ht="13.8" x14ac:dyDescent="0.25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spans="1:26" ht="13.8" x14ac:dyDescent="0.25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spans="1:26" ht="13.8" x14ac:dyDescent="0.25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spans="1:26" ht="13.8" x14ac:dyDescent="0.25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spans="1:26" ht="13.8" x14ac:dyDescent="0.25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spans="1:26" ht="13.8" x14ac:dyDescent="0.25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spans="1:26" ht="13.8" x14ac:dyDescent="0.2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spans="1:26" ht="13.8" x14ac:dyDescent="0.25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spans="1:26" ht="13.8" x14ac:dyDescent="0.25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spans="1:26" ht="13.8" x14ac:dyDescent="0.25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spans="1:26" ht="13.8" x14ac:dyDescent="0.25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spans="1:26" ht="13.8" x14ac:dyDescent="0.25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spans="1:26" ht="13.8" x14ac:dyDescent="0.25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spans="1:26" ht="13.8" x14ac:dyDescent="0.25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spans="1:26" ht="13.8" x14ac:dyDescent="0.25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spans="1:26" ht="13.8" x14ac:dyDescent="0.25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spans="1:26" ht="13.8" x14ac:dyDescent="0.2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spans="1:26" ht="13.8" x14ac:dyDescent="0.25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spans="1:26" ht="13.8" x14ac:dyDescent="0.25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spans="1:26" ht="13.8" x14ac:dyDescent="0.25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spans="1:26" ht="13.8" x14ac:dyDescent="0.25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spans="1:26" ht="13.8" x14ac:dyDescent="0.25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spans="1:26" ht="13.8" x14ac:dyDescent="0.25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spans="1:26" ht="13.8" x14ac:dyDescent="0.25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spans="1:26" ht="13.8" x14ac:dyDescent="0.25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spans="1:26" ht="13.8" x14ac:dyDescent="0.25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spans="1:26" ht="13.8" x14ac:dyDescent="0.2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spans="1:26" ht="13.8" x14ac:dyDescent="0.25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spans="1:26" ht="13.8" x14ac:dyDescent="0.25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spans="1:26" ht="13.8" x14ac:dyDescent="0.25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spans="1:26" ht="13.8" x14ac:dyDescent="0.25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spans="1:26" ht="13.8" x14ac:dyDescent="0.25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spans="1:26" ht="13.8" x14ac:dyDescent="0.25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spans="1:26" ht="13.8" x14ac:dyDescent="0.25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spans="1:26" ht="13.8" x14ac:dyDescent="0.25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spans="1:26" ht="13.8" x14ac:dyDescent="0.25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spans="1:26" ht="13.8" x14ac:dyDescent="0.2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spans="1:26" ht="13.8" x14ac:dyDescent="0.25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spans="1:26" ht="13.8" x14ac:dyDescent="0.25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spans="1:26" ht="13.8" x14ac:dyDescent="0.25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spans="1:26" ht="13.8" x14ac:dyDescent="0.25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spans="1:26" ht="13.8" x14ac:dyDescent="0.25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spans="1:26" ht="13.8" x14ac:dyDescent="0.25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spans="1:26" ht="13.8" x14ac:dyDescent="0.25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spans="1:26" ht="13.8" x14ac:dyDescent="0.25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spans="1:26" ht="13.8" x14ac:dyDescent="0.25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spans="1:26" ht="13.8" x14ac:dyDescent="0.2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spans="1:26" ht="13.8" x14ac:dyDescent="0.25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spans="1:26" ht="13.8" x14ac:dyDescent="0.25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spans="1:26" ht="13.8" x14ac:dyDescent="0.25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spans="1:26" ht="13.8" x14ac:dyDescent="0.25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spans="1:26" ht="13.8" x14ac:dyDescent="0.25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spans="1:26" ht="13.8" x14ac:dyDescent="0.25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spans="1:26" ht="13.8" x14ac:dyDescent="0.25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spans="1:26" ht="13.8" x14ac:dyDescent="0.25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spans="1:26" ht="13.8" x14ac:dyDescent="0.25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spans="1:26" ht="13.8" x14ac:dyDescent="0.2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spans="1:26" ht="13.8" x14ac:dyDescent="0.25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spans="1:26" ht="13.8" x14ac:dyDescent="0.25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spans="1:26" ht="13.8" x14ac:dyDescent="0.25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spans="1:26" ht="13.8" x14ac:dyDescent="0.25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spans="1:26" ht="13.8" x14ac:dyDescent="0.25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spans="1:26" ht="13.8" x14ac:dyDescent="0.25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spans="1:26" ht="13.8" x14ac:dyDescent="0.25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spans="1:26" ht="13.8" x14ac:dyDescent="0.25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spans="1:26" ht="13.8" x14ac:dyDescent="0.25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spans="1:26" ht="13.8" x14ac:dyDescent="0.2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spans="1:26" ht="13.8" x14ac:dyDescent="0.25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spans="1:26" ht="13.8" x14ac:dyDescent="0.25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spans="1:26" ht="13.8" x14ac:dyDescent="0.25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spans="1:26" ht="13.8" x14ac:dyDescent="0.25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spans="1:26" ht="13.8" x14ac:dyDescent="0.25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spans="1:26" ht="13.8" x14ac:dyDescent="0.25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spans="1:26" ht="13.8" x14ac:dyDescent="0.25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spans="1:26" ht="13.8" x14ac:dyDescent="0.25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spans="1:26" ht="13.8" x14ac:dyDescent="0.25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spans="1:26" ht="13.8" x14ac:dyDescent="0.2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spans="1:26" ht="13.8" x14ac:dyDescent="0.25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spans="1:26" ht="13.8" x14ac:dyDescent="0.25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spans="1:26" ht="13.8" x14ac:dyDescent="0.25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spans="1:26" ht="13.8" x14ac:dyDescent="0.25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spans="1:26" ht="13.8" x14ac:dyDescent="0.25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spans="1:26" ht="13.8" x14ac:dyDescent="0.25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spans="1:26" ht="13.8" x14ac:dyDescent="0.25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spans="1:26" ht="13.8" x14ac:dyDescent="0.25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spans="1:26" ht="13.8" x14ac:dyDescent="0.25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spans="1:26" ht="13.8" x14ac:dyDescent="0.2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spans="1:26" ht="13.8" x14ac:dyDescent="0.25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spans="1:26" ht="13.8" x14ac:dyDescent="0.25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spans="1:26" ht="13.8" x14ac:dyDescent="0.25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spans="1:26" ht="13.8" x14ac:dyDescent="0.25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spans="1:26" ht="13.8" x14ac:dyDescent="0.25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spans="1:26" ht="13.8" x14ac:dyDescent="0.25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spans="1:26" ht="13.8" x14ac:dyDescent="0.25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spans="1:26" ht="13.8" x14ac:dyDescent="0.25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spans="1:26" ht="13.8" x14ac:dyDescent="0.25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spans="1:26" ht="13.8" x14ac:dyDescent="0.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spans="1:26" ht="13.8" x14ac:dyDescent="0.25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spans="1:26" ht="13.8" x14ac:dyDescent="0.25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spans="1:26" ht="13.8" x14ac:dyDescent="0.25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spans="1:26" ht="13.8" x14ac:dyDescent="0.25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spans="1:26" ht="13.8" x14ac:dyDescent="0.25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spans="1:26" ht="13.8" x14ac:dyDescent="0.25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spans="1:26" ht="13.8" x14ac:dyDescent="0.25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spans="1:26" ht="13.8" x14ac:dyDescent="0.25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spans="1:26" ht="13.8" x14ac:dyDescent="0.25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spans="1:26" ht="13.8" x14ac:dyDescent="0.2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spans="1:26" ht="13.8" x14ac:dyDescent="0.25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spans="1:26" ht="13.8" x14ac:dyDescent="0.25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spans="1:26" ht="13.8" x14ac:dyDescent="0.25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spans="1:26" ht="13.8" x14ac:dyDescent="0.25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spans="1:26" ht="13.8" x14ac:dyDescent="0.25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spans="1:26" ht="13.8" x14ac:dyDescent="0.25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spans="1:26" ht="13.8" x14ac:dyDescent="0.25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spans="1:26" ht="13.8" x14ac:dyDescent="0.25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spans="1:26" ht="13.8" x14ac:dyDescent="0.25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spans="1:26" ht="13.8" x14ac:dyDescent="0.2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spans="1:26" ht="13.8" x14ac:dyDescent="0.25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spans="1:26" ht="13.8" x14ac:dyDescent="0.25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spans="1:26" ht="13.8" x14ac:dyDescent="0.25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spans="1:26" ht="13.8" x14ac:dyDescent="0.25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spans="1:26" ht="13.8" x14ac:dyDescent="0.25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spans="1:26" ht="13.8" x14ac:dyDescent="0.25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spans="1:26" ht="13.8" x14ac:dyDescent="0.25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spans="1:26" ht="13.8" x14ac:dyDescent="0.25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spans="1:26" ht="13.8" x14ac:dyDescent="0.25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spans="1:26" ht="13.8" x14ac:dyDescent="0.2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spans="1:26" ht="13.8" x14ac:dyDescent="0.25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spans="1:26" ht="13.8" x14ac:dyDescent="0.25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spans="1:26" ht="13.8" x14ac:dyDescent="0.25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spans="1:26" ht="13.8" x14ac:dyDescent="0.25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spans="1:26" ht="13.8" x14ac:dyDescent="0.25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spans="1:26" ht="13.8" x14ac:dyDescent="0.25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spans="1:26" ht="13.8" x14ac:dyDescent="0.25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spans="1:26" ht="13.8" x14ac:dyDescent="0.25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spans="1:26" ht="13.8" x14ac:dyDescent="0.25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spans="1:26" ht="13.8" x14ac:dyDescent="0.2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spans="1:26" ht="13.8" x14ac:dyDescent="0.25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spans="1:26" ht="13.8" x14ac:dyDescent="0.25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spans="1:26" ht="13.8" x14ac:dyDescent="0.25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spans="1:26" ht="13.8" x14ac:dyDescent="0.25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spans="1:26" ht="13.8" x14ac:dyDescent="0.25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spans="1:26" ht="13.8" x14ac:dyDescent="0.25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spans="1:26" ht="13.8" x14ac:dyDescent="0.25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spans="1:26" ht="13.8" x14ac:dyDescent="0.25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spans="1:26" ht="13.8" x14ac:dyDescent="0.25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spans="1:26" ht="13.8" x14ac:dyDescent="0.2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spans="1:26" ht="13.8" x14ac:dyDescent="0.25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spans="1:26" ht="13.8" x14ac:dyDescent="0.25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spans="1:26" ht="13.8" x14ac:dyDescent="0.25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spans="1:26" ht="13.8" x14ac:dyDescent="0.25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spans="1:26" ht="13.8" x14ac:dyDescent="0.25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spans="1:26" ht="13.8" x14ac:dyDescent="0.25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spans="1:26" ht="13.8" x14ac:dyDescent="0.25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spans="1:26" ht="13.8" x14ac:dyDescent="0.25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spans="1:26" ht="13.8" x14ac:dyDescent="0.25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spans="1:26" ht="13.8" x14ac:dyDescent="0.2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spans="1:26" ht="13.8" x14ac:dyDescent="0.25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spans="1:26" ht="13.8" x14ac:dyDescent="0.25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spans="1:26" ht="13.8" x14ac:dyDescent="0.25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spans="1:26" ht="13.8" x14ac:dyDescent="0.25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spans="1:26" ht="13.8" x14ac:dyDescent="0.25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spans="1:26" ht="13.8" x14ac:dyDescent="0.25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spans="1:26" ht="13.8" x14ac:dyDescent="0.25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spans="1:26" ht="13.8" x14ac:dyDescent="0.25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spans="1:26" ht="13.8" x14ac:dyDescent="0.25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spans="1:26" ht="13.8" x14ac:dyDescent="0.2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spans="1:26" ht="13.8" x14ac:dyDescent="0.25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spans="1:26" ht="13.8" x14ac:dyDescent="0.25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spans="1:26" ht="13.8" x14ac:dyDescent="0.25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spans="1:26" ht="13.8" x14ac:dyDescent="0.25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spans="1:26" ht="13.8" x14ac:dyDescent="0.25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spans="1:26" ht="13.8" x14ac:dyDescent="0.25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spans="1:26" ht="13.8" x14ac:dyDescent="0.25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spans="1:26" ht="13.8" x14ac:dyDescent="0.25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spans="1:26" ht="13.8" x14ac:dyDescent="0.25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spans="1:26" ht="13.8" x14ac:dyDescent="0.2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spans="1:26" ht="13.8" x14ac:dyDescent="0.25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spans="1:26" ht="13.8" x14ac:dyDescent="0.25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spans="1:26" ht="13.8" x14ac:dyDescent="0.25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spans="1:26" ht="13.8" x14ac:dyDescent="0.25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spans="1:26" ht="13.8" x14ac:dyDescent="0.25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spans="1:26" ht="13.8" x14ac:dyDescent="0.25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spans="1:26" ht="13.8" x14ac:dyDescent="0.25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spans="1:26" ht="13.8" x14ac:dyDescent="0.25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spans="1:26" ht="13.8" x14ac:dyDescent="0.25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spans="1:26" ht="13.8" x14ac:dyDescent="0.2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spans="1:26" ht="13.8" x14ac:dyDescent="0.25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spans="1:26" ht="13.8" x14ac:dyDescent="0.25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spans="1:26" ht="13.8" x14ac:dyDescent="0.25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spans="1:26" ht="13.8" x14ac:dyDescent="0.25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spans="1:26" ht="13.8" x14ac:dyDescent="0.25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spans="1:26" ht="13.8" x14ac:dyDescent="0.25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spans="1:26" ht="13.8" x14ac:dyDescent="0.25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spans="1:26" ht="13.8" x14ac:dyDescent="0.25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spans="1:26" ht="13.8" x14ac:dyDescent="0.25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spans="1:26" ht="13.8" x14ac:dyDescent="0.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spans="1:26" ht="13.8" x14ac:dyDescent="0.25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spans="1:26" ht="13.8" x14ac:dyDescent="0.25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spans="1:26" ht="13.8" x14ac:dyDescent="0.25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spans="1:26" ht="13.8" x14ac:dyDescent="0.25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spans="1:26" ht="13.8" x14ac:dyDescent="0.25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spans="1:26" ht="13.8" x14ac:dyDescent="0.25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spans="1:26" ht="13.8" x14ac:dyDescent="0.25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spans="1:26" ht="13.8" x14ac:dyDescent="0.25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spans="1:26" ht="13.8" x14ac:dyDescent="0.25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spans="1:26" ht="13.8" x14ac:dyDescent="0.2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spans="1:26" ht="13.8" x14ac:dyDescent="0.25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spans="1:26" ht="13.8" x14ac:dyDescent="0.25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spans="1:26" ht="13.8" x14ac:dyDescent="0.25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spans="1:26" ht="13.8" x14ac:dyDescent="0.25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spans="1:26" ht="13.8" x14ac:dyDescent="0.25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spans="1:26" ht="13.8" x14ac:dyDescent="0.25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spans="1:26" ht="13.8" x14ac:dyDescent="0.25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spans="1:26" ht="13.8" x14ac:dyDescent="0.25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spans="1:26" ht="13.8" x14ac:dyDescent="0.25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spans="1:26" ht="13.8" x14ac:dyDescent="0.2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spans="1:26" ht="13.8" x14ac:dyDescent="0.25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spans="1:26" ht="13.8" x14ac:dyDescent="0.25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spans="1:26" ht="13.8" x14ac:dyDescent="0.25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spans="1:26" ht="13.8" x14ac:dyDescent="0.25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spans="1:26" ht="13.8" x14ac:dyDescent="0.25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spans="1:26" ht="13.8" x14ac:dyDescent="0.25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spans="1:26" ht="13.8" x14ac:dyDescent="0.25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spans="1:26" ht="13.8" x14ac:dyDescent="0.25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spans="1:26" ht="13.8" x14ac:dyDescent="0.25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spans="1:26" ht="13.8" x14ac:dyDescent="0.2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spans="1:26" ht="13.8" x14ac:dyDescent="0.25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spans="1:26" ht="13.8" x14ac:dyDescent="0.25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spans="1:26" ht="13.8" x14ac:dyDescent="0.25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spans="1:26" ht="13.8" x14ac:dyDescent="0.25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spans="1:26" ht="13.8" x14ac:dyDescent="0.25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spans="1:26" ht="13.8" x14ac:dyDescent="0.25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spans="1:26" ht="13.8" x14ac:dyDescent="0.25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spans="1:26" ht="13.8" x14ac:dyDescent="0.25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spans="1:26" ht="13.8" x14ac:dyDescent="0.25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spans="1:26" ht="13.8" x14ac:dyDescent="0.2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spans="1:26" ht="13.8" x14ac:dyDescent="0.25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spans="1:26" ht="13.8" x14ac:dyDescent="0.25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spans="1:26" ht="13.8" x14ac:dyDescent="0.25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spans="1:26" ht="13.8" x14ac:dyDescent="0.25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spans="1:26" ht="13.8" x14ac:dyDescent="0.25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spans="1:26" ht="13.8" x14ac:dyDescent="0.25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spans="1:26" ht="13.8" x14ac:dyDescent="0.25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spans="1:26" ht="13.8" x14ac:dyDescent="0.25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spans="1:26" ht="13.8" x14ac:dyDescent="0.25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spans="1:26" ht="13.8" x14ac:dyDescent="0.2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spans="1:26" ht="13.8" x14ac:dyDescent="0.25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spans="1:26" ht="13.8" x14ac:dyDescent="0.25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spans="1:26" ht="13.8" x14ac:dyDescent="0.25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spans="1:26" ht="13.8" x14ac:dyDescent="0.25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spans="1:26" ht="13.8" x14ac:dyDescent="0.25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spans="1:26" ht="13.8" x14ac:dyDescent="0.25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spans="1:26" ht="13.8" x14ac:dyDescent="0.25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spans="1:26" ht="13.8" x14ac:dyDescent="0.25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spans="1:26" ht="13.8" x14ac:dyDescent="0.25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spans="1:26" ht="13.8" x14ac:dyDescent="0.2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spans="1:26" ht="13.8" x14ac:dyDescent="0.25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spans="1:26" ht="13.8" x14ac:dyDescent="0.25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spans="1:26" ht="13.8" x14ac:dyDescent="0.25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spans="1:26" ht="13.8" x14ac:dyDescent="0.25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spans="1:26" ht="13.8" x14ac:dyDescent="0.25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spans="1:26" ht="13.8" x14ac:dyDescent="0.25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spans="1:26" ht="13.8" x14ac:dyDescent="0.25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spans="1:26" ht="13.8" x14ac:dyDescent="0.25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spans="1:26" ht="13.8" x14ac:dyDescent="0.25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spans="1:26" ht="13.8" x14ac:dyDescent="0.2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spans="1:26" ht="13.8" x14ac:dyDescent="0.25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spans="1:26" ht="13.8" x14ac:dyDescent="0.25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spans="1:26" ht="13.8" x14ac:dyDescent="0.25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spans="1:26" ht="13.8" x14ac:dyDescent="0.25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spans="1:26" ht="13.8" x14ac:dyDescent="0.25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spans="1:26" ht="13.8" x14ac:dyDescent="0.25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spans="1:26" ht="13.8" x14ac:dyDescent="0.25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spans="1:26" ht="13.8" x14ac:dyDescent="0.25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spans="1:26" ht="13.8" x14ac:dyDescent="0.25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spans="1:26" ht="13.8" x14ac:dyDescent="0.2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spans="1:26" ht="13.8" x14ac:dyDescent="0.25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spans="1:26" ht="13.8" x14ac:dyDescent="0.25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spans="1:26" ht="13.8" x14ac:dyDescent="0.25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spans="1:26" ht="13.8" x14ac:dyDescent="0.25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spans="1:26" ht="13.8" x14ac:dyDescent="0.25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spans="1:26" ht="13.8" x14ac:dyDescent="0.25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spans="1:26" ht="13.8" x14ac:dyDescent="0.25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spans="1:26" ht="13.8" x14ac:dyDescent="0.25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spans="1:26" ht="13.8" x14ac:dyDescent="0.25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spans="1:26" ht="13.8" x14ac:dyDescent="0.2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spans="1:26" ht="13.8" x14ac:dyDescent="0.25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spans="1:26" ht="13.8" x14ac:dyDescent="0.25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spans="1:26" ht="13.8" x14ac:dyDescent="0.25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spans="1:26" ht="13.8" x14ac:dyDescent="0.25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spans="1:26" ht="13.8" x14ac:dyDescent="0.25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spans="1:26" ht="13.8" x14ac:dyDescent="0.25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spans="1:26" ht="13.8" x14ac:dyDescent="0.25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spans="1:26" ht="13.8" x14ac:dyDescent="0.25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spans="1:26" ht="13.8" x14ac:dyDescent="0.25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spans="1:26" ht="13.8" x14ac:dyDescent="0.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spans="1:26" ht="13.8" x14ac:dyDescent="0.25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spans="1:26" ht="13.8" x14ac:dyDescent="0.25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spans="1:26" ht="13.8" x14ac:dyDescent="0.25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spans="1:26" ht="13.8" x14ac:dyDescent="0.25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spans="1:26" ht="13.8" x14ac:dyDescent="0.25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spans="1:26" ht="13.8" x14ac:dyDescent="0.25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spans="1:26" ht="13.8" x14ac:dyDescent="0.25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spans="1:26" ht="13.8" x14ac:dyDescent="0.25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spans="1:26" ht="13.8" x14ac:dyDescent="0.25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</sheetData>
  <mergeCells count="5">
    <mergeCell ref="D2:J2"/>
    <mergeCell ref="D26:N27"/>
    <mergeCell ref="E28:N28"/>
    <mergeCell ref="D29:D40"/>
    <mergeCell ref="K2:P2"/>
  </mergeCells>
  <pageMargins left="0.7" right="0.7" top="0.75" bottom="0.75" header="0.3" footer="0.3"/>
  <pageSetup scale="55" orientation="landscape" verticalDpi="1200" r:id="rId1"/>
  <rowBreaks count="1" manualBreakCount="1">
    <brk id="25" max="1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1EF5-7F13-4C5E-B96B-23C8C358BCD3}">
  <dimension ref="B1:D16"/>
  <sheetViews>
    <sheetView workbookViewId="0">
      <selection activeCell="B2" sqref="B2:D16"/>
    </sheetView>
  </sheetViews>
  <sheetFormatPr defaultColWidth="12.109375" defaultRowHeight="15.6" x14ac:dyDescent="0.3"/>
  <cols>
    <col min="1" max="1" width="12.109375" style="91"/>
    <col min="2" max="2" width="34" style="91" bestFit="1" customWidth="1"/>
    <col min="3" max="3" width="12.6640625" style="91" customWidth="1"/>
    <col min="4" max="4" width="125.21875" style="91" customWidth="1"/>
    <col min="5" max="16384" width="12.109375" style="91"/>
  </cols>
  <sheetData>
    <row r="1" spans="2:4" ht="80.099999999999994" customHeight="1" x14ac:dyDescent="0.3"/>
    <row r="2" spans="2:4" x14ac:dyDescent="0.3">
      <c r="B2" s="92" t="s">
        <v>498</v>
      </c>
      <c r="C2" s="92" t="s">
        <v>499</v>
      </c>
      <c r="D2" s="93" t="s">
        <v>500</v>
      </c>
    </row>
    <row r="3" spans="2:4" x14ac:dyDescent="0.3">
      <c r="B3" s="91" t="s">
        <v>501</v>
      </c>
      <c r="C3" s="91">
        <v>1.06</v>
      </c>
      <c r="D3" s="94" t="s">
        <v>506</v>
      </c>
    </row>
    <row r="4" spans="2:4" x14ac:dyDescent="0.3">
      <c r="B4" s="91" t="s">
        <v>502</v>
      </c>
      <c r="C4" s="95">
        <v>4.5769999999999998E-2</v>
      </c>
      <c r="D4" s="94" t="s">
        <v>507</v>
      </c>
    </row>
    <row r="5" spans="2:4" s="90" customFormat="1" x14ac:dyDescent="0.3">
      <c r="B5" s="90" t="s">
        <v>503</v>
      </c>
      <c r="C5" s="131">
        <v>0.1024</v>
      </c>
      <c r="D5" s="132" t="s">
        <v>512</v>
      </c>
    </row>
    <row r="6" spans="2:4" x14ac:dyDescent="0.3">
      <c r="B6" s="96" t="s">
        <v>419</v>
      </c>
      <c r="C6" s="103">
        <f>C4+(C5-C4)*C3</f>
        <v>0.10579780000000001</v>
      </c>
      <c r="D6" s="97" t="s">
        <v>504</v>
      </c>
    </row>
    <row r="7" spans="2:4" x14ac:dyDescent="0.3">
      <c r="C7" s="95"/>
      <c r="D7" s="127"/>
    </row>
    <row r="8" spans="2:4" x14ac:dyDescent="0.3">
      <c r="B8" s="98"/>
      <c r="C8" s="95"/>
    </row>
    <row r="9" spans="2:4" s="90" customFormat="1" x14ac:dyDescent="0.3">
      <c r="B9" s="130" t="s">
        <v>481</v>
      </c>
      <c r="C9" s="90">
        <v>0.21</v>
      </c>
      <c r="D9" s="130" t="s">
        <v>517</v>
      </c>
    </row>
    <row r="10" spans="2:4" x14ac:dyDescent="0.3">
      <c r="B10" s="99" t="s">
        <v>508</v>
      </c>
      <c r="C10" s="90">
        <v>740.19</v>
      </c>
      <c r="D10" s="99" t="s">
        <v>506</v>
      </c>
    </row>
    <row r="12" spans="2:4" x14ac:dyDescent="0.3">
      <c r="B12" s="91" t="s">
        <v>509</v>
      </c>
      <c r="C12" s="100">
        <v>45914</v>
      </c>
      <c r="D12" s="99" t="s">
        <v>506</v>
      </c>
    </row>
    <row r="13" spans="2:4" x14ac:dyDescent="0.3">
      <c r="B13" s="91" t="s">
        <v>510</v>
      </c>
      <c r="C13" s="100">
        <v>62.03</v>
      </c>
      <c r="D13" s="99" t="s">
        <v>696</v>
      </c>
    </row>
    <row r="15" spans="2:4" x14ac:dyDescent="0.3">
      <c r="B15" s="91" t="s">
        <v>485</v>
      </c>
      <c r="C15" s="104">
        <v>0.02</v>
      </c>
    </row>
    <row r="16" spans="2:4" x14ac:dyDescent="0.3">
      <c r="B16" s="91" t="s">
        <v>484</v>
      </c>
      <c r="C16" s="105">
        <v>45246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CF3A-B651-4C2D-BE04-F365B44994A3}">
  <dimension ref="A1:X100"/>
  <sheetViews>
    <sheetView view="pageBreakPreview" zoomScale="85" zoomScaleNormal="100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6" sqref="C16"/>
    </sheetView>
  </sheetViews>
  <sheetFormatPr defaultRowHeight="14.4" x14ac:dyDescent="0.3"/>
  <cols>
    <col min="1" max="1" width="35.109375" customWidth="1"/>
    <col min="2" max="2" width="0" hidden="1" customWidth="1"/>
    <col min="3" max="17" width="11.88671875" customWidth="1"/>
    <col min="18" max="18" width="30.21875" style="84" customWidth="1"/>
    <col min="24" max="24" width="11.886718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4"/>
      <c r="X1" s="1"/>
    </row>
    <row r="2" spans="1:24" ht="2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5"/>
      <c r="X2" s="8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72"/>
      <c r="X3" s="2" t="s">
        <v>628</v>
      </c>
    </row>
    <row r="4" spans="1:24" x14ac:dyDescent="0.3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460</v>
      </c>
      <c r="K4" s="37">
        <v>2024</v>
      </c>
      <c r="L4" s="37">
        <v>2025</v>
      </c>
      <c r="M4" s="37">
        <v>2026</v>
      </c>
      <c r="N4" s="37">
        <v>2027</v>
      </c>
      <c r="O4" s="37">
        <v>2028</v>
      </c>
      <c r="P4" s="4" t="s">
        <v>460</v>
      </c>
      <c r="Q4" s="4" t="s">
        <v>459</v>
      </c>
      <c r="R4" s="86" t="s">
        <v>461</v>
      </c>
      <c r="X4" s="37">
        <v>2024</v>
      </c>
    </row>
    <row r="5" spans="1:24" x14ac:dyDescent="0.3">
      <c r="A5" s="9" t="s">
        <v>10</v>
      </c>
      <c r="B5" s="9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38"/>
      <c r="K5" s="38"/>
      <c r="L5" s="38"/>
      <c r="M5" s="38"/>
      <c r="N5" s="38"/>
      <c r="O5" s="38"/>
      <c r="P5" s="38"/>
      <c r="Q5" s="64">
        <v>45199</v>
      </c>
      <c r="R5" s="85"/>
      <c r="X5" s="38"/>
    </row>
    <row r="6" spans="1:24" x14ac:dyDescent="0.3">
      <c r="A6" s="6" t="s">
        <v>463</v>
      </c>
      <c r="B6" s="6" t="s">
        <v>20</v>
      </c>
      <c r="C6" s="18">
        <f>C9+C15+C18+C23</f>
        <v>60787</v>
      </c>
      <c r="D6" s="18">
        <f t="shared" ref="D6:I6" si="0">D9+D15+D18+D23</f>
        <v>62308</v>
      </c>
      <c r="E6" s="18">
        <f t="shared" si="0"/>
        <v>67941</v>
      </c>
      <c r="F6" s="18">
        <f t="shared" si="0"/>
        <v>69620</v>
      </c>
      <c r="G6" s="18">
        <f t="shared" si="0"/>
        <v>67842</v>
      </c>
      <c r="H6" s="18">
        <f t="shared" si="0"/>
        <v>71080</v>
      </c>
      <c r="I6" s="18">
        <f t="shared" si="0"/>
        <v>69898</v>
      </c>
      <c r="J6" s="18">
        <f>P6</f>
        <v>63836.000000000007</v>
      </c>
      <c r="K6" s="18">
        <f>K9+K15+K18+K23</f>
        <v>67757.356379920864</v>
      </c>
      <c r="L6" s="18">
        <f t="shared" ref="L6:O6" si="1">L9+L15+L18+L23</f>
        <v>72289.295961297554</v>
      </c>
      <c r="M6" s="18">
        <f t="shared" si="1"/>
        <v>73001.922949137719</v>
      </c>
      <c r="N6" s="18">
        <f t="shared" si="1"/>
        <v>73681.401631016284</v>
      </c>
      <c r="O6" s="18">
        <f t="shared" si="1"/>
        <v>74302.070574443962</v>
      </c>
      <c r="P6" s="18">
        <f>P9+P15+P18+P23</f>
        <v>63836.000000000007</v>
      </c>
      <c r="Q6" s="18">
        <f>Q9+Q15+Q18+Q23</f>
        <v>47877</v>
      </c>
      <c r="R6" s="76"/>
      <c r="X6" s="18">
        <f>X9+X15+X18+X23</f>
        <v>71546.57610968138</v>
      </c>
    </row>
    <row r="7" spans="1:24" s="35" customFormat="1" x14ac:dyDescent="0.3">
      <c r="A7" s="33" t="s">
        <v>412</v>
      </c>
      <c r="B7" s="33"/>
      <c r="C7" s="34"/>
      <c r="D7" s="36">
        <f>D6/C6-1</f>
        <v>2.5021797423791181E-2</v>
      </c>
      <c r="E7" s="36">
        <f t="shared" ref="E7:I7" si="2">E6/D6-1</f>
        <v>9.0405726391474595E-2</v>
      </c>
      <c r="F7" s="36">
        <f t="shared" si="2"/>
        <v>2.4712618301172995E-2</v>
      </c>
      <c r="G7" s="36">
        <f t="shared" si="2"/>
        <v>-2.5538638322321172E-2</v>
      </c>
      <c r="H7" s="36">
        <f t="shared" si="2"/>
        <v>4.7728545738628059E-2</v>
      </c>
      <c r="I7" s="36">
        <f t="shared" si="2"/>
        <v>-1.6629150253235747E-2</v>
      </c>
      <c r="J7" s="36">
        <f t="shared" ref="J7" si="3">J6/I6-1</f>
        <v>-8.6726372714526767E-2</v>
      </c>
      <c r="K7" s="36">
        <f t="shared" ref="K7" si="4">K6/J6-1</f>
        <v>6.1428604234614603E-2</v>
      </c>
      <c r="L7" s="36">
        <f t="shared" ref="L7" si="5">L6/K6-1</f>
        <v>6.6884834702902962E-2</v>
      </c>
      <c r="M7" s="36">
        <f t="shared" ref="M7" si="6">M6/L6-1</f>
        <v>9.8579876641999853E-3</v>
      </c>
      <c r="N7" s="36">
        <f t="shared" ref="N7" si="7">N6/M6-1</f>
        <v>9.3076819682129663E-3</v>
      </c>
      <c r="O7" s="36">
        <f t="shared" ref="O7" si="8">O6/N6-1</f>
        <v>8.4236853491994612E-3</v>
      </c>
      <c r="P7" s="36"/>
      <c r="Q7" s="36"/>
      <c r="R7" s="73"/>
      <c r="X7" s="36">
        <f t="shared" ref="X7:X67" si="9">K7</f>
        <v>6.1428604234614603E-2</v>
      </c>
    </row>
    <row r="8" spans="1:24" s="35" customFormat="1" x14ac:dyDescent="0.3">
      <c r="A8" s="33"/>
      <c r="B8" s="33"/>
      <c r="C8" s="34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73"/>
      <c r="X8" s="36">
        <f t="shared" si="9"/>
        <v>0</v>
      </c>
    </row>
    <row r="9" spans="1:24" x14ac:dyDescent="0.3">
      <c r="A9" s="6" t="s">
        <v>21</v>
      </c>
      <c r="B9" s="6" t="s">
        <v>22</v>
      </c>
      <c r="C9" s="18">
        <v>37202</v>
      </c>
      <c r="D9" s="18">
        <v>38992</v>
      </c>
      <c r="E9" s="18">
        <v>43840</v>
      </c>
      <c r="F9" s="18">
        <v>42235</v>
      </c>
      <c r="G9" s="18">
        <v>42034</v>
      </c>
      <c r="H9" s="18">
        <v>42009</v>
      </c>
      <c r="I9" s="18">
        <v>49397</v>
      </c>
      <c r="J9" s="18">
        <f>P9</f>
        <v>43329.333333333336</v>
      </c>
      <c r="K9" s="18">
        <f t="shared" ref="K9:O9" si="10">J9*(1+K10)</f>
        <v>44168.226979284562</v>
      </c>
      <c r="L9" s="18">
        <f t="shared" si="10"/>
        <v>44992.893972843762</v>
      </c>
      <c r="M9" s="18">
        <f t="shared" si="10"/>
        <v>45810.531994779514</v>
      </c>
      <c r="N9" s="18">
        <f t="shared" si="10"/>
        <v>46620.771676488286</v>
      </c>
      <c r="O9" s="18">
        <f t="shared" si="10"/>
        <v>47407.054416992163</v>
      </c>
      <c r="P9" s="18">
        <f>Q9*4/3</f>
        <v>43329.333333333336</v>
      </c>
      <c r="Q9" s="18">
        <v>32497</v>
      </c>
      <c r="R9" s="76"/>
      <c r="X9" s="18">
        <f t="shared" si="9"/>
        <v>44168.226979284562</v>
      </c>
    </row>
    <row r="10" spans="1:24" s="35" customFormat="1" x14ac:dyDescent="0.3">
      <c r="A10" s="33" t="s">
        <v>412</v>
      </c>
      <c r="B10" s="33"/>
      <c r="C10" s="34"/>
      <c r="D10" s="36">
        <f>D9/C9-1</f>
        <v>4.8115692704693291E-2</v>
      </c>
      <c r="E10" s="36">
        <f t="shared" ref="E10" si="11">E9/D9-1</f>
        <v>0.12433319655313912</v>
      </c>
      <c r="F10" s="36">
        <f t="shared" ref="F10" si="12">F9/E9-1</f>
        <v>-3.6610401459854058E-2</v>
      </c>
      <c r="G10" s="36">
        <f t="shared" ref="G10" si="13">G9/F9-1</f>
        <v>-4.7590860660589041E-3</v>
      </c>
      <c r="H10" s="36">
        <f t="shared" ref="H10" si="14">H9/G9-1</f>
        <v>-5.9475662558883258E-4</v>
      </c>
      <c r="I10" s="36">
        <f t="shared" ref="I10:J10" si="15">I9/H9-1</f>
        <v>0.17586707610273988</v>
      </c>
      <c r="J10" s="36">
        <f t="shared" si="15"/>
        <v>-0.1228347200572234</v>
      </c>
      <c r="K10" s="36">
        <f>'By Segment (2)'!M52</f>
        <v>1.9360871294686222E-2</v>
      </c>
      <c r="L10" s="36">
        <f>'By Segment (2)'!N52</f>
        <v>1.8671045906958783E-2</v>
      </c>
      <c r="M10" s="36">
        <f>'By Segment (2)'!O52</f>
        <v>1.8172603487769612E-2</v>
      </c>
      <c r="N10" s="36">
        <f>'By Segment (2)'!P52</f>
        <v>1.7686755565316403E-2</v>
      </c>
      <c r="O10" s="36">
        <f>'By Segment (2)'!Q52</f>
        <v>1.6865502483744077E-2</v>
      </c>
      <c r="P10" s="36"/>
      <c r="Q10" s="36"/>
      <c r="R10" s="73" t="s">
        <v>465</v>
      </c>
      <c r="X10" s="36">
        <f t="shared" si="9"/>
        <v>1.9360871294686222E-2</v>
      </c>
    </row>
    <row r="11" spans="1:24" x14ac:dyDescent="0.3">
      <c r="A11" s="10" t="s">
        <v>23</v>
      </c>
      <c r="B11" s="10" t="s">
        <v>24</v>
      </c>
      <c r="C11" s="13">
        <v>3494</v>
      </c>
      <c r="D11" s="13">
        <v>3546</v>
      </c>
      <c r="E11" s="13">
        <v>3593</v>
      </c>
      <c r="F11" s="13" t="s">
        <v>294</v>
      </c>
      <c r="G11" s="13" t="s">
        <v>294</v>
      </c>
      <c r="H11" s="13" t="s">
        <v>294</v>
      </c>
      <c r="I11" s="13" t="s">
        <v>294</v>
      </c>
      <c r="J11" s="13"/>
      <c r="K11" s="13"/>
      <c r="L11" s="13"/>
      <c r="M11" s="13"/>
      <c r="N11" s="13"/>
      <c r="O11" s="13"/>
      <c r="P11" s="13"/>
      <c r="Q11" s="13"/>
      <c r="R11" s="77"/>
      <c r="X11" s="13">
        <f t="shared" si="9"/>
        <v>0</v>
      </c>
    </row>
    <row r="12" spans="1:24" x14ac:dyDescent="0.3">
      <c r="A12" s="10" t="s">
        <v>25</v>
      </c>
      <c r="B12" s="10" t="s">
        <v>26</v>
      </c>
      <c r="C12" s="13">
        <v>33708</v>
      </c>
      <c r="D12" s="13">
        <v>35446</v>
      </c>
      <c r="E12" s="13">
        <v>40247</v>
      </c>
      <c r="F12" s="13">
        <v>42235</v>
      </c>
      <c r="G12" s="13">
        <v>42034</v>
      </c>
      <c r="H12" s="13">
        <v>42009</v>
      </c>
      <c r="I12" s="13">
        <v>49397</v>
      </c>
      <c r="J12" s="13"/>
      <c r="K12" s="13"/>
      <c r="L12" s="13"/>
      <c r="M12" s="13"/>
      <c r="N12" s="13"/>
      <c r="O12" s="13"/>
      <c r="P12" s="13"/>
      <c r="Q12" s="13"/>
      <c r="R12" s="77"/>
      <c r="X12" s="13">
        <f t="shared" si="9"/>
        <v>0</v>
      </c>
    </row>
    <row r="13" spans="1:24" x14ac:dyDescent="0.3">
      <c r="A13" s="10" t="s">
        <v>27</v>
      </c>
      <c r="B13" s="10" t="s">
        <v>28</v>
      </c>
      <c r="C13" s="13">
        <v>0</v>
      </c>
      <c r="D13" s="13">
        <v>0</v>
      </c>
      <c r="E13" s="13">
        <v>0</v>
      </c>
      <c r="F13" s="13" t="s">
        <v>294</v>
      </c>
      <c r="G13" s="13" t="s">
        <v>294</v>
      </c>
      <c r="H13" s="13" t="s">
        <v>294</v>
      </c>
      <c r="I13" s="13" t="s">
        <v>294</v>
      </c>
      <c r="J13" s="13"/>
      <c r="K13" s="13"/>
      <c r="L13" s="13"/>
      <c r="M13" s="13"/>
      <c r="N13" s="13"/>
      <c r="O13" s="13"/>
      <c r="P13" s="13"/>
      <c r="Q13" s="13"/>
      <c r="R13" s="77"/>
      <c r="X13" s="13">
        <f t="shared" si="9"/>
        <v>0</v>
      </c>
    </row>
    <row r="14" spans="1:24" x14ac:dyDescent="0.3">
      <c r="A14" s="10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77"/>
      <c r="X14" s="13">
        <f t="shared" si="9"/>
        <v>0</v>
      </c>
    </row>
    <row r="15" spans="1:24" x14ac:dyDescent="0.3">
      <c r="A15" s="70" t="s">
        <v>29</v>
      </c>
      <c r="B15" s="70" t="s">
        <v>30</v>
      </c>
      <c r="C15" s="69">
        <v>16790</v>
      </c>
      <c r="D15" s="69">
        <v>17363</v>
      </c>
      <c r="E15" s="69">
        <v>16166</v>
      </c>
      <c r="F15" s="69">
        <v>18868</v>
      </c>
      <c r="G15" s="69">
        <v>17117</v>
      </c>
      <c r="H15" s="69">
        <v>21395</v>
      </c>
      <c r="I15" s="69">
        <v>15916</v>
      </c>
      <c r="J15" s="69">
        <f>P15</f>
        <v>19389.333333333332</v>
      </c>
      <c r="K15" s="69">
        <f>K16*'Bal Sheet - Standardized'!N7</f>
        <v>19187.354384732836</v>
      </c>
      <c r="L15" s="69">
        <f>L16*'Bal Sheet - Standardized'!O7</f>
        <v>18957.448859468968</v>
      </c>
      <c r="M15" s="69">
        <f>M16*'Bal Sheet - Standardized'!P7</f>
        <v>18703.113280575395</v>
      </c>
      <c r="N15" s="69">
        <f>N16*'Bal Sheet - Standardized'!Q7</f>
        <v>18424.477325135056</v>
      </c>
      <c r="O15" s="69">
        <f>O16*'Bal Sheet - Standardized'!R7</f>
        <v>18115.503645229332</v>
      </c>
      <c r="P15" s="69">
        <f>Q15*4/3</f>
        <v>19389.333333333332</v>
      </c>
      <c r="Q15" s="69">
        <v>14542</v>
      </c>
      <c r="R15" s="78"/>
      <c r="X15" s="69">
        <f t="shared" si="9"/>
        <v>19187.354384732836</v>
      </c>
    </row>
    <row r="16" spans="1:24" s="35" customFormat="1" x14ac:dyDescent="0.3">
      <c r="A16" s="33" t="s">
        <v>418</v>
      </c>
      <c r="B16" s="33"/>
      <c r="C16" s="36">
        <f>C15/'Bal Sheet - Standardized'!E7</f>
        <v>3.3887768715473936E-2</v>
      </c>
      <c r="D16" s="36">
        <f>D15/'Bal Sheet - Standardized'!F7</f>
        <v>4.1251000805395913E-2</v>
      </c>
      <c r="E16" s="36">
        <f>E15/'Bal Sheet - Standardized'!G7</f>
        <v>3.6404416450670732E-2</v>
      </c>
      <c r="F16" s="36">
        <f>F15/'Bal Sheet - Standardized'!H7</f>
        <v>4.3254395818527774E-2</v>
      </c>
      <c r="G16" s="36">
        <f>G15/'Bal Sheet - Standardized'!I7</f>
        <v>3.6127439082303529E-2</v>
      </c>
      <c r="H16" s="36">
        <f>H15/'Bal Sheet - Standardized'!J7</f>
        <v>4.2073157541802762E-2</v>
      </c>
      <c r="I16" s="36">
        <f>I15/'Bal Sheet - Standardized'!K7</f>
        <v>3.2165166797690478E-2</v>
      </c>
      <c r="J16" s="71">
        <f>J15/'Bal Sheet - Standardized'!M7</f>
        <v>4.450544994361072E-2</v>
      </c>
      <c r="K16" s="36">
        <f>J16-$T$16</f>
        <v>4.3205342982528386E-2</v>
      </c>
      <c r="L16" s="36">
        <f t="shared" ref="L16:O16" si="16">K16-$T$16</f>
        <v>4.1905236021446052E-2</v>
      </c>
      <c r="M16" s="36">
        <f t="shared" si="16"/>
        <v>4.0605129060363718E-2</v>
      </c>
      <c r="N16" s="36">
        <f t="shared" si="16"/>
        <v>3.9305022099281384E-2</v>
      </c>
      <c r="O16" s="36">
        <f t="shared" si="16"/>
        <v>3.800491513819905E-2</v>
      </c>
      <c r="P16" s="36"/>
      <c r="Q16" s="36"/>
      <c r="R16" s="73" t="s">
        <v>513</v>
      </c>
      <c r="S16" s="87">
        <f>AVERAGE(E16:I16)</f>
        <v>3.8004915138199057E-2</v>
      </c>
      <c r="T16" s="35">
        <f>(J16-S16)/5</f>
        <v>1.3001069610823327E-3</v>
      </c>
      <c r="X16" s="36">
        <f t="shared" si="9"/>
        <v>4.3205342982528386E-2</v>
      </c>
    </row>
    <row r="17" spans="1:24" x14ac:dyDescent="0.3">
      <c r="A17" s="6"/>
      <c r="B17" s="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76"/>
      <c r="X17" s="18">
        <f t="shared" si="9"/>
        <v>0</v>
      </c>
    </row>
    <row r="18" spans="1:24" x14ac:dyDescent="0.3">
      <c r="A18" s="6" t="s">
        <v>31</v>
      </c>
      <c r="B18" s="6" t="s">
        <v>32</v>
      </c>
      <c r="C18" s="18">
        <v>7168</v>
      </c>
      <c r="D18" s="18">
        <v>6851</v>
      </c>
      <c r="E18" s="18">
        <v>7382</v>
      </c>
      <c r="F18" s="18">
        <v>7445</v>
      </c>
      <c r="G18" s="18">
        <v>7452</v>
      </c>
      <c r="H18" s="18">
        <v>8375</v>
      </c>
      <c r="I18" s="18">
        <v>8219</v>
      </c>
      <c r="J18" s="18">
        <f>P18</f>
        <v>7702.666666666667</v>
      </c>
      <c r="K18" s="18">
        <f>K19*K9</f>
        <v>7924.4828628322994</v>
      </c>
      <c r="L18" s="18">
        <f>L19*L9</f>
        <v>8072.4412461531501</v>
      </c>
      <c r="M18" s="18">
        <f>M19*M9</f>
        <v>8219.1385200978093</v>
      </c>
      <c r="N18" s="18">
        <f>N19*N9</f>
        <v>8364.5084140602539</v>
      </c>
      <c r="O18" s="18">
        <f>O19*O9</f>
        <v>8505.5800514928851</v>
      </c>
      <c r="P18" s="18">
        <f>P20+P21</f>
        <v>7702.666666666667</v>
      </c>
      <c r="Q18" s="18">
        <f>Q20+Q21</f>
        <v>5777</v>
      </c>
      <c r="R18" s="76"/>
      <c r="X18" s="18">
        <f t="shared" si="9"/>
        <v>7924.4828628322994</v>
      </c>
    </row>
    <row r="19" spans="1:24" s="35" customFormat="1" x14ac:dyDescent="0.3">
      <c r="A19" s="33" t="s">
        <v>435</v>
      </c>
      <c r="B19" s="33"/>
      <c r="C19" s="36">
        <f t="shared" ref="C19:J19" si="17">C18/C9</f>
        <v>0.19267781302080533</v>
      </c>
      <c r="D19" s="36">
        <f t="shared" si="17"/>
        <v>0.1757027082478457</v>
      </c>
      <c r="E19" s="36">
        <f t="shared" si="17"/>
        <v>0.16838503649635037</v>
      </c>
      <c r="F19" s="36">
        <f t="shared" si="17"/>
        <v>0.17627560080501953</v>
      </c>
      <c r="G19" s="36">
        <f t="shared" si="17"/>
        <v>0.17728505495551219</v>
      </c>
      <c r="H19" s="36">
        <f t="shared" si="17"/>
        <v>0.19936204146730463</v>
      </c>
      <c r="I19" s="36">
        <f t="shared" si="17"/>
        <v>0.16638662266939289</v>
      </c>
      <c r="J19" s="36">
        <f t="shared" si="17"/>
        <v>0.17777025571591223</v>
      </c>
      <c r="K19" s="36">
        <f t="shared" ref="K19" si="18">AVERAGE(F19:J19)</f>
        <v>0.17941591512262828</v>
      </c>
      <c r="L19" s="36">
        <f>K19</f>
        <v>0.17941591512262828</v>
      </c>
      <c r="M19" s="36">
        <f t="shared" ref="M19:O19" si="19">L19</f>
        <v>0.17941591512262828</v>
      </c>
      <c r="N19" s="36">
        <f t="shared" si="19"/>
        <v>0.17941591512262828</v>
      </c>
      <c r="O19" s="36">
        <f t="shared" si="19"/>
        <v>0.17941591512262828</v>
      </c>
      <c r="P19" s="36"/>
      <c r="Q19" s="36"/>
      <c r="R19" s="73"/>
      <c r="X19" s="36">
        <f t="shared" si="9"/>
        <v>0.17941591512262828</v>
      </c>
    </row>
    <row r="20" spans="1:24" x14ac:dyDescent="0.3">
      <c r="A20" s="10" t="s">
        <v>33</v>
      </c>
      <c r="B20" s="10" t="s">
        <v>34</v>
      </c>
      <c r="C20" s="13">
        <v>5483</v>
      </c>
      <c r="D20" s="13">
        <v>5510</v>
      </c>
      <c r="E20" s="13">
        <v>5502</v>
      </c>
      <c r="F20" s="13">
        <v>5603</v>
      </c>
      <c r="G20" s="13">
        <v>5603</v>
      </c>
      <c r="H20" s="13">
        <v>5756</v>
      </c>
      <c r="I20" s="13">
        <v>5585</v>
      </c>
      <c r="J20" s="13">
        <f>P20</f>
        <v>5214.666666666667</v>
      </c>
      <c r="K20" s="13"/>
      <c r="L20" s="13"/>
      <c r="M20" s="13"/>
      <c r="N20" s="13"/>
      <c r="O20" s="13"/>
      <c r="P20" s="13">
        <f>Q20*4/3</f>
        <v>5214.666666666667</v>
      </c>
      <c r="Q20" s="13">
        <v>3911</v>
      </c>
      <c r="R20" s="77"/>
      <c r="X20" s="13">
        <f t="shared" si="9"/>
        <v>0</v>
      </c>
    </row>
    <row r="21" spans="1:24" x14ac:dyDescent="0.3">
      <c r="A21" s="10" t="s">
        <v>35</v>
      </c>
      <c r="B21" s="10" t="s">
        <v>36</v>
      </c>
      <c r="C21" s="13">
        <v>1685</v>
      </c>
      <c r="D21" s="13">
        <v>1341</v>
      </c>
      <c r="E21" s="13">
        <v>1880</v>
      </c>
      <c r="F21" s="13">
        <v>1842</v>
      </c>
      <c r="G21" s="13">
        <v>1849</v>
      </c>
      <c r="H21" s="13">
        <v>2619</v>
      </c>
      <c r="I21" s="13">
        <v>2634</v>
      </c>
      <c r="J21" s="13">
        <f>P21</f>
        <v>2488</v>
      </c>
      <c r="K21" s="13"/>
      <c r="L21" s="13"/>
      <c r="M21" s="13"/>
      <c r="N21" s="13"/>
      <c r="O21" s="13"/>
      <c r="P21" s="13">
        <f>Q21*4/3</f>
        <v>2488</v>
      </c>
      <c r="Q21" s="13">
        <v>1866</v>
      </c>
      <c r="R21" s="77"/>
      <c r="X21" s="13">
        <f t="shared" si="9"/>
        <v>0</v>
      </c>
    </row>
    <row r="22" spans="1:24" x14ac:dyDescent="0.3">
      <c r="A22" s="10"/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77"/>
      <c r="X22" s="13">
        <f t="shared" si="9"/>
        <v>0</v>
      </c>
    </row>
    <row r="23" spans="1:24" ht="27" x14ac:dyDescent="0.3">
      <c r="A23" s="229" t="s">
        <v>626</v>
      </c>
      <c r="B23" s="6"/>
      <c r="C23" s="18">
        <v>-373</v>
      </c>
      <c r="D23" s="18">
        <v>-898</v>
      </c>
      <c r="E23" s="18">
        <v>553</v>
      </c>
      <c r="F23" s="18">
        <v>1072</v>
      </c>
      <c r="G23" s="18">
        <v>1239</v>
      </c>
      <c r="H23" s="18">
        <v>-699</v>
      </c>
      <c r="I23" s="18">
        <v>-3634</v>
      </c>
      <c r="J23" s="18">
        <f>P23</f>
        <v>-6585.333333333333</v>
      </c>
      <c r="K23" s="18">
        <f>K24*(K18+K15+K9)</f>
        <v>-3522.7078469288449</v>
      </c>
      <c r="L23" s="18">
        <f t="shared" ref="L23:O23" si="20">L24*(L18+L15+L9)</f>
        <v>266.51188283168369</v>
      </c>
      <c r="M23" s="18">
        <f t="shared" si="20"/>
        <v>269.13915368500108</v>
      </c>
      <c r="N23" s="18">
        <f t="shared" si="20"/>
        <v>271.64421533269507</v>
      </c>
      <c r="O23" s="18">
        <f t="shared" si="20"/>
        <v>273.93246072958789</v>
      </c>
      <c r="P23" s="18">
        <f>Q23*4/3</f>
        <v>-6585.333333333333</v>
      </c>
      <c r="Q23" s="18">
        <v>-4939</v>
      </c>
      <c r="R23" s="76" t="s">
        <v>464</v>
      </c>
      <c r="X23" s="18">
        <f>L23</f>
        <v>266.51188283168369</v>
      </c>
    </row>
    <row r="24" spans="1:24" s="35" customFormat="1" ht="27" x14ac:dyDescent="0.3">
      <c r="A24" s="230" t="s">
        <v>627</v>
      </c>
      <c r="B24" s="33"/>
      <c r="C24" s="36">
        <f>C23/(C18+C15+C9)</f>
        <v>-6.0987573577501635E-3</v>
      </c>
      <c r="D24" s="36">
        <f t="shared" ref="D24:J24" si="21">D23/(D18+D15+D9)</f>
        <v>-1.4207511945068507E-2</v>
      </c>
      <c r="E24" s="36">
        <f t="shared" si="21"/>
        <v>8.2062088205615245E-3</v>
      </c>
      <c r="F24" s="36">
        <f t="shared" si="21"/>
        <v>1.5638676547820505E-2</v>
      </c>
      <c r="G24" s="36">
        <f t="shared" si="21"/>
        <v>1.8602765641187333E-2</v>
      </c>
      <c r="H24" s="36">
        <f t="shared" si="21"/>
        <v>-9.7382242717229273E-3</v>
      </c>
      <c r="I24" s="36">
        <f t="shared" si="21"/>
        <v>-4.9420660392754175E-2</v>
      </c>
      <c r="J24" s="36">
        <f t="shared" si="21"/>
        <v>-9.3513329294153263E-2</v>
      </c>
      <c r="K24" s="36">
        <f>I24</f>
        <v>-4.9420660392754175E-2</v>
      </c>
      <c r="L24" s="36">
        <f>AVERAGE(D24:H24)</f>
        <v>3.7003829585555855E-3</v>
      </c>
      <c r="M24" s="36">
        <f>L24</f>
        <v>3.7003829585555855E-3</v>
      </c>
      <c r="N24" s="36">
        <f t="shared" ref="N24:O24" si="22">M24</f>
        <v>3.7003829585555855E-3</v>
      </c>
      <c r="O24" s="36">
        <f t="shared" si="22"/>
        <v>3.7003829585555855E-3</v>
      </c>
      <c r="P24" s="36"/>
      <c r="Q24" s="36"/>
      <c r="R24" s="73"/>
      <c r="X24" s="36"/>
    </row>
    <row r="25" spans="1:24" x14ac:dyDescent="0.3">
      <c r="A25" s="10"/>
      <c r="B25" s="1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77"/>
      <c r="X25" s="13"/>
    </row>
    <row r="26" spans="1:24" x14ac:dyDescent="0.3">
      <c r="A26" s="6" t="s">
        <v>462</v>
      </c>
      <c r="B26" s="6" t="s">
        <v>20</v>
      </c>
      <c r="C26" s="18">
        <f t="shared" ref="C26:O26" si="23">C36+C28</f>
        <v>55349</v>
      </c>
      <c r="D26" s="18">
        <f t="shared" si="23"/>
        <v>57643</v>
      </c>
      <c r="E26" s="18">
        <f t="shared" si="23"/>
        <v>60512</v>
      </c>
      <c r="F26" s="18">
        <f t="shared" si="23"/>
        <v>61870</v>
      </c>
      <c r="G26" s="18">
        <f t="shared" si="23"/>
        <v>60002</v>
      </c>
      <c r="H26" s="18">
        <f t="shared" si="23"/>
        <v>62034</v>
      </c>
      <c r="I26" s="18">
        <f t="shared" si="23"/>
        <v>66101</v>
      </c>
      <c r="J26" s="18">
        <f t="shared" si="23"/>
        <v>61173.333333333336</v>
      </c>
      <c r="K26" s="18">
        <f t="shared" si="23"/>
        <v>63940.80239292176</v>
      </c>
      <c r="L26" s="18">
        <f t="shared" si="23"/>
        <v>64520.961164206819</v>
      </c>
      <c r="M26" s="18">
        <f t="shared" si="23"/>
        <v>65068.63990682696</v>
      </c>
      <c r="N26" s="18">
        <f t="shared" si="23"/>
        <v>65583.606628855094</v>
      </c>
      <c r="O26" s="18">
        <f t="shared" si="23"/>
        <v>66043.096158599277</v>
      </c>
      <c r="P26" s="18">
        <f>P42+P40+P32+P30</f>
        <v>61173.333333333328</v>
      </c>
      <c r="Q26" s="18">
        <f>Q36+Q28</f>
        <v>45880</v>
      </c>
      <c r="R26" s="76"/>
      <c r="X26" s="18">
        <f t="shared" si="9"/>
        <v>63940.80239292176</v>
      </c>
    </row>
    <row r="27" spans="1:24" x14ac:dyDescent="0.3">
      <c r="A27" s="6"/>
      <c r="B27" s="6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76"/>
      <c r="X27" s="18">
        <f t="shared" si="9"/>
        <v>0</v>
      </c>
    </row>
    <row r="28" spans="1:24" x14ac:dyDescent="0.3">
      <c r="A28" s="6" t="s">
        <v>37</v>
      </c>
      <c r="B28" s="6" t="s">
        <v>38</v>
      </c>
      <c r="C28" s="18">
        <v>41534</v>
      </c>
      <c r="D28" s="18">
        <v>43920</v>
      </c>
      <c r="E28" s="18">
        <v>46669</v>
      </c>
      <c r="F28" s="18">
        <v>47925</v>
      </c>
      <c r="G28" s="18">
        <v>46675</v>
      </c>
      <c r="H28" s="18">
        <v>49492</v>
      </c>
      <c r="I28" s="18">
        <v>54304</v>
      </c>
      <c r="J28" s="18">
        <f>P28</f>
        <v>51021.333333333336</v>
      </c>
      <c r="K28" s="18">
        <f t="shared" ref="K28:Q28" si="24">K30+K32</f>
        <v>51406.716003527166</v>
      </c>
      <c r="L28" s="18">
        <f t="shared" si="24"/>
        <v>51752.850272434051</v>
      </c>
      <c r="M28" s="18">
        <f t="shared" si="24"/>
        <v>52068.499198530131</v>
      </c>
      <c r="N28" s="18">
        <f t="shared" si="24"/>
        <v>52353.535609535902</v>
      </c>
      <c r="O28" s="18">
        <f t="shared" si="24"/>
        <v>52589.893343643642</v>
      </c>
      <c r="P28" s="18">
        <f t="shared" si="24"/>
        <v>51021.333333333336</v>
      </c>
      <c r="Q28" s="18">
        <f t="shared" si="24"/>
        <v>38266</v>
      </c>
      <c r="R28" s="76"/>
      <c r="X28" s="18">
        <f t="shared" si="9"/>
        <v>51406.716003527166</v>
      </c>
    </row>
    <row r="29" spans="1:24" x14ac:dyDescent="0.3">
      <c r="A29" s="10" t="s">
        <v>39</v>
      </c>
      <c r="B29" s="10" t="s">
        <v>40</v>
      </c>
      <c r="C29" s="13">
        <v>2606</v>
      </c>
      <c r="D29" s="13">
        <v>2562</v>
      </c>
      <c r="E29" s="13">
        <v>2444</v>
      </c>
      <c r="F29" s="13">
        <v>0</v>
      </c>
      <c r="G29" s="13">
        <v>0</v>
      </c>
      <c r="H29" s="13">
        <v>0</v>
      </c>
      <c r="I29" s="13">
        <v>0</v>
      </c>
      <c r="J29" s="13"/>
      <c r="K29" s="13"/>
      <c r="L29" s="13"/>
      <c r="M29" s="13"/>
      <c r="N29" s="13"/>
      <c r="O29" s="13"/>
      <c r="P29" s="13"/>
      <c r="Q29" s="13"/>
      <c r="R29" s="77"/>
      <c r="X29" s="13">
        <f t="shared" si="9"/>
        <v>0</v>
      </c>
    </row>
    <row r="30" spans="1:24" x14ac:dyDescent="0.3">
      <c r="A30" s="10" t="s">
        <v>41</v>
      </c>
      <c r="B30" s="10" t="s">
        <v>42</v>
      </c>
      <c r="C30" s="13">
        <v>33752</v>
      </c>
      <c r="D30" s="13">
        <v>35751</v>
      </c>
      <c r="E30" s="13">
        <v>40212</v>
      </c>
      <c r="F30" s="13">
        <v>41461</v>
      </c>
      <c r="G30" s="13">
        <v>41461</v>
      </c>
      <c r="H30" s="13">
        <v>43954</v>
      </c>
      <c r="I30" s="13">
        <v>50612</v>
      </c>
      <c r="J30" s="13">
        <f>P30</f>
        <v>43748</v>
      </c>
      <c r="K30" s="13">
        <f>K31*K9</f>
        <v>44334.622245954415</v>
      </c>
      <c r="L30" s="13">
        <f>L31*L9</f>
        <v>44897.157347983033</v>
      </c>
      <c r="M30" s="13">
        <f>M31*M9</f>
        <v>45442.99684391047</v>
      </c>
      <c r="N30" s="13">
        <f>N31*N9</f>
        <v>45971.900815995621</v>
      </c>
      <c r="O30" s="13">
        <f>O31*O9</f>
        <v>46467.769584304944</v>
      </c>
      <c r="P30" s="13">
        <f>Q30*4/3</f>
        <v>43748</v>
      </c>
      <c r="Q30" s="13">
        <v>32811</v>
      </c>
      <c r="R30" s="77"/>
      <c r="X30" s="13">
        <f t="shared" si="9"/>
        <v>44334.622245954415</v>
      </c>
    </row>
    <row r="31" spans="1:24" s="35" customFormat="1" x14ac:dyDescent="0.3">
      <c r="A31" s="33" t="s">
        <v>435</v>
      </c>
      <c r="B31" s="33"/>
      <c r="C31" s="36">
        <f t="shared" ref="C31:J31" si="25">(C30+C29)/C9</f>
        <v>0.97731304768560834</v>
      </c>
      <c r="D31" s="36">
        <f t="shared" si="25"/>
        <v>0.98258617152236361</v>
      </c>
      <c r="E31" s="36">
        <f t="shared" si="25"/>
        <v>0.97299270072992705</v>
      </c>
      <c r="F31" s="36">
        <f t="shared" si="25"/>
        <v>0.98167396708890731</v>
      </c>
      <c r="G31" s="36">
        <f t="shared" si="25"/>
        <v>0.98636817814150446</v>
      </c>
      <c r="H31" s="36">
        <f t="shared" si="25"/>
        <v>1.0462996024661382</v>
      </c>
      <c r="I31" s="36">
        <f t="shared" si="25"/>
        <v>1.0245966354232039</v>
      </c>
      <c r="J31" s="36">
        <f t="shared" si="25"/>
        <v>1.0096624303781887</v>
      </c>
      <c r="K31" s="36">
        <f>J31-$T$31</f>
        <v>1.0037673069092834</v>
      </c>
      <c r="L31" s="36">
        <f t="shared" ref="L31:O31" si="26">K31-$T$31</f>
        <v>0.99787218344037809</v>
      </c>
      <c r="M31" s="36">
        <f t="shared" si="26"/>
        <v>0.99197705997147279</v>
      </c>
      <c r="N31" s="36">
        <f t="shared" si="26"/>
        <v>0.98608193650256748</v>
      </c>
      <c r="O31" s="36">
        <f t="shared" si="26"/>
        <v>0.98018681303366217</v>
      </c>
      <c r="P31" s="36"/>
      <c r="Q31" s="36"/>
      <c r="R31" s="73" t="s">
        <v>514</v>
      </c>
      <c r="S31" s="87">
        <f>AVERAGE(C31:G31)</f>
        <v>0.98018681303366217</v>
      </c>
      <c r="T31" s="35">
        <f>(J31-S31)/5</f>
        <v>5.8951234689053056E-3</v>
      </c>
      <c r="X31" s="36">
        <f t="shared" si="9"/>
        <v>1.0037673069092834</v>
      </c>
    </row>
    <row r="32" spans="1:24" x14ac:dyDescent="0.3">
      <c r="A32" s="10" t="s">
        <v>43</v>
      </c>
      <c r="B32" s="10" t="s">
        <v>44</v>
      </c>
      <c r="C32" s="13">
        <v>5176</v>
      </c>
      <c r="D32" s="13">
        <v>5607</v>
      </c>
      <c r="E32" s="13">
        <v>4013</v>
      </c>
      <c r="F32" s="13">
        <v>6464</v>
      </c>
      <c r="G32" s="13">
        <v>5214</v>
      </c>
      <c r="H32" s="13">
        <v>5538</v>
      </c>
      <c r="I32" s="13">
        <v>3692</v>
      </c>
      <c r="J32" s="13">
        <f>P32</f>
        <v>7273.333333333333</v>
      </c>
      <c r="K32" s="13">
        <f>K33*'Bal Sheet - Standardized'!N28</f>
        <v>7072.0937575727512</v>
      </c>
      <c r="L32" s="13">
        <f>L33*'Bal Sheet - Standardized'!O28</f>
        <v>6855.6929244510166</v>
      </c>
      <c r="M32" s="13">
        <f>M33*'Bal Sheet - Standardized'!P28</f>
        <v>6625.5023546196599</v>
      </c>
      <c r="N32" s="13">
        <f>N33*'Bal Sheet - Standardized'!Q28</f>
        <v>6381.6347935402791</v>
      </c>
      <c r="O32" s="13">
        <f>O33*'Bal Sheet - Standardized'!R28</f>
        <v>6122.123759338695</v>
      </c>
      <c r="P32" s="13">
        <f>Q32*4/3</f>
        <v>7273.333333333333</v>
      </c>
      <c r="Q32" s="13">
        <v>5455</v>
      </c>
      <c r="R32" s="77"/>
      <c r="U32" t="s">
        <v>439</v>
      </c>
      <c r="X32" s="13">
        <f t="shared" si="9"/>
        <v>7072.0937575727512</v>
      </c>
    </row>
    <row r="33" spans="1:24" s="35" customFormat="1" x14ac:dyDescent="0.3">
      <c r="A33" s="33" t="s">
        <v>457</v>
      </c>
      <c r="B33" s="33"/>
      <c r="C33" s="36">
        <f>C32/'Bal Sheet - Standardized'!F28</f>
        <v>3.0008232552207137E-2</v>
      </c>
      <c r="D33" s="36">
        <f>D32/'Bal Sheet - Standardized'!G28</f>
        <v>3.0720257728004911E-2</v>
      </c>
      <c r="E33" s="36">
        <f>E32/'Bal Sheet - Standardized'!H28</f>
        <v>2.1846232572825312E-2</v>
      </c>
      <c r="F33" s="36">
        <f>F32/'Bal Sheet - Standardized'!I28</f>
        <v>3.3557081821343843E-2</v>
      </c>
      <c r="G33" s="36">
        <f>G32/'Bal Sheet - Standardized'!J28</f>
        <v>2.5412328927359926E-2</v>
      </c>
      <c r="H33" s="36">
        <f>H32/'Bal Sheet - Standardized'!K28</f>
        <v>2.721737036363547E-2</v>
      </c>
      <c r="I33" s="36">
        <f>I32/'Bal Sheet - Standardized'!L28</f>
        <v>1.8179848534089677E-2</v>
      </c>
      <c r="J33" s="36">
        <f>J32/'Bal Sheet - Standardized'!M28</f>
        <v>3.3998183231821799E-2</v>
      </c>
      <c r="K33" s="36">
        <f>J33-$T$33</f>
        <v>3.2429650583699413E-2</v>
      </c>
      <c r="L33" s="36">
        <f t="shared" ref="L33:O33" si="27">K33-$T$33</f>
        <v>3.0861117935577023E-2</v>
      </c>
      <c r="M33" s="36">
        <f t="shared" si="27"/>
        <v>2.9292585287454632E-2</v>
      </c>
      <c r="N33" s="36">
        <f t="shared" si="27"/>
        <v>2.7724052639332242E-2</v>
      </c>
      <c r="O33" s="36">
        <f t="shared" si="27"/>
        <v>2.6155519991209852E-2</v>
      </c>
      <c r="P33" s="13"/>
      <c r="Q33" s="13"/>
      <c r="R33" s="73" t="s">
        <v>515</v>
      </c>
      <c r="S33" s="87">
        <f>AVERAGE(D33:I33)</f>
        <v>2.6155519991209856E-2</v>
      </c>
      <c r="T33" s="35">
        <f>(J33-S33)/5</f>
        <v>1.5685326481223887E-3</v>
      </c>
      <c r="X33" s="36">
        <f t="shared" si="9"/>
        <v>3.2429650583699413E-2</v>
      </c>
    </row>
    <row r="34" spans="1:24" x14ac:dyDescent="0.3">
      <c r="A34" s="10" t="s">
        <v>45</v>
      </c>
      <c r="B34" s="10" t="s">
        <v>46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/>
      <c r="K34" s="13"/>
      <c r="L34" s="13"/>
      <c r="M34" s="13"/>
      <c r="N34" s="13"/>
      <c r="O34" s="13"/>
      <c r="P34" s="13"/>
      <c r="Q34" s="13"/>
      <c r="R34" s="77"/>
      <c r="X34" s="13">
        <f t="shared" si="9"/>
        <v>0</v>
      </c>
    </row>
    <row r="35" spans="1:24" x14ac:dyDescent="0.3">
      <c r="A35" s="10"/>
      <c r="B35" s="1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77"/>
      <c r="X35" s="13">
        <f t="shared" si="9"/>
        <v>0</v>
      </c>
    </row>
    <row r="36" spans="1:24" x14ac:dyDescent="0.3">
      <c r="A36" s="6" t="s">
        <v>47</v>
      </c>
      <c r="B36" s="6" t="s">
        <v>48</v>
      </c>
      <c r="C36" s="18">
        <v>13815</v>
      </c>
      <c r="D36" s="18">
        <v>13723</v>
      </c>
      <c r="E36" s="18">
        <v>13843</v>
      </c>
      <c r="F36" s="18">
        <v>13945</v>
      </c>
      <c r="G36" s="18">
        <v>13327</v>
      </c>
      <c r="H36" s="18">
        <v>12542</v>
      </c>
      <c r="I36" s="18">
        <v>11797</v>
      </c>
      <c r="J36" s="18">
        <f>P36</f>
        <v>10152</v>
      </c>
      <c r="K36" s="18">
        <f>K37*K9</f>
        <v>12534.086389394593</v>
      </c>
      <c r="L36" s="18">
        <f>L37*L9</f>
        <v>12768.110891772769</v>
      </c>
      <c r="M36" s="18">
        <f>M37*M9</f>
        <v>13000.140708296827</v>
      </c>
      <c r="N36" s="18">
        <f>N37*N9</f>
        <v>13230.071019319194</v>
      </c>
      <c r="O36" s="18">
        <f>O37*O9</f>
        <v>13453.202814955632</v>
      </c>
      <c r="P36" s="18">
        <f>P40+P42</f>
        <v>10152</v>
      </c>
      <c r="Q36" s="18">
        <f>Q40+Q42</f>
        <v>7614</v>
      </c>
      <c r="R36" s="76"/>
      <c r="X36" s="18">
        <f t="shared" si="9"/>
        <v>12534.086389394593</v>
      </c>
    </row>
    <row r="37" spans="1:24" s="35" customFormat="1" x14ac:dyDescent="0.3">
      <c r="A37" s="33" t="s">
        <v>435</v>
      </c>
      <c r="B37" s="33"/>
      <c r="C37" s="36">
        <f t="shared" ref="C37:J37" si="28">C36/C9</f>
        <v>0.37135100263426696</v>
      </c>
      <c r="D37" s="36">
        <f t="shared" si="28"/>
        <v>0.35194398851046371</v>
      </c>
      <c r="E37" s="36">
        <f t="shared" si="28"/>
        <v>0.31576186131386863</v>
      </c>
      <c r="F37" s="36">
        <f t="shared" si="28"/>
        <v>0.33017639398603055</v>
      </c>
      <c r="G37" s="36">
        <f t="shared" si="28"/>
        <v>0.31705286196888233</v>
      </c>
      <c r="H37" s="36">
        <f t="shared" si="28"/>
        <v>0.29855507153229072</v>
      </c>
      <c r="I37" s="36">
        <f t="shared" si="28"/>
        <v>0.23882017126546146</v>
      </c>
      <c r="J37" s="36">
        <f t="shared" si="28"/>
        <v>0.23429855063544325</v>
      </c>
      <c r="K37" s="36">
        <f>AVERAGE(F37:J37)</f>
        <v>0.2837806098776216</v>
      </c>
      <c r="L37" s="36">
        <f>K37</f>
        <v>0.2837806098776216</v>
      </c>
      <c r="M37" s="36">
        <f t="shared" ref="M37:O37" si="29">L37</f>
        <v>0.2837806098776216</v>
      </c>
      <c r="N37" s="36">
        <f t="shared" si="29"/>
        <v>0.2837806098776216</v>
      </c>
      <c r="O37" s="36">
        <f t="shared" si="29"/>
        <v>0.2837806098776216</v>
      </c>
      <c r="P37" s="36"/>
      <c r="Q37" s="36"/>
      <c r="R37" s="73"/>
      <c r="X37" s="36">
        <f t="shared" si="9"/>
        <v>0.2837806098776216</v>
      </c>
    </row>
    <row r="38" spans="1:24" x14ac:dyDescent="0.3">
      <c r="A38" s="10" t="s">
        <v>49</v>
      </c>
      <c r="B38" s="10" t="s">
        <v>50</v>
      </c>
      <c r="C38" s="13">
        <v>912</v>
      </c>
      <c r="D38" s="13">
        <v>911</v>
      </c>
      <c r="E38" s="13">
        <v>939</v>
      </c>
      <c r="F38" s="13">
        <v>0</v>
      </c>
      <c r="G38" s="13">
        <v>0</v>
      </c>
      <c r="H38" s="13">
        <v>0</v>
      </c>
      <c r="I38" s="13">
        <v>0</v>
      </c>
      <c r="J38" s="13"/>
      <c r="K38" s="13"/>
      <c r="L38" s="13"/>
      <c r="M38" s="13"/>
      <c r="N38" s="13"/>
      <c r="O38" s="13"/>
      <c r="P38" s="13"/>
      <c r="Q38" s="13"/>
      <c r="R38" s="77"/>
      <c r="X38" s="13">
        <f t="shared" si="9"/>
        <v>0</v>
      </c>
    </row>
    <row r="39" spans="1:24" x14ac:dyDescent="0.3">
      <c r="A39" s="10" t="s">
        <v>51</v>
      </c>
      <c r="B39" s="10" t="s">
        <v>52</v>
      </c>
      <c r="C39" s="13">
        <v>912</v>
      </c>
      <c r="D39" s="13">
        <v>911</v>
      </c>
      <c r="E39" s="13">
        <v>939</v>
      </c>
      <c r="F39" s="13">
        <v>0</v>
      </c>
      <c r="G39" s="13" t="s">
        <v>294</v>
      </c>
      <c r="H39" s="13" t="s">
        <v>294</v>
      </c>
      <c r="I39" s="13">
        <v>0</v>
      </c>
      <c r="J39" s="13"/>
      <c r="K39" s="13"/>
      <c r="L39" s="13"/>
      <c r="M39" s="13"/>
      <c r="N39" s="13"/>
      <c r="O39" s="13"/>
      <c r="P39" s="13"/>
      <c r="Q39" s="13"/>
      <c r="R39" s="77"/>
      <c r="X39" s="13">
        <f t="shared" si="9"/>
        <v>0</v>
      </c>
    </row>
    <row r="40" spans="1:24" x14ac:dyDescent="0.3">
      <c r="A40" s="10" t="s">
        <v>53</v>
      </c>
      <c r="B40" s="10" t="s">
        <v>54</v>
      </c>
      <c r="C40" s="13">
        <v>11680</v>
      </c>
      <c r="D40" s="13">
        <v>11581</v>
      </c>
      <c r="E40" s="13">
        <v>11653</v>
      </c>
      <c r="F40" s="13">
        <v>13229</v>
      </c>
      <c r="G40" s="13">
        <v>12135</v>
      </c>
      <c r="H40" s="13">
        <v>11863</v>
      </c>
      <c r="I40" s="13">
        <v>11764</v>
      </c>
      <c r="J40" s="13">
        <f>P40</f>
        <v>9586.6666666666661</v>
      </c>
      <c r="K40" s="13"/>
      <c r="L40" s="13"/>
      <c r="M40" s="13"/>
      <c r="N40" s="13"/>
      <c r="O40" s="13"/>
      <c r="P40" s="13">
        <f>Q40*4/3</f>
        <v>9586.6666666666661</v>
      </c>
      <c r="Q40" s="13">
        <v>7190</v>
      </c>
      <c r="R40" s="77"/>
      <c r="X40" s="13">
        <f t="shared" si="9"/>
        <v>0</v>
      </c>
    </row>
    <row r="41" spans="1:24" x14ac:dyDescent="0.3">
      <c r="A41" s="10" t="s">
        <v>55</v>
      </c>
      <c r="B41" s="10" t="s">
        <v>56</v>
      </c>
      <c r="C41" s="13">
        <v>11680</v>
      </c>
      <c r="D41" s="13">
        <v>11581</v>
      </c>
      <c r="E41" s="13">
        <v>11653</v>
      </c>
      <c r="F41" s="13">
        <v>13229</v>
      </c>
      <c r="G41" s="13">
        <v>12135</v>
      </c>
      <c r="H41" s="13">
        <v>11863</v>
      </c>
      <c r="I41" s="13">
        <v>11764</v>
      </c>
      <c r="J41" s="13"/>
      <c r="K41" s="13"/>
      <c r="L41" s="13"/>
      <c r="M41" s="13"/>
      <c r="N41" s="13"/>
      <c r="O41" s="13"/>
      <c r="P41" s="13"/>
      <c r="Q41" s="13"/>
      <c r="R41" s="77"/>
      <c r="X41" s="13">
        <f t="shared" si="9"/>
        <v>0</v>
      </c>
    </row>
    <row r="42" spans="1:24" x14ac:dyDescent="0.3">
      <c r="A42" s="10" t="s">
        <v>57</v>
      </c>
      <c r="B42" s="10" t="s">
        <v>58</v>
      </c>
      <c r="C42" s="13">
        <v>1223</v>
      </c>
      <c r="D42" s="13">
        <v>1231</v>
      </c>
      <c r="E42" s="13">
        <v>1251</v>
      </c>
      <c r="F42" s="13">
        <v>716</v>
      </c>
      <c r="G42" s="13">
        <v>1192</v>
      </c>
      <c r="H42" s="13">
        <v>679</v>
      </c>
      <c r="I42" s="13">
        <v>33</v>
      </c>
      <c r="J42" s="13">
        <f>P42</f>
        <v>565.33333333333337</v>
      </c>
      <c r="K42" s="13"/>
      <c r="L42" s="13"/>
      <c r="M42" s="13"/>
      <c r="N42" s="13"/>
      <c r="O42" s="13"/>
      <c r="P42" s="13">
        <f>Q42*4/3</f>
        <v>565.33333333333337</v>
      </c>
      <c r="Q42" s="13">
        <f>463+1448-20-42-1425</f>
        <v>424</v>
      </c>
      <c r="R42" s="77"/>
      <c r="T42">
        <f>51313-50612-2558+1931-41</f>
        <v>33</v>
      </c>
      <c r="U42" t="s">
        <v>438</v>
      </c>
      <c r="X42" s="13">
        <f t="shared" si="9"/>
        <v>0</v>
      </c>
    </row>
    <row r="43" spans="1:24" x14ac:dyDescent="0.3">
      <c r="A43" s="10"/>
      <c r="B43" s="1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77"/>
      <c r="X43" s="13">
        <f t="shared" si="9"/>
        <v>0</v>
      </c>
    </row>
    <row r="44" spans="1:24" x14ac:dyDescent="0.3">
      <c r="A44" s="6" t="s">
        <v>59</v>
      </c>
      <c r="B44" s="6" t="s">
        <v>60</v>
      </c>
      <c r="C44" s="18">
        <f t="shared" ref="C44:Q44" si="30">C6-C26</f>
        <v>5438</v>
      </c>
      <c r="D44" s="18">
        <f t="shared" si="30"/>
        <v>4665</v>
      </c>
      <c r="E44" s="18">
        <f t="shared" si="30"/>
        <v>7429</v>
      </c>
      <c r="F44" s="18">
        <f t="shared" si="30"/>
        <v>7750</v>
      </c>
      <c r="G44" s="18">
        <f t="shared" si="30"/>
        <v>7840</v>
      </c>
      <c r="H44" s="18">
        <f t="shared" si="30"/>
        <v>9046</v>
      </c>
      <c r="I44" s="18">
        <f t="shared" si="30"/>
        <v>3797</v>
      </c>
      <c r="J44" s="18">
        <f t="shared" si="30"/>
        <v>2662.6666666666715</v>
      </c>
      <c r="K44" s="18">
        <f t="shared" si="30"/>
        <v>3816.5539869991044</v>
      </c>
      <c r="L44" s="18">
        <f t="shared" si="30"/>
        <v>7768.3347970907344</v>
      </c>
      <c r="M44" s="18">
        <f t="shared" si="30"/>
        <v>7933.2830423107589</v>
      </c>
      <c r="N44" s="18">
        <f t="shared" si="30"/>
        <v>8097.7950021611905</v>
      </c>
      <c r="O44" s="18">
        <f t="shared" si="30"/>
        <v>8258.9744158446847</v>
      </c>
      <c r="P44" s="18">
        <f t="shared" si="30"/>
        <v>2662.6666666666788</v>
      </c>
      <c r="Q44" s="18">
        <f t="shared" si="30"/>
        <v>1997</v>
      </c>
      <c r="R44" s="76"/>
      <c r="X44" s="18">
        <f>X6-X26</f>
        <v>7605.7737167596206</v>
      </c>
    </row>
    <row r="45" spans="1:24" s="35" customFormat="1" x14ac:dyDescent="0.3">
      <c r="A45" s="33" t="s">
        <v>413</v>
      </c>
      <c r="B45" s="33"/>
      <c r="C45" s="36">
        <f t="shared" ref="C45:O45" si="31">C44/C6</f>
        <v>8.9459917416552875E-2</v>
      </c>
      <c r="D45" s="36">
        <f t="shared" si="31"/>
        <v>7.4870000641972134E-2</v>
      </c>
      <c r="E45" s="36">
        <f t="shared" si="31"/>
        <v>0.10934487275724526</v>
      </c>
      <c r="F45" s="36">
        <f t="shared" si="31"/>
        <v>0.11131858661304223</v>
      </c>
      <c r="G45" s="36">
        <f t="shared" si="31"/>
        <v>0.1155626308186669</v>
      </c>
      <c r="H45" s="36">
        <f t="shared" si="31"/>
        <v>0.12726505346088915</v>
      </c>
      <c r="I45" s="36">
        <f t="shared" si="31"/>
        <v>5.4322012074737476E-2</v>
      </c>
      <c r="J45" s="36">
        <f t="shared" si="31"/>
        <v>4.1711051235457597E-2</v>
      </c>
      <c r="K45" s="36">
        <f t="shared" si="31"/>
        <v>5.6326784144283666E-2</v>
      </c>
      <c r="L45" s="36">
        <f t="shared" si="31"/>
        <v>0.10746175756435319</v>
      </c>
      <c r="M45" s="36">
        <f t="shared" si="31"/>
        <v>0.1086722475493978</v>
      </c>
      <c r="N45" s="36">
        <f t="shared" si="31"/>
        <v>0.10990283603335273</v>
      </c>
      <c r="O45" s="36">
        <f t="shared" si="31"/>
        <v>0.11115402776790639</v>
      </c>
      <c r="P45" s="36"/>
      <c r="Q45" s="36"/>
      <c r="R45" s="73"/>
      <c r="X45" s="36">
        <f t="shared" si="9"/>
        <v>5.6326784144283666E-2</v>
      </c>
    </row>
    <row r="46" spans="1:24" x14ac:dyDescent="0.3">
      <c r="A46" s="10" t="s">
        <v>61</v>
      </c>
      <c r="B46" s="10" t="s">
        <v>62</v>
      </c>
      <c r="C46" s="13">
        <v>1157</v>
      </c>
      <c r="D46" s="13">
        <v>1129</v>
      </c>
      <c r="E46" s="13">
        <v>1122</v>
      </c>
      <c r="F46" s="13">
        <v>955</v>
      </c>
      <c r="G46" s="13">
        <v>913</v>
      </c>
      <c r="H46" s="13">
        <v>920</v>
      </c>
      <c r="I46" s="13">
        <v>938</v>
      </c>
      <c r="J46" s="13">
        <f>P46</f>
        <v>1034.6666666666667</v>
      </c>
      <c r="K46" s="13">
        <f>K47*('Bal Sheet - Standardized'!N34+'Bal Sheet - Standardized'!N37)</f>
        <v>1098.505032291109</v>
      </c>
      <c r="L46" s="13">
        <f>L47*('Bal Sheet - Standardized'!O34+'Bal Sheet - Standardized'!O37)</f>
        <v>1044.29109465486</v>
      </c>
      <c r="M46" s="13">
        <f>M47*('Bal Sheet - Standardized'!P34+'Bal Sheet - Standardized'!P37)</f>
        <v>1052.400526865948</v>
      </c>
      <c r="N46" s="13">
        <f>N47*('Bal Sheet - Standardized'!Q34+'Bal Sheet - Standardized'!Q37)</f>
        <v>1061.9128809268507</v>
      </c>
      <c r="O46" s="13">
        <f>O47*('Bal Sheet - Standardized'!R34+'Bal Sheet - Standardized'!R37)</f>
        <v>1072.9081594367508</v>
      </c>
      <c r="P46" s="13">
        <f>Q46*4/3</f>
        <v>1034.6666666666667</v>
      </c>
      <c r="Q46" s="13">
        <v>776</v>
      </c>
      <c r="R46" s="77"/>
      <c r="X46" s="13">
        <f t="shared" si="9"/>
        <v>1098.505032291109</v>
      </c>
    </row>
    <row r="47" spans="1:24" s="35" customFormat="1" x14ac:dyDescent="0.3">
      <c r="A47" s="33" t="s">
        <v>458</v>
      </c>
      <c r="B47" s="33"/>
      <c r="C47" s="36">
        <f>C46/('Bal Sheet - Standardized'!F34+'Bal Sheet - Standardized'!F37)</f>
        <v>5.4766638265644228E-2</v>
      </c>
      <c r="D47" s="36">
        <f>D46/('Bal Sheet - Standardized'!G34+'Bal Sheet - Standardized'!G37)</f>
        <v>5.5267280203642057E-2</v>
      </c>
      <c r="E47" s="36">
        <f>E46/('Bal Sheet - Standardized'!H34+'Bal Sheet - Standardized'!H37)</f>
        <v>6.4840499306518723E-2</v>
      </c>
      <c r="F47" s="36">
        <f>F46/('Bal Sheet - Standardized'!I34+'Bal Sheet - Standardized'!I37)</f>
        <v>4.897938250076931E-2</v>
      </c>
      <c r="G47" s="36">
        <f>G46/('Bal Sheet - Standardized'!J34+'Bal Sheet - Standardized'!J37)</f>
        <v>4.4614933541829556E-2</v>
      </c>
      <c r="H47" s="36">
        <f>H46/('Bal Sheet - Standardized'!K34+'Bal Sheet - Standardized'!K37)</f>
        <v>4.7201272382125084E-2</v>
      </c>
      <c r="I47" s="36">
        <f>I46/('Bal Sheet - Standardized'!L34+'Bal Sheet - Standardized'!L37)</f>
        <v>4.7271077962001716E-2</v>
      </c>
      <c r="J47" s="36">
        <f>J46/('Bal Sheet - Standardized'!M34+'Bal Sheet - Standardized'!M37)</f>
        <v>5.8114984382913869E-2</v>
      </c>
      <c r="K47" s="36">
        <f>J47</f>
        <v>5.8114984382913869E-2</v>
      </c>
      <c r="L47" s="36">
        <f>S47</f>
        <v>5.1848726308932946E-2</v>
      </c>
      <c r="M47" s="36">
        <f>L47</f>
        <v>5.1848726308932946E-2</v>
      </c>
      <c r="N47" s="36">
        <f t="shared" ref="N47:O47" si="32">M47</f>
        <v>5.1848726308932946E-2</v>
      </c>
      <c r="O47" s="36">
        <f t="shared" si="32"/>
        <v>5.1848726308932946E-2</v>
      </c>
      <c r="P47" s="36"/>
      <c r="Q47" s="36"/>
      <c r="R47" s="73" t="s">
        <v>516</v>
      </c>
      <c r="S47" s="61">
        <f>AVERAGE(C47:I47)</f>
        <v>5.1848726308932946E-2</v>
      </c>
      <c r="X47" s="36">
        <f t="shared" si="9"/>
        <v>5.8114984382913869E-2</v>
      </c>
    </row>
    <row r="48" spans="1:24" x14ac:dyDescent="0.3">
      <c r="A48" s="6"/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76"/>
      <c r="X48" s="18">
        <f t="shared" si="9"/>
        <v>0</v>
      </c>
    </row>
    <row r="49" spans="1:24" x14ac:dyDescent="0.3">
      <c r="A49" s="6" t="s">
        <v>64</v>
      </c>
      <c r="B49" s="6" t="s">
        <v>63</v>
      </c>
      <c r="C49" s="18">
        <f>C44-C46</f>
        <v>4281</v>
      </c>
      <c r="D49" s="18">
        <f t="shared" ref="D49:Q49" si="33">D44-D46</f>
        <v>3536</v>
      </c>
      <c r="E49" s="18">
        <f t="shared" si="33"/>
        <v>6307</v>
      </c>
      <c r="F49" s="18">
        <f t="shared" si="33"/>
        <v>6795</v>
      </c>
      <c r="G49" s="18">
        <f t="shared" si="33"/>
        <v>6927</v>
      </c>
      <c r="H49" s="18">
        <f t="shared" si="33"/>
        <v>8126</v>
      </c>
      <c r="I49" s="18">
        <f t="shared" si="33"/>
        <v>2859</v>
      </c>
      <c r="J49" s="18">
        <f t="shared" si="33"/>
        <v>1628.0000000000048</v>
      </c>
      <c r="K49" s="18">
        <f t="shared" si="33"/>
        <v>2718.0489547079951</v>
      </c>
      <c r="L49" s="18">
        <f t="shared" si="33"/>
        <v>6724.0437024358744</v>
      </c>
      <c r="M49" s="18">
        <f t="shared" si="33"/>
        <v>6880.8825154448114</v>
      </c>
      <c r="N49" s="18">
        <f t="shared" si="33"/>
        <v>7035.88212123434</v>
      </c>
      <c r="O49" s="18">
        <f t="shared" si="33"/>
        <v>7186.0662564079339</v>
      </c>
      <c r="P49" s="18">
        <f>Q49*4/3</f>
        <v>1628</v>
      </c>
      <c r="Q49" s="18">
        <f t="shared" si="33"/>
        <v>1221</v>
      </c>
      <c r="R49" s="76"/>
      <c r="X49" s="18">
        <f>X44-X46</f>
        <v>6507.2686844685113</v>
      </c>
    </row>
    <row r="50" spans="1:24" x14ac:dyDescent="0.3">
      <c r="A50" s="10" t="s">
        <v>65</v>
      </c>
      <c r="B50" s="10" t="s">
        <v>66</v>
      </c>
      <c r="C50" s="13">
        <v>693</v>
      </c>
      <c r="D50" s="13">
        <v>-1470</v>
      </c>
      <c r="E50" s="13">
        <v>1179</v>
      </c>
      <c r="F50" s="13">
        <v>886</v>
      </c>
      <c r="G50" s="13">
        <v>1509</v>
      </c>
      <c r="H50" s="13">
        <v>1551</v>
      </c>
      <c r="I50" s="13">
        <v>301</v>
      </c>
      <c r="J50" s="13">
        <f>P50</f>
        <v>310.66666666666669</v>
      </c>
      <c r="K50" s="13">
        <f t="shared" ref="K50:O50" si="34">K51*K49</f>
        <v>570.79028048867895</v>
      </c>
      <c r="L50" s="13">
        <f t="shared" si="34"/>
        <v>1412.0491775115336</v>
      </c>
      <c r="M50" s="13">
        <f t="shared" si="34"/>
        <v>1444.9853282434103</v>
      </c>
      <c r="N50" s="13">
        <f t="shared" si="34"/>
        <v>1477.5352454592114</v>
      </c>
      <c r="O50" s="13">
        <f t="shared" si="34"/>
        <v>1509.0739138456661</v>
      </c>
      <c r="P50" s="13">
        <f>Q50*4/3</f>
        <v>310.66666666666669</v>
      </c>
      <c r="Q50" s="13">
        <v>233</v>
      </c>
      <c r="R50" s="77"/>
      <c r="S50" s="35"/>
      <c r="X50" s="13">
        <f>X51*X49</f>
        <v>1366.5264237383874</v>
      </c>
    </row>
    <row r="51" spans="1:24" s="35" customFormat="1" x14ac:dyDescent="0.3">
      <c r="A51" s="128" t="s">
        <v>414</v>
      </c>
      <c r="B51" s="128"/>
      <c r="C51" s="71">
        <f>C50/C49</f>
        <v>0.1618780658724597</v>
      </c>
      <c r="D51" s="71">
        <f t="shared" ref="D51:I51" si="35">D50/D49</f>
        <v>-0.41572398190045251</v>
      </c>
      <c r="E51" s="71">
        <f t="shared" si="35"/>
        <v>0.1869351514190582</v>
      </c>
      <c r="F51" s="71">
        <f t="shared" si="35"/>
        <v>0.13038999264164827</v>
      </c>
      <c r="G51" s="71">
        <f t="shared" si="35"/>
        <v>0.21784322217410135</v>
      </c>
      <c r="H51" s="71">
        <f t="shared" si="35"/>
        <v>0.19086881614570514</v>
      </c>
      <c r="I51" s="71">
        <f t="shared" si="35"/>
        <v>0.10528156698146204</v>
      </c>
      <c r="J51" s="71">
        <f>J50/J49</f>
        <v>0.19082719082719027</v>
      </c>
      <c r="K51" s="71">
        <f>'Cost.E'!C9</f>
        <v>0.21</v>
      </c>
      <c r="L51" s="71">
        <f>K51</f>
        <v>0.21</v>
      </c>
      <c r="M51" s="71">
        <f t="shared" ref="M51:O51" si="36">L51</f>
        <v>0.21</v>
      </c>
      <c r="N51" s="71">
        <f t="shared" si="36"/>
        <v>0.21</v>
      </c>
      <c r="O51" s="71">
        <f t="shared" si="36"/>
        <v>0.21</v>
      </c>
      <c r="P51" s="71"/>
      <c r="Q51" s="71"/>
      <c r="R51" s="129"/>
      <c r="X51" s="71">
        <f t="shared" si="9"/>
        <v>0.21</v>
      </c>
    </row>
    <row r="52" spans="1:24" x14ac:dyDescent="0.3">
      <c r="A52" s="10" t="s">
        <v>67</v>
      </c>
      <c r="B52" s="10" t="s">
        <v>68</v>
      </c>
      <c r="C52" s="13">
        <v>1151</v>
      </c>
      <c r="D52" s="13">
        <v>650</v>
      </c>
      <c r="E52" s="13">
        <v>736</v>
      </c>
      <c r="F52" s="13">
        <v>665</v>
      </c>
      <c r="G52" s="13">
        <v>1180</v>
      </c>
      <c r="H52" s="13">
        <v>895</v>
      </c>
      <c r="I52" s="13">
        <v>1278</v>
      </c>
      <c r="J52" s="13"/>
      <c r="K52" s="13"/>
      <c r="L52" s="13"/>
      <c r="M52" s="13"/>
      <c r="N52" s="13"/>
      <c r="O52" s="13"/>
      <c r="P52" s="13"/>
      <c r="Q52" s="13"/>
      <c r="R52" s="77"/>
      <c r="X52" s="13">
        <f t="shared" si="9"/>
        <v>0</v>
      </c>
    </row>
    <row r="53" spans="1:24" x14ac:dyDescent="0.3">
      <c r="A53" s="10" t="s">
        <v>69</v>
      </c>
      <c r="B53" s="10" t="s">
        <v>70</v>
      </c>
      <c r="C53" s="13">
        <v>-458</v>
      </c>
      <c r="D53" s="13">
        <v>-2120</v>
      </c>
      <c r="E53" s="13">
        <v>443</v>
      </c>
      <c r="F53" s="13">
        <v>221</v>
      </c>
      <c r="G53" s="13">
        <v>329</v>
      </c>
      <c r="H53" s="13">
        <v>656</v>
      </c>
      <c r="I53" s="13">
        <v>-977</v>
      </c>
      <c r="J53" s="13"/>
      <c r="K53" s="13"/>
      <c r="L53" s="13"/>
      <c r="M53" s="13"/>
      <c r="N53" s="13"/>
      <c r="O53" s="13"/>
      <c r="P53" s="13"/>
      <c r="Q53" s="13"/>
      <c r="R53" s="77"/>
      <c r="X53" s="13">
        <f t="shared" si="9"/>
        <v>0</v>
      </c>
    </row>
    <row r="54" spans="1:24" x14ac:dyDescent="0.3">
      <c r="A54" s="10" t="s">
        <v>71</v>
      </c>
      <c r="B54" s="10" t="s">
        <v>72</v>
      </c>
      <c r="C54" s="13" t="s">
        <v>294</v>
      </c>
      <c r="D54" s="13" t="s">
        <v>294</v>
      </c>
      <c r="E54" s="13" t="s">
        <v>294</v>
      </c>
      <c r="F54" s="13" t="s">
        <v>294</v>
      </c>
      <c r="G54" s="13" t="s">
        <v>294</v>
      </c>
      <c r="H54" s="13" t="s">
        <v>294</v>
      </c>
      <c r="I54" s="13" t="s">
        <v>294</v>
      </c>
      <c r="J54" s="13"/>
      <c r="K54" s="13"/>
      <c r="L54" s="13"/>
      <c r="M54" s="13"/>
      <c r="N54" s="13"/>
      <c r="O54" s="13"/>
      <c r="P54" s="13"/>
      <c r="Q54" s="13"/>
      <c r="R54" s="77"/>
      <c r="X54" s="13">
        <f t="shared" si="9"/>
        <v>0</v>
      </c>
    </row>
    <row r="55" spans="1:24" x14ac:dyDescent="0.3">
      <c r="A55" s="10"/>
      <c r="B55" s="1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77"/>
      <c r="X55" s="13">
        <f t="shared" si="9"/>
        <v>0</v>
      </c>
    </row>
    <row r="56" spans="1:24" x14ac:dyDescent="0.3">
      <c r="A56" s="6" t="s">
        <v>73</v>
      </c>
      <c r="B56" s="6" t="s">
        <v>74</v>
      </c>
      <c r="C56" s="18">
        <v>3588</v>
      </c>
      <c r="D56" s="18">
        <v>5006</v>
      </c>
      <c r="E56" s="18">
        <v>5128</v>
      </c>
      <c r="F56" s="18">
        <v>5909</v>
      </c>
      <c r="G56" s="18">
        <v>5418</v>
      </c>
      <c r="H56" s="18">
        <v>6575</v>
      </c>
      <c r="I56" s="18">
        <v>2558</v>
      </c>
      <c r="J56" s="18">
        <f>J49-J50</f>
        <v>1317.333333333338</v>
      </c>
      <c r="K56" s="18">
        <f t="shared" ref="K56:Q56" si="37">K49-K50</f>
        <v>2147.2586742193162</v>
      </c>
      <c r="L56" s="18">
        <f t="shared" si="37"/>
        <v>5311.994524924341</v>
      </c>
      <c r="M56" s="18">
        <f t="shared" si="37"/>
        <v>5435.8971872014008</v>
      </c>
      <c r="N56" s="18">
        <f t="shared" si="37"/>
        <v>5558.3468757751289</v>
      </c>
      <c r="O56" s="18">
        <f t="shared" si="37"/>
        <v>5676.9923425622674</v>
      </c>
      <c r="P56" s="18">
        <f t="shared" si="37"/>
        <v>1317.3333333333333</v>
      </c>
      <c r="Q56" s="18">
        <f t="shared" si="37"/>
        <v>988</v>
      </c>
      <c r="R56" s="76"/>
      <c r="X56" s="18">
        <f>X49-X50</f>
        <v>5140.7422607301241</v>
      </c>
    </row>
    <row r="57" spans="1:24" x14ac:dyDescent="0.3">
      <c r="A57" s="10" t="s">
        <v>75</v>
      </c>
      <c r="B57" s="10" t="s">
        <v>76</v>
      </c>
      <c r="C57" s="13">
        <v>2734</v>
      </c>
      <c r="D57" s="13">
        <v>986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/>
      <c r="K57" s="13"/>
      <c r="L57" s="13"/>
      <c r="M57" s="13"/>
      <c r="N57" s="13"/>
      <c r="O57" s="13"/>
      <c r="P57" s="13"/>
      <c r="Q57" s="13"/>
      <c r="R57" s="77"/>
      <c r="X57" s="13">
        <f t="shared" si="9"/>
        <v>0</v>
      </c>
    </row>
    <row r="58" spans="1:24" x14ac:dyDescent="0.3">
      <c r="A58" s="10" t="s">
        <v>77</v>
      </c>
      <c r="B58" s="10" t="s">
        <v>78</v>
      </c>
      <c r="C58" s="13">
        <v>2734</v>
      </c>
      <c r="D58" s="13">
        <v>986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/>
      <c r="K58" s="13"/>
      <c r="L58" s="13"/>
      <c r="M58" s="13"/>
      <c r="N58" s="13"/>
      <c r="O58" s="13"/>
      <c r="P58" s="13"/>
      <c r="Q58" s="13"/>
      <c r="R58" s="77"/>
      <c r="X58" s="13">
        <f t="shared" si="9"/>
        <v>0</v>
      </c>
    </row>
    <row r="59" spans="1:24" x14ac:dyDescent="0.3">
      <c r="A59" s="10" t="s">
        <v>79</v>
      </c>
      <c r="B59" s="10" t="s">
        <v>80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/>
      <c r="K59" s="13"/>
      <c r="L59" s="13"/>
      <c r="M59" s="13"/>
      <c r="N59" s="13"/>
      <c r="O59" s="13"/>
      <c r="P59" s="13"/>
      <c r="Q59" s="13"/>
      <c r="R59" s="77"/>
      <c r="X59" s="13">
        <f t="shared" si="9"/>
        <v>0</v>
      </c>
    </row>
    <row r="60" spans="1:24" x14ac:dyDescent="0.3">
      <c r="A60" s="10"/>
      <c r="B60" s="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77"/>
      <c r="X60" s="13">
        <f t="shared" si="9"/>
        <v>0</v>
      </c>
    </row>
    <row r="61" spans="1:24" x14ac:dyDescent="0.3">
      <c r="A61" s="6" t="s">
        <v>81</v>
      </c>
      <c r="B61" s="6" t="s">
        <v>82</v>
      </c>
      <c r="C61" s="18">
        <v>854</v>
      </c>
      <c r="D61" s="18">
        <v>4020</v>
      </c>
      <c r="E61" s="18">
        <v>5128</v>
      </c>
      <c r="F61" s="18">
        <v>5909</v>
      </c>
      <c r="G61" s="18">
        <v>5418</v>
      </c>
      <c r="H61" s="18">
        <v>6575</v>
      </c>
      <c r="I61" s="18">
        <v>2558</v>
      </c>
      <c r="J61" s="18">
        <f>J56</f>
        <v>1317.333333333338</v>
      </c>
      <c r="K61" s="18">
        <f t="shared" ref="K61:Q61" si="38">K56</f>
        <v>2147.2586742193162</v>
      </c>
      <c r="L61" s="18">
        <f t="shared" si="38"/>
        <v>5311.994524924341</v>
      </c>
      <c r="M61" s="18">
        <f t="shared" si="38"/>
        <v>5435.8971872014008</v>
      </c>
      <c r="N61" s="18">
        <f t="shared" si="38"/>
        <v>5558.3468757751289</v>
      </c>
      <c r="O61" s="18">
        <f t="shared" si="38"/>
        <v>5676.9923425622674</v>
      </c>
      <c r="P61" s="18">
        <f t="shared" si="38"/>
        <v>1317.3333333333333</v>
      </c>
      <c r="Q61" s="18">
        <f t="shared" si="38"/>
        <v>988</v>
      </c>
      <c r="R61" s="76"/>
      <c r="X61" s="18">
        <f>X56</f>
        <v>5140.7422607301241</v>
      </c>
    </row>
    <row r="62" spans="1:24" x14ac:dyDescent="0.3">
      <c r="A62" s="10" t="s">
        <v>83</v>
      </c>
      <c r="B62" s="10" t="s">
        <v>84</v>
      </c>
      <c r="C62" s="13">
        <v>4</v>
      </c>
      <c r="D62" s="13">
        <v>10</v>
      </c>
      <c r="E62" s="13">
        <v>5</v>
      </c>
      <c r="F62" s="13">
        <v>10</v>
      </c>
      <c r="G62" s="13">
        <v>11</v>
      </c>
      <c r="H62" s="13">
        <v>21</v>
      </c>
      <c r="I62" s="13">
        <v>19</v>
      </c>
      <c r="J62" s="13">
        <f>P62</f>
        <v>22.666666666666668</v>
      </c>
      <c r="K62" s="13">
        <f t="shared" ref="K62:O62" si="39">K63*K61</f>
        <v>13.549492181360925</v>
      </c>
      <c r="L62" s="13">
        <f t="shared" si="39"/>
        <v>33.519402737568385</v>
      </c>
      <c r="M62" s="13">
        <f t="shared" si="39"/>
        <v>34.301245267268811</v>
      </c>
      <c r="N62" s="13">
        <f t="shared" si="39"/>
        <v>35.073919336704357</v>
      </c>
      <c r="O62" s="13">
        <f t="shared" si="39"/>
        <v>35.822588252977674</v>
      </c>
      <c r="P62" s="13">
        <f>Q62*4/3</f>
        <v>22.666666666666668</v>
      </c>
      <c r="Q62" s="13">
        <v>17</v>
      </c>
      <c r="R62" s="77"/>
      <c r="X62" s="13">
        <f>X63*X61</f>
        <v>32.438777826094444</v>
      </c>
    </row>
    <row r="63" spans="1:24" s="35" customFormat="1" x14ac:dyDescent="0.3">
      <c r="A63" s="33" t="s">
        <v>415</v>
      </c>
      <c r="B63" s="33"/>
      <c r="C63" s="36">
        <f>C62/C61</f>
        <v>4.6838407494145199E-3</v>
      </c>
      <c r="D63" s="36">
        <f t="shared" ref="D63:I63" si="40">D62/D61</f>
        <v>2.4875621890547263E-3</v>
      </c>
      <c r="E63" s="36">
        <f t="shared" si="40"/>
        <v>9.7503900156006244E-4</v>
      </c>
      <c r="F63" s="36">
        <f t="shared" si="40"/>
        <v>1.6923337282112032E-3</v>
      </c>
      <c r="G63" s="36">
        <f t="shared" si="40"/>
        <v>2.0302694721299371E-3</v>
      </c>
      <c r="H63" s="36">
        <f t="shared" si="40"/>
        <v>3.1939163498098861E-3</v>
      </c>
      <c r="I63" s="36">
        <f t="shared" si="40"/>
        <v>7.4276778733385462E-3</v>
      </c>
      <c r="J63" s="36">
        <f>J62/J61</f>
        <v>1.7206477732793463E-2</v>
      </c>
      <c r="K63" s="36">
        <f>AVERAGE(F63:J63)</f>
        <v>6.3101350312566072E-3</v>
      </c>
      <c r="L63" s="36">
        <f t="shared" ref="L63:O63" si="41">K63</f>
        <v>6.3101350312566072E-3</v>
      </c>
      <c r="M63" s="36">
        <f t="shared" si="41"/>
        <v>6.3101350312566072E-3</v>
      </c>
      <c r="N63" s="36">
        <f t="shared" si="41"/>
        <v>6.3101350312566072E-3</v>
      </c>
      <c r="O63" s="36">
        <f t="shared" si="41"/>
        <v>6.3101350312566072E-3</v>
      </c>
      <c r="P63" s="36"/>
      <c r="Q63" s="36"/>
      <c r="R63" s="73"/>
      <c r="X63" s="36">
        <f t="shared" si="9"/>
        <v>6.3101350312566072E-3</v>
      </c>
    </row>
    <row r="64" spans="1:24" s="35" customFormat="1" x14ac:dyDescent="0.3">
      <c r="A64" s="33"/>
      <c r="B64" s="3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73"/>
      <c r="X64" s="36">
        <f t="shared" si="9"/>
        <v>0</v>
      </c>
    </row>
    <row r="65" spans="1:24" x14ac:dyDescent="0.3">
      <c r="A65" s="6" t="s">
        <v>85</v>
      </c>
      <c r="B65" s="6" t="s">
        <v>86</v>
      </c>
      <c r="C65" s="18">
        <v>850</v>
      </c>
      <c r="D65" s="18">
        <v>4010</v>
      </c>
      <c r="E65" s="18">
        <v>5123</v>
      </c>
      <c r="F65" s="18">
        <v>5899</v>
      </c>
      <c r="G65" s="18">
        <v>5407</v>
      </c>
      <c r="H65" s="18">
        <v>6554</v>
      </c>
      <c r="I65" s="18">
        <v>2539</v>
      </c>
      <c r="J65" s="18">
        <f>J61-J62</f>
        <v>1294.6666666666713</v>
      </c>
      <c r="K65" s="18">
        <f t="shared" ref="K65:Q65" si="42">K61-K62</f>
        <v>2133.7091820379551</v>
      </c>
      <c r="L65" s="18">
        <f t="shared" si="42"/>
        <v>5278.4751221867728</v>
      </c>
      <c r="M65" s="18">
        <f t="shared" si="42"/>
        <v>5401.5959419341316</v>
      </c>
      <c r="N65" s="18">
        <f t="shared" si="42"/>
        <v>5523.2729564384244</v>
      </c>
      <c r="O65" s="18">
        <f t="shared" si="42"/>
        <v>5641.1697543092896</v>
      </c>
      <c r="P65" s="18">
        <f t="shared" si="42"/>
        <v>1294.6666666666665</v>
      </c>
      <c r="Q65" s="18">
        <f t="shared" si="42"/>
        <v>971</v>
      </c>
      <c r="R65" s="76"/>
      <c r="X65" s="18">
        <f>X61-X62</f>
        <v>5108.3034829040298</v>
      </c>
    </row>
    <row r="66" spans="1:24" x14ac:dyDescent="0.3">
      <c r="A66" s="10" t="s">
        <v>87</v>
      </c>
      <c r="B66" s="10" t="s">
        <v>88</v>
      </c>
      <c r="C66" s="13">
        <v>103</v>
      </c>
      <c r="D66" s="13">
        <v>103</v>
      </c>
      <c r="E66" s="13">
        <v>141</v>
      </c>
      <c r="F66" s="13">
        <v>178</v>
      </c>
      <c r="G66" s="13">
        <v>202</v>
      </c>
      <c r="H66" s="13">
        <v>195</v>
      </c>
      <c r="I66" s="13">
        <v>185</v>
      </c>
      <c r="J66" s="13">
        <f>P66</f>
        <v>220</v>
      </c>
      <c r="K66" s="13">
        <f t="shared" ref="K66:O66" si="43">K68*K65</f>
        <v>65.718173089685834</v>
      </c>
      <c r="L66" s="13">
        <f t="shared" si="43"/>
        <v>162.57686129379007</v>
      </c>
      <c r="M66" s="13">
        <f t="shared" si="43"/>
        <v>166.36897851914352</v>
      </c>
      <c r="N66" s="13">
        <f t="shared" si="43"/>
        <v>170.1166265901856</v>
      </c>
      <c r="O66" s="13">
        <f t="shared" si="43"/>
        <v>173.7478441124334</v>
      </c>
      <c r="P66" s="13">
        <f>Q66*4/3</f>
        <v>220</v>
      </c>
      <c r="Q66" s="13">
        <v>165</v>
      </c>
      <c r="R66" s="77"/>
      <c r="X66" s="13">
        <f>X65*X68</f>
        <v>157.33558036409121</v>
      </c>
    </row>
    <row r="67" spans="1:24" x14ac:dyDescent="0.3">
      <c r="A67" s="10" t="s">
        <v>89</v>
      </c>
      <c r="B67" s="10" t="s">
        <v>90</v>
      </c>
      <c r="C67" s="13">
        <v>0</v>
      </c>
      <c r="D67" s="13">
        <v>0</v>
      </c>
      <c r="E67" s="13">
        <v>0</v>
      </c>
      <c r="F67" s="13">
        <v>0</v>
      </c>
      <c r="G67" s="13">
        <v>14</v>
      </c>
      <c r="H67" s="13">
        <v>6</v>
      </c>
      <c r="I67" s="13">
        <v>0</v>
      </c>
      <c r="J67" s="13"/>
      <c r="K67" s="13"/>
      <c r="L67" s="13"/>
      <c r="M67" s="13"/>
      <c r="N67" s="13"/>
      <c r="O67" s="13"/>
      <c r="P67" s="13"/>
      <c r="Q67" s="13"/>
      <c r="R67" s="77"/>
      <c r="X67" s="13">
        <f t="shared" si="9"/>
        <v>0</v>
      </c>
    </row>
    <row r="68" spans="1:24" s="46" customFormat="1" x14ac:dyDescent="0.3">
      <c r="A68" s="45" t="s">
        <v>416</v>
      </c>
      <c r="B68" s="45"/>
      <c r="C68" s="36">
        <f>(C67+C66)/C65</f>
        <v>0.12117647058823529</v>
      </c>
      <c r="D68" s="36">
        <f t="shared" ref="D68:J68" si="44">(D67+D66)/D65</f>
        <v>2.5685785536159602E-2</v>
      </c>
      <c r="E68" s="36">
        <f t="shared" si="44"/>
        <v>2.7522935779816515E-2</v>
      </c>
      <c r="F68" s="36">
        <f t="shared" si="44"/>
        <v>3.0174605865400914E-2</v>
      </c>
      <c r="G68" s="36">
        <f t="shared" si="44"/>
        <v>3.9948215276493435E-2</v>
      </c>
      <c r="H68" s="36">
        <f t="shared" si="44"/>
        <v>3.0668294171498321E-2</v>
      </c>
      <c r="I68" s="36">
        <f t="shared" si="44"/>
        <v>7.2863332020480509E-2</v>
      </c>
      <c r="J68" s="36">
        <f t="shared" si="44"/>
        <v>0.16992790937178107</v>
      </c>
      <c r="K68" s="36">
        <f>AVERAGE(D68:H68)</f>
        <v>3.0799967325873756E-2</v>
      </c>
      <c r="L68" s="36">
        <f>K68</f>
        <v>3.0799967325873756E-2</v>
      </c>
      <c r="M68" s="36">
        <f t="shared" ref="M68:O68" si="45">L68</f>
        <v>3.0799967325873756E-2</v>
      </c>
      <c r="N68" s="36">
        <f t="shared" si="45"/>
        <v>3.0799967325873756E-2</v>
      </c>
      <c r="O68" s="36">
        <f t="shared" si="45"/>
        <v>3.0799967325873756E-2</v>
      </c>
      <c r="P68" s="36"/>
      <c r="Q68" s="36"/>
      <c r="R68" s="73"/>
      <c r="S68" s="35"/>
      <c r="T68" s="35"/>
      <c r="X68" s="36">
        <f t="shared" ref="X68:X84" si="46">K68</f>
        <v>3.0799967325873756E-2</v>
      </c>
    </row>
    <row r="69" spans="1:24" s="46" customFormat="1" x14ac:dyDescent="0.3">
      <c r="A69" s="45"/>
      <c r="B69" s="4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73"/>
      <c r="S69" s="35"/>
      <c r="T69" s="35"/>
      <c r="X69" s="36">
        <f t="shared" si="46"/>
        <v>0</v>
      </c>
    </row>
    <row r="70" spans="1:24" x14ac:dyDescent="0.3">
      <c r="A70" s="6" t="s">
        <v>91</v>
      </c>
      <c r="B70" s="6" t="s">
        <v>92</v>
      </c>
      <c r="C70" s="18">
        <v>747</v>
      </c>
      <c r="D70" s="18">
        <v>3907</v>
      </c>
      <c r="E70" s="18">
        <v>4982</v>
      </c>
      <c r="F70" s="18">
        <v>5721</v>
      </c>
      <c r="G70" s="18">
        <v>5191</v>
      </c>
      <c r="H70" s="18">
        <v>6353</v>
      </c>
      <c r="I70" s="18">
        <v>2354</v>
      </c>
      <c r="J70" s="18">
        <f>J65-J66</f>
        <v>1074.6666666666713</v>
      </c>
      <c r="K70" s="18">
        <f t="shared" ref="K70:Q70" si="47">K65-K66</f>
        <v>2067.9910089482692</v>
      </c>
      <c r="L70" s="18">
        <f t="shared" si="47"/>
        <v>5115.8982608929828</v>
      </c>
      <c r="M70" s="18">
        <f t="shared" si="47"/>
        <v>5235.2269634149879</v>
      </c>
      <c r="N70" s="18">
        <f t="shared" si="47"/>
        <v>5353.1563298482388</v>
      </c>
      <c r="O70" s="18">
        <f t="shared" si="47"/>
        <v>5467.4219101968565</v>
      </c>
      <c r="P70" s="18">
        <f t="shared" si="47"/>
        <v>1074.6666666666665</v>
      </c>
      <c r="Q70" s="18">
        <f t="shared" si="47"/>
        <v>806</v>
      </c>
      <c r="R70" s="76"/>
      <c r="X70" s="18">
        <f>X65-X66</f>
        <v>4950.9679025399382</v>
      </c>
    </row>
    <row r="71" spans="1:24" s="35" customFormat="1" x14ac:dyDescent="0.3">
      <c r="A71" s="33" t="s">
        <v>417</v>
      </c>
      <c r="B71" s="33"/>
      <c r="C71" s="36">
        <f t="shared" ref="C71:O71" si="48">C70/C6</f>
        <v>1.2288811752512873E-2</v>
      </c>
      <c r="D71" s="36">
        <f t="shared" si="48"/>
        <v>6.2704628619117936E-2</v>
      </c>
      <c r="E71" s="36">
        <f t="shared" si="48"/>
        <v>7.332832899133071E-2</v>
      </c>
      <c r="F71" s="36">
        <f t="shared" si="48"/>
        <v>8.2174662453318018E-2</v>
      </c>
      <c r="G71" s="36">
        <f t="shared" si="48"/>
        <v>7.6516022522920904E-2</v>
      </c>
      <c r="H71" s="36">
        <f t="shared" si="48"/>
        <v>8.9378165447383237E-2</v>
      </c>
      <c r="I71" s="36">
        <f t="shared" si="48"/>
        <v>3.3677644567798794E-2</v>
      </c>
      <c r="J71" s="36">
        <f t="shared" si="48"/>
        <v>1.6834805856674465E-2</v>
      </c>
      <c r="K71" s="36">
        <f t="shared" si="48"/>
        <v>3.0520538572267782E-2</v>
      </c>
      <c r="L71" s="36">
        <f t="shared" si="48"/>
        <v>7.0769789536087702E-2</v>
      </c>
      <c r="M71" s="36">
        <f t="shared" si="48"/>
        <v>7.1713548793262652E-2</v>
      </c>
      <c r="N71" s="36">
        <f t="shared" si="48"/>
        <v>7.2652748337442327E-2</v>
      </c>
      <c r="O71" s="36">
        <f t="shared" si="48"/>
        <v>7.3583708609021789E-2</v>
      </c>
      <c r="P71" s="36"/>
      <c r="Q71" s="36"/>
      <c r="R71" s="73"/>
      <c r="X71" s="36">
        <f t="shared" si="46"/>
        <v>3.0520538572267782E-2</v>
      </c>
    </row>
    <row r="72" spans="1:24" x14ac:dyDescent="0.3">
      <c r="A72" s="6"/>
      <c r="B72" s="17"/>
      <c r="C72" s="17"/>
      <c r="D72" s="17"/>
      <c r="E72" s="17"/>
      <c r="F72" s="17"/>
      <c r="G72" s="17"/>
      <c r="H72" s="17"/>
      <c r="I72" s="17"/>
      <c r="J72" s="36">
        <f>AVERAGE(E71:I71)</f>
        <v>7.1014964796550339E-2</v>
      </c>
      <c r="K72" s="17"/>
      <c r="L72" s="17"/>
      <c r="M72" s="17"/>
      <c r="N72" s="17"/>
      <c r="O72" s="17"/>
      <c r="P72" s="17"/>
      <c r="Q72" s="17"/>
      <c r="R72" s="79"/>
      <c r="X72" s="17">
        <f t="shared" si="46"/>
        <v>0</v>
      </c>
    </row>
    <row r="73" spans="1:24" x14ac:dyDescent="0.3">
      <c r="A73" s="6" t="s">
        <v>93</v>
      </c>
      <c r="B73" s="6" t="s">
        <v>92</v>
      </c>
      <c r="C73" s="18">
        <v>3433.55</v>
      </c>
      <c r="D73" s="18">
        <v>5355.7</v>
      </c>
      <c r="E73" s="18">
        <v>5338.29</v>
      </c>
      <c r="F73" s="18">
        <v>4201.9229999999998</v>
      </c>
      <c r="G73" s="18">
        <v>4590.0349999999999</v>
      </c>
      <c r="H73" s="18">
        <v>6982.0635000000002</v>
      </c>
      <c r="I73" s="18">
        <v>5149.4474</v>
      </c>
      <c r="J73" s="18"/>
      <c r="K73" s="18"/>
      <c r="L73" s="18"/>
      <c r="M73" s="18"/>
      <c r="N73" s="18"/>
      <c r="O73" s="18"/>
      <c r="P73" s="18"/>
      <c r="Q73" s="18"/>
      <c r="R73" s="76"/>
      <c r="X73" s="18">
        <f t="shared" si="46"/>
        <v>0</v>
      </c>
    </row>
    <row r="74" spans="1:24" x14ac:dyDescent="0.3">
      <c r="A74" s="10" t="s">
        <v>94</v>
      </c>
      <c r="B74" s="10" t="s">
        <v>95</v>
      </c>
      <c r="C74" s="13">
        <v>-47.45</v>
      </c>
      <c r="D74" s="13">
        <v>462.7</v>
      </c>
      <c r="E74" s="13">
        <v>356.29</v>
      </c>
      <c r="F74" s="13">
        <v>-1519.077</v>
      </c>
      <c r="G74" s="13">
        <v>-600.96500000000003</v>
      </c>
      <c r="H74" s="13">
        <v>629.06349999999998</v>
      </c>
      <c r="I74" s="13">
        <v>2795.4474</v>
      </c>
      <c r="J74" s="13"/>
      <c r="K74" s="13"/>
      <c r="L74" s="13"/>
      <c r="M74" s="13"/>
      <c r="N74" s="13"/>
      <c r="O74" s="13"/>
      <c r="P74" s="13"/>
      <c r="Q74" s="13"/>
      <c r="R74" s="77"/>
      <c r="X74" s="13">
        <f t="shared" si="46"/>
        <v>0</v>
      </c>
    </row>
    <row r="75" spans="1:24" x14ac:dyDescent="0.3">
      <c r="A75" s="10" t="s">
        <v>96</v>
      </c>
      <c r="B75" s="10" t="s">
        <v>76</v>
      </c>
      <c r="C75" s="13">
        <v>2734</v>
      </c>
      <c r="D75" s="13">
        <v>986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77"/>
      <c r="X75" s="13">
        <f t="shared" si="46"/>
        <v>0</v>
      </c>
    </row>
    <row r="76" spans="1:24" x14ac:dyDescent="0.3">
      <c r="A76" s="6"/>
      <c r="B76" s="17"/>
      <c r="C76" s="17"/>
      <c r="D76" s="17"/>
      <c r="E76" s="102"/>
      <c r="F76" s="102"/>
      <c r="G76" s="102"/>
      <c r="H76" s="102"/>
      <c r="I76" s="102"/>
      <c r="J76" s="17"/>
      <c r="K76" s="17"/>
      <c r="L76" s="102">
        <f>AVERAGE(K78:O78)</f>
        <v>6.1521361941234503</v>
      </c>
      <c r="M76" s="17"/>
      <c r="N76" s="17"/>
      <c r="O76" s="17"/>
      <c r="P76" s="17"/>
      <c r="Q76" s="17"/>
      <c r="R76" s="79"/>
      <c r="X76" s="17">
        <f t="shared" si="46"/>
        <v>0</v>
      </c>
    </row>
    <row r="77" spans="1:24" x14ac:dyDescent="0.3">
      <c r="A77" s="6" t="s">
        <v>97</v>
      </c>
      <c r="B77" s="6" t="s">
        <v>98</v>
      </c>
      <c r="C77" s="18">
        <v>1100.5</v>
      </c>
      <c r="D77" s="18">
        <v>1069.7</v>
      </c>
      <c r="E77" s="18">
        <v>1005.9</v>
      </c>
      <c r="F77" s="18">
        <v>937.6</v>
      </c>
      <c r="G77" s="18">
        <v>907.8</v>
      </c>
      <c r="H77" s="18">
        <v>862.7</v>
      </c>
      <c r="I77" s="18">
        <v>803.2</v>
      </c>
      <c r="J77" s="101">
        <v>755.5</v>
      </c>
      <c r="K77" s="18">
        <f>J77</f>
        <v>755.5</v>
      </c>
      <c r="L77" s="18">
        <f t="shared" ref="L77:O77" si="49">K77</f>
        <v>755.5</v>
      </c>
      <c r="M77" s="18">
        <f t="shared" si="49"/>
        <v>755.5</v>
      </c>
      <c r="N77" s="18">
        <f t="shared" si="49"/>
        <v>755.5</v>
      </c>
      <c r="O77" s="18">
        <f t="shared" si="49"/>
        <v>755.5</v>
      </c>
      <c r="P77" s="18"/>
      <c r="Q77" s="18"/>
      <c r="R77" s="76"/>
      <c r="X77" s="18">
        <f t="shared" si="46"/>
        <v>755.5</v>
      </c>
    </row>
    <row r="78" spans="1:24" x14ac:dyDescent="0.3">
      <c r="A78" s="6" t="s">
        <v>99</v>
      </c>
      <c r="B78" s="6" t="s">
        <v>100</v>
      </c>
      <c r="C78" s="19">
        <v>0.68</v>
      </c>
      <c r="D78" s="19">
        <v>3.65</v>
      </c>
      <c r="E78" s="19">
        <v>4.95</v>
      </c>
      <c r="F78" s="19">
        <v>6.1</v>
      </c>
      <c r="G78" s="19">
        <v>5.72</v>
      </c>
      <c r="H78" s="19">
        <v>7.36</v>
      </c>
      <c r="I78" s="19">
        <v>2.93</v>
      </c>
      <c r="J78" s="19">
        <f>J70/J77</f>
        <v>1.4224575336421856</v>
      </c>
      <c r="K78" s="19">
        <f t="shared" ref="K78:O78" si="50">K70/K77</f>
        <v>2.7372481918574048</v>
      </c>
      <c r="L78" s="19">
        <f t="shared" si="50"/>
        <v>6.7715397232203607</v>
      </c>
      <c r="M78" s="19">
        <f t="shared" si="50"/>
        <v>6.9294863844010433</v>
      </c>
      <c r="N78" s="19">
        <f t="shared" si="50"/>
        <v>7.0855808469202364</v>
      </c>
      <c r="O78" s="19">
        <f t="shared" si="50"/>
        <v>7.2368258242182089</v>
      </c>
      <c r="P78" s="19"/>
      <c r="Q78" s="19"/>
      <c r="R78" s="80"/>
      <c r="X78" s="19"/>
    </row>
    <row r="79" spans="1:24" x14ac:dyDescent="0.3">
      <c r="A79" s="133" t="s">
        <v>629</v>
      </c>
      <c r="B79" s="6" t="s">
        <v>100</v>
      </c>
      <c r="C79" s="19"/>
      <c r="D79" s="19"/>
      <c r="E79" s="19"/>
      <c r="F79" s="19"/>
      <c r="G79" s="19"/>
      <c r="H79" s="19"/>
      <c r="I79" s="19"/>
      <c r="J79" s="19"/>
      <c r="K79" s="19">
        <f>X79</f>
        <v>6.5532334911183829</v>
      </c>
      <c r="L79" s="19"/>
      <c r="M79" s="19"/>
      <c r="N79" s="19"/>
      <c r="O79" s="19"/>
      <c r="P79" s="19"/>
      <c r="Q79" s="19"/>
      <c r="R79" s="80"/>
      <c r="X79" s="19">
        <f>X70/X77</f>
        <v>6.5532334911183829</v>
      </c>
    </row>
    <row r="80" spans="1:24" x14ac:dyDescent="0.3">
      <c r="A80" s="6" t="s">
        <v>101</v>
      </c>
      <c r="B80" s="6" t="s">
        <v>102</v>
      </c>
      <c r="C80" s="19">
        <v>3.16</v>
      </c>
      <c r="D80" s="19">
        <v>4.57</v>
      </c>
      <c r="E80" s="19">
        <v>4.95</v>
      </c>
      <c r="F80" s="19">
        <v>6.1</v>
      </c>
      <c r="G80" s="19">
        <v>5.72</v>
      </c>
      <c r="H80" s="19">
        <v>7.36</v>
      </c>
      <c r="I80" s="19">
        <v>2.93</v>
      </c>
      <c r="J80" s="19"/>
      <c r="K80" s="19"/>
      <c r="L80" s="19"/>
      <c r="M80" s="19"/>
      <c r="N80" s="19"/>
      <c r="O80" s="19"/>
      <c r="P80" s="19"/>
      <c r="Q80" s="19"/>
      <c r="R80" s="80"/>
      <c r="X80" s="19">
        <f t="shared" si="46"/>
        <v>0</v>
      </c>
    </row>
    <row r="81" spans="1:24" x14ac:dyDescent="0.3">
      <c r="A81" s="6" t="s">
        <v>103</v>
      </c>
      <c r="B81" s="6" t="s">
        <v>104</v>
      </c>
      <c r="C81" s="19">
        <v>3.12</v>
      </c>
      <c r="D81" s="19">
        <v>5.0067000000000004</v>
      </c>
      <c r="E81" s="19">
        <v>5.3070000000000004</v>
      </c>
      <c r="F81" s="19">
        <v>4.4816000000000003</v>
      </c>
      <c r="G81" s="19">
        <v>5.0561999999999996</v>
      </c>
      <c r="H81" s="19">
        <v>8.0932999999999993</v>
      </c>
      <c r="I81" s="19">
        <v>6.4112</v>
      </c>
      <c r="J81" s="19"/>
      <c r="K81" s="19"/>
      <c r="L81" s="19"/>
      <c r="M81" s="19"/>
      <c r="N81" s="19"/>
      <c r="O81" s="19"/>
      <c r="P81" s="19"/>
      <c r="Q81" s="19"/>
      <c r="R81" s="80"/>
      <c r="X81" s="19">
        <f t="shared" si="46"/>
        <v>0</v>
      </c>
    </row>
    <row r="82" spans="1:24" x14ac:dyDescent="0.3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02">
        <f>AVERAGE(K84:O84)</f>
        <v>6.0685975906257568</v>
      </c>
      <c r="M82" s="17"/>
      <c r="N82" s="17"/>
      <c r="O82" s="17"/>
      <c r="P82" s="17"/>
      <c r="Q82" s="17"/>
      <c r="R82" s="79"/>
      <c r="X82" s="17">
        <f t="shared" si="46"/>
        <v>0</v>
      </c>
    </row>
    <row r="83" spans="1:24" x14ac:dyDescent="0.3">
      <c r="A83" s="6" t="s">
        <v>105</v>
      </c>
      <c r="B83" s="6" t="s">
        <v>106</v>
      </c>
      <c r="C83" s="18">
        <v>1108.5</v>
      </c>
      <c r="D83" s="18">
        <v>1078.5</v>
      </c>
      <c r="E83" s="18">
        <v>1013.9</v>
      </c>
      <c r="F83" s="18">
        <v>944.4</v>
      </c>
      <c r="G83" s="18">
        <v>913.2</v>
      </c>
      <c r="H83" s="18">
        <v>869.4</v>
      </c>
      <c r="I83" s="18">
        <v>808.9</v>
      </c>
      <c r="J83" s="101">
        <v>765.9</v>
      </c>
      <c r="K83" s="18">
        <f>J83</f>
        <v>765.9</v>
      </c>
      <c r="L83" s="18">
        <f t="shared" ref="L83:O83" si="51">K83</f>
        <v>765.9</v>
      </c>
      <c r="M83" s="18">
        <f t="shared" si="51"/>
        <v>765.9</v>
      </c>
      <c r="N83" s="18">
        <f t="shared" si="51"/>
        <v>765.9</v>
      </c>
      <c r="O83" s="18">
        <f t="shared" si="51"/>
        <v>765.9</v>
      </c>
      <c r="P83" s="18"/>
      <c r="Q83" s="18"/>
      <c r="R83" s="76"/>
      <c r="X83" s="18">
        <f t="shared" si="46"/>
        <v>765.9</v>
      </c>
    </row>
    <row r="84" spans="1:24" x14ac:dyDescent="0.3">
      <c r="A84" s="6" t="s">
        <v>107</v>
      </c>
      <c r="B84" s="6" t="s">
        <v>108</v>
      </c>
      <c r="C84" s="19">
        <v>0.67</v>
      </c>
      <c r="D84" s="19">
        <v>3.62</v>
      </c>
      <c r="E84" s="19">
        <v>4.91</v>
      </c>
      <c r="F84" s="19">
        <v>6.06</v>
      </c>
      <c r="G84" s="19">
        <v>5.68</v>
      </c>
      <c r="H84" s="19">
        <v>7.31</v>
      </c>
      <c r="I84" s="19">
        <v>2.91</v>
      </c>
      <c r="J84" s="19">
        <f>J70/J83</f>
        <v>1.4031422727074963</v>
      </c>
      <c r="K84" s="19">
        <f t="shared" ref="K84:O84" si="52">K70/K83</f>
        <v>2.7000796565455922</v>
      </c>
      <c r="L84" s="19">
        <f t="shared" si="52"/>
        <v>6.6795903654432474</v>
      </c>
      <c r="M84" s="19">
        <f t="shared" si="52"/>
        <v>6.835392301103262</v>
      </c>
      <c r="N84" s="19">
        <f t="shared" si="52"/>
        <v>6.9893671887299114</v>
      </c>
      <c r="O84" s="19">
        <f t="shared" si="52"/>
        <v>7.1385584413067722</v>
      </c>
      <c r="P84" s="19"/>
      <c r="Q84" s="19"/>
      <c r="R84" s="80"/>
      <c r="X84" s="19">
        <f t="shared" si="46"/>
        <v>2.7000796565455922</v>
      </c>
    </row>
    <row r="85" spans="1:24" x14ac:dyDescent="0.3">
      <c r="A85" s="6" t="s">
        <v>109</v>
      </c>
      <c r="B85" s="6" t="s">
        <v>110</v>
      </c>
      <c r="C85" s="19">
        <v>3.13</v>
      </c>
      <c r="D85" s="19">
        <v>4.53</v>
      </c>
      <c r="E85" s="19">
        <v>4.91</v>
      </c>
      <c r="F85" s="19">
        <v>6.06</v>
      </c>
      <c r="G85" s="19">
        <v>5.68</v>
      </c>
      <c r="H85" s="19">
        <v>7.31</v>
      </c>
      <c r="I85" s="19">
        <v>2.91</v>
      </c>
      <c r="J85" s="19"/>
      <c r="K85" s="19"/>
      <c r="L85" s="19"/>
      <c r="M85" s="19"/>
      <c r="N85" s="19"/>
      <c r="O85" s="19"/>
      <c r="P85" s="19"/>
      <c r="Q85" s="19"/>
      <c r="R85" s="80"/>
      <c r="X85" s="19"/>
    </row>
    <row r="86" spans="1:24" x14ac:dyDescent="0.3">
      <c r="A86" s="6" t="s">
        <v>111</v>
      </c>
      <c r="B86" s="6" t="s">
        <v>112</v>
      </c>
      <c r="C86" s="19">
        <v>3.0872000000000002</v>
      </c>
      <c r="D86" s="19">
        <v>4.9589999999999996</v>
      </c>
      <c r="E86" s="19">
        <v>5.2614000000000001</v>
      </c>
      <c r="F86" s="19">
        <v>4.4515000000000002</v>
      </c>
      <c r="G86" s="19">
        <v>5.0218999999999996</v>
      </c>
      <c r="H86" s="19">
        <v>8.0335999999999999</v>
      </c>
      <c r="I86" s="19">
        <v>6.3658999999999999</v>
      </c>
      <c r="J86" s="19"/>
      <c r="K86" s="19"/>
      <c r="L86" s="19"/>
      <c r="M86" s="19"/>
      <c r="N86" s="19"/>
      <c r="O86" s="19"/>
      <c r="P86" s="19"/>
      <c r="Q86" s="19"/>
      <c r="R86" s="80"/>
      <c r="X86" s="19"/>
    </row>
    <row r="87" spans="1:24" x14ac:dyDescent="0.3">
      <c r="A87" s="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79"/>
      <c r="X87" s="17"/>
    </row>
    <row r="88" spans="1:24" x14ac:dyDescent="0.3">
      <c r="A88" s="6" t="s">
        <v>113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79"/>
      <c r="X88" s="17"/>
    </row>
    <row r="89" spans="1:24" x14ac:dyDescent="0.3">
      <c r="A89" s="10" t="s">
        <v>114</v>
      </c>
      <c r="B89" s="10" t="s">
        <v>115</v>
      </c>
      <c r="C89" s="12" t="s">
        <v>116</v>
      </c>
      <c r="D89" s="12" t="s">
        <v>116</v>
      </c>
      <c r="E89" s="12" t="s">
        <v>116</v>
      </c>
      <c r="F89" s="12" t="s">
        <v>116</v>
      </c>
      <c r="G89" s="12" t="s">
        <v>116</v>
      </c>
      <c r="H89" s="12" t="s">
        <v>116</v>
      </c>
      <c r="I89" s="12" t="s">
        <v>116</v>
      </c>
      <c r="J89" s="12"/>
      <c r="K89" s="12"/>
      <c r="L89" s="12"/>
      <c r="M89" s="12"/>
      <c r="N89" s="12"/>
      <c r="O89" s="12"/>
      <c r="P89" s="12"/>
      <c r="Q89" s="12"/>
      <c r="R89" s="81"/>
      <c r="X89" s="12"/>
    </row>
    <row r="90" spans="1:24" x14ac:dyDescent="0.3">
      <c r="A90" s="10" t="s">
        <v>117</v>
      </c>
      <c r="B90" s="10" t="s">
        <v>118</v>
      </c>
      <c r="C90" s="14">
        <v>5.7824999999999998</v>
      </c>
      <c r="D90" s="14">
        <v>8.6364000000000001</v>
      </c>
      <c r="E90" s="14">
        <v>8.1310000000000002</v>
      </c>
      <c r="F90" s="14">
        <v>6.3895999999999997</v>
      </c>
      <c r="G90" s="14">
        <v>7.2159000000000004</v>
      </c>
      <c r="H90" s="14">
        <v>10.007199999999999</v>
      </c>
      <c r="I90" s="14">
        <v>7.2545999999999999</v>
      </c>
      <c r="J90" s="14"/>
      <c r="K90" s="14"/>
      <c r="L90" s="14"/>
      <c r="M90" s="14"/>
      <c r="N90" s="14"/>
      <c r="O90" s="14"/>
      <c r="P90" s="14"/>
      <c r="Q90" s="14"/>
      <c r="R90" s="82"/>
      <c r="X90" s="14"/>
    </row>
    <row r="91" spans="1:24" x14ac:dyDescent="0.3">
      <c r="A91" s="10" t="s">
        <v>119</v>
      </c>
      <c r="B91" s="10" t="s">
        <v>120</v>
      </c>
      <c r="C91" s="14">
        <v>74.584999999999994</v>
      </c>
      <c r="D91" s="14">
        <v>72.250399999999999</v>
      </c>
      <c r="E91" s="14">
        <v>68.021199999999993</v>
      </c>
      <c r="F91" s="14" t="s">
        <v>294</v>
      </c>
      <c r="G91" s="14" t="s">
        <v>294</v>
      </c>
      <c r="H91" s="14" t="s">
        <v>294</v>
      </c>
      <c r="I91" s="14" t="s">
        <v>294</v>
      </c>
      <c r="J91" s="14"/>
      <c r="K91" s="14"/>
      <c r="L91" s="14"/>
      <c r="M91" s="14"/>
      <c r="N91" s="14"/>
      <c r="O91" s="14"/>
      <c r="P91" s="14"/>
      <c r="Q91" s="14"/>
      <c r="R91" s="82"/>
      <c r="X91" s="14"/>
    </row>
    <row r="92" spans="1:24" x14ac:dyDescent="0.3">
      <c r="A92" s="10" t="s">
        <v>121</v>
      </c>
      <c r="B92" s="10" t="s">
        <v>122</v>
      </c>
      <c r="C92" s="14">
        <v>26.101900000000001</v>
      </c>
      <c r="D92" s="14">
        <v>25.690899999999999</v>
      </c>
      <c r="E92" s="14">
        <v>26.1341</v>
      </c>
      <c r="F92" s="14" t="s">
        <v>294</v>
      </c>
      <c r="G92" s="14" t="s">
        <v>294</v>
      </c>
      <c r="H92" s="14" t="s">
        <v>294</v>
      </c>
      <c r="I92" s="14" t="s">
        <v>294</v>
      </c>
      <c r="J92" s="14"/>
      <c r="K92" s="14"/>
      <c r="L92" s="14"/>
      <c r="M92" s="14"/>
      <c r="N92" s="14"/>
      <c r="O92" s="14"/>
      <c r="P92" s="14"/>
      <c r="Q92" s="14"/>
      <c r="R92" s="82"/>
      <c r="X92" s="14"/>
    </row>
    <row r="93" spans="1:24" x14ac:dyDescent="0.3">
      <c r="A93" s="10" t="s">
        <v>123</v>
      </c>
      <c r="B93" s="10" t="s">
        <v>124</v>
      </c>
      <c r="C93" s="14">
        <v>100.68689999999999</v>
      </c>
      <c r="D93" s="14">
        <v>97.941299999999998</v>
      </c>
      <c r="E93" s="14">
        <v>94.155299999999997</v>
      </c>
      <c r="F93" s="14" t="s">
        <v>294</v>
      </c>
      <c r="G93" s="14" t="s">
        <v>294</v>
      </c>
      <c r="H93" s="14" t="s">
        <v>294</v>
      </c>
      <c r="I93" s="14" t="s">
        <v>294</v>
      </c>
      <c r="J93" s="14"/>
      <c r="K93" s="14"/>
      <c r="L93" s="14"/>
      <c r="M93" s="14"/>
      <c r="N93" s="14"/>
      <c r="O93" s="14"/>
      <c r="P93" s="14"/>
      <c r="Q93" s="14"/>
      <c r="R93" s="82"/>
      <c r="X93" s="14"/>
    </row>
    <row r="94" spans="1:24" x14ac:dyDescent="0.3">
      <c r="A94" s="10" t="s">
        <v>125</v>
      </c>
      <c r="B94" s="10" t="s">
        <v>126</v>
      </c>
      <c r="C94" s="14">
        <v>34.650500000000001</v>
      </c>
      <c r="D94" s="14">
        <v>32.672199999999997</v>
      </c>
      <c r="E94" s="14">
        <v>28.953700000000001</v>
      </c>
      <c r="F94" s="14">
        <v>31.322399999999998</v>
      </c>
      <c r="G94" s="14">
        <v>28.869499999999999</v>
      </c>
      <c r="H94" s="14">
        <v>28.2392</v>
      </c>
      <c r="I94" s="14">
        <v>23.815200000000001</v>
      </c>
      <c r="J94" s="14"/>
      <c r="K94" s="14"/>
      <c r="L94" s="14"/>
      <c r="M94" s="14"/>
      <c r="N94" s="14"/>
      <c r="O94" s="14"/>
      <c r="P94" s="14"/>
      <c r="Q94" s="14"/>
      <c r="R94" s="82"/>
      <c r="X94" s="14"/>
    </row>
    <row r="95" spans="1:24" x14ac:dyDescent="0.3">
      <c r="A95" s="10" t="s">
        <v>127</v>
      </c>
      <c r="B95" s="10" t="s">
        <v>128</v>
      </c>
      <c r="C95" s="14">
        <v>115.4859</v>
      </c>
      <c r="D95" s="14">
        <v>116.6789</v>
      </c>
      <c r="E95" s="14">
        <v>109.884</v>
      </c>
      <c r="F95" s="14">
        <v>113.4722</v>
      </c>
      <c r="G95" s="14">
        <v>111.0411</v>
      </c>
      <c r="H95" s="14">
        <v>117.8128</v>
      </c>
      <c r="I95" s="14">
        <v>109.93380000000001</v>
      </c>
      <c r="J95" s="14"/>
      <c r="K95" s="14"/>
      <c r="L95" s="14"/>
      <c r="M95" s="14"/>
      <c r="N95" s="14"/>
      <c r="O95" s="14"/>
      <c r="P95" s="14"/>
      <c r="Q95" s="14"/>
      <c r="R95" s="82"/>
      <c r="X95" s="14"/>
    </row>
    <row r="96" spans="1:24" x14ac:dyDescent="0.3">
      <c r="A96" s="10" t="s">
        <v>129</v>
      </c>
      <c r="B96" s="10" t="s">
        <v>130</v>
      </c>
      <c r="C96" s="14">
        <v>-9.1953999999999994</v>
      </c>
      <c r="D96" s="14">
        <v>44.6203</v>
      </c>
      <c r="E96" s="14">
        <v>8.3150999999999993</v>
      </c>
      <c r="F96" s="14">
        <v>23.232299999999999</v>
      </c>
      <c r="G96" s="14">
        <v>-6.2294999999999998</v>
      </c>
      <c r="H96" s="14">
        <v>28.671299999999999</v>
      </c>
      <c r="I96" s="14">
        <v>-60.190199999999997</v>
      </c>
      <c r="J96" s="14"/>
      <c r="K96" s="14"/>
      <c r="L96" s="14"/>
      <c r="M96" s="14"/>
      <c r="N96" s="14"/>
      <c r="O96" s="14"/>
      <c r="P96" s="14"/>
      <c r="Q96" s="14"/>
      <c r="R96" s="82"/>
      <c r="X96" s="14"/>
    </row>
    <row r="97" spans="1:24" x14ac:dyDescent="0.3">
      <c r="A97" s="10" t="s">
        <v>131</v>
      </c>
      <c r="B97" s="10" t="s">
        <v>132</v>
      </c>
      <c r="C97" s="14">
        <v>1054482.7586000001</v>
      </c>
      <c r="D97" s="14">
        <v>1289918.3673</v>
      </c>
      <c r="E97" s="14">
        <v>1403916.6666999999</v>
      </c>
      <c r="F97" s="14">
        <v>1398938.7755</v>
      </c>
      <c r="G97" s="14">
        <v>1432322.5806</v>
      </c>
      <c r="H97" s="14">
        <v>1669279.0697999999</v>
      </c>
      <c r="I97" s="14">
        <v>1634044.4443999999</v>
      </c>
      <c r="J97" s="14"/>
      <c r="K97" s="14"/>
      <c r="L97" s="14"/>
      <c r="M97" s="14"/>
      <c r="N97" s="14"/>
      <c r="O97" s="14"/>
      <c r="P97" s="14"/>
      <c r="Q97" s="14"/>
      <c r="R97" s="82"/>
      <c r="X97" s="14"/>
    </row>
    <row r="98" spans="1:24" x14ac:dyDescent="0.3">
      <c r="A98" s="10" t="s">
        <v>133</v>
      </c>
      <c r="B98" s="10" t="s">
        <v>134</v>
      </c>
      <c r="C98" s="14">
        <v>1.575</v>
      </c>
      <c r="D98" s="14">
        <v>1.6</v>
      </c>
      <c r="E98" s="14">
        <v>1.66</v>
      </c>
      <c r="F98" s="14">
        <v>1.74</v>
      </c>
      <c r="G98" s="14">
        <v>1.82</v>
      </c>
      <c r="H98" s="14">
        <v>1.9</v>
      </c>
      <c r="I98" s="14">
        <v>1.98</v>
      </c>
      <c r="J98" s="14"/>
      <c r="K98" s="14"/>
      <c r="L98" s="14"/>
      <c r="M98" s="14"/>
      <c r="N98" s="14"/>
      <c r="O98" s="14"/>
      <c r="P98" s="14"/>
      <c r="Q98" s="14"/>
      <c r="R98" s="82"/>
      <c r="X98" s="14"/>
    </row>
    <row r="99" spans="1:24" x14ac:dyDescent="0.3">
      <c r="A99" s="10" t="s">
        <v>135</v>
      </c>
      <c r="B99" s="10" t="s">
        <v>136</v>
      </c>
      <c r="C99" s="13">
        <v>1736</v>
      </c>
      <c r="D99" s="13">
        <v>1717</v>
      </c>
      <c r="E99" s="13">
        <v>1678</v>
      </c>
      <c r="F99" s="13">
        <v>1643</v>
      </c>
      <c r="G99" s="13">
        <v>1652.1959999999999</v>
      </c>
      <c r="H99" s="13">
        <v>1639.13</v>
      </c>
      <c r="I99" s="13">
        <v>1598</v>
      </c>
      <c r="J99" s="13"/>
      <c r="K99" s="13"/>
      <c r="L99" s="13"/>
      <c r="M99" s="13"/>
      <c r="N99" s="13"/>
      <c r="O99" s="13"/>
      <c r="P99" s="13"/>
      <c r="Q99" s="13"/>
      <c r="R99" s="77"/>
      <c r="X99" s="13"/>
    </row>
    <row r="100" spans="1:24" x14ac:dyDescent="0.3">
      <c r="A100" s="7" t="s">
        <v>137</v>
      </c>
      <c r="B100" s="7"/>
      <c r="C100" s="7" t="s">
        <v>138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3"/>
      <c r="X100" s="7"/>
    </row>
  </sheetData>
  <pageMargins left="0.7" right="0.7" top="0.75" bottom="0.75" header="0.3" footer="0.3"/>
  <pageSetup scale="55" orientation="landscape" r:id="rId1"/>
  <rowBreaks count="1" manualBreakCount="1">
    <brk id="59" max="1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FFDE-82A2-4B9B-94E7-58C1AE55FAEE}">
  <dimension ref="A1:BB293"/>
  <sheetViews>
    <sheetView zoomScaleNormal="100" zoomScaleSheetLayoutView="100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L149" sqref="L149"/>
    </sheetView>
  </sheetViews>
  <sheetFormatPr defaultRowHeight="14.4" outlineLevelRow="1" outlineLevelCol="1" x14ac:dyDescent="0.3"/>
  <cols>
    <col min="1" max="1" width="35.109375" customWidth="1"/>
    <col min="2" max="2" width="0" hidden="1" customWidth="1"/>
    <col min="3" max="17" width="11.88671875" customWidth="1"/>
    <col min="22" max="22" width="16.44140625" hidden="1" customWidth="1" outlineLevel="1"/>
    <col min="23" max="23" width="8.88671875" hidden="1" customWidth="1" outlineLevel="1"/>
    <col min="24" max="24" width="16.44140625" hidden="1" customWidth="1" outlineLevel="1"/>
    <col min="25" max="25" width="8.88671875" hidden="1" customWidth="1" outlineLevel="1"/>
    <col min="26" max="26" width="16.44140625" hidden="1" customWidth="1" outlineLevel="1"/>
    <col min="27" max="27" width="8.88671875" hidden="1" customWidth="1" outlineLevel="1"/>
    <col min="28" max="28" width="8.88671875" collapsed="1"/>
    <col min="30" max="30" width="35.109375" hidden="1" customWidth="1" outlineLevel="1"/>
    <col min="31" max="31" width="8.88671875" hidden="1" customWidth="1" outlineLevel="1"/>
    <col min="32" max="40" width="11.88671875" hidden="1" customWidth="1" outlineLevel="1"/>
    <col min="41" max="41" width="8.88671875" collapsed="1"/>
    <col min="43" max="43" width="35.109375" hidden="1" customWidth="1" outlineLevel="1"/>
    <col min="44" max="44" width="8.88671875" hidden="1" customWidth="1" outlineLevel="1"/>
    <col min="45" max="53" width="11.88671875" hidden="1" customWidth="1" outlineLevel="1"/>
    <col min="54" max="54" width="8.88671875" collapsed="1"/>
  </cols>
  <sheetData>
    <row r="1" spans="1:5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U1" t="s">
        <v>431</v>
      </c>
      <c r="AC1" t="s">
        <v>425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P1" t="s">
        <v>426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4" ht="21" x14ac:dyDescent="0.3">
      <c r="A2" s="8" t="s">
        <v>371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AD2" s="8" t="s">
        <v>371</v>
      </c>
      <c r="AE2" s="8"/>
      <c r="AF2" s="8"/>
      <c r="AG2" s="8"/>
      <c r="AH2" s="8"/>
      <c r="AI2" s="8"/>
      <c r="AJ2" s="8"/>
      <c r="AK2" s="8"/>
      <c r="AL2" s="8"/>
      <c r="AM2" s="8"/>
      <c r="AN2" s="8"/>
      <c r="AQ2" s="8" t="s">
        <v>371</v>
      </c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4" x14ac:dyDescent="0.3">
      <c r="A4" s="3" t="s">
        <v>1</v>
      </c>
      <c r="B4" s="3"/>
      <c r="C4" s="4" t="s">
        <v>140</v>
      </c>
      <c r="D4" s="4" t="s">
        <v>141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37">
        <v>2023</v>
      </c>
      <c r="M4" s="37">
        <v>2024</v>
      </c>
      <c r="N4" s="37">
        <v>2025</v>
      </c>
      <c r="O4" s="37">
        <v>2026</v>
      </c>
      <c r="P4" s="37">
        <v>2027</v>
      </c>
      <c r="Q4" s="37">
        <v>2028</v>
      </c>
      <c r="AD4" s="3" t="s">
        <v>1</v>
      </c>
      <c r="AE4" s="3"/>
      <c r="AF4" s="4" t="s">
        <v>140</v>
      </c>
      <c r="AG4" s="4" t="s">
        <v>141</v>
      </c>
      <c r="AH4" s="4" t="s">
        <v>2</v>
      </c>
      <c r="AI4" s="4" t="s">
        <v>3</v>
      </c>
      <c r="AJ4" s="4" t="s">
        <v>4</v>
      </c>
      <c r="AK4" s="4" t="s">
        <v>5</v>
      </c>
      <c r="AL4" s="4" t="s">
        <v>6</v>
      </c>
      <c r="AM4" s="4" t="s">
        <v>7</v>
      </c>
      <c r="AN4" s="4" t="s">
        <v>8</v>
      </c>
      <c r="AQ4" s="3" t="s">
        <v>1</v>
      </c>
      <c r="AR4" s="3"/>
      <c r="AS4" s="4" t="s">
        <v>140</v>
      </c>
      <c r="AT4" s="4" t="s">
        <v>141</v>
      </c>
      <c r="AU4" s="4" t="s">
        <v>2</v>
      </c>
      <c r="AV4" s="4" t="s">
        <v>3</v>
      </c>
      <c r="AW4" s="4" t="s">
        <v>4</v>
      </c>
      <c r="AX4" s="4" t="s">
        <v>5</v>
      </c>
      <c r="AY4" s="4" t="s">
        <v>6</v>
      </c>
      <c r="AZ4" s="4" t="s">
        <v>7</v>
      </c>
      <c r="BA4" s="4" t="s">
        <v>8</v>
      </c>
    </row>
    <row r="5" spans="1:54" x14ac:dyDescent="0.3">
      <c r="A5" s="9" t="s">
        <v>10</v>
      </c>
      <c r="B5" s="9"/>
      <c r="C5" s="5" t="s">
        <v>143</v>
      </c>
      <c r="D5" s="5" t="s">
        <v>144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38"/>
      <c r="M5" s="38"/>
      <c r="N5" s="38"/>
      <c r="O5" s="38"/>
      <c r="P5" s="38"/>
      <c r="Q5" s="38"/>
      <c r="V5" s="56" t="s">
        <v>428</v>
      </c>
      <c r="X5" s="56" t="s">
        <v>429</v>
      </c>
      <c r="Z5" s="56" t="s">
        <v>430</v>
      </c>
      <c r="AD5" s="9" t="s">
        <v>10</v>
      </c>
      <c r="AE5" s="9"/>
      <c r="AF5" s="5" t="s">
        <v>143</v>
      </c>
      <c r="AG5" s="5" t="s">
        <v>144</v>
      </c>
      <c r="AH5" s="5" t="s">
        <v>11</v>
      </c>
      <c r="AI5" s="5" t="s">
        <v>12</v>
      </c>
      <c r="AJ5" s="5" t="s">
        <v>13</v>
      </c>
      <c r="AK5" s="5" t="s">
        <v>14</v>
      </c>
      <c r="AL5" s="5" t="s">
        <v>15</v>
      </c>
      <c r="AM5" s="5" t="s">
        <v>16</v>
      </c>
      <c r="AN5" s="5" t="s">
        <v>17</v>
      </c>
      <c r="AQ5" s="9" t="s">
        <v>10</v>
      </c>
      <c r="AR5" s="9"/>
      <c r="AS5" s="5" t="s">
        <v>143</v>
      </c>
      <c r="AT5" s="5" t="s">
        <v>144</v>
      </c>
      <c r="AU5" s="5" t="s">
        <v>11</v>
      </c>
      <c r="AV5" s="5" t="s">
        <v>12</v>
      </c>
      <c r="AW5" s="5" t="s">
        <v>13</v>
      </c>
      <c r="AX5" s="5" t="s">
        <v>14</v>
      </c>
      <c r="AY5" s="5" t="s">
        <v>15</v>
      </c>
      <c r="AZ5" s="5" t="s">
        <v>16</v>
      </c>
      <c r="BA5" s="5" t="s">
        <v>17</v>
      </c>
      <c r="BB5" s="54">
        <f>SUM(BB75:BB292)</f>
        <v>0</v>
      </c>
    </row>
    <row r="6" spans="1:54" x14ac:dyDescent="0.3">
      <c r="A6" s="6" t="s">
        <v>434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AD6" s="6" t="s">
        <v>434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Q6" s="6" t="s">
        <v>398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4" hidden="1" outlineLevel="1" x14ac:dyDescent="0.3">
      <c r="A7" s="10" t="s">
        <v>378</v>
      </c>
      <c r="B7" s="10"/>
      <c r="C7" s="13">
        <f t="shared" ref="C7:J7" si="0">C29+C51</f>
        <v>37593</v>
      </c>
      <c r="D7" s="13">
        <f t="shared" si="0"/>
        <v>36870</v>
      </c>
      <c r="E7" s="13">
        <f t="shared" si="0"/>
        <v>37931</v>
      </c>
      <c r="F7" s="13">
        <f t="shared" si="0"/>
        <v>38992</v>
      </c>
      <c r="G7" s="13">
        <f t="shared" si="0"/>
        <v>43840</v>
      </c>
      <c r="H7" s="13">
        <f t="shared" si="0"/>
        <v>42235</v>
      </c>
      <c r="I7" s="13">
        <f t="shared" si="0"/>
        <v>42034</v>
      </c>
      <c r="J7" s="13">
        <f t="shared" si="0"/>
        <v>42009</v>
      </c>
      <c r="K7" s="13">
        <f>K29+K51</f>
        <v>49397</v>
      </c>
      <c r="L7" s="13"/>
      <c r="M7" s="13"/>
      <c r="N7" s="13"/>
      <c r="O7" s="13"/>
      <c r="P7" s="13"/>
      <c r="Q7" s="13"/>
      <c r="V7">
        <v>1222</v>
      </c>
      <c r="W7" s="54">
        <f>V7+E7</f>
        <v>39153</v>
      </c>
      <c r="X7">
        <v>1675</v>
      </c>
      <c r="Y7" s="54">
        <f>X7+D7</f>
        <v>38545</v>
      </c>
      <c r="Z7">
        <v>1474</v>
      </c>
      <c r="AA7" s="54">
        <f>Z7+C7</f>
        <v>39067</v>
      </c>
      <c r="AD7" s="10" t="s">
        <v>378</v>
      </c>
      <c r="AE7" s="10"/>
      <c r="AF7" s="13">
        <v>37593</v>
      </c>
      <c r="AG7" s="13">
        <v>36870</v>
      </c>
      <c r="AH7" s="13">
        <v>37931</v>
      </c>
      <c r="AI7" s="13">
        <v>38992</v>
      </c>
      <c r="AJ7" s="13">
        <v>43840</v>
      </c>
      <c r="AK7" s="13">
        <v>42235</v>
      </c>
      <c r="AL7" s="13">
        <v>42034</v>
      </c>
      <c r="AM7" s="44">
        <v>42009</v>
      </c>
      <c r="AN7" s="13">
        <v>49397</v>
      </c>
      <c r="AQ7" s="10" t="s">
        <v>378</v>
      </c>
      <c r="AR7" s="10"/>
      <c r="AS7" s="13">
        <f t="shared" ref="AS7:BA10" si="1">C7-AF7</f>
        <v>0</v>
      </c>
      <c r="AT7" s="13">
        <f t="shared" si="1"/>
        <v>0</v>
      </c>
      <c r="AU7" s="13">
        <f t="shared" si="1"/>
        <v>0</v>
      </c>
      <c r="AV7" s="13">
        <f t="shared" si="1"/>
        <v>0</v>
      </c>
      <c r="AW7" s="13">
        <f t="shared" si="1"/>
        <v>0</v>
      </c>
      <c r="AX7" s="13">
        <f t="shared" si="1"/>
        <v>0</v>
      </c>
      <c r="AY7" s="13">
        <f t="shared" si="1"/>
        <v>0</v>
      </c>
      <c r="AZ7" s="13">
        <f t="shared" si="1"/>
        <v>0</v>
      </c>
      <c r="BA7" s="13">
        <f t="shared" si="1"/>
        <v>0</v>
      </c>
      <c r="BB7" s="54">
        <f>SUM(AS7:BA7)</f>
        <v>0</v>
      </c>
    </row>
    <row r="8" spans="1:54" hidden="1" outlineLevel="1" x14ac:dyDescent="0.3">
      <c r="A8" s="10" t="s">
        <v>422</v>
      </c>
      <c r="B8" s="10"/>
      <c r="C8" s="13">
        <f t="shared" ref="C8:K8" si="2">C30+C53</f>
        <v>5983</v>
      </c>
      <c r="D8" s="13">
        <f t="shared" si="2"/>
        <v>5789</v>
      </c>
      <c r="E8" s="13">
        <f t="shared" si="2"/>
        <v>5715</v>
      </c>
      <c r="F8" s="13">
        <f t="shared" si="2"/>
        <v>5510</v>
      </c>
      <c r="G8" s="13">
        <f t="shared" si="2"/>
        <v>5502</v>
      </c>
      <c r="H8" s="13">
        <f t="shared" si="2"/>
        <v>5603</v>
      </c>
      <c r="I8" s="13">
        <f t="shared" si="2"/>
        <v>5603</v>
      </c>
      <c r="J8" s="13">
        <f t="shared" si="2"/>
        <v>5756</v>
      </c>
      <c r="K8" s="13">
        <f t="shared" si="2"/>
        <v>5585</v>
      </c>
      <c r="L8" s="13"/>
      <c r="M8" s="13"/>
      <c r="N8" s="13"/>
      <c r="O8" s="13"/>
      <c r="P8" s="13"/>
      <c r="Q8" s="13"/>
      <c r="V8" s="50">
        <v>3491</v>
      </c>
      <c r="W8" s="54">
        <f t="shared" ref="W8:W13" si="3">V8+E8</f>
        <v>9206</v>
      </c>
      <c r="X8" s="50">
        <v>3718</v>
      </c>
      <c r="Y8" s="54">
        <f t="shared" ref="Y8:Y27" si="4">X8+D8</f>
        <v>9507</v>
      </c>
      <c r="Z8" s="50">
        <v>3963</v>
      </c>
      <c r="AA8" s="54">
        <f t="shared" ref="AA8:AA27" si="5">Z8+C8</f>
        <v>9946</v>
      </c>
      <c r="AD8" s="10" t="s">
        <v>422</v>
      </c>
      <c r="AE8" s="10"/>
      <c r="AF8" s="13">
        <v>5983</v>
      </c>
      <c r="AG8" s="13">
        <v>5789</v>
      </c>
      <c r="AH8" s="13">
        <v>5715</v>
      </c>
      <c r="AI8" s="13">
        <v>5510</v>
      </c>
      <c r="AJ8" s="13">
        <v>5502</v>
      </c>
      <c r="AK8" s="13">
        <v>5603</v>
      </c>
      <c r="AL8" s="13">
        <v>5603</v>
      </c>
      <c r="AM8" s="44">
        <v>5756</v>
      </c>
      <c r="AN8" s="13">
        <v>5585</v>
      </c>
      <c r="AQ8" s="10" t="s">
        <v>422</v>
      </c>
      <c r="AR8" s="10"/>
      <c r="AS8" s="13">
        <f t="shared" si="1"/>
        <v>0</v>
      </c>
      <c r="AT8" s="13">
        <f t="shared" si="1"/>
        <v>0</v>
      </c>
      <c r="AU8" s="13">
        <f t="shared" si="1"/>
        <v>0</v>
      </c>
      <c r="AV8" s="13">
        <f t="shared" si="1"/>
        <v>0</v>
      </c>
      <c r="AW8" s="13">
        <f t="shared" si="1"/>
        <v>0</v>
      </c>
      <c r="AX8" s="13">
        <f t="shared" si="1"/>
        <v>0</v>
      </c>
      <c r="AY8" s="13">
        <f t="shared" si="1"/>
        <v>0</v>
      </c>
      <c r="AZ8" s="13">
        <f t="shared" si="1"/>
        <v>0</v>
      </c>
      <c r="BA8" s="13">
        <f t="shared" si="1"/>
        <v>0</v>
      </c>
      <c r="BB8" s="54">
        <f t="shared" ref="BB8:BB10" si="6">SUM(AS8:BA8)</f>
        <v>0</v>
      </c>
    </row>
    <row r="9" spans="1:54" hidden="1" outlineLevel="1" x14ac:dyDescent="0.3">
      <c r="A9" s="10" t="s">
        <v>384</v>
      </c>
      <c r="B9" s="10"/>
      <c r="C9" s="13">
        <f t="shared" ref="C9:K9" si="7">C31+C55</f>
        <v>17997</v>
      </c>
      <c r="D9" s="13">
        <f t="shared" si="7"/>
        <v>15954</v>
      </c>
      <c r="E9" s="13">
        <f t="shared" si="7"/>
        <v>16444</v>
      </c>
      <c r="F9" s="13">
        <f t="shared" si="7"/>
        <v>17363</v>
      </c>
      <c r="G9" s="13">
        <f t="shared" si="7"/>
        <v>16166</v>
      </c>
      <c r="H9" s="13">
        <f t="shared" si="7"/>
        <v>18868</v>
      </c>
      <c r="I9" s="13">
        <f t="shared" si="7"/>
        <v>17117</v>
      </c>
      <c r="J9" s="13">
        <f t="shared" si="7"/>
        <v>21395</v>
      </c>
      <c r="K9" s="13">
        <f t="shared" si="7"/>
        <v>15916</v>
      </c>
      <c r="L9" s="13"/>
      <c r="M9" s="13"/>
      <c r="N9" s="13"/>
      <c r="O9" s="13"/>
      <c r="P9" s="13"/>
      <c r="Q9" s="13"/>
      <c r="V9" s="50">
        <v>3503</v>
      </c>
      <c r="W9" s="54">
        <f t="shared" si="3"/>
        <v>19947</v>
      </c>
      <c r="X9" s="50">
        <v>3327</v>
      </c>
      <c r="Y9" s="54">
        <f t="shared" si="4"/>
        <v>19281</v>
      </c>
      <c r="Z9" s="50">
        <v>3156</v>
      </c>
      <c r="AA9" s="54">
        <f t="shared" si="5"/>
        <v>21153</v>
      </c>
      <c r="AD9" s="10" t="s">
        <v>384</v>
      </c>
      <c r="AE9" s="10"/>
      <c r="AF9" s="13">
        <v>17997</v>
      </c>
      <c r="AG9" s="13">
        <v>15954</v>
      </c>
      <c r="AH9" s="13">
        <v>16444</v>
      </c>
      <c r="AI9" s="13">
        <v>17363</v>
      </c>
      <c r="AJ9" s="13">
        <v>16166</v>
      </c>
      <c r="AK9" s="13">
        <v>18868</v>
      </c>
      <c r="AL9" s="13">
        <v>17117</v>
      </c>
      <c r="AM9" s="13">
        <v>21395</v>
      </c>
      <c r="AN9" s="13">
        <v>15916</v>
      </c>
      <c r="AQ9" s="10" t="s">
        <v>384</v>
      </c>
      <c r="AR9" s="10"/>
      <c r="AS9" s="13">
        <f t="shared" si="1"/>
        <v>0</v>
      </c>
      <c r="AT9" s="13">
        <f t="shared" si="1"/>
        <v>0</v>
      </c>
      <c r="AU9" s="13">
        <f t="shared" si="1"/>
        <v>0</v>
      </c>
      <c r="AV9" s="13">
        <f t="shared" si="1"/>
        <v>0</v>
      </c>
      <c r="AW9" s="13">
        <f t="shared" si="1"/>
        <v>0</v>
      </c>
      <c r="AX9" s="13">
        <f t="shared" si="1"/>
        <v>0</v>
      </c>
      <c r="AY9" s="13">
        <f t="shared" si="1"/>
        <v>0</v>
      </c>
      <c r="AZ9" s="13">
        <f t="shared" si="1"/>
        <v>0</v>
      </c>
      <c r="BA9" s="13">
        <f t="shared" si="1"/>
        <v>0</v>
      </c>
      <c r="BB9" s="54">
        <f t="shared" si="6"/>
        <v>0</v>
      </c>
    </row>
    <row r="10" spans="1:54" hidden="1" outlineLevel="1" x14ac:dyDescent="0.3">
      <c r="A10" s="10" t="s">
        <v>391</v>
      </c>
      <c r="B10" s="10"/>
      <c r="C10" s="13">
        <f t="shared" ref="C10:K10" si="8">C32+C56</f>
        <v>1496</v>
      </c>
      <c r="D10" s="13">
        <f t="shared" si="8"/>
        <v>1561</v>
      </c>
      <c r="E10" s="13">
        <f t="shared" si="8"/>
        <v>1024</v>
      </c>
      <c r="F10" s="13">
        <f t="shared" si="8"/>
        <v>1341</v>
      </c>
      <c r="G10" s="13">
        <f t="shared" si="8"/>
        <v>1880</v>
      </c>
      <c r="H10" s="13">
        <f t="shared" si="8"/>
        <v>1842</v>
      </c>
      <c r="I10" s="13">
        <f t="shared" si="8"/>
        <v>1849</v>
      </c>
      <c r="J10" s="13">
        <f t="shared" si="8"/>
        <v>2619</v>
      </c>
      <c r="K10" s="13">
        <f t="shared" si="8"/>
        <v>2634</v>
      </c>
      <c r="L10" s="13"/>
      <c r="M10" s="13"/>
      <c r="N10" s="13"/>
      <c r="O10" s="13"/>
      <c r="P10" s="13"/>
      <c r="Q10" s="13"/>
      <c r="V10" s="50">
        <v>735</v>
      </c>
      <c r="W10" s="54">
        <f t="shared" si="3"/>
        <v>1759</v>
      </c>
      <c r="X10" s="50">
        <v>422</v>
      </c>
      <c r="Y10" s="54">
        <f t="shared" si="4"/>
        <v>1983</v>
      </c>
      <c r="Z10" s="50">
        <v>534</v>
      </c>
      <c r="AA10" s="54">
        <f t="shared" si="5"/>
        <v>2030</v>
      </c>
      <c r="AD10" s="10" t="s">
        <v>391</v>
      </c>
      <c r="AE10" s="10"/>
      <c r="AF10" s="13">
        <v>1496</v>
      </c>
      <c r="AG10" s="13">
        <v>1561</v>
      </c>
      <c r="AH10" s="13">
        <v>1024</v>
      </c>
      <c r="AI10" s="13">
        <v>1341</v>
      </c>
      <c r="AJ10" s="13">
        <v>1880</v>
      </c>
      <c r="AK10" s="13">
        <v>1842</v>
      </c>
      <c r="AL10" s="13">
        <v>1849</v>
      </c>
      <c r="AM10" s="13">
        <v>2619</v>
      </c>
      <c r="AN10" s="13">
        <v>2634</v>
      </c>
      <c r="AQ10" s="10" t="s">
        <v>391</v>
      </c>
      <c r="AR10" s="10"/>
      <c r="AS10" s="13">
        <f t="shared" si="1"/>
        <v>0</v>
      </c>
      <c r="AT10" s="13">
        <f t="shared" si="1"/>
        <v>0</v>
      </c>
      <c r="AU10" s="13">
        <f t="shared" si="1"/>
        <v>0</v>
      </c>
      <c r="AV10" s="13">
        <f t="shared" si="1"/>
        <v>0</v>
      </c>
      <c r="AW10" s="13">
        <f t="shared" si="1"/>
        <v>0</v>
      </c>
      <c r="AX10" s="13">
        <f t="shared" si="1"/>
        <v>0</v>
      </c>
      <c r="AY10" s="13">
        <f t="shared" si="1"/>
        <v>0</v>
      </c>
      <c r="AZ10" s="13">
        <f t="shared" si="1"/>
        <v>0</v>
      </c>
      <c r="BA10" s="13">
        <f t="shared" si="1"/>
        <v>0</v>
      </c>
      <c r="BB10" s="54">
        <f t="shared" si="6"/>
        <v>0</v>
      </c>
    </row>
    <row r="11" spans="1:54" hidden="1" outlineLevel="1" x14ac:dyDescent="0.3">
      <c r="A11" s="10" t="s">
        <v>432</v>
      </c>
      <c r="B11" s="10"/>
      <c r="C11" s="13">
        <f t="shared" ref="C11:K11" si="9">C33+C57</f>
        <v>-197</v>
      </c>
      <c r="D11" s="13">
        <f t="shared" si="9"/>
        <v>597</v>
      </c>
      <c r="E11" s="13">
        <f t="shared" si="9"/>
        <v>171</v>
      </c>
      <c r="F11" s="13">
        <f t="shared" si="9"/>
        <v>-308</v>
      </c>
      <c r="G11" s="13">
        <f t="shared" si="9"/>
        <v>-298</v>
      </c>
      <c r="H11" s="13">
        <f t="shared" si="9"/>
        <v>444</v>
      </c>
      <c r="I11" s="13">
        <f t="shared" si="9"/>
        <v>-110</v>
      </c>
      <c r="J11" s="13">
        <f t="shared" si="9"/>
        <v>1529</v>
      </c>
      <c r="K11" s="13">
        <f t="shared" si="9"/>
        <v>-1262</v>
      </c>
      <c r="L11" s="13"/>
      <c r="M11" s="13"/>
      <c r="N11" s="13"/>
      <c r="O11" s="13"/>
      <c r="P11" s="13"/>
      <c r="Q11" s="13"/>
      <c r="V11" s="50"/>
      <c r="W11" s="54">
        <f t="shared" si="3"/>
        <v>171</v>
      </c>
      <c r="X11" s="50"/>
      <c r="Y11" s="54">
        <f t="shared" si="4"/>
        <v>597</v>
      </c>
      <c r="Z11" s="50"/>
      <c r="AA11" s="54">
        <f t="shared" si="5"/>
        <v>-197</v>
      </c>
      <c r="AD11" s="10" t="s">
        <v>432</v>
      </c>
      <c r="AE11" s="10"/>
      <c r="AF11" s="13">
        <v>-197</v>
      </c>
      <c r="AG11" s="13">
        <v>597</v>
      </c>
      <c r="AH11" s="13">
        <v>171</v>
      </c>
      <c r="AI11" s="13">
        <v>-308</v>
      </c>
      <c r="AJ11" s="13">
        <v>-298</v>
      </c>
      <c r="AK11" s="13">
        <v>444</v>
      </c>
      <c r="AL11" s="13">
        <v>-110</v>
      </c>
      <c r="AM11" s="13">
        <v>1529</v>
      </c>
      <c r="AN11" s="13">
        <v>-1262</v>
      </c>
      <c r="AQ11" s="10"/>
      <c r="AR11" s="10"/>
      <c r="AS11" s="13"/>
      <c r="AT11" s="13"/>
      <c r="AU11" s="13"/>
      <c r="AV11" s="13"/>
      <c r="AW11" s="13"/>
      <c r="AX11" s="13"/>
      <c r="AY11" s="13"/>
      <c r="AZ11" s="13"/>
      <c r="BA11" s="13"/>
      <c r="BB11" s="54"/>
    </row>
    <row r="12" spans="1:54" hidden="1" outlineLevel="1" x14ac:dyDescent="0.3">
      <c r="A12" s="10" t="s">
        <v>433</v>
      </c>
      <c r="B12" s="10"/>
      <c r="C12" s="13">
        <f t="shared" ref="C12:K12" si="10">C34+C58</f>
        <v>1317</v>
      </c>
      <c r="D12" s="13">
        <f t="shared" si="10"/>
        <v>38</v>
      </c>
      <c r="E12" s="13">
        <f t="shared" si="10"/>
        <v>-6760</v>
      </c>
      <c r="F12" s="13">
        <f t="shared" si="10"/>
        <v>-590</v>
      </c>
      <c r="G12" s="13">
        <f t="shared" si="10"/>
        <v>851</v>
      </c>
      <c r="H12" s="13">
        <f t="shared" si="10"/>
        <v>628</v>
      </c>
      <c r="I12" s="13">
        <f t="shared" si="10"/>
        <v>1349</v>
      </c>
      <c r="J12" s="13">
        <f t="shared" si="10"/>
        <v>-2228</v>
      </c>
      <c r="K12" s="13">
        <f t="shared" si="10"/>
        <v>-2372</v>
      </c>
      <c r="L12" s="13"/>
      <c r="M12" s="13"/>
      <c r="N12" s="13"/>
      <c r="O12" s="13"/>
      <c r="P12" s="13"/>
      <c r="Q12" s="13"/>
      <c r="V12" s="50"/>
      <c r="W12" s="54">
        <f t="shared" si="3"/>
        <v>-6760</v>
      </c>
      <c r="X12" s="50"/>
      <c r="Y12" s="54">
        <f t="shared" si="4"/>
        <v>38</v>
      </c>
      <c r="Z12" s="50"/>
      <c r="AA12" s="54">
        <f t="shared" si="5"/>
        <v>1317</v>
      </c>
      <c r="AD12" s="10" t="s">
        <v>433</v>
      </c>
      <c r="AE12" s="10"/>
      <c r="AF12" s="13">
        <v>1317</v>
      </c>
      <c r="AG12" s="13">
        <v>38</v>
      </c>
      <c r="AH12" s="13">
        <v>-6760</v>
      </c>
      <c r="AI12" s="13">
        <v>-590</v>
      </c>
      <c r="AJ12" s="13">
        <v>851</v>
      </c>
      <c r="AK12" s="13">
        <v>628</v>
      </c>
      <c r="AL12" s="13">
        <v>1349</v>
      </c>
      <c r="AM12" s="13">
        <v>-2228</v>
      </c>
      <c r="AN12" s="13">
        <v>-2372</v>
      </c>
      <c r="AQ12" s="10"/>
      <c r="AR12" s="10"/>
      <c r="AS12" s="13"/>
      <c r="AT12" s="13"/>
      <c r="AU12" s="13"/>
      <c r="AV12" s="13"/>
      <c r="AW12" s="13"/>
      <c r="AX12" s="13"/>
      <c r="AY12" s="13"/>
      <c r="AZ12" s="13"/>
      <c r="BA12" s="13"/>
      <c r="BB12" s="54"/>
    </row>
    <row r="13" spans="1:54" s="49" customFormat="1" hidden="1" outlineLevel="1" x14ac:dyDescent="0.3">
      <c r="A13" s="47" t="s">
        <v>373</v>
      </c>
      <c r="B13" s="47"/>
      <c r="C13" s="48">
        <f t="shared" ref="C13:J13" si="11">C35+C59</f>
        <v>64189</v>
      </c>
      <c r="D13" s="48">
        <f t="shared" si="11"/>
        <v>60809</v>
      </c>
      <c r="E13" s="48">
        <f t="shared" si="11"/>
        <v>54525</v>
      </c>
      <c r="F13" s="48">
        <f t="shared" si="11"/>
        <v>62308</v>
      </c>
      <c r="G13" s="48">
        <f t="shared" si="11"/>
        <v>67941</v>
      </c>
      <c r="H13" s="48">
        <f t="shared" si="11"/>
        <v>69620</v>
      </c>
      <c r="I13" s="48">
        <f t="shared" si="11"/>
        <v>67842</v>
      </c>
      <c r="J13" s="48">
        <f t="shared" si="11"/>
        <v>71080</v>
      </c>
      <c r="K13" s="48">
        <f>K35+K59</f>
        <v>69898</v>
      </c>
      <c r="L13" s="48"/>
      <c r="M13" s="48"/>
      <c r="N13" s="48"/>
      <c r="O13" s="48"/>
      <c r="P13" s="48"/>
      <c r="Q13" s="48"/>
      <c r="V13" s="50">
        <v>8951</v>
      </c>
      <c r="W13" s="54">
        <f t="shared" si="3"/>
        <v>63476</v>
      </c>
      <c r="X13" s="50">
        <v>9142</v>
      </c>
      <c r="Y13" s="54">
        <f t="shared" si="4"/>
        <v>69951</v>
      </c>
      <c r="Z13" s="50">
        <v>9127</v>
      </c>
      <c r="AA13" s="54">
        <f t="shared" si="5"/>
        <v>73316</v>
      </c>
      <c r="AD13" s="47" t="s">
        <v>373</v>
      </c>
      <c r="AE13" s="47"/>
      <c r="AF13" s="48">
        <v>64189</v>
      </c>
      <c r="AG13" s="48">
        <v>60809</v>
      </c>
      <c r="AH13" s="48">
        <v>54525</v>
      </c>
      <c r="AI13" s="48">
        <v>62308</v>
      </c>
      <c r="AJ13" s="48">
        <v>67941</v>
      </c>
      <c r="AK13" s="48">
        <v>69620</v>
      </c>
      <c r="AL13" s="48">
        <v>67842</v>
      </c>
      <c r="AM13" s="48">
        <v>71080</v>
      </c>
      <c r="AN13" s="48">
        <v>69898</v>
      </c>
      <c r="AQ13" s="47" t="s">
        <v>373</v>
      </c>
      <c r="AR13" s="47"/>
      <c r="AS13" s="13">
        <f t="shared" ref="AS13:AS27" si="12">C13-AF13</f>
        <v>0</v>
      </c>
      <c r="AT13" s="13">
        <f t="shared" ref="AT13:AT27" si="13">D13-AG13</f>
        <v>0</v>
      </c>
      <c r="AU13" s="13">
        <f t="shared" ref="AU13:AU27" si="14">E13-AH13</f>
        <v>0</v>
      </c>
      <c r="AV13" s="13">
        <f t="shared" ref="AV13:AV27" si="15">F13-AI13</f>
        <v>0</v>
      </c>
      <c r="AW13" s="13">
        <f t="shared" ref="AW13:AW27" si="16">G13-AJ13</f>
        <v>0</v>
      </c>
      <c r="AX13" s="13">
        <f t="shared" ref="AX13:AX27" si="17">H13-AK13</f>
        <v>0</v>
      </c>
      <c r="AY13" s="13">
        <f t="shared" ref="AY13:AY27" si="18">I13-AL13</f>
        <v>0</v>
      </c>
      <c r="AZ13" s="13">
        <f t="shared" ref="AZ13:AZ27" si="19">J13-AM13</f>
        <v>0</v>
      </c>
      <c r="BA13" s="13">
        <f t="shared" ref="BA13:BA27" si="20">K13-AN13</f>
        <v>0</v>
      </c>
      <c r="BB13" s="54">
        <f t="shared" ref="BB13:BB27" si="21">SUM(AS13:BA13)</f>
        <v>0</v>
      </c>
    </row>
    <row r="14" spans="1:54" hidden="1" outlineLevel="1" x14ac:dyDescent="0.3">
      <c r="A14" s="10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V14" s="55"/>
      <c r="W14" s="50"/>
      <c r="X14" s="55"/>
      <c r="Y14" s="54"/>
      <c r="Z14" s="55"/>
      <c r="AA14" s="54"/>
      <c r="AD14" s="10"/>
      <c r="AE14" s="10"/>
      <c r="AF14" s="13"/>
      <c r="AG14" s="13"/>
      <c r="AH14" s="13"/>
      <c r="AI14" s="13"/>
      <c r="AJ14" s="13"/>
      <c r="AK14" s="13"/>
      <c r="AL14" s="13"/>
      <c r="AM14" s="13"/>
      <c r="AN14" s="13"/>
      <c r="AQ14" s="10"/>
      <c r="AR14" s="10"/>
      <c r="AS14" s="13">
        <f t="shared" si="12"/>
        <v>0</v>
      </c>
      <c r="AT14" s="13">
        <f t="shared" si="13"/>
        <v>0</v>
      </c>
      <c r="AU14" s="13">
        <f t="shared" si="14"/>
        <v>0</v>
      </c>
      <c r="AV14" s="13">
        <f t="shared" si="15"/>
        <v>0</v>
      </c>
      <c r="AW14" s="13">
        <f t="shared" si="16"/>
        <v>0</v>
      </c>
      <c r="AX14" s="13">
        <f t="shared" si="17"/>
        <v>0</v>
      </c>
      <c r="AY14" s="13">
        <f t="shared" si="18"/>
        <v>0</v>
      </c>
      <c r="AZ14" s="13">
        <f t="shared" si="19"/>
        <v>0</v>
      </c>
      <c r="BA14" s="13">
        <f t="shared" si="20"/>
        <v>0</v>
      </c>
      <c r="BB14" s="54">
        <f t="shared" si="21"/>
        <v>0</v>
      </c>
    </row>
    <row r="15" spans="1:54" hidden="1" outlineLevel="1" x14ac:dyDescent="0.3">
      <c r="A15" s="10" t="s">
        <v>380</v>
      </c>
      <c r="B15" s="10"/>
      <c r="C15" s="13">
        <f t="shared" ref="C15:K15" si="22">C37+C61</f>
        <v>37767</v>
      </c>
      <c r="D15" s="13">
        <f t="shared" si="22"/>
        <v>37227</v>
      </c>
      <c r="E15" s="13">
        <f t="shared" si="22"/>
        <v>38860</v>
      </c>
      <c r="F15" s="13">
        <f t="shared" si="22"/>
        <v>39544</v>
      </c>
      <c r="G15" s="13">
        <f t="shared" si="22"/>
        <v>43907</v>
      </c>
      <c r="H15" s="13">
        <f t="shared" si="22"/>
        <v>42672</v>
      </c>
      <c r="I15" s="13">
        <f t="shared" si="22"/>
        <v>42551</v>
      </c>
      <c r="J15" s="13">
        <f t="shared" si="22"/>
        <v>44830</v>
      </c>
      <c r="K15" s="13">
        <f t="shared" si="22"/>
        <v>51313</v>
      </c>
      <c r="L15" s="13"/>
      <c r="M15" s="13"/>
      <c r="N15" s="13"/>
      <c r="O15" s="13"/>
      <c r="P15" s="13"/>
      <c r="Q15" s="13"/>
      <c r="V15" s="50">
        <v>3200</v>
      </c>
      <c r="W15" s="50">
        <f>V15+E15</f>
        <v>42060</v>
      </c>
      <c r="X15" s="50">
        <v>2875</v>
      </c>
      <c r="Y15" s="54">
        <f t="shared" si="4"/>
        <v>40102</v>
      </c>
      <c r="Z15" s="50">
        <v>2711</v>
      </c>
      <c r="AA15" s="54">
        <f t="shared" si="5"/>
        <v>40478</v>
      </c>
      <c r="AD15" s="10" t="s">
        <v>380</v>
      </c>
      <c r="AE15" s="10"/>
      <c r="AF15" s="13">
        <v>37767</v>
      </c>
      <c r="AG15" s="13">
        <v>37227</v>
      </c>
      <c r="AH15" s="13">
        <v>38860</v>
      </c>
      <c r="AI15" s="13">
        <v>39544</v>
      </c>
      <c r="AJ15" s="13">
        <v>43907</v>
      </c>
      <c r="AK15" s="13">
        <v>42672</v>
      </c>
      <c r="AL15" s="13">
        <v>42551</v>
      </c>
      <c r="AM15" s="13">
        <v>44830</v>
      </c>
      <c r="AN15" s="13">
        <v>51313</v>
      </c>
      <c r="AQ15" s="10" t="s">
        <v>380</v>
      </c>
      <c r="AR15" s="10"/>
      <c r="AS15" s="13">
        <f t="shared" si="12"/>
        <v>0</v>
      </c>
      <c r="AT15" s="13">
        <f t="shared" si="13"/>
        <v>0</v>
      </c>
      <c r="AU15" s="13">
        <f t="shared" si="14"/>
        <v>0</v>
      </c>
      <c r="AV15" s="13">
        <f t="shared" si="15"/>
        <v>0</v>
      </c>
      <c r="AW15" s="13">
        <f t="shared" si="16"/>
        <v>0</v>
      </c>
      <c r="AX15" s="13">
        <f t="shared" si="17"/>
        <v>0</v>
      </c>
      <c r="AY15" s="13">
        <f t="shared" si="18"/>
        <v>0</v>
      </c>
      <c r="AZ15" s="13">
        <f t="shared" si="19"/>
        <v>0</v>
      </c>
      <c r="BA15" s="13">
        <f t="shared" si="20"/>
        <v>0</v>
      </c>
      <c r="BB15" s="54">
        <f t="shared" si="21"/>
        <v>0</v>
      </c>
    </row>
    <row r="16" spans="1:54" hidden="1" outlineLevel="1" x14ac:dyDescent="0.3">
      <c r="A16" s="10" t="s">
        <v>393</v>
      </c>
      <c r="B16" s="10"/>
      <c r="C16" s="13">
        <f t="shared" ref="C16:K16" si="23">C38+C62</f>
        <v>5668</v>
      </c>
      <c r="D16" s="13">
        <f t="shared" si="23"/>
        <v>4355</v>
      </c>
      <c r="E16" s="13">
        <f t="shared" si="23"/>
        <v>5120</v>
      </c>
      <c r="F16" s="13">
        <f t="shared" si="23"/>
        <v>5607</v>
      </c>
      <c r="G16" s="13">
        <f t="shared" si="23"/>
        <v>4013</v>
      </c>
      <c r="H16" s="13">
        <f t="shared" si="23"/>
        <v>6464</v>
      </c>
      <c r="I16" s="13">
        <f t="shared" si="23"/>
        <v>5214</v>
      </c>
      <c r="J16" s="13">
        <f t="shared" si="23"/>
        <v>5538</v>
      </c>
      <c r="K16" s="13">
        <f t="shared" si="23"/>
        <v>3692</v>
      </c>
      <c r="L16" s="13"/>
      <c r="M16" s="13"/>
      <c r="N16" s="13"/>
      <c r="O16" s="13"/>
      <c r="P16" s="13"/>
      <c r="Q16" s="13"/>
      <c r="V16" s="50">
        <v>1162</v>
      </c>
      <c r="W16" s="50">
        <f t="shared" ref="W16:W22" si="24">V16+E16</f>
        <v>6282</v>
      </c>
      <c r="X16" s="50">
        <v>1255</v>
      </c>
      <c r="Y16" s="54">
        <f t="shared" si="4"/>
        <v>5610</v>
      </c>
      <c r="Z16" s="50">
        <v>1275</v>
      </c>
      <c r="AA16" s="54">
        <f t="shared" si="5"/>
        <v>6943</v>
      </c>
      <c r="AD16" s="10" t="s">
        <v>393</v>
      </c>
      <c r="AE16" s="10"/>
      <c r="AF16" s="13">
        <v>5668</v>
      </c>
      <c r="AG16" s="13">
        <v>4355</v>
      </c>
      <c r="AH16" s="13">
        <v>5120</v>
      </c>
      <c r="AI16" s="13">
        <v>5607</v>
      </c>
      <c r="AJ16" s="13">
        <v>4013</v>
      </c>
      <c r="AK16" s="13">
        <v>6464</v>
      </c>
      <c r="AL16" s="13">
        <v>5214</v>
      </c>
      <c r="AM16" s="13">
        <v>5538</v>
      </c>
      <c r="AN16" s="13">
        <v>3692</v>
      </c>
      <c r="AQ16" s="10" t="s">
        <v>393</v>
      </c>
      <c r="AR16" s="10"/>
      <c r="AS16" s="13">
        <f t="shared" si="12"/>
        <v>0</v>
      </c>
      <c r="AT16" s="13">
        <f t="shared" si="13"/>
        <v>0</v>
      </c>
      <c r="AU16" s="13">
        <f t="shared" si="14"/>
        <v>0</v>
      </c>
      <c r="AV16" s="13">
        <f t="shared" si="15"/>
        <v>0</v>
      </c>
      <c r="AW16" s="13">
        <f t="shared" si="16"/>
        <v>0</v>
      </c>
      <c r="AX16" s="13">
        <f t="shared" si="17"/>
        <v>0</v>
      </c>
      <c r="AY16" s="13">
        <f t="shared" si="18"/>
        <v>0</v>
      </c>
      <c r="AZ16" s="13">
        <f t="shared" si="19"/>
        <v>0</v>
      </c>
      <c r="BA16" s="13">
        <f t="shared" si="20"/>
        <v>0</v>
      </c>
      <c r="BB16" s="54">
        <f t="shared" si="21"/>
        <v>0</v>
      </c>
    </row>
    <row r="17" spans="1:54" hidden="1" outlineLevel="1" x14ac:dyDescent="0.3">
      <c r="A17" s="10" t="s">
        <v>423</v>
      </c>
      <c r="B17" s="10"/>
      <c r="C17" s="13">
        <f t="shared" ref="C17:K17" si="25">C39+C63</f>
        <v>-3786</v>
      </c>
      <c r="D17" s="13">
        <f t="shared" si="25"/>
        <v>-3438</v>
      </c>
      <c r="E17" s="13">
        <f t="shared" si="25"/>
        <v>-3256</v>
      </c>
      <c r="F17" s="13">
        <f t="shared" si="25"/>
        <v>-3002</v>
      </c>
      <c r="G17" s="13">
        <f t="shared" si="25"/>
        <v>-3254</v>
      </c>
      <c r="H17" s="13">
        <f t="shared" si="25"/>
        <v>-3358</v>
      </c>
      <c r="I17" s="13">
        <f t="shared" si="25"/>
        <v>-3013</v>
      </c>
      <c r="J17" s="13">
        <f t="shared" si="25"/>
        <v>-2718</v>
      </c>
      <c r="K17" s="13">
        <f t="shared" si="25"/>
        <v>-2558</v>
      </c>
      <c r="L17" s="13"/>
      <c r="M17" s="13"/>
      <c r="N17" s="13"/>
      <c r="O17" s="13"/>
      <c r="P17" s="13"/>
      <c r="Q17" s="13"/>
      <c r="V17" s="50">
        <v>-333</v>
      </c>
      <c r="W17" s="50">
        <f t="shared" si="24"/>
        <v>-3589</v>
      </c>
      <c r="X17" s="50">
        <v>-399</v>
      </c>
      <c r="Y17" s="54">
        <f t="shared" si="4"/>
        <v>-3837</v>
      </c>
      <c r="Z17" s="50">
        <v>-397</v>
      </c>
      <c r="AA17" s="54">
        <f t="shared" si="5"/>
        <v>-4183</v>
      </c>
      <c r="AD17" s="10" t="s">
        <v>423</v>
      </c>
      <c r="AE17" s="10"/>
      <c r="AF17" s="13">
        <v>-3786</v>
      </c>
      <c r="AG17" s="13">
        <v>-3438</v>
      </c>
      <c r="AH17" s="13">
        <v>-3256</v>
      </c>
      <c r="AI17" s="13">
        <v>-3002</v>
      </c>
      <c r="AJ17" s="13">
        <v>-3254</v>
      </c>
      <c r="AK17" s="13">
        <v>-3358</v>
      </c>
      <c r="AL17" s="13">
        <v>-3013</v>
      </c>
      <c r="AM17" s="13">
        <v>-2718</v>
      </c>
      <c r="AN17" s="13">
        <v>-2558</v>
      </c>
      <c r="AQ17" s="10" t="s">
        <v>423</v>
      </c>
      <c r="AR17" s="10"/>
      <c r="AS17" s="13">
        <f t="shared" si="12"/>
        <v>0</v>
      </c>
      <c r="AT17" s="13">
        <f t="shared" si="13"/>
        <v>0</v>
      </c>
      <c r="AU17" s="13">
        <f t="shared" si="14"/>
        <v>0</v>
      </c>
      <c r="AV17" s="13">
        <f t="shared" si="15"/>
        <v>0</v>
      </c>
      <c r="AW17" s="13">
        <f t="shared" si="16"/>
        <v>0</v>
      </c>
      <c r="AX17" s="13">
        <f t="shared" si="17"/>
        <v>0</v>
      </c>
      <c r="AY17" s="13">
        <f t="shared" si="18"/>
        <v>0</v>
      </c>
      <c r="AZ17" s="13">
        <f t="shared" si="19"/>
        <v>0</v>
      </c>
      <c r="BA17" s="13">
        <f t="shared" si="20"/>
        <v>0</v>
      </c>
      <c r="BB17" s="54">
        <f t="shared" si="21"/>
        <v>0</v>
      </c>
    </row>
    <row r="18" spans="1:54" hidden="1" outlineLevel="1" x14ac:dyDescent="0.3">
      <c r="A18" s="10" t="s">
        <v>392</v>
      </c>
      <c r="B18" s="10"/>
      <c r="C18" s="13">
        <f t="shared" ref="C18:K18" si="26">C40+C64</f>
        <v>3322</v>
      </c>
      <c r="D18" s="13">
        <f t="shared" si="26"/>
        <v>3205</v>
      </c>
      <c r="E18" s="13">
        <f t="shared" si="26"/>
        <v>1568</v>
      </c>
      <c r="F18" s="13">
        <f t="shared" si="26"/>
        <v>2681</v>
      </c>
      <c r="G18" s="13">
        <f t="shared" si="26"/>
        <v>2975</v>
      </c>
      <c r="H18" s="13">
        <f t="shared" si="26"/>
        <v>2896</v>
      </c>
      <c r="I18" s="13">
        <f t="shared" si="26"/>
        <v>3160</v>
      </c>
      <c r="J18" s="13">
        <f t="shared" si="26"/>
        <v>2555</v>
      </c>
      <c r="K18" s="13">
        <f t="shared" si="26"/>
        <v>1931</v>
      </c>
      <c r="L18" s="13"/>
      <c r="M18" s="13"/>
      <c r="N18" s="13"/>
      <c r="O18" s="13"/>
      <c r="P18" s="13"/>
      <c r="Q18" s="13"/>
      <c r="V18" s="50">
        <v>1073</v>
      </c>
      <c r="W18" s="50">
        <f t="shared" si="24"/>
        <v>2641</v>
      </c>
      <c r="X18" s="50">
        <v>731</v>
      </c>
      <c r="Y18" s="54">
        <f t="shared" si="4"/>
        <v>3936</v>
      </c>
      <c r="Z18" s="50">
        <v>810</v>
      </c>
      <c r="AA18" s="54">
        <f t="shared" si="5"/>
        <v>4132</v>
      </c>
      <c r="AD18" s="10" t="s">
        <v>392</v>
      </c>
      <c r="AE18" s="10"/>
      <c r="AF18" s="13">
        <v>3322</v>
      </c>
      <c r="AG18" s="13">
        <v>3205</v>
      </c>
      <c r="AH18" s="13">
        <v>1568</v>
      </c>
      <c r="AI18" s="13">
        <v>2681</v>
      </c>
      <c r="AJ18" s="13">
        <v>2975</v>
      </c>
      <c r="AK18" s="13">
        <v>2896</v>
      </c>
      <c r="AL18" s="13">
        <v>3160</v>
      </c>
      <c r="AM18" s="13">
        <v>2555</v>
      </c>
      <c r="AN18" s="13">
        <v>1931</v>
      </c>
      <c r="AQ18" s="10" t="s">
        <v>392</v>
      </c>
      <c r="AR18" s="10"/>
      <c r="AS18" s="13">
        <f t="shared" si="12"/>
        <v>0</v>
      </c>
      <c r="AT18" s="13">
        <f t="shared" si="13"/>
        <v>0</v>
      </c>
      <c r="AU18" s="13">
        <f t="shared" si="14"/>
        <v>0</v>
      </c>
      <c r="AV18" s="13">
        <f t="shared" si="15"/>
        <v>0</v>
      </c>
      <c r="AW18" s="13">
        <f t="shared" si="16"/>
        <v>0</v>
      </c>
      <c r="AX18" s="13">
        <f t="shared" si="17"/>
        <v>0</v>
      </c>
      <c r="AY18" s="13">
        <f t="shared" si="18"/>
        <v>0</v>
      </c>
      <c r="AZ18" s="13">
        <f t="shared" si="19"/>
        <v>0</v>
      </c>
      <c r="BA18" s="13">
        <f t="shared" si="20"/>
        <v>0</v>
      </c>
      <c r="BB18" s="54">
        <f t="shared" si="21"/>
        <v>0</v>
      </c>
    </row>
    <row r="19" spans="1:54" hidden="1" outlineLevel="1" x14ac:dyDescent="0.3">
      <c r="A19" s="10" t="s">
        <v>424</v>
      </c>
      <c r="B19" s="10"/>
      <c r="C19" s="13">
        <f t="shared" ref="C19:K19" si="27">C41+C65</f>
        <v>-442</v>
      </c>
      <c r="D19" s="13">
        <f t="shared" si="27"/>
        <v>-361</v>
      </c>
      <c r="E19" s="13">
        <f t="shared" si="27"/>
        <v>-269</v>
      </c>
      <c r="F19" s="13">
        <f t="shared" si="27"/>
        <v>-140</v>
      </c>
      <c r="G19" s="13">
        <f t="shared" si="27"/>
        <v>-56</v>
      </c>
      <c r="H19" s="13">
        <f t="shared" si="27"/>
        <v>-33</v>
      </c>
      <c r="I19" s="13">
        <f t="shared" si="27"/>
        <v>-45</v>
      </c>
      <c r="J19" s="13">
        <f t="shared" si="27"/>
        <v>-34</v>
      </c>
      <c r="K19" s="13">
        <f t="shared" si="27"/>
        <v>-41</v>
      </c>
      <c r="L19" s="13"/>
      <c r="M19" s="13"/>
      <c r="N19" s="13"/>
      <c r="O19" s="13"/>
      <c r="P19" s="13"/>
      <c r="Q19" s="13"/>
      <c r="V19" s="50"/>
      <c r="W19" s="50">
        <f t="shared" si="24"/>
        <v>-269</v>
      </c>
      <c r="X19" s="50"/>
      <c r="Y19" s="54">
        <f t="shared" si="4"/>
        <v>-361</v>
      </c>
      <c r="Z19" s="50"/>
      <c r="AA19" s="54">
        <f t="shared" si="5"/>
        <v>-442</v>
      </c>
      <c r="AD19" s="10" t="s">
        <v>424</v>
      </c>
      <c r="AE19" s="10"/>
      <c r="AF19" s="13">
        <v>-442</v>
      </c>
      <c r="AG19" s="13">
        <v>-361</v>
      </c>
      <c r="AH19" s="13">
        <v>-269</v>
      </c>
      <c r="AI19" s="13">
        <v>-140</v>
      </c>
      <c r="AJ19" s="13">
        <v>-56</v>
      </c>
      <c r="AK19" s="13">
        <v>-33</v>
      </c>
      <c r="AL19" s="13">
        <v>-45</v>
      </c>
      <c r="AM19" s="13">
        <v>-34</v>
      </c>
      <c r="AN19" s="13">
        <v>-41</v>
      </c>
      <c r="AQ19" s="10" t="s">
        <v>424</v>
      </c>
      <c r="AR19" s="10"/>
      <c r="AS19" s="13">
        <f t="shared" si="12"/>
        <v>0</v>
      </c>
      <c r="AT19" s="13">
        <f t="shared" si="13"/>
        <v>0</v>
      </c>
      <c r="AU19" s="13">
        <f t="shared" si="14"/>
        <v>0</v>
      </c>
      <c r="AV19" s="13">
        <f t="shared" si="15"/>
        <v>0</v>
      </c>
      <c r="AW19" s="13">
        <f t="shared" si="16"/>
        <v>0</v>
      </c>
      <c r="AX19" s="13">
        <f t="shared" si="17"/>
        <v>0</v>
      </c>
      <c r="AY19" s="13">
        <f t="shared" si="18"/>
        <v>0</v>
      </c>
      <c r="AZ19" s="13">
        <f t="shared" si="19"/>
        <v>0</v>
      </c>
      <c r="BA19" s="13">
        <f t="shared" si="20"/>
        <v>0</v>
      </c>
      <c r="BB19" s="54">
        <f t="shared" si="21"/>
        <v>0</v>
      </c>
    </row>
    <row r="20" spans="1:54" hidden="1" outlineLevel="1" x14ac:dyDescent="0.3">
      <c r="A20" s="10" t="s">
        <v>381</v>
      </c>
      <c r="B20" s="10"/>
      <c r="C20" s="13">
        <f t="shared" ref="C20:K20" si="28">C42+C66</f>
        <v>1083</v>
      </c>
      <c r="D20" s="13">
        <f t="shared" si="28"/>
        <v>1080</v>
      </c>
      <c r="E20" s="13">
        <f t="shared" si="28"/>
        <v>1073</v>
      </c>
      <c r="F20" s="13">
        <f t="shared" si="28"/>
        <v>1129</v>
      </c>
      <c r="G20" s="13">
        <f t="shared" si="28"/>
        <v>1122</v>
      </c>
      <c r="H20" s="13">
        <f t="shared" si="28"/>
        <v>955</v>
      </c>
      <c r="I20" s="13">
        <f t="shared" si="28"/>
        <v>913</v>
      </c>
      <c r="J20" s="13">
        <f t="shared" si="28"/>
        <v>920</v>
      </c>
      <c r="K20" s="13">
        <f t="shared" si="28"/>
        <v>938</v>
      </c>
      <c r="L20" s="13"/>
      <c r="M20" s="13"/>
      <c r="N20" s="13"/>
      <c r="O20" s="13"/>
      <c r="P20" s="13"/>
      <c r="Q20" s="13"/>
      <c r="V20" s="50">
        <v>128</v>
      </c>
      <c r="W20" s="50">
        <f t="shared" si="24"/>
        <v>1201</v>
      </c>
      <c r="X20" s="50">
        <v>128</v>
      </c>
      <c r="Y20" s="54">
        <f t="shared" si="4"/>
        <v>1208</v>
      </c>
      <c r="Z20" s="50">
        <v>133</v>
      </c>
      <c r="AA20" s="54">
        <f t="shared" si="5"/>
        <v>1216</v>
      </c>
      <c r="AD20" s="10" t="s">
        <v>381</v>
      </c>
      <c r="AE20" s="10"/>
      <c r="AF20" s="13">
        <v>1083</v>
      </c>
      <c r="AG20" s="13">
        <v>1080</v>
      </c>
      <c r="AH20" s="13">
        <v>1073</v>
      </c>
      <c r="AI20" s="13">
        <v>1129</v>
      </c>
      <c r="AJ20" s="13">
        <v>1122</v>
      </c>
      <c r="AK20" s="13">
        <v>955</v>
      </c>
      <c r="AL20" s="13">
        <v>913</v>
      </c>
      <c r="AM20" s="13">
        <v>920</v>
      </c>
      <c r="AN20" s="13">
        <v>938</v>
      </c>
      <c r="AQ20" s="10" t="s">
        <v>381</v>
      </c>
      <c r="AR20" s="10"/>
      <c r="AS20" s="13">
        <f t="shared" si="12"/>
        <v>0</v>
      </c>
      <c r="AT20" s="13">
        <f t="shared" si="13"/>
        <v>0</v>
      </c>
      <c r="AU20" s="13">
        <f t="shared" si="14"/>
        <v>0</v>
      </c>
      <c r="AV20" s="13">
        <f t="shared" si="15"/>
        <v>0</v>
      </c>
      <c r="AW20" s="13">
        <f t="shared" si="16"/>
        <v>0</v>
      </c>
      <c r="AX20" s="13">
        <f t="shared" si="17"/>
        <v>0</v>
      </c>
      <c r="AY20" s="13">
        <f t="shared" si="18"/>
        <v>0</v>
      </c>
      <c r="AZ20" s="13">
        <f t="shared" si="19"/>
        <v>0</v>
      </c>
      <c r="BA20" s="13">
        <f t="shared" si="20"/>
        <v>0</v>
      </c>
      <c r="BB20" s="54">
        <f t="shared" si="21"/>
        <v>0</v>
      </c>
    </row>
    <row r="21" spans="1:54" hidden="1" outlineLevel="1" x14ac:dyDescent="0.3">
      <c r="A21" s="10" t="s">
        <v>388</v>
      </c>
      <c r="B21" s="10"/>
      <c r="C21" s="13">
        <f t="shared" ref="C21:K21" si="29">C43+C67</f>
        <v>13896</v>
      </c>
      <c r="D21" s="13">
        <f t="shared" si="29"/>
        <v>13339</v>
      </c>
      <c r="E21" s="13">
        <f t="shared" si="29"/>
        <v>13007</v>
      </c>
      <c r="F21" s="13">
        <f t="shared" si="29"/>
        <v>12953</v>
      </c>
      <c r="G21" s="13">
        <f t="shared" si="29"/>
        <v>12927</v>
      </c>
      <c r="H21" s="13">
        <f t="shared" si="29"/>
        <v>13229</v>
      </c>
      <c r="I21" s="13">
        <f t="shared" si="29"/>
        <v>12135</v>
      </c>
      <c r="J21" s="13">
        <f t="shared" si="29"/>
        <v>11863</v>
      </c>
      <c r="K21" s="13">
        <f t="shared" si="29"/>
        <v>11764</v>
      </c>
      <c r="L21" s="13"/>
      <c r="M21" s="13"/>
      <c r="N21" s="13"/>
      <c r="O21" s="13"/>
      <c r="P21" s="13"/>
      <c r="Q21" s="13"/>
      <c r="V21" s="50">
        <v>2338</v>
      </c>
      <c r="W21" s="50">
        <f t="shared" si="24"/>
        <v>15345</v>
      </c>
      <c r="X21" s="50">
        <v>2484</v>
      </c>
      <c r="Y21" s="54">
        <f t="shared" si="4"/>
        <v>15823</v>
      </c>
      <c r="Z21" s="50">
        <v>2472</v>
      </c>
      <c r="AA21" s="54">
        <f t="shared" si="5"/>
        <v>16368</v>
      </c>
      <c r="AD21" s="10" t="s">
        <v>388</v>
      </c>
      <c r="AE21" s="10"/>
      <c r="AF21" s="13">
        <v>13896</v>
      </c>
      <c r="AG21" s="13">
        <v>13339</v>
      </c>
      <c r="AH21" s="13">
        <v>13007</v>
      </c>
      <c r="AI21" s="13">
        <v>12953</v>
      </c>
      <c r="AJ21" s="13">
        <v>12927</v>
      </c>
      <c r="AK21" s="13">
        <v>13229</v>
      </c>
      <c r="AL21" s="13">
        <v>12135</v>
      </c>
      <c r="AM21" s="13">
        <v>11863</v>
      </c>
      <c r="AN21" s="13">
        <v>11764</v>
      </c>
      <c r="AQ21" s="10" t="s">
        <v>388</v>
      </c>
      <c r="AR21" s="10"/>
      <c r="AS21" s="13">
        <f t="shared" si="12"/>
        <v>0</v>
      </c>
      <c r="AT21" s="13">
        <f t="shared" si="13"/>
        <v>0</v>
      </c>
      <c r="AU21" s="13">
        <f t="shared" si="14"/>
        <v>0</v>
      </c>
      <c r="AV21" s="13">
        <f t="shared" si="15"/>
        <v>0</v>
      </c>
      <c r="AW21" s="13">
        <f t="shared" si="16"/>
        <v>0</v>
      </c>
      <c r="AX21" s="13">
        <f t="shared" si="17"/>
        <v>0</v>
      </c>
      <c r="AY21" s="13">
        <f t="shared" si="18"/>
        <v>0</v>
      </c>
      <c r="AZ21" s="13">
        <f t="shared" si="19"/>
        <v>0</v>
      </c>
      <c r="BA21" s="13">
        <f t="shared" si="20"/>
        <v>0</v>
      </c>
      <c r="BB21" s="54">
        <f t="shared" si="21"/>
        <v>0</v>
      </c>
    </row>
    <row r="22" spans="1:54" s="49" customFormat="1" hidden="1" outlineLevel="1" x14ac:dyDescent="0.3">
      <c r="A22" s="47" t="s">
        <v>389</v>
      </c>
      <c r="B22" s="47"/>
      <c r="C22" s="48">
        <f t="shared" ref="C22:J22" si="30">C44+C68</f>
        <v>57508</v>
      </c>
      <c r="D22" s="48">
        <f t="shared" si="30"/>
        <v>55407</v>
      </c>
      <c r="E22" s="48">
        <f t="shared" si="30"/>
        <v>56103</v>
      </c>
      <c r="F22" s="48">
        <f t="shared" si="30"/>
        <v>58772</v>
      </c>
      <c r="G22" s="48">
        <f t="shared" si="30"/>
        <v>61634</v>
      </c>
      <c r="H22" s="48">
        <f t="shared" si="30"/>
        <v>62825</v>
      </c>
      <c r="I22" s="48">
        <f t="shared" si="30"/>
        <v>60915</v>
      </c>
      <c r="J22" s="48">
        <f t="shared" si="30"/>
        <v>62954</v>
      </c>
      <c r="K22" s="48">
        <f>K44+K68</f>
        <v>67039</v>
      </c>
      <c r="L22" s="48"/>
      <c r="M22" s="48"/>
      <c r="N22" s="48"/>
      <c r="O22" s="48"/>
      <c r="P22" s="48"/>
      <c r="Q22" s="48"/>
      <c r="V22" s="50">
        <v>7568</v>
      </c>
      <c r="W22" s="50">
        <f t="shared" si="24"/>
        <v>63671</v>
      </c>
      <c r="X22" s="50">
        <v>7074</v>
      </c>
      <c r="Y22" s="54">
        <f t="shared" si="4"/>
        <v>62481</v>
      </c>
      <c r="Z22" s="50">
        <v>7004</v>
      </c>
      <c r="AA22" s="54">
        <f t="shared" si="5"/>
        <v>64512</v>
      </c>
      <c r="AD22" s="47" t="s">
        <v>389</v>
      </c>
      <c r="AE22" s="47"/>
      <c r="AF22" s="48">
        <v>57508</v>
      </c>
      <c r="AG22" s="48">
        <v>55407</v>
      </c>
      <c r="AH22" s="48">
        <v>56103</v>
      </c>
      <c r="AI22" s="48">
        <v>58772</v>
      </c>
      <c r="AJ22" s="48">
        <v>61634</v>
      </c>
      <c r="AK22" s="48">
        <v>62825</v>
      </c>
      <c r="AL22" s="48">
        <v>60915</v>
      </c>
      <c r="AM22" s="48">
        <v>62954</v>
      </c>
      <c r="AN22" s="48">
        <v>67039</v>
      </c>
      <c r="AQ22" s="47" t="s">
        <v>389</v>
      </c>
      <c r="AR22" s="47"/>
      <c r="AS22" s="13">
        <f t="shared" si="12"/>
        <v>0</v>
      </c>
      <c r="AT22" s="13">
        <f t="shared" si="13"/>
        <v>0</v>
      </c>
      <c r="AU22" s="13">
        <f t="shared" si="14"/>
        <v>0</v>
      </c>
      <c r="AV22" s="13">
        <f t="shared" si="15"/>
        <v>0</v>
      </c>
      <c r="AW22" s="13">
        <f t="shared" si="16"/>
        <v>0</v>
      </c>
      <c r="AX22" s="13">
        <f t="shared" si="17"/>
        <v>0</v>
      </c>
      <c r="AY22" s="13">
        <f t="shared" si="18"/>
        <v>0</v>
      </c>
      <c r="AZ22" s="13">
        <f t="shared" si="19"/>
        <v>0</v>
      </c>
      <c r="BA22" s="13">
        <f t="shared" si="20"/>
        <v>0</v>
      </c>
      <c r="BB22" s="54">
        <f t="shared" si="21"/>
        <v>0</v>
      </c>
    </row>
    <row r="23" spans="1:54" s="49" customFormat="1" hidden="1" outlineLevel="1" x14ac:dyDescent="0.3">
      <c r="A23" s="47"/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V23" s="55"/>
      <c r="W23" s="50"/>
      <c r="X23" s="55"/>
      <c r="Y23" s="54"/>
      <c r="Z23" s="55"/>
      <c r="AA23" s="54"/>
      <c r="AD23" s="47"/>
      <c r="AE23" s="47"/>
      <c r="AF23" s="48"/>
      <c r="AG23" s="48"/>
      <c r="AH23" s="48"/>
      <c r="AI23" s="48"/>
      <c r="AJ23" s="48"/>
      <c r="AK23" s="48"/>
      <c r="AL23" s="48"/>
      <c r="AM23" s="48"/>
      <c r="AN23" s="48"/>
      <c r="AQ23" s="47"/>
      <c r="AR23" s="47"/>
      <c r="AS23" s="13">
        <f t="shared" si="12"/>
        <v>0</v>
      </c>
      <c r="AT23" s="13">
        <f t="shared" si="13"/>
        <v>0</v>
      </c>
      <c r="AU23" s="13">
        <f t="shared" si="14"/>
        <v>0</v>
      </c>
      <c r="AV23" s="13">
        <f t="shared" si="15"/>
        <v>0</v>
      </c>
      <c r="AW23" s="13">
        <f t="shared" si="16"/>
        <v>0</v>
      </c>
      <c r="AX23" s="13">
        <f t="shared" si="17"/>
        <v>0</v>
      </c>
      <c r="AY23" s="13">
        <f t="shared" si="18"/>
        <v>0</v>
      </c>
      <c r="AZ23" s="13">
        <f t="shared" si="19"/>
        <v>0</v>
      </c>
      <c r="BA23" s="13">
        <f t="shared" si="20"/>
        <v>0</v>
      </c>
      <c r="BB23" s="54">
        <f t="shared" si="21"/>
        <v>0</v>
      </c>
    </row>
    <row r="24" spans="1:54" s="49" customFormat="1" hidden="1" outlineLevel="1" x14ac:dyDescent="0.3">
      <c r="A24" s="51" t="s">
        <v>379</v>
      </c>
      <c r="B24" s="51"/>
      <c r="C24" s="52">
        <f t="shared" ref="C24:J24" si="31">C46+C70</f>
        <v>6681</v>
      </c>
      <c r="D24" s="52">
        <f t="shared" si="31"/>
        <v>5402</v>
      </c>
      <c r="E24" s="52">
        <f t="shared" si="31"/>
        <v>-1578</v>
      </c>
      <c r="F24" s="52">
        <f t="shared" si="31"/>
        <v>3536</v>
      </c>
      <c r="G24" s="52">
        <f t="shared" si="31"/>
        <v>6307</v>
      </c>
      <c r="H24" s="52">
        <f t="shared" si="31"/>
        <v>6795</v>
      </c>
      <c r="I24" s="52">
        <f t="shared" si="31"/>
        <v>6927</v>
      </c>
      <c r="J24" s="52">
        <f t="shared" si="31"/>
        <v>8126</v>
      </c>
      <c r="K24" s="52">
        <f t="shared" ref="K24" si="32">K46+K70</f>
        <v>2859</v>
      </c>
      <c r="L24" s="52"/>
      <c r="M24" s="52"/>
      <c r="N24" s="52"/>
      <c r="O24" s="52"/>
      <c r="P24" s="52"/>
      <c r="Q24" s="52"/>
      <c r="V24" s="55"/>
      <c r="W24" s="50"/>
      <c r="X24" s="55"/>
      <c r="Y24" s="54"/>
      <c r="Z24" s="55"/>
      <c r="AA24" s="54"/>
      <c r="AD24" s="51" t="s">
        <v>379</v>
      </c>
      <c r="AE24" s="51"/>
      <c r="AF24" s="52">
        <v>6681</v>
      </c>
      <c r="AG24" s="52">
        <v>5402</v>
      </c>
      <c r="AH24" s="52">
        <v>-1578</v>
      </c>
      <c r="AI24" s="52">
        <v>3536</v>
      </c>
      <c r="AJ24" s="52">
        <v>6307</v>
      </c>
      <c r="AK24" s="52">
        <v>6795</v>
      </c>
      <c r="AL24" s="52">
        <v>6927</v>
      </c>
      <c r="AM24" s="52">
        <v>8126</v>
      </c>
      <c r="AN24" s="52">
        <v>2859</v>
      </c>
      <c r="AQ24" s="51" t="s">
        <v>379</v>
      </c>
      <c r="AR24" s="51"/>
      <c r="AS24" s="13">
        <f t="shared" si="12"/>
        <v>0</v>
      </c>
      <c r="AT24" s="13">
        <f t="shared" si="13"/>
        <v>0</v>
      </c>
      <c r="AU24" s="13">
        <f t="shared" si="14"/>
        <v>0</v>
      </c>
      <c r="AV24" s="13">
        <f t="shared" si="15"/>
        <v>0</v>
      </c>
      <c r="AW24" s="13">
        <f t="shared" si="16"/>
        <v>0</v>
      </c>
      <c r="AX24" s="13">
        <f t="shared" si="17"/>
        <v>0</v>
      </c>
      <c r="AY24" s="13">
        <f t="shared" si="18"/>
        <v>0</v>
      </c>
      <c r="AZ24" s="13">
        <f t="shared" si="19"/>
        <v>0</v>
      </c>
      <c r="BA24" s="13">
        <f t="shared" si="20"/>
        <v>0</v>
      </c>
      <c r="BB24" s="54">
        <f t="shared" si="21"/>
        <v>0</v>
      </c>
    </row>
    <row r="25" spans="1:54" s="49" customFormat="1" hidden="1" outlineLevel="1" x14ac:dyDescent="0.3">
      <c r="A25" s="47"/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W25" s="50"/>
      <c r="Y25" s="54"/>
      <c r="AA25" s="54"/>
      <c r="AD25" s="47"/>
      <c r="AE25" s="47"/>
      <c r="AF25" s="48"/>
      <c r="AG25" s="48"/>
      <c r="AH25" s="48"/>
      <c r="AI25" s="48"/>
      <c r="AJ25" s="48"/>
      <c r="AK25" s="48"/>
      <c r="AL25" s="48"/>
      <c r="AM25" s="48"/>
      <c r="AN25" s="48"/>
      <c r="AQ25" s="47"/>
      <c r="AR25" s="47"/>
      <c r="AS25" s="13">
        <f t="shared" si="12"/>
        <v>0</v>
      </c>
      <c r="AT25" s="13">
        <f t="shared" si="13"/>
        <v>0</v>
      </c>
      <c r="AU25" s="13">
        <f t="shared" si="14"/>
        <v>0</v>
      </c>
      <c r="AV25" s="13">
        <f t="shared" si="15"/>
        <v>0</v>
      </c>
      <c r="AW25" s="13">
        <f t="shared" si="16"/>
        <v>0</v>
      </c>
      <c r="AX25" s="13">
        <f t="shared" si="17"/>
        <v>0</v>
      </c>
      <c r="AY25" s="13">
        <f t="shared" si="18"/>
        <v>0</v>
      </c>
      <c r="AZ25" s="13">
        <f t="shared" si="19"/>
        <v>0</v>
      </c>
      <c r="BA25" s="13">
        <f t="shared" si="20"/>
        <v>0</v>
      </c>
      <c r="BB25" s="54">
        <f t="shared" si="21"/>
        <v>0</v>
      </c>
    </row>
    <row r="26" spans="1:54" hidden="1" outlineLevel="1" x14ac:dyDescent="0.3">
      <c r="A26" s="10" t="s">
        <v>382</v>
      </c>
      <c r="B26" s="10"/>
      <c r="C26" s="13">
        <f t="shared" ref="C26:K26" si="33">C48+C72</f>
        <v>1895</v>
      </c>
      <c r="D26" s="13">
        <f t="shared" si="33"/>
        <v>1593</v>
      </c>
      <c r="E26" s="13">
        <f t="shared" si="33"/>
        <v>-1360</v>
      </c>
      <c r="F26" s="13">
        <f t="shared" si="33"/>
        <v>-1470</v>
      </c>
      <c r="G26" s="13">
        <f t="shared" si="33"/>
        <v>1179</v>
      </c>
      <c r="H26" s="13">
        <f t="shared" si="33"/>
        <v>886</v>
      </c>
      <c r="I26" s="13">
        <f t="shared" si="33"/>
        <v>1509</v>
      </c>
      <c r="J26" s="13">
        <f t="shared" si="33"/>
        <v>1551</v>
      </c>
      <c r="K26" s="13">
        <f t="shared" si="33"/>
        <v>301</v>
      </c>
      <c r="L26" s="13"/>
      <c r="M26" s="13"/>
      <c r="N26" s="13"/>
      <c r="O26" s="13"/>
      <c r="P26" s="13"/>
      <c r="Q26" s="13"/>
      <c r="V26" s="49">
        <v>361</v>
      </c>
      <c r="W26" s="50">
        <f t="shared" ref="W26:W27" si="34">V26+E26</f>
        <v>-999</v>
      </c>
      <c r="X26" s="49">
        <v>555</v>
      </c>
      <c r="Y26" s="54">
        <f t="shared" si="4"/>
        <v>2148</v>
      </c>
      <c r="Z26" s="49">
        <v>570</v>
      </c>
      <c r="AA26" s="54">
        <f t="shared" si="5"/>
        <v>2465</v>
      </c>
      <c r="AD26" s="10" t="s">
        <v>382</v>
      </c>
      <c r="AE26" s="10"/>
      <c r="AF26" s="13">
        <v>1895</v>
      </c>
      <c r="AG26" s="13">
        <v>1593</v>
      </c>
      <c r="AH26" s="13">
        <v>-1360</v>
      </c>
      <c r="AI26" s="13">
        <v>-1470</v>
      </c>
      <c r="AJ26" s="13">
        <v>1179</v>
      </c>
      <c r="AK26" s="13">
        <v>886</v>
      </c>
      <c r="AL26" s="13">
        <v>1509</v>
      </c>
      <c r="AM26" s="13">
        <v>1551</v>
      </c>
      <c r="AN26" s="13">
        <v>301</v>
      </c>
      <c r="AQ26" s="10" t="s">
        <v>382</v>
      </c>
      <c r="AR26" s="10"/>
      <c r="AS26" s="13">
        <f t="shared" si="12"/>
        <v>0</v>
      </c>
      <c r="AT26" s="13">
        <f t="shared" si="13"/>
        <v>0</v>
      </c>
      <c r="AU26" s="13">
        <f t="shared" si="14"/>
        <v>0</v>
      </c>
      <c r="AV26" s="13">
        <f t="shared" si="15"/>
        <v>0</v>
      </c>
      <c r="AW26" s="13">
        <f t="shared" si="16"/>
        <v>0</v>
      </c>
      <c r="AX26" s="13">
        <f t="shared" si="17"/>
        <v>0</v>
      </c>
      <c r="AY26" s="13">
        <f t="shared" si="18"/>
        <v>0</v>
      </c>
      <c r="AZ26" s="13">
        <f t="shared" si="19"/>
        <v>0</v>
      </c>
      <c r="BA26" s="13">
        <f t="shared" si="20"/>
        <v>0</v>
      </c>
      <c r="BB26" s="54">
        <f t="shared" si="21"/>
        <v>0</v>
      </c>
    </row>
    <row r="27" spans="1:54" s="49" customFormat="1" hidden="1" outlineLevel="1" x14ac:dyDescent="0.3">
      <c r="A27" s="47" t="s">
        <v>377</v>
      </c>
      <c r="B27" s="47"/>
      <c r="C27" s="48">
        <f t="shared" ref="C27:K27" si="35">C49+C73</f>
        <v>4786</v>
      </c>
      <c r="D27" s="48">
        <f t="shared" si="35"/>
        <v>3809</v>
      </c>
      <c r="E27" s="48">
        <f t="shared" si="35"/>
        <v>-218</v>
      </c>
      <c r="F27" s="48">
        <f t="shared" si="35"/>
        <v>5006</v>
      </c>
      <c r="G27" s="48">
        <f t="shared" si="35"/>
        <v>5128</v>
      </c>
      <c r="H27" s="48">
        <f t="shared" si="35"/>
        <v>5909</v>
      </c>
      <c r="I27" s="48">
        <f t="shared" si="35"/>
        <v>5418</v>
      </c>
      <c r="J27" s="48">
        <f t="shared" si="35"/>
        <v>6575</v>
      </c>
      <c r="K27" s="48">
        <f t="shared" si="35"/>
        <v>2558</v>
      </c>
      <c r="L27" s="48"/>
      <c r="M27" s="48"/>
      <c r="N27" s="48"/>
      <c r="O27" s="48"/>
      <c r="P27" s="48"/>
      <c r="Q27" s="48"/>
      <c r="V27" s="50">
        <v>1022</v>
      </c>
      <c r="W27" s="50">
        <f t="shared" si="34"/>
        <v>804</v>
      </c>
      <c r="X27" s="50">
        <v>1513</v>
      </c>
      <c r="Y27" s="54">
        <f t="shared" si="4"/>
        <v>5322</v>
      </c>
      <c r="Z27" s="50">
        <v>1553</v>
      </c>
      <c r="AA27" s="54">
        <f t="shared" si="5"/>
        <v>6339</v>
      </c>
      <c r="AD27" s="47" t="s">
        <v>377</v>
      </c>
      <c r="AE27" s="47"/>
      <c r="AF27" s="48">
        <v>4786</v>
      </c>
      <c r="AG27" s="48">
        <v>3809</v>
      </c>
      <c r="AH27" s="48">
        <v>-218</v>
      </c>
      <c r="AI27" s="48">
        <v>5006</v>
      </c>
      <c r="AJ27" s="48">
        <v>5128</v>
      </c>
      <c r="AK27" s="48">
        <v>5909</v>
      </c>
      <c r="AL27" s="48">
        <v>5418</v>
      </c>
      <c r="AM27" s="48">
        <v>6575</v>
      </c>
      <c r="AN27" s="48">
        <v>2558</v>
      </c>
      <c r="AQ27" s="47" t="s">
        <v>377</v>
      </c>
      <c r="AR27" s="47"/>
      <c r="AS27" s="13">
        <f t="shared" si="12"/>
        <v>0</v>
      </c>
      <c r="AT27" s="13">
        <f t="shared" si="13"/>
        <v>0</v>
      </c>
      <c r="AU27" s="13">
        <f t="shared" si="14"/>
        <v>0</v>
      </c>
      <c r="AV27" s="13">
        <f t="shared" si="15"/>
        <v>0</v>
      </c>
      <c r="AW27" s="13">
        <f t="shared" si="16"/>
        <v>0</v>
      </c>
      <c r="AX27" s="13">
        <f t="shared" si="17"/>
        <v>0</v>
      </c>
      <c r="AY27" s="13">
        <f t="shared" si="18"/>
        <v>0</v>
      </c>
      <c r="AZ27" s="13">
        <f t="shared" si="19"/>
        <v>0</v>
      </c>
      <c r="BA27" s="13">
        <f t="shared" si="20"/>
        <v>0</v>
      </c>
      <c r="BB27" s="54">
        <f t="shared" si="21"/>
        <v>0</v>
      </c>
    </row>
    <row r="28" spans="1:54" collapsed="1" x14ac:dyDescent="0.3">
      <c r="A28" s="6" t="s">
        <v>400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AD28" s="6" t="s">
        <v>400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Q28" s="6" t="s">
        <v>398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4" hidden="1" outlineLevel="1" x14ac:dyDescent="0.3">
      <c r="A29" s="10" t="s">
        <v>378</v>
      </c>
      <c r="B29" s="10"/>
      <c r="C29" s="13">
        <v>45</v>
      </c>
      <c r="D29" s="13">
        <v>-3</v>
      </c>
      <c r="E29" s="13">
        <v>426</v>
      </c>
      <c r="F29" s="13">
        <v>-347</v>
      </c>
      <c r="G29" s="13">
        <v>0</v>
      </c>
      <c r="H29" s="13">
        <v>71</v>
      </c>
      <c r="I29" s="13">
        <v>52</v>
      </c>
      <c r="J29" s="13">
        <v>982</v>
      </c>
      <c r="K29" s="13">
        <v>41</v>
      </c>
      <c r="L29" s="13"/>
      <c r="M29" s="13"/>
      <c r="N29" s="13"/>
      <c r="O29" s="13"/>
      <c r="P29" s="13"/>
      <c r="Q29" s="13"/>
      <c r="V29" s="50"/>
      <c r="W29" s="50"/>
      <c r="X29" s="50"/>
      <c r="Y29" s="50"/>
      <c r="Z29" s="50"/>
      <c r="AA29" s="50"/>
      <c r="AD29" s="10" t="s">
        <v>378</v>
      </c>
      <c r="AE29" s="10"/>
      <c r="AF29" s="13">
        <v>45</v>
      </c>
      <c r="AG29" s="13">
        <v>-3</v>
      </c>
      <c r="AH29" s="13">
        <v>426</v>
      </c>
      <c r="AI29" s="13">
        <v>-347</v>
      </c>
      <c r="AJ29" s="13">
        <v>0</v>
      </c>
      <c r="AK29" s="13">
        <v>71</v>
      </c>
      <c r="AL29" s="13">
        <v>52</v>
      </c>
      <c r="AM29" s="44">
        <v>982</v>
      </c>
      <c r="AN29" s="13">
        <v>41</v>
      </c>
      <c r="AQ29" s="10" t="s">
        <v>378</v>
      </c>
      <c r="AR29" s="10"/>
      <c r="AS29" s="13">
        <f t="shared" ref="AS29:BA32" si="36">C29-AF29</f>
        <v>0</v>
      </c>
      <c r="AT29" s="13">
        <f t="shared" si="36"/>
        <v>0</v>
      </c>
      <c r="AU29" s="13">
        <f t="shared" si="36"/>
        <v>0</v>
      </c>
      <c r="AV29" s="13">
        <f t="shared" si="36"/>
        <v>0</v>
      </c>
      <c r="AW29" s="13">
        <f t="shared" si="36"/>
        <v>0</v>
      </c>
      <c r="AX29" s="13">
        <f t="shared" si="36"/>
        <v>0</v>
      </c>
      <c r="AY29" s="13">
        <f t="shared" si="36"/>
        <v>0</v>
      </c>
      <c r="AZ29" s="13">
        <f t="shared" si="36"/>
        <v>0</v>
      </c>
      <c r="BA29" s="13">
        <f t="shared" si="36"/>
        <v>0</v>
      </c>
      <c r="BB29" s="54">
        <f>SUM(AS29:BA29)</f>
        <v>0</v>
      </c>
    </row>
    <row r="30" spans="1:54" hidden="1" outlineLevel="1" x14ac:dyDescent="0.3">
      <c r="A30" s="10" t="s">
        <v>422</v>
      </c>
      <c r="B30" s="10"/>
      <c r="C30" s="13">
        <v>405</v>
      </c>
      <c r="D30" s="13">
        <v>394</v>
      </c>
      <c r="E30" s="13">
        <v>506</v>
      </c>
      <c r="F30" s="13">
        <v>103</v>
      </c>
      <c r="G30" s="13">
        <v>120</v>
      </c>
      <c r="H30" s="13">
        <v>208</v>
      </c>
      <c r="I30" s="13">
        <v>138</v>
      </c>
      <c r="J30" s="44">
        <v>195</v>
      </c>
      <c r="K30" s="13">
        <v>53</v>
      </c>
      <c r="L30" s="13"/>
      <c r="M30" s="13"/>
      <c r="N30" s="13"/>
      <c r="O30" s="13"/>
      <c r="P30" s="13"/>
      <c r="Q30" s="13"/>
      <c r="V30" s="50"/>
      <c r="W30" s="50"/>
      <c r="X30" s="50"/>
      <c r="Y30" s="50"/>
      <c r="Z30" s="50"/>
      <c r="AA30" s="50"/>
      <c r="AD30" s="10" t="s">
        <v>422</v>
      </c>
      <c r="AE30" s="10"/>
      <c r="AF30" s="13">
        <v>405</v>
      </c>
      <c r="AG30" s="13">
        <v>394</v>
      </c>
      <c r="AH30" s="13">
        <v>506</v>
      </c>
      <c r="AI30" s="13">
        <v>103</v>
      </c>
      <c r="AJ30" s="13">
        <v>120</v>
      </c>
      <c r="AK30" s="13">
        <v>208</v>
      </c>
      <c r="AL30" s="13">
        <v>138</v>
      </c>
      <c r="AM30" s="44">
        <v>195</v>
      </c>
      <c r="AN30" s="13">
        <v>53</v>
      </c>
      <c r="AQ30" s="10" t="s">
        <v>422</v>
      </c>
      <c r="AR30" s="10"/>
      <c r="AS30" s="13">
        <f t="shared" si="36"/>
        <v>0</v>
      </c>
      <c r="AT30" s="13">
        <f t="shared" si="36"/>
        <v>0</v>
      </c>
      <c r="AU30" s="13">
        <f t="shared" si="36"/>
        <v>0</v>
      </c>
      <c r="AV30" s="13">
        <f t="shared" si="36"/>
        <v>0</v>
      </c>
      <c r="AW30" s="13">
        <f t="shared" si="36"/>
        <v>0</v>
      </c>
      <c r="AX30" s="13">
        <f t="shared" si="36"/>
        <v>0</v>
      </c>
      <c r="AY30" s="13">
        <f t="shared" si="36"/>
        <v>0</v>
      </c>
      <c r="AZ30" s="13">
        <f t="shared" si="36"/>
        <v>0</v>
      </c>
      <c r="BA30" s="13">
        <f t="shared" si="36"/>
        <v>0</v>
      </c>
      <c r="BB30" s="54">
        <f t="shared" ref="BB30:BB32" si="37">SUM(AS30:BA30)</f>
        <v>0</v>
      </c>
    </row>
    <row r="31" spans="1:54" hidden="1" outlineLevel="1" x14ac:dyDescent="0.3">
      <c r="A31" s="10" t="s">
        <v>384</v>
      </c>
      <c r="B31" s="10"/>
      <c r="C31" s="13">
        <v>669</v>
      </c>
      <c r="D31" s="13">
        <v>-508</v>
      </c>
      <c r="E31" s="13">
        <v>247</v>
      </c>
      <c r="F31" s="13">
        <v>819</v>
      </c>
      <c r="G31" s="13">
        <v>-1217</v>
      </c>
      <c r="H31" s="13">
        <v>1038</v>
      </c>
      <c r="I31" s="13">
        <v>-211</v>
      </c>
      <c r="J31" s="13">
        <v>115</v>
      </c>
      <c r="K31" s="13">
        <v>-2273</v>
      </c>
      <c r="L31" s="13"/>
      <c r="M31" s="13"/>
      <c r="N31" s="13"/>
      <c r="O31" s="13"/>
      <c r="P31" s="13"/>
      <c r="Q31" s="13"/>
      <c r="V31" s="50"/>
      <c r="W31" s="50"/>
      <c r="X31" s="50"/>
      <c r="Y31" s="50"/>
      <c r="Z31" s="50"/>
      <c r="AA31" s="50"/>
      <c r="AD31" s="10" t="s">
        <v>384</v>
      </c>
      <c r="AE31" s="10"/>
      <c r="AF31" s="13">
        <v>669</v>
      </c>
      <c r="AG31" s="13">
        <v>-508</v>
      </c>
      <c r="AH31" s="13">
        <v>247</v>
      </c>
      <c r="AI31" s="13">
        <v>819</v>
      </c>
      <c r="AJ31" s="13">
        <v>-1217</v>
      </c>
      <c r="AK31" s="13">
        <v>1038</v>
      </c>
      <c r="AL31" s="13">
        <v>-211</v>
      </c>
      <c r="AM31" s="13">
        <v>115</v>
      </c>
      <c r="AN31" s="13">
        <v>-2273</v>
      </c>
      <c r="AQ31" s="10" t="s">
        <v>384</v>
      </c>
      <c r="AR31" s="10"/>
      <c r="AS31" s="13">
        <f t="shared" si="36"/>
        <v>0</v>
      </c>
      <c r="AT31" s="13">
        <f t="shared" si="36"/>
        <v>0</v>
      </c>
      <c r="AU31" s="13">
        <f t="shared" si="36"/>
        <v>0</v>
      </c>
      <c r="AV31" s="13">
        <f t="shared" si="36"/>
        <v>0</v>
      </c>
      <c r="AW31" s="13">
        <f t="shared" si="36"/>
        <v>0</v>
      </c>
      <c r="AX31" s="13">
        <f t="shared" si="36"/>
        <v>0</v>
      </c>
      <c r="AY31" s="13">
        <f t="shared" si="36"/>
        <v>0</v>
      </c>
      <c r="AZ31" s="13">
        <f t="shared" si="36"/>
        <v>0</v>
      </c>
      <c r="BA31" s="13">
        <f t="shared" si="36"/>
        <v>0</v>
      </c>
      <c r="BB31" s="54">
        <f t="shared" si="37"/>
        <v>0</v>
      </c>
    </row>
    <row r="32" spans="1:54" hidden="1" outlineLevel="1" x14ac:dyDescent="0.3">
      <c r="A32" s="10" t="s">
        <v>391</v>
      </c>
      <c r="B32" s="10"/>
      <c r="C32" s="13">
        <v>-3</v>
      </c>
      <c r="D32" s="13">
        <v>-37</v>
      </c>
      <c r="E32" s="13">
        <v>8</v>
      </c>
      <c r="F32" s="13">
        <v>-113</v>
      </c>
      <c r="G32" s="13">
        <v>324</v>
      </c>
      <c r="H32" s="13">
        <v>257</v>
      </c>
      <c r="I32" s="13">
        <v>159</v>
      </c>
      <c r="J32" s="13">
        <v>243</v>
      </c>
      <c r="K32" s="13">
        <v>163</v>
      </c>
      <c r="L32" s="13"/>
      <c r="M32" s="13"/>
      <c r="N32" s="13"/>
      <c r="O32" s="13"/>
      <c r="P32" s="13"/>
      <c r="Q32" s="13"/>
      <c r="V32" s="50"/>
      <c r="W32" s="50"/>
      <c r="X32" s="50"/>
      <c r="Y32" s="50"/>
      <c r="Z32" s="50"/>
      <c r="AA32" s="50"/>
      <c r="AD32" s="10" t="s">
        <v>391</v>
      </c>
      <c r="AE32" s="10"/>
      <c r="AF32" s="13">
        <v>-3</v>
      </c>
      <c r="AG32" s="13">
        <v>-37</v>
      </c>
      <c r="AH32" s="13">
        <v>8</v>
      </c>
      <c r="AI32" s="13">
        <v>-113</v>
      </c>
      <c r="AJ32" s="13">
        <v>324</v>
      </c>
      <c r="AK32" s="13">
        <v>257</v>
      </c>
      <c r="AL32" s="13">
        <v>159</v>
      </c>
      <c r="AM32" s="13">
        <v>243</v>
      </c>
      <c r="AN32" s="13">
        <v>163</v>
      </c>
      <c r="AQ32" s="10" t="s">
        <v>391</v>
      </c>
      <c r="AR32" s="10"/>
      <c r="AS32" s="13">
        <f t="shared" si="36"/>
        <v>0</v>
      </c>
      <c r="AT32" s="13">
        <f t="shared" si="36"/>
        <v>0</v>
      </c>
      <c r="AU32" s="13">
        <f t="shared" si="36"/>
        <v>0</v>
      </c>
      <c r="AV32" s="13">
        <f t="shared" si="36"/>
        <v>0</v>
      </c>
      <c r="AW32" s="13">
        <f t="shared" si="36"/>
        <v>0</v>
      </c>
      <c r="AX32" s="13">
        <f t="shared" si="36"/>
        <v>0</v>
      </c>
      <c r="AY32" s="13">
        <f t="shared" si="36"/>
        <v>0</v>
      </c>
      <c r="AZ32" s="13">
        <f t="shared" si="36"/>
        <v>0</v>
      </c>
      <c r="BA32" s="13">
        <f t="shared" si="36"/>
        <v>0</v>
      </c>
      <c r="BB32" s="54">
        <f t="shared" si="37"/>
        <v>0</v>
      </c>
    </row>
    <row r="33" spans="1:54" hidden="1" outlineLevel="1" x14ac:dyDescent="0.3">
      <c r="A33" s="10" t="s">
        <v>432</v>
      </c>
      <c r="B33" s="10"/>
      <c r="C33" s="13">
        <v>-197</v>
      </c>
      <c r="D33" s="13">
        <v>597</v>
      </c>
      <c r="E33" s="13">
        <v>171</v>
      </c>
      <c r="F33" s="13">
        <v>-308</v>
      </c>
      <c r="G33" s="13">
        <v>-298</v>
      </c>
      <c r="H33" s="13">
        <v>444</v>
      </c>
      <c r="I33" s="13">
        <v>-110</v>
      </c>
      <c r="J33" s="13">
        <v>1529</v>
      </c>
      <c r="K33" s="13">
        <v>-1262</v>
      </c>
      <c r="L33" s="13"/>
      <c r="M33" s="13"/>
      <c r="N33" s="13"/>
      <c r="O33" s="13"/>
      <c r="P33" s="13"/>
      <c r="Q33" s="13"/>
      <c r="V33" s="50"/>
      <c r="W33" s="50"/>
      <c r="X33" s="50"/>
      <c r="Y33" s="50"/>
      <c r="Z33" s="50"/>
      <c r="AA33" s="50"/>
      <c r="AD33" s="10" t="s">
        <v>432</v>
      </c>
      <c r="AE33" s="10"/>
      <c r="AF33" s="13">
        <v>-197</v>
      </c>
      <c r="AG33" s="13">
        <v>597</v>
      </c>
      <c r="AH33" s="13">
        <v>171</v>
      </c>
      <c r="AI33" s="13">
        <v>-308</v>
      </c>
      <c r="AJ33" s="13">
        <v>-298</v>
      </c>
      <c r="AK33" s="13">
        <v>444</v>
      </c>
      <c r="AL33" s="13">
        <v>-110</v>
      </c>
      <c r="AM33" s="13">
        <v>1529</v>
      </c>
      <c r="AN33" s="13">
        <v>-1262</v>
      </c>
      <c r="AQ33" s="10"/>
      <c r="AR33" s="10"/>
      <c r="AS33" s="13"/>
      <c r="AT33" s="13"/>
      <c r="AU33" s="13"/>
      <c r="AV33" s="13"/>
      <c r="AW33" s="13"/>
      <c r="AX33" s="13"/>
      <c r="AY33" s="13"/>
      <c r="AZ33" s="13"/>
      <c r="BA33" s="13"/>
      <c r="BB33" s="54"/>
    </row>
    <row r="34" spans="1:54" hidden="1" outlineLevel="1" x14ac:dyDescent="0.3">
      <c r="A34" s="10" t="s">
        <v>433</v>
      </c>
      <c r="B34" s="10"/>
      <c r="C34" s="13">
        <v>1317</v>
      </c>
      <c r="D34" s="13">
        <v>38</v>
      </c>
      <c r="E34" s="13">
        <v>-6760</v>
      </c>
      <c r="F34" s="13">
        <v>-590</v>
      </c>
      <c r="G34" s="13">
        <v>851</v>
      </c>
      <c r="H34" s="13">
        <v>628</v>
      </c>
      <c r="I34" s="13">
        <v>1349</v>
      </c>
      <c r="J34" s="13">
        <v>-2228</v>
      </c>
      <c r="K34" s="13">
        <v>-2372</v>
      </c>
      <c r="L34" s="13"/>
      <c r="M34" s="13"/>
      <c r="N34" s="13"/>
      <c r="O34" s="13"/>
      <c r="P34" s="13"/>
      <c r="Q34" s="13"/>
      <c r="V34" s="50"/>
      <c r="W34" s="50"/>
      <c r="X34" s="50"/>
      <c r="Y34" s="50"/>
      <c r="Z34" s="50"/>
      <c r="AA34" s="50"/>
      <c r="AD34" s="10" t="s">
        <v>433</v>
      </c>
      <c r="AE34" s="10"/>
      <c r="AF34" s="13">
        <v>1317</v>
      </c>
      <c r="AG34" s="13">
        <v>38</v>
      </c>
      <c r="AH34" s="13">
        <v>-6760</v>
      </c>
      <c r="AI34" s="13">
        <v>-590</v>
      </c>
      <c r="AJ34" s="13">
        <v>851</v>
      </c>
      <c r="AK34" s="13">
        <v>628</v>
      </c>
      <c r="AL34" s="13">
        <v>1349</v>
      </c>
      <c r="AM34" s="13">
        <v>-2228</v>
      </c>
      <c r="AN34" s="13">
        <v>-2372</v>
      </c>
      <c r="AQ34" s="10"/>
      <c r="AR34" s="10"/>
      <c r="AS34" s="13"/>
      <c r="AT34" s="13"/>
      <c r="AU34" s="13"/>
      <c r="AV34" s="13"/>
      <c r="AW34" s="13"/>
      <c r="AX34" s="13"/>
      <c r="AY34" s="13"/>
      <c r="AZ34" s="13"/>
      <c r="BA34" s="13"/>
      <c r="BB34" s="54"/>
    </row>
    <row r="35" spans="1:54" s="49" customFormat="1" hidden="1" outlineLevel="1" x14ac:dyDescent="0.3">
      <c r="A35" s="47" t="s">
        <v>373</v>
      </c>
      <c r="B35" s="47"/>
      <c r="C35" s="48">
        <f t="shared" ref="C35:J35" si="38">SUM(C29:C34)</f>
        <v>2236</v>
      </c>
      <c r="D35" s="48">
        <f t="shared" si="38"/>
        <v>481</v>
      </c>
      <c r="E35" s="48">
        <f t="shared" si="38"/>
        <v>-5402</v>
      </c>
      <c r="F35" s="48">
        <f t="shared" si="38"/>
        <v>-436</v>
      </c>
      <c r="G35" s="48">
        <f t="shared" si="38"/>
        <v>-220</v>
      </c>
      <c r="H35" s="48">
        <f t="shared" si="38"/>
        <v>2646</v>
      </c>
      <c r="I35" s="48">
        <f t="shared" si="38"/>
        <v>1377</v>
      </c>
      <c r="J35" s="48">
        <f t="shared" si="38"/>
        <v>836</v>
      </c>
      <c r="K35" s="48">
        <f>SUM(K29:K34)</f>
        <v>-5650</v>
      </c>
      <c r="L35" s="48"/>
      <c r="M35" s="48"/>
      <c r="N35" s="48"/>
      <c r="O35" s="48"/>
      <c r="P35" s="48"/>
      <c r="Q35" s="48"/>
      <c r="V35" s="55"/>
      <c r="W35" s="50"/>
      <c r="X35" s="55"/>
      <c r="Y35" s="50"/>
      <c r="Z35" s="55"/>
      <c r="AA35" s="50"/>
      <c r="AD35" s="47" t="s">
        <v>373</v>
      </c>
      <c r="AE35" s="47"/>
      <c r="AF35" s="48">
        <v>2236</v>
      </c>
      <c r="AG35" s="48">
        <v>481</v>
      </c>
      <c r="AH35" s="48">
        <v>-5402</v>
      </c>
      <c r="AI35" s="48">
        <v>-436</v>
      </c>
      <c r="AJ35" s="48">
        <v>-220</v>
      </c>
      <c r="AK35" s="48">
        <v>2646</v>
      </c>
      <c r="AL35" s="48">
        <v>1377</v>
      </c>
      <c r="AM35" s="48">
        <v>836</v>
      </c>
      <c r="AN35" s="48">
        <v>-5650</v>
      </c>
      <c r="AQ35" s="47" t="s">
        <v>373</v>
      </c>
      <c r="AR35" s="47"/>
      <c r="AS35" s="13">
        <f t="shared" ref="AS35:AS49" si="39">C35-AF35</f>
        <v>0</v>
      </c>
      <c r="AT35" s="13">
        <f t="shared" ref="AT35:AT49" si="40">D35-AG35</f>
        <v>0</v>
      </c>
      <c r="AU35" s="13">
        <f t="shared" ref="AU35:AU49" si="41">E35-AH35</f>
        <v>0</v>
      </c>
      <c r="AV35" s="13">
        <f t="shared" ref="AV35:AV49" si="42">F35-AI35</f>
        <v>0</v>
      </c>
      <c r="AW35" s="13">
        <f t="shared" ref="AW35:AW49" si="43">G35-AJ35</f>
        <v>0</v>
      </c>
      <c r="AX35" s="13">
        <f t="shared" ref="AX35:AX49" si="44">H35-AK35</f>
        <v>0</v>
      </c>
      <c r="AY35" s="13">
        <f t="shared" ref="AY35:AY49" si="45">I35-AL35</f>
        <v>0</v>
      </c>
      <c r="AZ35" s="13">
        <f t="shared" ref="AZ35:AZ49" si="46">J35-AM35</f>
        <v>0</v>
      </c>
      <c r="BA35" s="13">
        <f t="shared" ref="BA35:BA49" si="47">K35-AN35</f>
        <v>0</v>
      </c>
      <c r="BB35" s="54">
        <f t="shared" ref="BB35:BB49" si="48">SUM(AS35:BA35)</f>
        <v>0</v>
      </c>
    </row>
    <row r="36" spans="1:54" hidden="1" outlineLevel="1" x14ac:dyDescent="0.3">
      <c r="A36" s="10"/>
      <c r="B36" s="1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V36" s="50"/>
      <c r="W36" s="50"/>
      <c r="X36" s="50"/>
      <c r="Y36" s="50"/>
      <c r="Z36" s="50"/>
      <c r="AA36" s="50"/>
      <c r="AD36" s="10"/>
      <c r="AE36" s="10"/>
      <c r="AF36" s="13"/>
      <c r="AG36" s="13"/>
      <c r="AH36" s="13"/>
      <c r="AI36" s="13"/>
      <c r="AJ36" s="13"/>
      <c r="AK36" s="13"/>
      <c r="AL36" s="13"/>
      <c r="AM36" s="13"/>
      <c r="AN36" s="13"/>
      <c r="AQ36" s="10"/>
      <c r="AR36" s="10"/>
      <c r="AS36" s="13">
        <f t="shared" si="39"/>
        <v>0</v>
      </c>
      <c r="AT36" s="13">
        <f t="shared" si="40"/>
        <v>0</v>
      </c>
      <c r="AU36" s="13">
        <f t="shared" si="41"/>
        <v>0</v>
      </c>
      <c r="AV36" s="13">
        <f t="shared" si="42"/>
        <v>0</v>
      </c>
      <c r="AW36" s="13">
        <f t="shared" si="43"/>
        <v>0</v>
      </c>
      <c r="AX36" s="13">
        <f t="shared" si="44"/>
        <v>0</v>
      </c>
      <c r="AY36" s="13">
        <f t="shared" si="45"/>
        <v>0</v>
      </c>
      <c r="AZ36" s="13">
        <f t="shared" si="46"/>
        <v>0</v>
      </c>
      <c r="BA36" s="13">
        <f t="shared" si="47"/>
        <v>0</v>
      </c>
      <c r="BB36" s="54">
        <f t="shared" si="48"/>
        <v>0</v>
      </c>
    </row>
    <row r="37" spans="1:54" hidden="1" outlineLevel="1" x14ac:dyDescent="0.3">
      <c r="A37" s="10" t="s">
        <v>380</v>
      </c>
      <c r="B37" s="10"/>
      <c r="C37" s="13">
        <v>1000</v>
      </c>
      <c r="D37" s="13">
        <v>537</v>
      </c>
      <c r="E37" s="13">
        <v>1090</v>
      </c>
      <c r="F37" s="13">
        <v>204</v>
      </c>
      <c r="G37" s="13">
        <v>174</v>
      </c>
      <c r="H37" s="13">
        <v>480</v>
      </c>
      <c r="I37" s="13">
        <v>692</v>
      </c>
      <c r="J37" s="13">
        <v>1179</v>
      </c>
      <c r="K37" s="13">
        <v>-53</v>
      </c>
      <c r="L37" s="13"/>
      <c r="M37" s="13"/>
      <c r="N37" s="13"/>
      <c r="O37" s="13"/>
      <c r="P37" s="13"/>
      <c r="Q37" s="13"/>
      <c r="V37" s="50"/>
      <c r="W37" s="50"/>
      <c r="X37" s="50"/>
      <c r="Y37" s="50"/>
      <c r="Z37" s="50"/>
      <c r="AA37" s="50"/>
      <c r="AD37" s="10" t="s">
        <v>380</v>
      </c>
      <c r="AE37" s="10"/>
      <c r="AF37" s="13">
        <v>1000</v>
      </c>
      <c r="AG37" s="13">
        <v>537</v>
      </c>
      <c r="AH37" s="13">
        <v>1090</v>
      </c>
      <c r="AI37" s="13">
        <v>204</v>
      </c>
      <c r="AJ37" s="13">
        <v>174</v>
      </c>
      <c r="AK37" s="13">
        <v>480</v>
      </c>
      <c r="AL37" s="13">
        <v>692</v>
      </c>
      <c r="AM37" s="13">
        <v>1179</v>
      </c>
      <c r="AN37" s="13">
        <v>-53</v>
      </c>
      <c r="AQ37" s="10" t="s">
        <v>380</v>
      </c>
      <c r="AR37" s="10"/>
      <c r="AS37" s="13">
        <f t="shared" si="39"/>
        <v>0</v>
      </c>
      <c r="AT37" s="13">
        <f t="shared" si="40"/>
        <v>0</v>
      </c>
      <c r="AU37" s="13">
        <f t="shared" si="41"/>
        <v>0</v>
      </c>
      <c r="AV37" s="13">
        <f t="shared" si="42"/>
        <v>0</v>
      </c>
      <c r="AW37" s="13">
        <f t="shared" si="43"/>
        <v>0</v>
      </c>
      <c r="AX37" s="13">
        <f t="shared" si="44"/>
        <v>0</v>
      </c>
      <c r="AY37" s="13">
        <f t="shared" si="45"/>
        <v>0</v>
      </c>
      <c r="AZ37" s="13">
        <f t="shared" si="46"/>
        <v>0</v>
      </c>
      <c r="BA37" s="13">
        <f t="shared" si="47"/>
        <v>0</v>
      </c>
      <c r="BB37" s="54">
        <f t="shared" si="48"/>
        <v>0</v>
      </c>
    </row>
    <row r="38" spans="1:54" hidden="1" outlineLevel="1" x14ac:dyDescent="0.3">
      <c r="A38" s="10" t="s">
        <v>393</v>
      </c>
      <c r="B38" s="10"/>
      <c r="C38" s="13">
        <v>1282</v>
      </c>
      <c r="D38" s="13">
        <v>276</v>
      </c>
      <c r="E38" s="13">
        <v>1033</v>
      </c>
      <c r="F38" s="13">
        <v>1294</v>
      </c>
      <c r="G38" s="13">
        <v>-680</v>
      </c>
      <c r="H38" s="13">
        <v>1435</v>
      </c>
      <c r="I38" s="13">
        <v>541</v>
      </c>
      <c r="J38" s="13">
        <v>946</v>
      </c>
      <c r="K38" s="13">
        <v>-1319</v>
      </c>
      <c r="L38" s="13"/>
      <c r="M38" s="13"/>
      <c r="N38" s="13"/>
      <c r="O38" s="13"/>
      <c r="P38" s="13"/>
      <c r="Q38" s="13"/>
      <c r="V38" s="50"/>
      <c r="W38" s="50"/>
      <c r="X38" s="50"/>
      <c r="Y38" s="50"/>
      <c r="Z38" s="50"/>
      <c r="AA38" s="50"/>
      <c r="AD38" s="10" t="s">
        <v>393</v>
      </c>
      <c r="AE38" s="10"/>
      <c r="AF38" s="13">
        <v>1282</v>
      </c>
      <c r="AG38" s="13">
        <v>276</v>
      </c>
      <c r="AH38" s="13">
        <v>1033</v>
      </c>
      <c r="AI38" s="13">
        <v>1294</v>
      </c>
      <c r="AJ38" s="13">
        <v>-680</v>
      </c>
      <c r="AK38" s="13">
        <v>1435</v>
      </c>
      <c r="AL38" s="13">
        <v>541</v>
      </c>
      <c r="AM38" s="13">
        <v>946</v>
      </c>
      <c r="AN38" s="13">
        <v>-1319</v>
      </c>
      <c r="AQ38" s="10" t="s">
        <v>393</v>
      </c>
      <c r="AR38" s="10"/>
      <c r="AS38" s="13">
        <f t="shared" si="39"/>
        <v>0</v>
      </c>
      <c r="AT38" s="13">
        <f t="shared" si="40"/>
        <v>0</v>
      </c>
      <c r="AU38" s="13">
        <f t="shared" si="41"/>
        <v>0</v>
      </c>
      <c r="AV38" s="13">
        <f t="shared" si="42"/>
        <v>0</v>
      </c>
      <c r="AW38" s="13">
        <f t="shared" si="43"/>
        <v>0</v>
      </c>
      <c r="AX38" s="13">
        <f t="shared" si="44"/>
        <v>0</v>
      </c>
      <c r="AY38" s="13">
        <f t="shared" si="45"/>
        <v>0</v>
      </c>
      <c r="AZ38" s="13">
        <f t="shared" si="46"/>
        <v>0</v>
      </c>
      <c r="BA38" s="13">
        <f t="shared" si="47"/>
        <v>0</v>
      </c>
      <c r="BB38" s="54">
        <f t="shared" si="48"/>
        <v>0</v>
      </c>
    </row>
    <row r="39" spans="1:54" hidden="1" outlineLevel="1" x14ac:dyDescent="0.3">
      <c r="A39" s="10" t="s">
        <v>423</v>
      </c>
      <c r="B39" s="10"/>
      <c r="C39" s="13">
        <v>-1</v>
      </c>
      <c r="D39" s="13">
        <v>0</v>
      </c>
      <c r="E39" s="13">
        <v>-105</v>
      </c>
      <c r="F39" s="13">
        <v>34</v>
      </c>
      <c r="G39" s="13">
        <v>-1</v>
      </c>
      <c r="H39" s="13">
        <v>-20</v>
      </c>
      <c r="I39" s="13">
        <v>-5</v>
      </c>
      <c r="J39" s="13">
        <v>-119</v>
      </c>
      <c r="K39" s="13">
        <v>-11</v>
      </c>
      <c r="L39" s="13"/>
      <c r="M39" s="13"/>
      <c r="N39" s="13"/>
      <c r="O39" s="13"/>
      <c r="P39" s="13"/>
      <c r="Q39" s="13"/>
      <c r="V39" s="50"/>
      <c r="W39" s="50"/>
      <c r="X39" s="50"/>
      <c r="Y39" s="50"/>
      <c r="Z39" s="50"/>
      <c r="AA39" s="50"/>
      <c r="AD39" s="10" t="s">
        <v>423</v>
      </c>
      <c r="AE39" s="10"/>
      <c r="AF39" s="13">
        <v>-1</v>
      </c>
      <c r="AG39" s="13">
        <v>0</v>
      </c>
      <c r="AH39" s="13">
        <v>-105</v>
      </c>
      <c r="AI39" s="13">
        <v>34</v>
      </c>
      <c r="AJ39" s="13">
        <v>-1</v>
      </c>
      <c r="AK39" s="13">
        <v>-20</v>
      </c>
      <c r="AL39" s="13">
        <v>-5</v>
      </c>
      <c r="AM39" s="13">
        <v>-119</v>
      </c>
      <c r="AN39" s="13">
        <v>-11</v>
      </c>
      <c r="AQ39" s="10" t="s">
        <v>423</v>
      </c>
      <c r="AR39" s="10"/>
      <c r="AS39" s="13">
        <f t="shared" si="39"/>
        <v>0</v>
      </c>
      <c r="AT39" s="13">
        <f t="shared" si="40"/>
        <v>0</v>
      </c>
      <c r="AU39" s="13">
        <f t="shared" si="41"/>
        <v>0</v>
      </c>
      <c r="AV39" s="13">
        <f t="shared" si="42"/>
        <v>0</v>
      </c>
      <c r="AW39" s="13">
        <f t="shared" si="43"/>
        <v>0</v>
      </c>
      <c r="AX39" s="13">
        <f t="shared" si="44"/>
        <v>0</v>
      </c>
      <c r="AY39" s="13">
        <f t="shared" si="45"/>
        <v>0</v>
      </c>
      <c r="AZ39" s="13">
        <f t="shared" si="46"/>
        <v>0</v>
      </c>
      <c r="BA39" s="13">
        <f t="shared" si="47"/>
        <v>0</v>
      </c>
      <c r="BB39" s="54">
        <f t="shared" si="48"/>
        <v>0</v>
      </c>
    </row>
    <row r="40" spans="1:54" hidden="1" outlineLevel="1" x14ac:dyDescent="0.3">
      <c r="A40" s="10" t="s">
        <v>392</v>
      </c>
      <c r="B40" s="10"/>
      <c r="C40" s="13">
        <v>105</v>
      </c>
      <c r="D40" s="13">
        <v>134</v>
      </c>
      <c r="E40" s="13">
        <v>-1463</v>
      </c>
      <c r="F40" s="13">
        <v>33</v>
      </c>
      <c r="G40" s="13">
        <v>215</v>
      </c>
      <c r="H40" s="13">
        <v>109</v>
      </c>
      <c r="I40" s="13">
        <v>166</v>
      </c>
      <c r="J40" s="13">
        <v>219</v>
      </c>
      <c r="K40" s="13">
        <v>-106</v>
      </c>
      <c r="L40" s="13"/>
      <c r="M40" s="13"/>
      <c r="N40" s="13"/>
      <c r="O40" s="13"/>
      <c r="P40" s="13"/>
      <c r="Q40" s="13"/>
      <c r="V40" s="50"/>
      <c r="W40" s="50"/>
      <c r="X40" s="50"/>
      <c r="Y40" s="50"/>
      <c r="Z40" s="50"/>
      <c r="AA40" s="50"/>
      <c r="AD40" s="10" t="s">
        <v>392</v>
      </c>
      <c r="AE40" s="10"/>
      <c r="AF40" s="13">
        <v>105</v>
      </c>
      <c r="AG40" s="13">
        <v>134</v>
      </c>
      <c r="AH40" s="13">
        <v>-1463</v>
      </c>
      <c r="AI40" s="13">
        <v>33</v>
      </c>
      <c r="AJ40" s="13">
        <v>215</v>
      </c>
      <c r="AK40" s="13">
        <v>109</v>
      </c>
      <c r="AL40" s="13">
        <v>166</v>
      </c>
      <c r="AM40" s="13">
        <v>219</v>
      </c>
      <c r="AN40" s="13">
        <v>-106</v>
      </c>
      <c r="AQ40" s="10" t="s">
        <v>392</v>
      </c>
      <c r="AR40" s="10"/>
      <c r="AS40" s="13">
        <f t="shared" si="39"/>
        <v>0</v>
      </c>
      <c r="AT40" s="13">
        <f t="shared" si="40"/>
        <v>0</v>
      </c>
      <c r="AU40" s="13">
        <f t="shared" si="41"/>
        <v>0</v>
      </c>
      <c r="AV40" s="13">
        <f t="shared" si="42"/>
        <v>0</v>
      </c>
      <c r="AW40" s="13">
        <f t="shared" si="43"/>
        <v>0</v>
      </c>
      <c r="AX40" s="13">
        <f t="shared" si="44"/>
        <v>0</v>
      </c>
      <c r="AY40" s="13">
        <f t="shared" si="45"/>
        <v>0</v>
      </c>
      <c r="AZ40" s="13">
        <f t="shared" si="46"/>
        <v>0</v>
      </c>
      <c r="BA40" s="13">
        <f t="shared" si="47"/>
        <v>0</v>
      </c>
      <c r="BB40" s="54">
        <f t="shared" si="48"/>
        <v>0</v>
      </c>
    </row>
    <row r="41" spans="1:54" hidden="1" outlineLevel="1" x14ac:dyDescent="0.3">
      <c r="A41" s="10" t="s">
        <v>424</v>
      </c>
      <c r="B41" s="10"/>
      <c r="C41" s="13">
        <v>-46</v>
      </c>
      <c r="D41" s="13">
        <v>-35</v>
      </c>
      <c r="E41" s="13">
        <v>-47</v>
      </c>
      <c r="F41" s="13">
        <v>-9</v>
      </c>
      <c r="G41" s="13">
        <v>-1</v>
      </c>
      <c r="H41" s="13">
        <v>0</v>
      </c>
      <c r="I41" s="13">
        <v>0</v>
      </c>
      <c r="J41" s="13">
        <v>0</v>
      </c>
      <c r="K41" s="13">
        <v>0</v>
      </c>
      <c r="L41" s="13"/>
      <c r="M41" s="13"/>
      <c r="N41" s="13"/>
      <c r="O41" s="13"/>
      <c r="P41" s="13"/>
      <c r="Q41" s="13"/>
      <c r="V41" s="50"/>
      <c r="W41" s="50"/>
      <c r="X41" s="50"/>
      <c r="Y41" s="50"/>
      <c r="Z41" s="50"/>
      <c r="AA41" s="50"/>
      <c r="AD41" s="10" t="s">
        <v>424</v>
      </c>
      <c r="AE41" s="10"/>
      <c r="AF41" s="13">
        <v>-46</v>
      </c>
      <c r="AG41" s="13">
        <v>-35</v>
      </c>
      <c r="AH41" s="13">
        <v>-47</v>
      </c>
      <c r="AI41" s="13">
        <v>-9</v>
      </c>
      <c r="AJ41" s="13">
        <v>-1</v>
      </c>
      <c r="AK41" s="13">
        <v>0</v>
      </c>
      <c r="AL41" s="13">
        <v>0</v>
      </c>
      <c r="AM41" s="13">
        <v>0</v>
      </c>
      <c r="AN41" s="13">
        <v>0</v>
      </c>
      <c r="AQ41" s="10" t="s">
        <v>424</v>
      </c>
      <c r="AR41" s="10"/>
      <c r="AS41" s="13">
        <f t="shared" si="39"/>
        <v>0</v>
      </c>
      <c r="AT41" s="13">
        <f t="shared" si="40"/>
        <v>0</v>
      </c>
      <c r="AU41" s="13">
        <f t="shared" si="41"/>
        <v>0</v>
      </c>
      <c r="AV41" s="13">
        <f t="shared" si="42"/>
        <v>0</v>
      </c>
      <c r="AW41" s="13">
        <f t="shared" si="43"/>
        <v>0</v>
      </c>
      <c r="AX41" s="13">
        <f t="shared" si="44"/>
        <v>0</v>
      </c>
      <c r="AY41" s="13">
        <f t="shared" si="45"/>
        <v>0</v>
      </c>
      <c r="AZ41" s="13">
        <f t="shared" si="46"/>
        <v>0</v>
      </c>
      <c r="BA41" s="13">
        <f t="shared" si="47"/>
        <v>0</v>
      </c>
      <c r="BB41" s="54">
        <f t="shared" si="48"/>
        <v>0</v>
      </c>
    </row>
    <row r="42" spans="1:54" hidden="1" outlineLevel="1" x14ac:dyDescent="0.3">
      <c r="A42" s="10" t="s">
        <v>381</v>
      </c>
      <c r="B42" s="10"/>
      <c r="C42" s="13">
        <v>38</v>
      </c>
      <c r="D42" s="13">
        <v>8</v>
      </c>
      <c r="E42" s="13">
        <v>3</v>
      </c>
      <c r="F42" s="13">
        <v>-16</v>
      </c>
      <c r="G42" s="13">
        <v>63</v>
      </c>
      <c r="H42" s="13">
        <v>0</v>
      </c>
      <c r="I42" s="13">
        <v>0</v>
      </c>
      <c r="J42" s="13">
        <v>1</v>
      </c>
      <c r="K42" s="13">
        <v>0</v>
      </c>
      <c r="L42" s="13"/>
      <c r="M42" s="13"/>
      <c r="N42" s="13"/>
      <c r="O42" s="13"/>
      <c r="P42" s="13"/>
      <c r="Q42" s="13"/>
      <c r="V42" s="50"/>
      <c r="W42" s="50"/>
      <c r="X42" s="50"/>
      <c r="Y42" s="50"/>
      <c r="Z42" s="50"/>
      <c r="AA42" s="50"/>
      <c r="AD42" s="10" t="s">
        <v>381</v>
      </c>
      <c r="AE42" s="10"/>
      <c r="AF42" s="13">
        <v>38</v>
      </c>
      <c r="AG42" s="13">
        <v>8</v>
      </c>
      <c r="AH42" s="13">
        <v>3</v>
      </c>
      <c r="AI42" s="13">
        <v>-16</v>
      </c>
      <c r="AJ42" s="13">
        <v>63</v>
      </c>
      <c r="AK42" s="13">
        <v>0</v>
      </c>
      <c r="AL42" s="13">
        <v>0</v>
      </c>
      <c r="AM42" s="13">
        <v>1</v>
      </c>
      <c r="AN42" s="13">
        <v>0</v>
      </c>
      <c r="AQ42" s="10" t="s">
        <v>381</v>
      </c>
      <c r="AR42" s="10"/>
      <c r="AS42" s="13">
        <f t="shared" si="39"/>
        <v>0</v>
      </c>
      <c r="AT42" s="13">
        <f t="shared" si="40"/>
        <v>0</v>
      </c>
      <c r="AU42" s="13">
        <f t="shared" si="41"/>
        <v>0</v>
      </c>
      <c r="AV42" s="13">
        <f t="shared" si="42"/>
        <v>0</v>
      </c>
      <c r="AW42" s="13">
        <f t="shared" si="43"/>
        <v>0</v>
      </c>
      <c r="AX42" s="13">
        <f t="shared" si="44"/>
        <v>0</v>
      </c>
      <c r="AY42" s="13">
        <f t="shared" si="45"/>
        <v>0</v>
      </c>
      <c r="AZ42" s="13">
        <f t="shared" si="46"/>
        <v>0</v>
      </c>
      <c r="BA42" s="13">
        <f t="shared" si="47"/>
        <v>0</v>
      </c>
      <c r="BB42" s="54">
        <f t="shared" si="48"/>
        <v>0</v>
      </c>
    </row>
    <row r="43" spans="1:54" hidden="1" outlineLevel="1" x14ac:dyDescent="0.3">
      <c r="A43" s="10" t="s">
        <v>388</v>
      </c>
      <c r="B43" s="10"/>
      <c r="C43" s="13">
        <v>114</v>
      </c>
      <c r="D43" s="13">
        <v>17</v>
      </c>
      <c r="E43" s="57">
        <f>596+260</f>
        <v>856</v>
      </c>
      <c r="F43" s="13">
        <v>544</v>
      </c>
      <c r="G43" s="13">
        <v>398</v>
      </c>
      <c r="H43" s="13">
        <v>451</v>
      </c>
      <c r="I43" s="13">
        <v>263</v>
      </c>
      <c r="J43" s="13">
        <v>564</v>
      </c>
      <c r="K43" s="13">
        <v>263</v>
      </c>
      <c r="L43" s="13"/>
      <c r="M43" s="13"/>
      <c r="N43" s="13"/>
      <c r="O43" s="13"/>
      <c r="P43" s="13"/>
      <c r="Q43" s="13"/>
      <c r="V43" s="50"/>
      <c r="W43" s="50"/>
      <c r="X43" s="50"/>
      <c r="Y43" s="50"/>
      <c r="Z43" s="50"/>
      <c r="AA43" s="50"/>
      <c r="AD43" s="10" t="s">
        <v>388</v>
      </c>
      <c r="AE43" s="10"/>
      <c r="AF43" s="13">
        <v>114</v>
      </c>
      <c r="AG43" s="13">
        <v>17</v>
      </c>
      <c r="AH43" s="13">
        <v>856</v>
      </c>
      <c r="AI43" s="13">
        <v>544</v>
      </c>
      <c r="AJ43" s="13">
        <v>398</v>
      </c>
      <c r="AK43" s="13">
        <v>451</v>
      </c>
      <c r="AL43" s="13">
        <v>263</v>
      </c>
      <c r="AM43" s="13">
        <v>564</v>
      </c>
      <c r="AN43" s="13">
        <v>263</v>
      </c>
      <c r="AQ43" s="10" t="s">
        <v>388</v>
      </c>
      <c r="AR43" s="10"/>
      <c r="AS43" s="13">
        <f t="shared" si="39"/>
        <v>0</v>
      </c>
      <c r="AT43" s="13">
        <f t="shared" si="40"/>
        <v>0</v>
      </c>
      <c r="AU43" s="13">
        <f t="shared" si="41"/>
        <v>0</v>
      </c>
      <c r="AV43" s="13">
        <f t="shared" si="42"/>
        <v>0</v>
      </c>
      <c r="AW43" s="13">
        <f t="shared" si="43"/>
        <v>0</v>
      </c>
      <c r="AX43" s="13">
        <f t="shared" si="44"/>
        <v>0</v>
      </c>
      <c r="AY43" s="13">
        <f t="shared" si="45"/>
        <v>0</v>
      </c>
      <c r="AZ43" s="13">
        <f t="shared" si="46"/>
        <v>0</v>
      </c>
      <c r="BA43" s="13">
        <f t="shared" si="47"/>
        <v>0</v>
      </c>
      <c r="BB43" s="54">
        <f t="shared" si="48"/>
        <v>0</v>
      </c>
    </row>
    <row r="44" spans="1:54" s="49" customFormat="1" hidden="1" outlineLevel="1" x14ac:dyDescent="0.3">
      <c r="A44" s="47" t="s">
        <v>389</v>
      </c>
      <c r="B44" s="47"/>
      <c r="C44" s="48">
        <f t="shared" ref="C44:J44" si="49">SUM(C37:C43)</f>
        <v>2492</v>
      </c>
      <c r="D44" s="48">
        <f t="shared" si="49"/>
        <v>937</v>
      </c>
      <c r="E44" s="48">
        <f t="shared" si="49"/>
        <v>1367</v>
      </c>
      <c r="F44" s="48">
        <f t="shared" si="49"/>
        <v>2084</v>
      </c>
      <c r="G44" s="48">
        <f t="shared" si="49"/>
        <v>168</v>
      </c>
      <c r="H44" s="48">
        <f t="shared" si="49"/>
        <v>2455</v>
      </c>
      <c r="I44" s="48">
        <f t="shared" si="49"/>
        <v>1657</v>
      </c>
      <c r="J44" s="48">
        <f t="shared" si="49"/>
        <v>2790</v>
      </c>
      <c r="K44" s="48">
        <f>SUM(K37:K43)</f>
        <v>-1226</v>
      </c>
      <c r="L44" s="48"/>
      <c r="M44" s="48"/>
      <c r="N44" s="48"/>
      <c r="O44" s="48"/>
      <c r="P44" s="48"/>
      <c r="Q44" s="48"/>
      <c r="V44" s="55"/>
      <c r="W44" s="50"/>
      <c r="X44" s="55"/>
      <c r="Y44" s="50"/>
      <c r="Z44" s="55"/>
      <c r="AA44" s="50"/>
      <c r="AD44" s="47" t="s">
        <v>389</v>
      </c>
      <c r="AE44" s="47"/>
      <c r="AF44" s="48">
        <v>2492</v>
      </c>
      <c r="AG44" s="48">
        <v>937</v>
      </c>
      <c r="AH44" s="48">
        <v>1367</v>
      </c>
      <c r="AI44" s="48">
        <v>2084</v>
      </c>
      <c r="AJ44" s="48">
        <v>168</v>
      </c>
      <c r="AK44" s="48">
        <v>2455</v>
      </c>
      <c r="AL44" s="48">
        <v>1657</v>
      </c>
      <c r="AM44" s="48">
        <v>2790</v>
      </c>
      <c r="AN44" s="48">
        <v>-1226</v>
      </c>
      <c r="AQ44" s="47" t="s">
        <v>389</v>
      </c>
      <c r="AR44" s="47"/>
      <c r="AS44" s="13">
        <f t="shared" si="39"/>
        <v>0</v>
      </c>
      <c r="AT44" s="13">
        <f t="shared" si="40"/>
        <v>0</v>
      </c>
      <c r="AU44" s="13">
        <f t="shared" si="41"/>
        <v>0</v>
      </c>
      <c r="AV44" s="13">
        <f t="shared" si="42"/>
        <v>0</v>
      </c>
      <c r="AW44" s="13">
        <f t="shared" si="43"/>
        <v>0</v>
      </c>
      <c r="AX44" s="13">
        <f t="shared" si="44"/>
        <v>0</v>
      </c>
      <c r="AY44" s="13">
        <f t="shared" si="45"/>
        <v>0</v>
      </c>
      <c r="AZ44" s="13">
        <f t="shared" si="46"/>
        <v>0</v>
      </c>
      <c r="BA44" s="13">
        <f t="shared" si="47"/>
        <v>0</v>
      </c>
      <c r="BB44" s="54">
        <f t="shared" si="48"/>
        <v>0</v>
      </c>
    </row>
    <row r="45" spans="1:54" s="49" customFormat="1" hidden="1" outlineLevel="1" x14ac:dyDescent="0.3">
      <c r="A45" s="47"/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V45" s="55"/>
      <c r="W45" s="50"/>
      <c r="X45" s="55"/>
      <c r="Y45" s="50"/>
      <c r="Z45" s="55"/>
      <c r="AA45" s="50"/>
      <c r="AD45" s="47"/>
      <c r="AE45" s="47"/>
      <c r="AF45" s="48"/>
      <c r="AG45" s="48"/>
      <c r="AH45" s="48"/>
      <c r="AI45" s="48"/>
      <c r="AJ45" s="48"/>
      <c r="AK45" s="48"/>
      <c r="AL45" s="48"/>
      <c r="AM45" s="48"/>
      <c r="AN45" s="48"/>
      <c r="AQ45" s="47"/>
      <c r="AR45" s="47"/>
      <c r="AS45" s="13">
        <f t="shared" si="39"/>
        <v>0</v>
      </c>
      <c r="AT45" s="13">
        <f t="shared" si="40"/>
        <v>0</v>
      </c>
      <c r="AU45" s="13">
        <f t="shared" si="41"/>
        <v>0</v>
      </c>
      <c r="AV45" s="13">
        <f t="shared" si="42"/>
        <v>0</v>
      </c>
      <c r="AW45" s="13">
        <f t="shared" si="43"/>
        <v>0</v>
      </c>
      <c r="AX45" s="13">
        <f t="shared" si="44"/>
        <v>0</v>
      </c>
      <c r="AY45" s="13">
        <f t="shared" si="45"/>
        <v>0</v>
      </c>
      <c r="AZ45" s="13">
        <f t="shared" si="46"/>
        <v>0</v>
      </c>
      <c r="BA45" s="13">
        <f t="shared" si="47"/>
        <v>0</v>
      </c>
      <c r="BB45" s="54">
        <f t="shared" si="48"/>
        <v>0</v>
      </c>
    </row>
    <row r="46" spans="1:54" s="49" customFormat="1" hidden="1" outlineLevel="1" x14ac:dyDescent="0.3">
      <c r="A46" s="51" t="s">
        <v>379</v>
      </c>
      <c r="B46" s="51"/>
      <c r="C46" s="52">
        <f t="shared" ref="C46:K46" si="50">C35-C44</f>
        <v>-256</v>
      </c>
      <c r="D46" s="52">
        <f t="shared" si="50"/>
        <v>-456</v>
      </c>
      <c r="E46" s="52">
        <f t="shared" si="50"/>
        <v>-6769</v>
      </c>
      <c r="F46" s="52">
        <f t="shared" si="50"/>
        <v>-2520</v>
      </c>
      <c r="G46" s="52">
        <f t="shared" si="50"/>
        <v>-388</v>
      </c>
      <c r="H46" s="52">
        <f t="shared" si="50"/>
        <v>191</v>
      </c>
      <c r="I46" s="52">
        <f t="shared" si="50"/>
        <v>-280</v>
      </c>
      <c r="J46" s="52">
        <f t="shared" si="50"/>
        <v>-1954</v>
      </c>
      <c r="K46" s="52">
        <f t="shared" si="50"/>
        <v>-4424</v>
      </c>
      <c r="L46" s="52"/>
      <c r="M46" s="52"/>
      <c r="N46" s="52"/>
      <c r="O46" s="52"/>
      <c r="P46" s="52"/>
      <c r="Q46" s="52"/>
      <c r="W46" s="50"/>
      <c r="Y46" s="50"/>
      <c r="AA46" s="50"/>
      <c r="AD46" s="51" t="s">
        <v>379</v>
      </c>
      <c r="AE46" s="51"/>
      <c r="AF46" s="52">
        <v>-256</v>
      </c>
      <c r="AG46" s="52">
        <v>-456</v>
      </c>
      <c r="AH46" s="52">
        <v>-6769</v>
      </c>
      <c r="AI46" s="52">
        <v>-2520</v>
      </c>
      <c r="AJ46" s="52">
        <v>-388</v>
      </c>
      <c r="AK46" s="52">
        <v>191</v>
      </c>
      <c r="AL46" s="52">
        <v>-280</v>
      </c>
      <c r="AM46" s="52">
        <v>-1954</v>
      </c>
      <c r="AN46" s="52">
        <v>-4424</v>
      </c>
      <c r="AQ46" s="51" t="s">
        <v>379</v>
      </c>
      <c r="AR46" s="51"/>
      <c r="AS46" s="13">
        <f t="shared" si="39"/>
        <v>0</v>
      </c>
      <c r="AT46" s="13">
        <f t="shared" si="40"/>
        <v>0</v>
      </c>
      <c r="AU46" s="13">
        <f t="shared" si="41"/>
        <v>0</v>
      </c>
      <c r="AV46" s="13">
        <f t="shared" si="42"/>
        <v>0</v>
      </c>
      <c r="AW46" s="13">
        <f t="shared" si="43"/>
        <v>0</v>
      </c>
      <c r="AX46" s="13">
        <f t="shared" si="44"/>
        <v>0</v>
      </c>
      <c r="AY46" s="13">
        <f t="shared" si="45"/>
        <v>0</v>
      </c>
      <c r="AZ46" s="13">
        <f t="shared" si="46"/>
        <v>0</v>
      </c>
      <c r="BA46" s="13">
        <f t="shared" si="47"/>
        <v>0</v>
      </c>
      <c r="BB46" s="54">
        <f t="shared" si="48"/>
        <v>0</v>
      </c>
    </row>
    <row r="47" spans="1:54" s="49" customFormat="1" hidden="1" outlineLevel="1" x14ac:dyDescent="0.3">
      <c r="A47" s="47"/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W47" s="50"/>
      <c r="Y47" s="50"/>
      <c r="AA47" s="50"/>
      <c r="AD47" s="47"/>
      <c r="AE47" s="47"/>
      <c r="AF47" s="48"/>
      <c r="AG47" s="48"/>
      <c r="AH47" s="48"/>
      <c r="AI47" s="48"/>
      <c r="AJ47" s="48"/>
      <c r="AK47" s="48"/>
      <c r="AL47" s="48"/>
      <c r="AM47" s="48"/>
      <c r="AN47" s="48"/>
      <c r="AQ47" s="47"/>
      <c r="AR47" s="47"/>
      <c r="AS47" s="13">
        <f t="shared" si="39"/>
        <v>0</v>
      </c>
      <c r="AT47" s="13">
        <f t="shared" si="40"/>
        <v>0</v>
      </c>
      <c r="AU47" s="13">
        <f t="shared" si="41"/>
        <v>0</v>
      </c>
      <c r="AV47" s="13">
        <f t="shared" si="42"/>
        <v>0</v>
      </c>
      <c r="AW47" s="13">
        <f t="shared" si="43"/>
        <v>0</v>
      </c>
      <c r="AX47" s="13">
        <f t="shared" si="44"/>
        <v>0</v>
      </c>
      <c r="AY47" s="13">
        <f t="shared" si="45"/>
        <v>0</v>
      </c>
      <c r="AZ47" s="13">
        <f t="shared" si="46"/>
        <v>0</v>
      </c>
      <c r="BA47" s="13">
        <f t="shared" si="47"/>
        <v>0</v>
      </c>
      <c r="BB47" s="54">
        <f t="shared" si="48"/>
        <v>0</v>
      </c>
    </row>
    <row r="48" spans="1:54" hidden="1" outlineLevel="1" x14ac:dyDescent="0.3">
      <c r="A48" s="10" t="s">
        <v>382</v>
      </c>
      <c r="B48" s="10"/>
      <c r="C48" s="13">
        <v>87</v>
      </c>
      <c r="D48" s="13">
        <v>-178</v>
      </c>
      <c r="E48" s="13">
        <v>-2381</v>
      </c>
      <c r="F48" s="13">
        <v>-3188</v>
      </c>
      <c r="G48" s="13">
        <v>86</v>
      </c>
      <c r="H48" s="13">
        <v>227</v>
      </c>
      <c r="I48" s="13">
        <v>127</v>
      </c>
      <c r="J48" s="13">
        <v>-380</v>
      </c>
      <c r="K48" s="13">
        <v>-1252</v>
      </c>
      <c r="L48" s="13"/>
      <c r="M48" s="13"/>
      <c r="N48" s="13"/>
      <c r="O48" s="13"/>
      <c r="P48" s="13"/>
      <c r="Q48" s="13"/>
      <c r="V48" s="50"/>
      <c r="W48" s="50"/>
      <c r="X48" s="50"/>
      <c r="Y48" s="50"/>
      <c r="Z48" s="50"/>
      <c r="AA48" s="50"/>
      <c r="AD48" s="10" t="s">
        <v>382</v>
      </c>
      <c r="AE48" s="10"/>
      <c r="AF48" s="13">
        <v>87</v>
      </c>
      <c r="AG48" s="13">
        <v>-178</v>
      </c>
      <c r="AH48" s="13">
        <v>-2381</v>
      </c>
      <c r="AI48" s="13">
        <v>-3188</v>
      </c>
      <c r="AJ48" s="13">
        <v>86</v>
      </c>
      <c r="AK48" s="13">
        <v>227</v>
      </c>
      <c r="AL48" s="13">
        <v>127</v>
      </c>
      <c r="AM48" s="13">
        <v>-380</v>
      </c>
      <c r="AN48" s="13">
        <v>-1252</v>
      </c>
      <c r="AQ48" s="10" t="s">
        <v>382</v>
      </c>
      <c r="AR48" s="10"/>
      <c r="AS48" s="13">
        <f t="shared" si="39"/>
        <v>0</v>
      </c>
      <c r="AT48" s="13">
        <f t="shared" si="40"/>
        <v>0</v>
      </c>
      <c r="AU48" s="13">
        <f t="shared" si="41"/>
        <v>0</v>
      </c>
      <c r="AV48" s="13">
        <f t="shared" si="42"/>
        <v>0</v>
      </c>
      <c r="AW48" s="13">
        <f t="shared" si="43"/>
        <v>0</v>
      </c>
      <c r="AX48" s="13">
        <f t="shared" si="44"/>
        <v>0</v>
      </c>
      <c r="AY48" s="13">
        <f t="shared" si="45"/>
        <v>0</v>
      </c>
      <c r="AZ48" s="13">
        <f t="shared" si="46"/>
        <v>0</v>
      </c>
      <c r="BA48" s="13">
        <f t="shared" si="47"/>
        <v>0</v>
      </c>
      <c r="BB48" s="54">
        <f t="shared" si="48"/>
        <v>0</v>
      </c>
    </row>
    <row r="49" spans="1:54" s="49" customFormat="1" hidden="1" outlineLevel="1" x14ac:dyDescent="0.3">
      <c r="A49" s="47" t="s">
        <v>377</v>
      </c>
      <c r="B49" s="47"/>
      <c r="C49" s="48">
        <f t="shared" ref="C49:K49" si="51">C46-C48</f>
        <v>-343</v>
      </c>
      <c r="D49" s="48">
        <f t="shared" si="51"/>
        <v>-278</v>
      </c>
      <c r="E49" s="48">
        <f t="shared" si="51"/>
        <v>-4388</v>
      </c>
      <c r="F49" s="48">
        <f t="shared" si="51"/>
        <v>668</v>
      </c>
      <c r="G49" s="48">
        <f t="shared" si="51"/>
        <v>-474</v>
      </c>
      <c r="H49" s="48">
        <f t="shared" si="51"/>
        <v>-36</v>
      </c>
      <c r="I49" s="48">
        <f t="shared" si="51"/>
        <v>-407</v>
      </c>
      <c r="J49" s="48">
        <f t="shared" si="51"/>
        <v>-1574</v>
      </c>
      <c r="K49" s="48">
        <f t="shared" si="51"/>
        <v>-3172</v>
      </c>
      <c r="L49" s="48"/>
      <c r="M49" s="48"/>
      <c r="N49" s="48"/>
      <c r="O49" s="48"/>
      <c r="P49" s="48"/>
      <c r="Q49" s="48"/>
      <c r="W49" s="50"/>
      <c r="Y49" s="50"/>
      <c r="AA49" s="50"/>
      <c r="AD49" s="47" t="s">
        <v>377</v>
      </c>
      <c r="AE49" s="47"/>
      <c r="AF49" s="48">
        <v>-343</v>
      </c>
      <c r="AG49" s="48">
        <v>-278</v>
      </c>
      <c r="AH49" s="48">
        <v>-4388</v>
      </c>
      <c r="AI49" s="48">
        <v>668</v>
      </c>
      <c r="AJ49" s="48">
        <v>-474</v>
      </c>
      <c r="AK49" s="48">
        <v>-36</v>
      </c>
      <c r="AL49" s="48">
        <v>-407</v>
      </c>
      <c r="AM49" s="48">
        <v>-1574</v>
      </c>
      <c r="AN49" s="48">
        <v>-3172</v>
      </c>
      <c r="AQ49" s="47" t="s">
        <v>377</v>
      </c>
      <c r="AR49" s="47"/>
      <c r="AS49" s="13">
        <f t="shared" si="39"/>
        <v>0</v>
      </c>
      <c r="AT49" s="13">
        <f t="shared" si="40"/>
        <v>0</v>
      </c>
      <c r="AU49" s="13">
        <f t="shared" si="41"/>
        <v>0</v>
      </c>
      <c r="AV49" s="13">
        <f t="shared" si="42"/>
        <v>0</v>
      </c>
      <c r="AW49" s="13">
        <f t="shared" si="43"/>
        <v>0</v>
      </c>
      <c r="AX49" s="13">
        <f t="shared" si="44"/>
        <v>0</v>
      </c>
      <c r="AY49" s="13">
        <f t="shared" si="45"/>
        <v>0</v>
      </c>
      <c r="AZ49" s="13">
        <f t="shared" si="46"/>
        <v>0</v>
      </c>
      <c r="BA49" s="13">
        <f t="shared" si="47"/>
        <v>0</v>
      </c>
      <c r="BB49" s="54">
        <f t="shared" si="48"/>
        <v>0</v>
      </c>
    </row>
    <row r="50" spans="1:54" collapsed="1" x14ac:dyDescent="0.3">
      <c r="A50" s="6" t="s">
        <v>427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AD50" s="6" t="s">
        <v>427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Q50" s="6" t="s">
        <v>398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</row>
    <row r="51" spans="1:54" outlineLevel="1" x14ac:dyDescent="0.3">
      <c r="A51" s="10" t="s">
        <v>378</v>
      </c>
      <c r="B51" s="10"/>
      <c r="C51" s="13">
        <f t="shared" ref="C51:K51" si="52">C75+C111+C148+C185+C222+C259</f>
        <v>37548</v>
      </c>
      <c r="D51" s="13">
        <f t="shared" si="52"/>
        <v>36873</v>
      </c>
      <c r="E51" s="13">
        <f t="shared" si="52"/>
        <v>37505</v>
      </c>
      <c r="F51" s="13">
        <f t="shared" si="52"/>
        <v>39339</v>
      </c>
      <c r="G51" s="13">
        <f t="shared" si="52"/>
        <v>43840</v>
      </c>
      <c r="H51" s="13">
        <f t="shared" si="52"/>
        <v>42164</v>
      </c>
      <c r="I51" s="13">
        <f t="shared" si="52"/>
        <v>41982</v>
      </c>
      <c r="J51" s="13">
        <f t="shared" si="52"/>
        <v>41027</v>
      </c>
      <c r="K51" s="13">
        <f t="shared" si="52"/>
        <v>49356</v>
      </c>
      <c r="L51" s="13">
        <f t="shared" ref="L51:Q51" si="53">L75+L111+L148+L185+L222+L259</f>
        <v>50396.3716051952</v>
      </c>
      <c r="M51" s="13">
        <f t="shared" si="53"/>
        <v>51372.089269562566</v>
      </c>
      <c r="N51" s="13">
        <f t="shared" si="53"/>
        <v>52331.25990665095</v>
      </c>
      <c r="O51" s="13">
        <f t="shared" si="53"/>
        <v>53282.255142949929</v>
      </c>
      <c r="P51" s="13">
        <f t="shared" si="53"/>
        <v>54224.645365632103</v>
      </c>
      <c r="Q51" s="13">
        <f t="shared" si="53"/>
        <v>55139.171256726309</v>
      </c>
      <c r="V51" s="50">
        <v>1222</v>
      </c>
      <c r="W51" s="50">
        <f>E51+V51</f>
        <v>38727</v>
      </c>
      <c r="X51" s="50">
        <v>1675</v>
      </c>
      <c r="Y51" s="50">
        <f>D51+X51</f>
        <v>38548</v>
      </c>
      <c r="Z51" s="50">
        <v>1474</v>
      </c>
      <c r="AA51" s="50">
        <f>C51+Z51</f>
        <v>39022</v>
      </c>
      <c r="AD51" s="10" t="s">
        <v>378</v>
      </c>
      <c r="AE51" s="10"/>
      <c r="AF51" s="13">
        <v>37548</v>
      </c>
      <c r="AG51" s="13">
        <v>36873</v>
      </c>
      <c r="AH51" s="13">
        <v>37505</v>
      </c>
      <c r="AI51" s="13">
        <v>39339</v>
      </c>
      <c r="AJ51" s="13">
        <v>43840</v>
      </c>
      <c r="AK51" s="13">
        <v>42164</v>
      </c>
      <c r="AL51" s="13">
        <v>41982</v>
      </c>
      <c r="AM51" s="44">
        <v>41027</v>
      </c>
      <c r="AN51" s="13">
        <v>49356</v>
      </c>
      <c r="AQ51" s="10" t="s">
        <v>378</v>
      </c>
      <c r="AR51" s="10"/>
      <c r="AS51" s="13">
        <f t="shared" ref="AS51:BA51" si="54">C51-AF51</f>
        <v>0</v>
      </c>
      <c r="AT51" s="13">
        <f t="shared" si="54"/>
        <v>0</v>
      </c>
      <c r="AU51" s="13">
        <f t="shared" si="54"/>
        <v>0</v>
      </c>
      <c r="AV51" s="13">
        <f t="shared" si="54"/>
        <v>0</v>
      </c>
      <c r="AW51" s="13">
        <f t="shared" si="54"/>
        <v>0</v>
      </c>
      <c r="AX51" s="13">
        <f t="shared" si="54"/>
        <v>0</v>
      </c>
      <c r="AY51" s="13">
        <f t="shared" si="54"/>
        <v>0</v>
      </c>
      <c r="AZ51" s="13">
        <f t="shared" si="54"/>
        <v>0</v>
      </c>
      <c r="BA51" s="13">
        <f t="shared" si="54"/>
        <v>0</v>
      </c>
      <c r="BB51" s="54">
        <f>SUM(AS51:BA51)</f>
        <v>0</v>
      </c>
    </row>
    <row r="52" spans="1:54" s="35" customFormat="1" outlineLevel="1" x14ac:dyDescent="0.3">
      <c r="A52" s="39" t="s">
        <v>412</v>
      </c>
      <c r="B52" s="39"/>
      <c r="C52" s="40"/>
      <c r="D52" s="43">
        <f>D51/C51-1</f>
        <v>-1.797698945349957E-2</v>
      </c>
      <c r="E52" s="43">
        <f t="shared" ref="E52" si="55">E51/D51-1</f>
        <v>1.7139912673229674E-2</v>
      </c>
      <c r="F52" s="43">
        <f t="shared" ref="F52" si="56">F51/E51-1</f>
        <v>4.8900146647113729E-2</v>
      </c>
      <c r="G52" s="43">
        <f t="shared" ref="G52" si="57">G51/F51-1</f>
        <v>0.11441571976918574</v>
      </c>
      <c r="H52" s="43">
        <f t="shared" ref="H52" si="58">H51/G51-1</f>
        <v>-3.8229927007299325E-2</v>
      </c>
      <c r="I52" s="43">
        <f t="shared" ref="I52" si="59">I51/H51-1</f>
        <v>-4.3164785124750749E-3</v>
      </c>
      <c r="J52" s="43">
        <f t="shared" ref="J52" si="60">J51/I51-1</f>
        <v>-2.2747844314229937E-2</v>
      </c>
      <c r="K52" s="43">
        <f t="shared" ref="K52" si="61">K51/J51-1</f>
        <v>0.20301265020596193</v>
      </c>
      <c r="L52" s="43">
        <f t="shared" ref="L52" si="62">L51/K51-1</f>
        <v>2.1078928705632549E-2</v>
      </c>
      <c r="M52" s="43">
        <f t="shared" ref="M52" si="63">M51/L51-1</f>
        <v>1.9360871294686222E-2</v>
      </c>
      <c r="N52" s="43">
        <f t="shared" ref="N52" si="64">N51/M51-1</f>
        <v>1.8671045906958783E-2</v>
      </c>
      <c r="O52" s="43">
        <f t="shared" ref="O52" si="65">O51/N51-1</f>
        <v>1.8172603487769612E-2</v>
      </c>
      <c r="P52" s="43">
        <f t="shared" ref="P52" si="66">P51/O51-1</f>
        <v>1.7686755565316403E-2</v>
      </c>
      <c r="Q52" s="43">
        <f t="shared" ref="Q52" si="67">Q51/P51-1</f>
        <v>1.6865502483744077E-2</v>
      </c>
      <c r="R52" s="62"/>
      <c r="V52" s="59"/>
      <c r="W52" s="59"/>
      <c r="X52" s="59"/>
      <c r="Y52" s="59"/>
      <c r="Z52" s="59"/>
      <c r="AA52" s="59"/>
      <c r="AD52" s="39"/>
      <c r="AE52" s="39"/>
      <c r="AF52" s="40"/>
      <c r="AG52" s="40"/>
      <c r="AH52" s="40"/>
      <c r="AI52" s="40"/>
      <c r="AJ52" s="40"/>
      <c r="AK52" s="40"/>
      <c r="AL52" s="40"/>
      <c r="AM52" s="58"/>
      <c r="AN52" s="40"/>
      <c r="AQ52" s="39"/>
      <c r="AR52" s="39"/>
      <c r="AS52" s="40"/>
      <c r="AT52" s="40"/>
      <c r="AU52" s="40"/>
      <c r="AV52" s="40"/>
      <c r="AW52" s="40"/>
      <c r="AX52" s="40"/>
      <c r="AY52" s="40"/>
      <c r="AZ52" s="40"/>
      <c r="BA52" s="40"/>
      <c r="BB52" s="60"/>
    </row>
    <row r="53" spans="1:54" outlineLevel="1" x14ac:dyDescent="0.3">
      <c r="A53" s="10" t="s">
        <v>422</v>
      </c>
      <c r="B53" s="10"/>
      <c r="C53" s="13">
        <f t="shared" ref="C53:K53" si="68">C77+C113+C150+C187+C224+C261</f>
        <v>5578</v>
      </c>
      <c r="D53" s="13">
        <f t="shared" si="68"/>
        <v>5395</v>
      </c>
      <c r="E53" s="13">
        <f t="shared" si="68"/>
        <v>5209</v>
      </c>
      <c r="F53" s="13">
        <f t="shared" si="68"/>
        <v>5407</v>
      </c>
      <c r="G53" s="13">
        <f t="shared" si="68"/>
        <v>5382</v>
      </c>
      <c r="H53" s="13">
        <f t="shared" si="68"/>
        <v>5395</v>
      </c>
      <c r="I53" s="13">
        <f t="shared" si="68"/>
        <v>5465</v>
      </c>
      <c r="J53" s="44">
        <f t="shared" si="68"/>
        <v>5561</v>
      </c>
      <c r="K53" s="13">
        <f t="shared" si="68"/>
        <v>5532</v>
      </c>
      <c r="L53" s="13">
        <f t="shared" ref="L53:Q53" si="69">L77+L113+L150+L187+L224+L261</f>
        <v>1.6666666666666667</v>
      </c>
      <c r="M53" s="13">
        <f t="shared" si="69"/>
        <v>1.7777777777777777</v>
      </c>
      <c r="N53" s="13">
        <f t="shared" si="69"/>
        <v>2.074074074074074</v>
      </c>
      <c r="O53" s="13">
        <f t="shared" si="69"/>
        <v>2.0864197530864197</v>
      </c>
      <c r="P53" s="13">
        <f t="shared" si="69"/>
        <v>1.9341563786008231</v>
      </c>
      <c r="Q53" s="13">
        <f t="shared" si="69"/>
        <v>1.9231824417009602</v>
      </c>
      <c r="V53" s="50">
        <v>3491</v>
      </c>
      <c r="W53" s="50">
        <f>E53+V53</f>
        <v>8700</v>
      </c>
      <c r="X53" s="50">
        <v>3718</v>
      </c>
      <c r="Y53" s="50">
        <f>D53+X53</f>
        <v>9113</v>
      </c>
      <c r="Z53" s="50">
        <v>3963</v>
      </c>
      <c r="AA53" s="50">
        <f>C53+Z53</f>
        <v>9541</v>
      </c>
      <c r="AD53" s="10" t="s">
        <v>422</v>
      </c>
      <c r="AE53" s="10"/>
      <c r="AF53" s="13">
        <v>5578</v>
      </c>
      <c r="AG53" s="13">
        <v>5395</v>
      </c>
      <c r="AH53" s="13">
        <v>5209</v>
      </c>
      <c r="AI53" s="13">
        <v>5407</v>
      </c>
      <c r="AJ53" s="13">
        <v>5382</v>
      </c>
      <c r="AK53" s="13">
        <v>5395</v>
      </c>
      <c r="AL53" s="13">
        <v>5465</v>
      </c>
      <c r="AM53" s="44">
        <v>5561</v>
      </c>
      <c r="AN53" s="13">
        <v>5532</v>
      </c>
      <c r="AQ53" s="10" t="s">
        <v>422</v>
      </c>
      <c r="AR53" s="10"/>
      <c r="AS53" s="13">
        <f t="shared" ref="AS53:BA53" si="70">C53-AF53</f>
        <v>0</v>
      </c>
      <c r="AT53" s="13">
        <f t="shared" si="70"/>
        <v>0</v>
      </c>
      <c r="AU53" s="13">
        <f t="shared" si="70"/>
        <v>0</v>
      </c>
      <c r="AV53" s="13">
        <f t="shared" si="70"/>
        <v>0</v>
      </c>
      <c r="AW53" s="13">
        <f t="shared" si="70"/>
        <v>0</v>
      </c>
      <c r="AX53" s="13">
        <f t="shared" si="70"/>
        <v>0</v>
      </c>
      <c r="AY53" s="13">
        <f t="shared" si="70"/>
        <v>0</v>
      </c>
      <c r="AZ53" s="13">
        <f t="shared" si="70"/>
        <v>0</v>
      </c>
      <c r="BA53" s="13">
        <f t="shared" si="70"/>
        <v>0</v>
      </c>
      <c r="BB53" s="54">
        <f t="shared" ref="BB53:BB73" si="71">SUM(AS53:BA53)</f>
        <v>0</v>
      </c>
    </row>
    <row r="54" spans="1:54" s="35" customFormat="1" outlineLevel="1" x14ac:dyDescent="0.3">
      <c r="A54" s="39" t="s">
        <v>437</v>
      </c>
      <c r="B54" s="39"/>
      <c r="C54" s="43">
        <f>C53/C51</f>
        <v>0.14855651432832642</v>
      </c>
      <c r="D54" s="43">
        <f t="shared" ref="D54:Q54" si="72">D53/D51</f>
        <v>0.14631302036720636</v>
      </c>
      <c r="E54" s="43">
        <f t="shared" si="72"/>
        <v>0.13888814824690041</v>
      </c>
      <c r="F54" s="43">
        <f t="shared" si="72"/>
        <v>0.13744630010930628</v>
      </c>
      <c r="G54" s="43">
        <f t="shared" si="72"/>
        <v>0.12276459854014599</v>
      </c>
      <c r="H54" s="43">
        <f t="shared" si="72"/>
        <v>0.12795275590551181</v>
      </c>
      <c r="I54" s="43">
        <f t="shared" si="72"/>
        <v>0.13017483683483397</v>
      </c>
      <c r="J54" s="43">
        <f t="shared" si="72"/>
        <v>0.13554488507568188</v>
      </c>
      <c r="K54" s="43">
        <f t="shared" si="72"/>
        <v>0.11208363724775103</v>
      </c>
      <c r="L54" s="43">
        <f t="shared" si="72"/>
        <v>3.3071163926707287E-5</v>
      </c>
      <c r="M54" s="43">
        <f t="shared" si="72"/>
        <v>3.4605907664166048E-5</v>
      </c>
      <c r="N54" s="43">
        <f t="shared" si="72"/>
        <v>3.9633558943045302E-5</v>
      </c>
      <c r="O54" s="43">
        <f t="shared" si="72"/>
        <v>3.9157872494112811E-5</v>
      </c>
      <c r="P54" s="43">
        <f t="shared" si="72"/>
        <v>3.5669322787801994E-5</v>
      </c>
      <c r="Q54" s="43">
        <f t="shared" si="72"/>
        <v>3.4878696902183768E-5</v>
      </c>
      <c r="R54" s="62"/>
      <c r="V54" s="59"/>
      <c r="W54" s="59"/>
      <c r="X54" s="59"/>
      <c r="Y54" s="59"/>
      <c r="Z54" s="59"/>
      <c r="AA54" s="59"/>
      <c r="AD54" s="39"/>
      <c r="AE54" s="39"/>
      <c r="AF54" s="40"/>
      <c r="AG54" s="40"/>
      <c r="AH54" s="40"/>
      <c r="AI54" s="40"/>
      <c r="AJ54" s="40"/>
      <c r="AK54" s="40"/>
      <c r="AL54" s="40"/>
      <c r="AM54" s="58"/>
      <c r="AN54" s="40"/>
      <c r="AQ54" s="39"/>
      <c r="AR54" s="39"/>
      <c r="AS54" s="40"/>
      <c r="AT54" s="40"/>
      <c r="AU54" s="40"/>
      <c r="AV54" s="40"/>
      <c r="AW54" s="40"/>
      <c r="AX54" s="40"/>
      <c r="AY54" s="40"/>
      <c r="AZ54" s="40"/>
      <c r="BA54" s="40"/>
      <c r="BB54" s="60"/>
    </row>
    <row r="55" spans="1:54" outlineLevel="1" x14ac:dyDescent="0.3">
      <c r="A55" s="10" t="s">
        <v>384</v>
      </c>
      <c r="B55" s="10"/>
      <c r="C55" s="13">
        <f t="shared" ref="C55:K55" si="73">C79+C115+C152+C189+C226+C263</f>
        <v>17328</v>
      </c>
      <c r="D55" s="13">
        <f t="shared" si="73"/>
        <v>16462</v>
      </c>
      <c r="E55" s="13">
        <f t="shared" si="73"/>
        <v>16197</v>
      </c>
      <c r="F55" s="13">
        <f t="shared" si="73"/>
        <v>16544</v>
      </c>
      <c r="G55" s="13">
        <f t="shared" si="73"/>
        <v>17383</v>
      </c>
      <c r="H55" s="13">
        <f t="shared" si="73"/>
        <v>17830</v>
      </c>
      <c r="I55" s="13">
        <f t="shared" si="73"/>
        <v>17328</v>
      </c>
      <c r="J55" s="13">
        <f t="shared" si="73"/>
        <v>21280</v>
      </c>
      <c r="K55" s="13">
        <f t="shared" si="73"/>
        <v>18189</v>
      </c>
      <c r="L55" s="13"/>
      <c r="M55" s="13"/>
      <c r="N55" s="13"/>
      <c r="O55" s="13"/>
      <c r="P55" s="13"/>
      <c r="Q55" s="13"/>
      <c r="V55" s="50">
        <v>3503</v>
      </c>
      <c r="W55" s="50">
        <f>E55+V55</f>
        <v>19700</v>
      </c>
      <c r="X55" s="50">
        <v>3327</v>
      </c>
      <c r="Y55" s="50">
        <f>D55+X55</f>
        <v>19789</v>
      </c>
      <c r="Z55" s="50">
        <v>3156</v>
      </c>
      <c r="AA55" s="50">
        <f>C55+Z55</f>
        <v>20484</v>
      </c>
      <c r="AD55" s="10" t="s">
        <v>384</v>
      </c>
      <c r="AE55" s="10"/>
      <c r="AF55" s="13">
        <v>17328</v>
      </c>
      <c r="AG55" s="13">
        <v>16462</v>
      </c>
      <c r="AH55" s="13">
        <v>16197</v>
      </c>
      <c r="AI55" s="13">
        <v>16544</v>
      </c>
      <c r="AJ55" s="13">
        <v>17383</v>
      </c>
      <c r="AK55" s="13">
        <v>17830</v>
      </c>
      <c r="AL55" s="13">
        <v>17328</v>
      </c>
      <c r="AM55" s="13">
        <v>21280</v>
      </c>
      <c r="AN55" s="13">
        <v>18189</v>
      </c>
      <c r="AQ55" s="10" t="s">
        <v>384</v>
      </c>
      <c r="AR55" s="10"/>
      <c r="AS55" s="13">
        <f t="shared" ref="AS55:BA56" si="74">C55-AF55</f>
        <v>0</v>
      </c>
      <c r="AT55" s="13">
        <f t="shared" si="74"/>
        <v>0</v>
      </c>
      <c r="AU55" s="13">
        <f t="shared" si="74"/>
        <v>0</v>
      </c>
      <c r="AV55" s="13">
        <f t="shared" si="74"/>
        <v>0</v>
      </c>
      <c r="AW55" s="13">
        <f t="shared" si="74"/>
        <v>0</v>
      </c>
      <c r="AX55" s="13">
        <f t="shared" si="74"/>
        <v>0</v>
      </c>
      <c r="AY55" s="13">
        <f t="shared" si="74"/>
        <v>0</v>
      </c>
      <c r="AZ55" s="13">
        <f t="shared" si="74"/>
        <v>0</v>
      </c>
      <c r="BA55" s="13">
        <f t="shared" si="74"/>
        <v>0</v>
      </c>
      <c r="BB55" s="54">
        <f t="shared" si="71"/>
        <v>0</v>
      </c>
    </row>
    <row r="56" spans="1:54" outlineLevel="1" x14ac:dyDescent="0.3">
      <c r="A56" s="10" t="s">
        <v>391</v>
      </c>
      <c r="B56" s="10"/>
      <c r="C56" s="13">
        <f t="shared" ref="C56:K56" si="75">C81+C117+C154+C191+C228+C265</f>
        <v>1499</v>
      </c>
      <c r="D56" s="13">
        <f t="shared" si="75"/>
        <v>1598</v>
      </c>
      <c r="E56" s="13">
        <f t="shared" si="75"/>
        <v>1016</v>
      </c>
      <c r="F56" s="13">
        <f t="shared" si="75"/>
        <v>1454</v>
      </c>
      <c r="G56" s="13">
        <f t="shared" si="75"/>
        <v>1556</v>
      </c>
      <c r="H56" s="13">
        <f t="shared" si="75"/>
        <v>1585</v>
      </c>
      <c r="I56" s="13">
        <f t="shared" si="75"/>
        <v>1690</v>
      </c>
      <c r="J56" s="13">
        <f t="shared" si="75"/>
        <v>2376</v>
      </c>
      <c r="K56" s="13">
        <f t="shared" si="75"/>
        <v>2471</v>
      </c>
      <c r="L56" s="13"/>
      <c r="M56" s="13"/>
      <c r="N56" s="13"/>
      <c r="O56" s="13"/>
      <c r="P56" s="13"/>
      <c r="Q56" s="13"/>
      <c r="V56" s="50">
        <v>735</v>
      </c>
      <c r="W56" s="50">
        <f>E56+V56</f>
        <v>1751</v>
      </c>
      <c r="X56" s="50">
        <v>422</v>
      </c>
      <c r="Y56" s="50">
        <f>D56+X56</f>
        <v>2020</v>
      </c>
      <c r="Z56" s="50">
        <v>534</v>
      </c>
      <c r="AA56" s="50">
        <f>C56+Z56</f>
        <v>2033</v>
      </c>
      <c r="AD56" s="10" t="s">
        <v>391</v>
      </c>
      <c r="AE56" s="10"/>
      <c r="AF56" s="13">
        <v>1499</v>
      </c>
      <c r="AG56" s="13">
        <v>1598</v>
      </c>
      <c r="AH56" s="13">
        <v>1016</v>
      </c>
      <c r="AI56" s="13">
        <v>1454</v>
      </c>
      <c r="AJ56" s="13">
        <v>1556</v>
      </c>
      <c r="AK56" s="13">
        <v>1585</v>
      </c>
      <c r="AL56" s="13">
        <v>1690</v>
      </c>
      <c r="AM56" s="13">
        <v>2376</v>
      </c>
      <c r="AN56" s="13">
        <v>2471</v>
      </c>
      <c r="AQ56" s="10" t="s">
        <v>391</v>
      </c>
      <c r="AR56" s="10"/>
      <c r="AS56" s="13">
        <f t="shared" si="74"/>
        <v>0</v>
      </c>
      <c r="AT56" s="13">
        <f t="shared" si="74"/>
        <v>0</v>
      </c>
      <c r="AU56" s="13">
        <f t="shared" si="74"/>
        <v>0</v>
      </c>
      <c r="AV56" s="13">
        <f t="shared" si="74"/>
        <v>0</v>
      </c>
      <c r="AW56" s="13">
        <f t="shared" si="74"/>
        <v>0</v>
      </c>
      <c r="AX56" s="13">
        <f t="shared" si="74"/>
        <v>0</v>
      </c>
      <c r="AY56" s="13">
        <f t="shared" si="74"/>
        <v>0</v>
      </c>
      <c r="AZ56" s="13">
        <f t="shared" si="74"/>
        <v>0</v>
      </c>
      <c r="BA56" s="13">
        <f t="shared" si="74"/>
        <v>0</v>
      </c>
      <c r="BB56" s="54">
        <f t="shared" si="71"/>
        <v>0</v>
      </c>
    </row>
    <row r="57" spans="1:54" outlineLevel="1" x14ac:dyDescent="0.3">
      <c r="A57" s="10" t="s">
        <v>432</v>
      </c>
      <c r="B57" s="1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V57" s="50"/>
      <c r="W57" s="50"/>
      <c r="X57" s="50"/>
      <c r="Y57" s="50"/>
      <c r="Z57" s="50"/>
      <c r="AA57" s="50"/>
      <c r="AD57" s="10"/>
      <c r="AE57" s="10"/>
      <c r="AF57" s="13"/>
      <c r="AG57" s="13"/>
      <c r="AH57" s="13"/>
      <c r="AI57" s="13"/>
      <c r="AJ57" s="13"/>
      <c r="AK57" s="13"/>
      <c r="AL57" s="13"/>
      <c r="AM57" s="13"/>
      <c r="AN57" s="13"/>
      <c r="AQ57" s="10"/>
      <c r="AR57" s="10"/>
      <c r="AS57" s="13"/>
      <c r="AT57" s="13"/>
      <c r="AU57" s="13"/>
      <c r="AV57" s="13"/>
      <c r="AW57" s="13"/>
      <c r="AX57" s="13"/>
      <c r="AY57" s="13"/>
      <c r="AZ57" s="13"/>
      <c r="BA57" s="13"/>
      <c r="BB57" s="54"/>
    </row>
    <row r="58" spans="1:54" outlineLevel="1" x14ac:dyDescent="0.3">
      <c r="A58" s="10" t="s">
        <v>433</v>
      </c>
      <c r="B58" s="1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V58" s="50"/>
      <c r="W58" s="50"/>
      <c r="X58" s="50"/>
      <c r="Y58" s="50"/>
      <c r="Z58" s="50"/>
      <c r="AA58" s="50"/>
      <c r="AD58" s="10"/>
      <c r="AE58" s="10"/>
      <c r="AF58" s="13"/>
      <c r="AG58" s="13"/>
      <c r="AH58" s="13"/>
      <c r="AI58" s="13"/>
      <c r="AJ58" s="13"/>
      <c r="AK58" s="13"/>
      <c r="AL58" s="13"/>
      <c r="AM58" s="13"/>
      <c r="AN58" s="13"/>
      <c r="AQ58" s="10"/>
      <c r="AR58" s="10"/>
      <c r="AS58" s="13"/>
      <c r="AT58" s="13"/>
      <c r="AU58" s="13"/>
      <c r="AV58" s="13"/>
      <c r="AW58" s="13"/>
      <c r="AX58" s="13"/>
      <c r="AY58" s="13"/>
      <c r="AZ58" s="13"/>
      <c r="BA58" s="13"/>
      <c r="BB58" s="54"/>
    </row>
    <row r="59" spans="1:54" s="49" customFormat="1" outlineLevel="1" x14ac:dyDescent="0.3">
      <c r="A59" s="47" t="s">
        <v>373</v>
      </c>
      <c r="B59" s="47"/>
      <c r="C59" s="48">
        <f t="shared" ref="C59:K59" si="76">C85+C121+C158+C195+C232+C269</f>
        <v>61953</v>
      </c>
      <c r="D59" s="48">
        <f t="shared" si="76"/>
        <v>60328</v>
      </c>
      <c r="E59" s="48">
        <f t="shared" si="76"/>
        <v>59927</v>
      </c>
      <c r="F59" s="48">
        <f t="shared" si="76"/>
        <v>62744</v>
      </c>
      <c r="G59" s="48">
        <f t="shared" si="76"/>
        <v>68161</v>
      </c>
      <c r="H59" s="48">
        <f t="shared" si="76"/>
        <v>66974</v>
      </c>
      <c r="I59" s="48">
        <f t="shared" si="76"/>
        <v>66465</v>
      </c>
      <c r="J59" s="48">
        <f t="shared" si="76"/>
        <v>70244</v>
      </c>
      <c r="K59" s="48">
        <f t="shared" si="76"/>
        <v>75548</v>
      </c>
      <c r="L59" s="48"/>
      <c r="M59" s="48"/>
      <c r="N59" s="48"/>
      <c r="O59" s="48"/>
      <c r="P59" s="48"/>
      <c r="Q59" s="48"/>
      <c r="V59" s="55">
        <v>8951</v>
      </c>
      <c r="W59" s="50">
        <f>E59+V59</f>
        <v>68878</v>
      </c>
      <c r="X59" s="55">
        <v>9142</v>
      </c>
      <c r="Y59" s="50">
        <f>D59+X59</f>
        <v>69470</v>
      </c>
      <c r="Z59" s="55">
        <v>9127</v>
      </c>
      <c r="AA59" s="50">
        <f>C59+Z59</f>
        <v>71080</v>
      </c>
      <c r="AD59" s="47" t="s">
        <v>373</v>
      </c>
      <c r="AE59" s="47"/>
      <c r="AF59" s="48">
        <v>61953</v>
      </c>
      <c r="AG59" s="48">
        <v>60328</v>
      </c>
      <c r="AH59" s="48">
        <v>59927</v>
      </c>
      <c r="AI59" s="48">
        <v>62744</v>
      </c>
      <c r="AJ59" s="48">
        <v>68161</v>
      </c>
      <c r="AK59" s="48">
        <v>66974</v>
      </c>
      <c r="AL59" s="48">
        <v>66465</v>
      </c>
      <c r="AM59" s="48">
        <v>70244</v>
      </c>
      <c r="AN59" s="48">
        <v>75548</v>
      </c>
      <c r="AQ59" s="47" t="s">
        <v>373</v>
      </c>
      <c r="AR59" s="47"/>
      <c r="AS59" s="13">
        <f t="shared" ref="AS59:AS73" si="77">C59-AF59</f>
        <v>0</v>
      </c>
      <c r="AT59" s="13">
        <f t="shared" ref="AT59:AT73" si="78">D59-AG59</f>
        <v>0</v>
      </c>
      <c r="AU59" s="13">
        <f t="shared" ref="AU59:AU73" si="79">E59-AH59</f>
        <v>0</v>
      </c>
      <c r="AV59" s="13">
        <f t="shared" ref="AV59:AV73" si="80">F59-AI59</f>
        <v>0</v>
      </c>
      <c r="AW59" s="13">
        <f t="shared" ref="AW59:AW73" si="81">G59-AJ59</f>
        <v>0</v>
      </c>
      <c r="AX59" s="13">
        <f t="shared" ref="AX59:AX73" si="82">H59-AK59</f>
        <v>0</v>
      </c>
      <c r="AY59" s="13">
        <f t="shared" ref="AY59:AY73" si="83">I59-AL59</f>
        <v>0</v>
      </c>
      <c r="AZ59" s="13">
        <f t="shared" ref="AZ59:AZ73" si="84">J59-AM59</f>
        <v>0</v>
      </c>
      <c r="BA59" s="13">
        <f t="shared" ref="BA59:BA73" si="85">K59-AN59</f>
        <v>0</v>
      </c>
      <c r="BB59" s="54">
        <f t="shared" si="71"/>
        <v>0</v>
      </c>
    </row>
    <row r="60" spans="1:54" outlineLevel="1" x14ac:dyDescent="0.3">
      <c r="A60" s="10"/>
      <c r="B60" s="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V60" s="50"/>
      <c r="W60" s="50"/>
      <c r="X60" s="50"/>
      <c r="Y60" s="50"/>
      <c r="Z60" s="50"/>
      <c r="AA60" s="50"/>
      <c r="AD60" s="10"/>
      <c r="AE60" s="10"/>
      <c r="AF60" s="13"/>
      <c r="AG60" s="13"/>
      <c r="AH60" s="13"/>
      <c r="AI60" s="13"/>
      <c r="AJ60" s="13"/>
      <c r="AK60" s="13"/>
      <c r="AL60" s="13"/>
      <c r="AM60" s="13"/>
      <c r="AN60" s="13"/>
      <c r="AQ60" s="10"/>
      <c r="AR60" s="10"/>
      <c r="AS60" s="13">
        <f t="shared" si="77"/>
        <v>0</v>
      </c>
      <c r="AT60" s="13">
        <f t="shared" si="78"/>
        <v>0</v>
      </c>
      <c r="AU60" s="13">
        <f t="shared" si="79"/>
        <v>0</v>
      </c>
      <c r="AV60" s="13">
        <f t="shared" si="80"/>
        <v>0</v>
      </c>
      <c r="AW60" s="13">
        <f t="shared" si="81"/>
        <v>0</v>
      </c>
      <c r="AX60" s="13">
        <f t="shared" si="82"/>
        <v>0</v>
      </c>
      <c r="AY60" s="13">
        <f t="shared" si="83"/>
        <v>0</v>
      </c>
      <c r="AZ60" s="13">
        <f t="shared" si="84"/>
        <v>0</v>
      </c>
      <c r="BA60" s="13">
        <f t="shared" si="85"/>
        <v>0</v>
      </c>
      <c r="BB60" s="54">
        <f t="shared" si="71"/>
        <v>0</v>
      </c>
    </row>
    <row r="61" spans="1:54" outlineLevel="1" x14ac:dyDescent="0.3">
      <c r="A61" s="10" t="s">
        <v>380</v>
      </c>
      <c r="B61" s="10"/>
      <c r="C61" s="13">
        <f t="shared" ref="C61:K61" si="86">C87+C123+C160+C197+C234+C271</f>
        <v>36767</v>
      </c>
      <c r="D61" s="13">
        <f t="shared" si="86"/>
        <v>36690</v>
      </c>
      <c r="E61" s="13">
        <f t="shared" si="86"/>
        <v>37770</v>
      </c>
      <c r="F61" s="13">
        <f t="shared" si="86"/>
        <v>39340</v>
      </c>
      <c r="G61" s="13">
        <f t="shared" si="86"/>
        <v>43733</v>
      </c>
      <c r="H61" s="13">
        <f t="shared" si="86"/>
        <v>42192</v>
      </c>
      <c r="I61" s="13">
        <f t="shared" si="86"/>
        <v>41859</v>
      </c>
      <c r="J61" s="13">
        <f t="shared" si="86"/>
        <v>43651</v>
      </c>
      <c r="K61" s="13">
        <f t="shared" si="86"/>
        <v>51366</v>
      </c>
      <c r="L61" s="13"/>
      <c r="M61" s="13"/>
      <c r="N61" s="13"/>
      <c r="O61" s="13"/>
      <c r="P61" s="13"/>
      <c r="Q61" s="13"/>
      <c r="V61" s="50">
        <v>3200</v>
      </c>
      <c r="W61" s="50">
        <f t="shared" ref="W61:W68" si="87">E61+V61</f>
        <v>40970</v>
      </c>
      <c r="X61" s="50">
        <v>2875</v>
      </c>
      <c r="Y61" s="50">
        <f t="shared" ref="Y61:Y68" si="88">D61+X61</f>
        <v>39565</v>
      </c>
      <c r="Z61" s="50">
        <v>2711</v>
      </c>
      <c r="AA61" s="50">
        <f t="shared" ref="AA61:AA68" si="89">C61+Z61</f>
        <v>39478</v>
      </c>
      <c r="AD61" s="10" t="s">
        <v>380</v>
      </c>
      <c r="AE61" s="10"/>
      <c r="AF61" s="13">
        <v>36767</v>
      </c>
      <c r="AG61" s="13">
        <v>36690</v>
      </c>
      <c r="AH61" s="13">
        <v>37770</v>
      </c>
      <c r="AI61" s="13">
        <v>39340</v>
      </c>
      <c r="AJ61" s="13">
        <v>43733</v>
      </c>
      <c r="AK61" s="13">
        <v>42192</v>
      </c>
      <c r="AL61" s="13">
        <v>41859</v>
      </c>
      <c r="AM61" s="13">
        <v>43651</v>
      </c>
      <c r="AN61" s="13">
        <v>51366</v>
      </c>
      <c r="AQ61" s="10" t="s">
        <v>380</v>
      </c>
      <c r="AR61" s="10"/>
      <c r="AS61" s="13">
        <f t="shared" si="77"/>
        <v>0</v>
      </c>
      <c r="AT61" s="13">
        <f t="shared" si="78"/>
        <v>0</v>
      </c>
      <c r="AU61" s="13">
        <f t="shared" si="79"/>
        <v>0</v>
      </c>
      <c r="AV61" s="13">
        <f t="shared" si="80"/>
        <v>0</v>
      </c>
      <c r="AW61" s="13">
        <f t="shared" si="81"/>
        <v>0</v>
      </c>
      <c r="AX61" s="13">
        <f t="shared" si="82"/>
        <v>0</v>
      </c>
      <c r="AY61" s="13">
        <f t="shared" si="83"/>
        <v>0</v>
      </c>
      <c r="AZ61" s="13">
        <f t="shared" si="84"/>
        <v>0</v>
      </c>
      <c r="BA61" s="13">
        <f t="shared" si="85"/>
        <v>0</v>
      </c>
      <c r="BB61" s="54">
        <f t="shared" si="71"/>
        <v>0</v>
      </c>
    </row>
    <row r="62" spans="1:54" outlineLevel="1" x14ac:dyDescent="0.3">
      <c r="A62" s="10" t="s">
        <v>393</v>
      </c>
      <c r="B62" s="10"/>
      <c r="C62" s="13">
        <f t="shared" ref="C62:K62" si="90">C89+C125+C162+C199+C236+C273</f>
        <v>4386</v>
      </c>
      <c r="D62" s="13">
        <f t="shared" si="90"/>
        <v>4079</v>
      </c>
      <c r="E62" s="13">
        <f t="shared" si="90"/>
        <v>4087</v>
      </c>
      <c r="F62" s="13">
        <f t="shared" si="90"/>
        <v>4313</v>
      </c>
      <c r="G62" s="13">
        <f t="shared" si="90"/>
        <v>4693</v>
      </c>
      <c r="H62" s="13">
        <f t="shared" si="90"/>
        <v>5029</v>
      </c>
      <c r="I62" s="13">
        <f t="shared" si="90"/>
        <v>4673</v>
      </c>
      <c r="J62" s="13">
        <f t="shared" si="90"/>
        <v>4592</v>
      </c>
      <c r="K62" s="13">
        <f t="shared" si="90"/>
        <v>5011</v>
      </c>
      <c r="L62" s="13"/>
      <c r="M62" s="13"/>
      <c r="N62" s="13"/>
      <c r="O62" s="13"/>
      <c r="P62" s="13"/>
      <c r="Q62" s="13"/>
      <c r="V62" s="50">
        <v>1162</v>
      </c>
      <c r="W62" s="50">
        <f t="shared" si="87"/>
        <v>5249</v>
      </c>
      <c r="X62" s="50">
        <v>1255</v>
      </c>
      <c r="Y62" s="50">
        <f t="shared" si="88"/>
        <v>5334</v>
      </c>
      <c r="Z62" s="50">
        <v>1275</v>
      </c>
      <c r="AA62" s="50">
        <f t="shared" si="89"/>
        <v>5661</v>
      </c>
      <c r="AD62" s="10" t="s">
        <v>393</v>
      </c>
      <c r="AE62" s="10"/>
      <c r="AF62" s="13">
        <v>4386</v>
      </c>
      <c r="AG62" s="13">
        <v>4079</v>
      </c>
      <c r="AH62" s="13">
        <v>4087</v>
      </c>
      <c r="AI62" s="13">
        <v>4313</v>
      </c>
      <c r="AJ62" s="13">
        <v>4693</v>
      </c>
      <c r="AK62" s="13">
        <v>5029</v>
      </c>
      <c r="AL62" s="13">
        <v>4673</v>
      </c>
      <c r="AM62" s="13">
        <v>4592</v>
      </c>
      <c r="AN62" s="13">
        <v>5011</v>
      </c>
      <c r="AQ62" s="10" t="s">
        <v>393</v>
      </c>
      <c r="AR62" s="10"/>
      <c r="AS62" s="13">
        <f t="shared" si="77"/>
        <v>0</v>
      </c>
      <c r="AT62" s="13">
        <f t="shared" si="78"/>
        <v>0</v>
      </c>
      <c r="AU62" s="13">
        <f t="shared" si="79"/>
        <v>0</v>
      </c>
      <c r="AV62" s="13">
        <f t="shared" si="80"/>
        <v>0</v>
      </c>
      <c r="AW62" s="13">
        <f t="shared" si="81"/>
        <v>0</v>
      </c>
      <c r="AX62" s="13">
        <f t="shared" si="82"/>
        <v>0</v>
      </c>
      <c r="AY62" s="13">
        <f t="shared" si="83"/>
        <v>0</v>
      </c>
      <c r="AZ62" s="13">
        <f t="shared" si="84"/>
        <v>0</v>
      </c>
      <c r="BA62" s="13">
        <f t="shared" si="85"/>
        <v>0</v>
      </c>
      <c r="BB62" s="54">
        <f t="shared" si="71"/>
        <v>0</v>
      </c>
    </row>
    <row r="63" spans="1:54" outlineLevel="1" x14ac:dyDescent="0.3">
      <c r="A63" s="10" t="s">
        <v>423</v>
      </c>
      <c r="B63" s="10"/>
      <c r="C63" s="13">
        <f t="shared" ref="C63:K63" si="91">C91+C127+C164+C201+C238+C275</f>
        <v>-3785</v>
      </c>
      <c r="D63" s="13">
        <f t="shared" si="91"/>
        <v>-3438</v>
      </c>
      <c r="E63" s="13">
        <f t="shared" si="91"/>
        <v>-3151</v>
      </c>
      <c r="F63" s="13">
        <f t="shared" si="91"/>
        <v>-3036</v>
      </c>
      <c r="G63" s="13">
        <f t="shared" si="91"/>
        <v>-3253</v>
      </c>
      <c r="H63" s="13">
        <f t="shared" si="91"/>
        <v>-3338</v>
      </c>
      <c r="I63" s="13">
        <f t="shared" si="91"/>
        <v>-3008</v>
      </c>
      <c r="J63" s="13">
        <f t="shared" si="91"/>
        <v>-2599</v>
      </c>
      <c r="K63" s="13">
        <f t="shared" si="91"/>
        <v>-2547</v>
      </c>
      <c r="L63" s="13"/>
      <c r="M63" s="13"/>
      <c r="N63" s="13"/>
      <c r="O63" s="13"/>
      <c r="P63" s="13"/>
      <c r="Q63" s="13"/>
      <c r="V63" s="50">
        <v>-333</v>
      </c>
      <c r="W63" s="50">
        <f t="shared" si="87"/>
        <v>-3484</v>
      </c>
      <c r="X63" s="50">
        <v>-399</v>
      </c>
      <c r="Y63" s="50">
        <f t="shared" si="88"/>
        <v>-3837</v>
      </c>
      <c r="Z63" s="50">
        <v>-397</v>
      </c>
      <c r="AA63" s="50">
        <f t="shared" si="89"/>
        <v>-4182</v>
      </c>
      <c r="AD63" s="10" t="s">
        <v>423</v>
      </c>
      <c r="AE63" s="10"/>
      <c r="AF63" s="13">
        <v>-3785</v>
      </c>
      <c r="AG63" s="13">
        <v>-3438</v>
      </c>
      <c r="AH63" s="13">
        <v>-3151</v>
      </c>
      <c r="AI63" s="13">
        <v>-3036</v>
      </c>
      <c r="AJ63" s="13">
        <v>-3253</v>
      </c>
      <c r="AK63" s="13">
        <v>-3338</v>
      </c>
      <c r="AL63" s="13">
        <v>-3008</v>
      </c>
      <c r="AM63" s="13">
        <v>-2599</v>
      </c>
      <c r="AN63" s="13">
        <v>-2547</v>
      </c>
      <c r="AQ63" s="10" t="s">
        <v>423</v>
      </c>
      <c r="AR63" s="10"/>
      <c r="AS63" s="13">
        <f t="shared" si="77"/>
        <v>0</v>
      </c>
      <c r="AT63" s="13">
        <f t="shared" si="78"/>
        <v>0</v>
      </c>
      <c r="AU63" s="13">
        <f t="shared" si="79"/>
        <v>0</v>
      </c>
      <c r="AV63" s="13">
        <f t="shared" si="80"/>
        <v>0</v>
      </c>
      <c r="AW63" s="13">
        <f t="shared" si="81"/>
        <v>0</v>
      </c>
      <c r="AX63" s="13">
        <f t="shared" si="82"/>
        <v>0</v>
      </c>
      <c r="AY63" s="13">
        <f t="shared" si="83"/>
        <v>0</v>
      </c>
      <c r="AZ63" s="13">
        <f t="shared" si="84"/>
        <v>0</v>
      </c>
      <c r="BA63" s="13">
        <f t="shared" si="85"/>
        <v>0</v>
      </c>
      <c r="BB63" s="54">
        <f t="shared" si="71"/>
        <v>0</v>
      </c>
    </row>
    <row r="64" spans="1:54" outlineLevel="1" x14ac:dyDescent="0.3">
      <c r="A64" s="10" t="s">
        <v>392</v>
      </c>
      <c r="B64" s="10"/>
      <c r="C64" s="13">
        <f t="shared" ref="C64:K64" si="92">C93+C129+C166+C203+C240+C277</f>
        <v>3217</v>
      </c>
      <c r="D64" s="13">
        <f t="shared" si="92"/>
        <v>3071</v>
      </c>
      <c r="E64" s="13">
        <f t="shared" si="92"/>
        <v>3031</v>
      </c>
      <c r="F64" s="13">
        <f t="shared" si="92"/>
        <v>2648</v>
      </c>
      <c r="G64" s="13">
        <f t="shared" si="92"/>
        <v>2760</v>
      </c>
      <c r="H64" s="13">
        <f t="shared" si="92"/>
        <v>2787</v>
      </c>
      <c r="I64" s="13">
        <f t="shared" si="92"/>
        <v>2994</v>
      </c>
      <c r="J64" s="13">
        <f t="shared" si="92"/>
        <v>2336</v>
      </c>
      <c r="K64" s="13">
        <f t="shared" si="92"/>
        <v>2037</v>
      </c>
      <c r="L64" s="13"/>
      <c r="M64" s="13"/>
      <c r="N64" s="13"/>
      <c r="O64" s="13"/>
      <c r="P64" s="13"/>
      <c r="Q64" s="13"/>
      <c r="V64" s="50">
        <v>1073</v>
      </c>
      <c r="W64" s="50">
        <f t="shared" si="87"/>
        <v>4104</v>
      </c>
      <c r="X64" s="50">
        <v>731</v>
      </c>
      <c r="Y64" s="50">
        <f t="shared" si="88"/>
        <v>3802</v>
      </c>
      <c r="Z64" s="50">
        <v>810</v>
      </c>
      <c r="AA64" s="50">
        <f t="shared" si="89"/>
        <v>4027</v>
      </c>
      <c r="AD64" s="10" t="s">
        <v>392</v>
      </c>
      <c r="AE64" s="10"/>
      <c r="AF64" s="13">
        <v>3217</v>
      </c>
      <c r="AG64" s="13">
        <v>3071</v>
      </c>
      <c r="AH64" s="13">
        <v>3031</v>
      </c>
      <c r="AI64" s="13">
        <v>2648</v>
      </c>
      <c r="AJ64" s="13">
        <v>2760</v>
      </c>
      <c r="AK64" s="13">
        <v>2787</v>
      </c>
      <c r="AL64" s="13">
        <v>2994</v>
      </c>
      <c r="AM64" s="13">
        <v>2336</v>
      </c>
      <c r="AN64" s="13">
        <v>2037</v>
      </c>
      <c r="AQ64" s="10" t="s">
        <v>392</v>
      </c>
      <c r="AR64" s="10"/>
      <c r="AS64" s="13">
        <f t="shared" si="77"/>
        <v>0</v>
      </c>
      <c r="AT64" s="13">
        <f t="shared" si="78"/>
        <v>0</v>
      </c>
      <c r="AU64" s="13">
        <f t="shared" si="79"/>
        <v>0</v>
      </c>
      <c r="AV64" s="13">
        <f t="shared" si="80"/>
        <v>0</v>
      </c>
      <c r="AW64" s="13">
        <f t="shared" si="81"/>
        <v>0</v>
      </c>
      <c r="AX64" s="13">
        <f t="shared" si="82"/>
        <v>0</v>
      </c>
      <c r="AY64" s="13">
        <f t="shared" si="83"/>
        <v>0</v>
      </c>
      <c r="AZ64" s="13">
        <f t="shared" si="84"/>
        <v>0</v>
      </c>
      <c r="BA64" s="13">
        <f t="shared" si="85"/>
        <v>0</v>
      </c>
      <c r="BB64" s="54">
        <f t="shared" si="71"/>
        <v>0</v>
      </c>
    </row>
    <row r="65" spans="1:54" outlineLevel="1" x14ac:dyDescent="0.3">
      <c r="A65" s="10" t="s">
        <v>424</v>
      </c>
      <c r="B65" s="10"/>
      <c r="C65" s="13">
        <f t="shared" ref="C65:K65" si="93">C95+C131+C168+C205+C242+C279</f>
        <v>-396</v>
      </c>
      <c r="D65" s="13">
        <f t="shared" si="93"/>
        <v>-326</v>
      </c>
      <c r="E65" s="13">
        <f t="shared" si="93"/>
        <v>-222</v>
      </c>
      <c r="F65" s="13">
        <f t="shared" si="93"/>
        <v>-131</v>
      </c>
      <c r="G65" s="13">
        <f t="shared" si="93"/>
        <v>-55</v>
      </c>
      <c r="H65" s="13">
        <f t="shared" si="93"/>
        <v>-33</v>
      </c>
      <c r="I65" s="13">
        <f t="shared" si="93"/>
        <v>-45</v>
      </c>
      <c r="J65" s="13">
        <f t="shared" si="93"/>
        <v>-34</v>
      </c>
      <c r="K65" s="13">
        <f t="shared" si="93"/>
        <v>-41</v>
      </c>
      <c r="L65" s="13"/>
      <c r="M65" s="13"/>
      <c r="N65" s="13"/>
      <c r="O65" s="13"/>
      <c r="P65" s="13"/>
      <c r="Q65" s="13"/>
      <c r="V65" s="50"/>
      <c r="W65" s="50">
        <f t="shared" si="87"/>
        <v>-222</v>
      </c>
      <c r="X65" s="50"/>
      <c r="Y65" s="50">
        <f t="shared" si="88"/>
        <v>-326</v>
      </c>
      <c r="Z65" s="50"/>
      <c r="AA65" s="50">
        <f t="shared" si="89"/>
        <v>-396</v>
      </c>
      <c r="AD65" s="10" t="s">
        <v>424</v>
      </c>
      <c r="AE65" s="10"/>
      <c r="AF65" s="13">
        <v>-396</v>
      </c>
      <c r="AG65" s="13">
        <v>-326</v>
      </c>
      <c r="AH65" s="13">
        <v>-222</v>
      </c>
      <c r="AI65" s="13">
        <v>-131</v>
      </c>
      <c r="AJ65" s="13">
        <v>-55</v>
      </c>
      <c r="AK65" s="13">
        <v>-33</v>
      </c>
      <c r="AL65" s="13">
        <v>-45</v>
      </c>
      <c r="AM65" s="13">
        <v>-34</v>
      </c>
      <c r="AN65" s="13">
        <v>-41</v>
      </c>
      <c r="AQ65" s="10" t="s">
        <v>424</v>
      </c>
      <c r="AR65" s="10"/>
      <c r="AS65" s="13">
        <f t="shared" si="77"/>
        <v>0</v>
      </c>
      <c r="AT65" s="13">
        <f t="shared" si="78"/>
        <v>0</v>
      </c>
      <c r="AU65" s="13">
        <f t="shared" si="79"/>
        <v>0</v>
      </c>
      <c r="AV65" s="13">
        <f t="shared" si="80"/>
        <v>0</v>
      </c>
      <c r="AW65" s="13">
        <f t="shared" si="81"/>
        <v>0</v>
      </c>
      <c r="AX65" s="13">
        <f t="shared" si="82"/>
        <v>0</v>
      </c>
      <c r="AY65" s="13">
        <f t="shared" si="83"/>
        <v>0</v>
      </c>
      <c r="AZ65" s="13">
        <f t="shared" si="84"/>
        <v>0</v>
      </c>
      <c r="BA65" s="13">
        <f t="shared" si="85"/>
        <v>0</v>
      </c>
      <c r="BB65" s="54">
        <f t="shared" si="71"/>
        <v>0</v>
      </c>
    </row>
    <row r="66" spans="1:54" outlineLevel="1" x14ac:dyDescent="0.3">
      <c r="A66" s="10" t="s">
        <v>381</v>
      </c>
      <c r="B66" s="10"/>
      <c r="C66" s="13">
        <f t="shared" ref="C66:K66" si="94">C96+C133+C170+C207+C244+C281</f>
        <v>1045</v>
      </c>
      <c r="D66" s="13">
        <f t="shared" si="94"/>
        <v>1072</v>
      </c>
      <c r="E66" s="13">
        <f t="shared" si="94"/>
        <v>1070</v>
      </c>
      <c r="F66" s="13">
        <f t="shared" si="94"/>
        <v>1145</v>
      </c>
      <c r="G66" s="13">
        <f t="shared" si="94"/>
        <v>1059</v>
      </c>
      <c r="H66" s="13">
        <f t="shared" si="94"/>
        <v>955</v>
      </c>
      <c r="I66" s="13">
        <f t="shared" si="94"/>
        <v>913</v>
      </c>
      <c r="J66" s="13">
        <f t="shared" si="94"/>
        <v>919</v>
      </c>
      <c r="K66" s="13">
        <f t="shared" si="94"/>
        <v>938</v>
      </c>
      <c r="L66" s="13"/>
      <c r="M66" s="13"/>
      <c r="N66" s="13"/>
      <c r="O66" s="13"/>
      <c r="P66" s="13"/>
      <c r="Q66" s="13"/>
      <c r="V66" s="50">
        <v>128</v>
      </c>
      <c r="W66" s="50">
        <f t="shared" si="87"/>
        <v>1198</v>
      </c>
      <c r="X66" s="50">
        <v>128</v>
      </c>
      <c r="Y66" s="50">
        <f t="shared" si="88"/>
        <v>1200</v>
      </c>
      <c r="Z66" s="50">
        <v>133</v>
      </c>
      <c r="AA66" s="50">
        <f t="shared" si="89"/>
        <v>1178</v>
      </c>
      <c r="AD66" s="10" t="s">
        <v>381</v>
      </c>
      <c r="AE66" s="10"/>
      <c r="AF66" s="13">
        <v>1045</v>
      </c>
      <c r="AG66" s="13">
        <v>1072</v>
      </c>
      <c r="AH66" s="13">
        <v>1070</v>
      </c>
      <c r="AI66" s="13">
        <v>1145</v>
      </c>
      <c r="AJ66" s="13">
        <v>1059</v>
      </c>
      <c r="AK66" s="13">
        <v>955</v>
      </c>
      <c r="AL66" s="13">
        <v>913</v>
      </c>
      <c r="AM66" s="13">
        <v>919</v>
      </c>
      <c r="AN66" s="13">
        <v>938</v>
      </c>
      <c r="AQ66" s="10" t="s">
        <v>381</v>
      </c>
      <c r="AR66" s="10"/>
      <c r="AS66" s="13">
        <f t="shared" si="77"/>
        <v>0</v>
      </c>
      <c r="AT66" s="13">
        <f t="shared" si="78"/>
        <v>0</v>
      </c>
      <c r="AU66" s="13">
        <f t="shared" si="79"/>
        <v>0</v>
      </c>
      <c r="AV66" s="13">
        <f t="shared" si="80"/>
        <v>0</v>
      </c>
      <c r="AW66" s="13">
        <f t="shared" si="81"/>
        <v>0</v>
      </c>
      <c r="AX66" s="13">
        <f t="shared" si="82"/>
        <v>0</v>
      </c>
      <c r="AY66" s="13">
        <f t="shared" si="83"/>
        <v>0</v>
      </c>
      <c r="AZ66" s="13">
        <f t="shared" si="84"/>
        <v>0</v>
      </c>
      <c r="BA66" s="13">
        <f t="shared" si="85"/>
        <v>0</v>
      </c>
      <c r="BB66" s="54">
        <f t="shared" si="71"/>
        <v>0</v>
      </c>
    </row>
    <row r="67" spans="1:54" outlineLevel="1" x14ac:dyDescent="0.3">
      <c r="A67" s="10" t="s">
        <v>388</v>
      </c>
      <c r="B67" s="10"/>
      <c r="C67" s="13">
        <f t="shared" ref="C67:K67" si="95">C98+C135+C172+C209+C246+C283</f>
        <v>13782</v>
      </c>
      <c r="D67" s="13">
        <f t="shared" si="95"/>
        <v>13322</v>
      </c>
      <c r="E67" s="13">
        <f t="shared" si="95"/>
        <v>12151</v>
      </c>
      <c r="F67" s="13">
        <f t="shared" si="95"/>
        <v>12409</v>
      </c>
      <c r="G67" s="13">
        <f t="shared" si="95"/>
        <v>12529</v>
      </c>
      <c r="H67" s="13">
        <f t="shared" si="95"/>
        <v>12778</v>
      </c>
      <c r="I67" s="13">
        <f t="shared" si="95"/>
        <v>11872</v>
      </c>
      <c r="J67" s="13">
        <f t="shared" si="95"/>
        <v>11299</v>
      </c>
      <c r="K67" s="13">
        <f t="shared" si="95"/>
        <v>11501</v>
      </c>
      <c r="L67" s="13"/>
      <c r="M67" s="13"/>
      <c r="N67" s="13"/>
      <c r="O67" s="13"/>
      <c r="P67" s="13"/>
      <c r="Q67" s="13"/>
      <c r="V67" s="50">
        <v>2338</v>
      </c>
      <c r="W67" s="50">
        <f t="shared" si="87"/>
        <v>14489</v>
      </c>
      <c r="X67" s="50">
        <v>2484</v>
      </c>
      <c r="Y67" s="50">
        <f t="shared" si="88"/>
        <v>15806</v>
      </c>
      <c r="Z67" s="50">
        <v>2472</v>
      </c>
      <c r="AA67" s="50">
        <f t="shared" si="89"/>
        <v>16254</v>
      </c>
      <c r="AD67" s="10" t="s">
        <v>388</v>
      </c>
      <c r="AE67" s="10"/>
      <c r="AF67" s="13">
        <v>13782</v>
      </c>
      <c r="AG67" s="13">
        <v>13322</v>
      </c>
      <c r="AH67" s="13">
        <v>12151</v>
      </c>
      <c r="AI67" s="13">
        <v>12409</v>
      </c>
      <c r="AJ67" s="13">
        <v>12529</v>
      </c>
      <c r="AK67" s="13">
        <v>12778</v>
      </c>
      <c r="AL67" s="13">
        <v>11872</v>
      </c>
      <c r="AM67" s="13">
        <v>11299</v>
      </c>
      <c r="AN67" s="13">
        <v>11501</v>
      </c>
      <c r="AQ67" s="10" t="s">
        <v>388</v>
      </c>
      <c r="AR67" s="10"/>
      <c r="AS67" s="13">
        <f t="shared" si="77"/>
        <v>0</v>
      </c>
      <c r="AT67" s="13">
        <f t="shared" si="78"/>
        <v>0</v>
      </c>
      <c r="AU67" s="13">
        <f t="shared" si="79"/>
        <v>0</v>
      </c>
      <c r="AV67" s="13">
        <f t="shared" si="80"/>
        <v>0</v>
      </c>
      <c r="AW67" s="13">
        <f t="shared" si="81"/>
        <v>0</v>
      </c>
      <c r="AX67" s="13">
        <f t="shared" si="82"/>
        <v>0</v>
      </c>
      <c r="AY67" s="13">
        <f t="shared" si="83"/>
        <v>0</v>
      </c>
      <c r="AZ67" s="13">
        <f t="shared" si="84"/>
        <v>0</v>
      </c>
      <c r="BA67" s="13">
        <f t="shared" si="85"/>
        <v>0</v>
      </c>
      <c r="BB67" s="54">
        <f t="shared" si="71"/>
        <v>0</v>
      </c>
    </row>
    <row r="68" spans="1:54" s="49" customFormat="1" outlineLevel="1" x14ac:dyDescent="0.3">
      <c r="A68" s="47" t="s">
        <v>389</v>
      </c>
      <c r="B68" s="47"/>
      <c r="C68" s="48">
        <f t="shared" ref="C68:K68" si="96">C100+C137+C174+C211+C248+C285</f>
        <v>55016</v>
      </c>
      <c r="D68" s="48">
        <f t="shared" si="96"/>
        <v>54470</v>
      </c>
      <c r="E68" s="48">
        <f t="shared" si="96"/>
        <v>54736</v>
      </c>
      <c r="F68" s="48">
        <f t="shared" si="96"/>
        <v>56688</v>
      </c>
      <c r="G68" s="48">
        <f t="shared" si="96"/>
        <v>61466</v>
      </c>
      <c r="H68" s="48">
        <f t="shared" si="96"/>
        <v>60370</v>
      </c>
      <c r="I68" s="48">
        <f t="shared" si="96"/>
        <v>59258</v>
      </c>
      <c r="J68" s="48">
        <f t="shared" si="96"/>
        <v>60164</v>
      </c>
      <c r="K68" s="48">
        <f t="shared" si="96"/>
        <v>68265</v>
      </c>
      <c r="L68" s="48"/>
      <c r="M68" s="48"/>
      <c r="N68" s="48"/>
      <c r="O68" s="48"/>
      <c r="P68" s="48"/>
      <c r="Q68" s="48"/>
      <c r="V68" s="55">
        <v>7568</v>
      </c>
      <c r="W68" s="50">
        <f t="shared" si="87"/>
        <v>62304</v>
      </c>
      <c r="X68" s="55">
        <v>7074</v>
      </c>
      <c r="Y68" s="50">
        <f t="shared" si="88"/>
        <v>61544</v>
      </c>
      <c r="Z68" s="55">
        <v>7004</v>
      </c>
      <c r="AA68" s="50">
        <f t="shared" si="89"/>
        <v>62020</v>
      </c>
      <c r="AD68" s="47" t="s">
        <v>389</v>
      </c>
      <c r="AE68" s="47"/>
      <c r="AF68" s="48">
        <v>55016</v>
      </c>
      <c r="AG68" s="48">
        <v>54470</v>
      </c>
      <c r="AH68" s="48">
        <v>54736</v>
      </c>
      <c r="AI68" s="48">
        <v>56688</v>
      </c>
      <c r="AJ68" s="48">
        <v>61466</v>
      </c>
      <c r="AK68" s="48">
        <v>60370</v>
      </c>
      <c r="AL68" s="48">
        <v>59258</v>
      </c>
      <c r="AM68" s="48">
        <v>60164</v>
      </c>
      <c r="AN68" s="48">
        <v>68265</v>
      </c>
      <c r="AQ68" s="47" t="s">
        <v>389</v>
      </c>
      <c r="AR68" s="47"/>
      <c r="AS68" s="13">
        <f t="shared" si="77"/>
        <v>0</v>
      </c>
      <c r="AT68" s="13">
        <f t="shared" si="78"/>
        <v>0</v>
      </c>
      <c r="AU68" s="13">
        <f t="shared" si="79"/>
        <v>0</v>
      </c>
      <c r="AV68" s="13">
        <f t="shared" si="80"/>
        <v>0</v>
      </c>
      <c r="AW68" s="13">
        <f t="shared" si="81"/>
        <v>0</v>
      </c>
      <c r="AX68" s="13">
        <f t="shared" si="82"/>
        <v>0</v>
      </c>
      <c r="AY68" s="13">
        <f t="shared" si="83"/>
        <v>0</v>
      </c>
      <c r="AZ68" s="13">
        <f t="shared" si="84"/>
        <v>0</v>
      </c>
      <c r="BA68" s="13">
        <f t="shared" si="85"/>
        <v>0</v>
      </c>
      <c r="BB68" s="54">
        <f t="shared" si="71"/>
        <v>0</v>
      </c>
    </row>
    <row r="69" spans="1:54" s="49" customFormat="1" outlineLevel="1" x14ac:dyDescent="0.3">
      <c r="A69" s="47"/>
      <c r="B69" s="47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V69" s="55"/>
      <c r="W69" s="50"/>
      <c r="X69" s="55"/>
      <c r="Y69" s="50"/>
      <c r="Z69" s="55"/>
      <c r="AA69" s="50"/>
      <c r="AD69" s="47"/>
      <c r="AE69" s="47"/>
      <c r="AF69" s="48"/>
      <c r="AG69" s="48"/>
      <c r="AH69" s="48"/>
      <c r="AI69" s="48"/>
      <c r="AJ69" s="48"/>
      <c r="AK69" s="48"/>
      <c r="AL69" s="48"/>
      <c r="AM69" s="48"/>
      <c r="AN69" s="48"/>
      <c r="AQ69" s="47"/>
      <c r="AR69" s="47"/>
      <c r="AS69" s="13">
        <f t="shared" si="77"/>
        <v>0</v>
      </c>
      <c r="AT69" s="13">
        <f t="shared" si="78"/>
        <v>0</v>
      </c>
      <c r="AU69" s="13">
        <f t="shared" si="79"/>
        <v>0</v>
      </c>
      <c r="AV69" s="13">
        <f t="shared" si="80"/>
        <v>0</v>
      </c>
      <c r="AW69" s="13">
        <f t="shared" si="81"/>
        <v>0</v>
      </c>
      <c r="AX69" s="13">
        <f t="shared" si="82"/>
        <v>0</v>
      </c>
      <c r="AY69" s="13">
        <f t="shared" si="83"/>
        <v>0</v>
      </c>
      <c r="AZ69" s="13">
        <f t="shared" si="84"/>
        <v>0</v>
      </c>
      <c r="BA69" s="13">
        <f t="shared" si="85"/>
        <v>0</v>
      </c>
      <c r="BB69" s="54">
        <f t="shared" si="71"/>
        <v>0</v>
      </c>
    </row>
    <row r="70" spans="1:54" s="49" customFormat="1" outlineLevel="1" x14ac:dyDescent="0.3">
      <c r="A70" s="51" t="s">
        <v>379</v>
      </c>
      <c r="B70" s="51"/>
      <c r="C70" s="52">
        <f>C59-C68</f>
        <v>6937</v>
      </c>
      <c r="D70" s="52">
        <f t="shared" ref="D70:K70" si="97">D59-D68</f>
        <v>5858</v>
      </c>
      <c r="E70" s="52">
        <f t="shared" si="97"/>
        <v>5191</v>
      </c>
      <c r="F70" s="52">
        <f t="shared" si="97"/>
        <v>6056</v>
      </c>
      <c r="G70" s="52">
        <f t="shared" si="97"/>
        <v>6695</v>
      </c>
      <c r="H70" s="52">
        <f t="shared" si="97"/>
        <v>6604</v>
      </c>
      <c r="I70" s="52">
        <f t="shared" si="97"/>
        <v>7207</v>
      </c>
      <c r="J70" s="52">
        <f t="shared" si="97"/>
        <v>10080</v>
      </c>
      <c r="K70" s="52">
        <f t="shared" si="97"/>
        <v>7283</v>
      </c>
      <c r="L70" s="52"/>
      <c r="M70" s="52"/>
      <c r="N70" s="52"/>
      <c r="O70" s="52"/>
      <c r="P70" s="52"/>
      <c r="Q70" s="52"/>
      <c r="W70" s="50"/>
      <c r="Y70" s="50"/>
      <c r="AA70" s="50"/>
      <c r="AD70" s="51" t="s">
        <v>379</v>
      </c>
      <c r="AE70" s="51"/>
      <c r="AF70" s="52">
        <v>6937</v>
      </c>
      <c r="AG70" s="52">
        <v>5858</v>
      </c>
      <c r="AH70" s="52">
        <v>5191</v>
      </c>
      <c r="AI70" s="52">
        <v>6056</v>
      </c>
      <c r="AJ70" s="52">
        <v>6695</v>
      </c>
      <c r="AK70" s="52">
        <v>6604</v>
      </c>
      <c r="AL70" s="52">
        <v>7207</v>
      </c>
      <c r="AM70" s="52">
        <v>10080</v>
      </c>
      <c r="AN70" s="52">
        <v>7283</v>
      </c>
      <c r="AQ70" s="51" t="s">
        <v>379</v>
      </c>
      <c r="AR70" s="51"/>
      <c r="AS70" s="13">
        <f t="shared" si="77"/>
        <v>0</v>
      </c>
      <c r="AT70" s="13">
        <f t="shared" si="78"/>
        <v>0</v>
      </c>
      <c r="AU70" s="13">
        <f t="shared" si="79"/>
        <v>0</v>
      </c>
      <c r="AV70" s="13">
        <f t="shared" si="80"/>
        <v>0</v>
      </c>
      <c r="AW70" s="13">
        <f t="shared" si="81"/>
        <v>0</v>
      </c>
      <c r="AX70" s="13">
        <f t="shared" si="82"/>
        <v>0</v>
      </c>
      <c r="AY70" s="13">
        <f t="shared" si="83"/>
        <v>0</v>
      </c>
      <c r="AZ70" s="13">
        <f t="shared" si="84"/>
        <v>0</v>
      </c>
      <c r="BA70" s="13">
        <f t="shared" si="85"/>
        <v>0</v>
      </c>
      <c r="BB70" s="54">
        <f t="shared" si="71"/>
        <v>0</v>
      </c>
    </row>
    <row r="71" spans="1:54" s="49" customFormat="1" outlineLevel="1" x14ac:dyDescent="0.3">
      <c r="A71" s="47"/>
      <c r="B71" s="47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W71" s="50"/>
      <c r="Y71" s="50"/>
      <c r="AA71" s="50"/>
      <c r="AD71" s="47"/>
      <c r="AE71" s="47"/>
      <c r="AF71" s="48"/>
      <c r="AG71" s="48"/>
      <c r="AH71" s="48"/>
      <c r="AI71" s="48"/>
      <c r="AJ71" s="48"/>
      <c r="AK71" s="48"/>
      <c r="AL71" s="48"/>
      <c r="AM71" s="48"/>
      <c r="AN71" s="48"/>
      <c r="AQ71" s="47"/>
      <c r="AR71" s="47"/>
      <c r="AS71" s="13">
        <f t="shared" si="77"/>
        <v>0</v>
      </c>
      <c r="AT71" s="13">
        <f t="shared" si="78"/>
        <v>0</v>
      </c>
      <c r="AU71" s="13">
        <f t="shared" si="79"/>
        <v>0</v>
      </c>
      <c r="AV71" s="13">
        <f t="shared" si="80"/>
        <v>0</v>
      </c>
      <c r="AW71" s="13">
        <f t="shared" si="81"/>
        <v>0</v>
      </c>
      <c r="AX71" s="13">
        <f t="shared" si="82"/>
        <v>0</v>
      </c>
      <c r="AY71" s="13">
        <f t="shared" si="83"/>
        <v>0</v>
      </c>
      <c r="AZ71" s="13">
        <f t="shared" si="84"/>
        <v>0</v>
      </c>
      <c r="BA71" s="13">
        <f t="shared" si="85"/>
        <v>0</v>
      </c>
      <c r="BB71" s="54">
        <f t="shared" si="71"/>
        <v>0</v>
      </c>
    </row>
    <row r="72" spans="1:54" outlineLevel="1" x14ac:dyDescent="0.3">
      <c r="A72" s="10" t="s">
        <v>382</v>
      </c>
      <c r="B72" s="10"/>
      <c r="C72" s="13">
        <f>C106+C143+C180+C217+C254+C291</f>
        <v>1808</v>
      </c>
      <c r="D72" s="13">
        <f t="shared" ref="D72:K72" si="98">D106+D143+D180+D217+D254+D291</f>
        <v>1771</v>
      </c>
      <c r="E72" s="13">
        <f t="shared" si="98"/>
        <v>1021</v>
      </c>
      <c r="F72" s="13">
        <f t="shared" si="98"/>
        <v>1718</v>
      </c>
      <c r="G72" s="13">
        <f t="shared" si="98"/>
        <v>1093</v>
      </c>
      <c r="H72" s="13">
        <f t="shared" si="98"/>
        <v>659</v>
      </c>
      <c r="I72" s="13">
        <f t="shared" si="98"/>
        <v>1382</v>
      </c>
      <c r="J72" s="13">
        <f t="shared" si="98"/>
        <v>1931</v>
      </c>
      <c r="K72" s="13">
        <f t="shared" si="98"/>
        <v>1553</v>
      </c>
      <c r="L72" s="13"/>
      <c r="M72" s="13"/>
      <c r="N72" s="13"/>
      <c r="O72" s="13"/>
      <c r="P72" s="13"/>
      <c r="Q72" s="13"/>
      <c r="V72" s="50">
        <v>361</v>
      </c>
      <c r="W72" s="50">
        <f>E72+V72</f>
        <v>1382</v>
      </c>
      <c r="X72" s="50">
        <v>555</v>
      </c>
      <c r="Y72" s="50">
        <f>D72+X72</f>
        <v>2326</v>
      </c>
      <c r="Z72" s="50">
        <v>570</v>
      </c>
      <c r="AA72" s="50">
        <f>C72+Z72</f>
        <v>2378</v>
      </c>
      <c r="AD72" s="10" t="s">
        <v>382</v>
      </c>
      <c r="AE72" s="10"/>
      <c r="AF72" s="13">
        <v>1808</v>
      </c>
      <c r="AG72" s="13">
        <v>1771</v>
      </c>
      <c r="AH72" s="13">
        <v>1021</v>
      </c>
      <c r="AI72" s="13">
        <v>1718</v>
      </c>
      <c r="AJ72" s="13">
        <v>1093</v>
      </c>
      <c r="AK72" s="13">
        <v>659</v>
      </c>
      <c r="AL72" s="13">
        <v>1382</v>
      </c>
      <c r="AM72" s="13">
        <v>1931</v>
      </c>
      <c r="AN72" s="13">
        <v>1553</v>
      </c>
      <c r="AQ72" s="10" t="s">
        <v>382</v>
      </c>
      <c r="AR72" s="10"/>
      <c r="AS72" s="13">
        <f t="shared" si="77"/>
        <v>0</v>
      </c>
      <c r="AT72" s="13">
        <f t="shared" si="78"/>
        <v>0</v>
      </c>
      <c r="AU72" s="13">
        <f t="shared" si="79"/>
        <v>0</v>
      </c>
      <c r="AV72" s="13">
        <f t="shared" si="80"/>
        <v>0</v>
      </c>
      <c r="AW72" s="13">
        <f t="shared" si="81"/>
        <v>0</v>
      </c>
      <c r="AX72" s="13">
        <f t="shared" si="82"/>
        <v>0</v>
      </c>
      <c r="AY72" s="13">
        <f t="shared" si="83"/>
        <v>0</v>
      </c>
      <c r="AZ72" s="13">
        <f t="shared" si="84"/>
        <v>0</v>
      </c>
      <c r="BA72" s="13">
        <f t="shared" si="85"/>
        <v>0</v>
      </c>
      <c r="BB72" s="54">
        <f t="shared" si="71"/>
        <v>0</v>
      </c>
    </row>
    <row r="73" spans="1:54" s="49" customFormat="1" outlineLevel="1" x14ac:dyDescent="0.3">
      <c r="A73" s="47" t="s">
        <v>377</v>
      </c>
      <c r="B73" s="47"/>
      <c r="C73" s="48">
        <f>C70-C72</f>
        <v>5129</v>
      </c>
      <c r="D73" s="48">
        <f t="shared" ref="D73:K73" si="99">D70-D72</f>
        <v>4087</v>
      </c>
      <c r="E73" s="48">
        <f t="shared" si="99"/>
        <v>4170</v>
      </c>
      <c r="F73" s="48">
        <f t="shared" si="99"/>
        <v>4338</v>
      </c>
      <c r="G73" s="48">
        <f t="shared" si="99"/>
        <v>5602</v>
      </c>
      <c r="H73" s="48">
        <f t="shared" si="99"/>
        <v>5945</v>
      </c>
      <c r="I73" s="48">
        <f t="shared" si="99"/>
        <v>5825</v>
      </c>
      <c r="J73" s="48">
        <f t="shared" si="99"/>
        <v>8149</v>
      </c>
      <c r="K73" s="48">
        <f t="shared" si="99"/>
        <v>5730</v>
      </c>
      <c r="L73" s="48"/>
      <c r="M73" s="48"/>
      <c r="N73" s="48"/>
      <c r="O73" s="48"/>
      <c r="P73" s="48"/>
      <c r="Q73" s="48"/>
      <c r="V73" s="49">
        <v>1022</v>
      </c>
      <c r="W73" s="50">
        <f>E73+V73</f>
        <v>5192</v>
      </c>
      <c r="X73" s="49">
        <v>1513</v>
      </c>
      <c r="Y73" s="50">
        <f>D73+X73</f>
        <v>5600</v>
      </c>
      <c r="Z73" s="49">
        <v>1553</v>
      </c>
      <c r="AA73" s="50">
        <f>C73+Z73</f>
        <v>6682</v>
      </c>
      <c r="AD73" s="47" t="s">
        <v>377</v>
      </c>
      <c r="AE73" s="47"/>
      <c r="AF73" s="48">
        <v>5129</v>
      </c>
      <c r="AG73" s="48">
        <v>4087</v>
      </c>
      <c r="AH73" s="48">
        <v>4170</v>
      </c>
      <c r="AI73" s="48">
        <v>4338</v>
      </c>
      <c r="AJ73" s="48">
        <v>5602</v>
      </c>
      <c r="AK73" s="48">
        <v>5945</v>
      </c>
      <c r="AL73" s="48">
        <v>5825</v>
      </c>
      <c r="AM73" s="48">
        <v>8149</v>
      </c>
      <c r="AN73" s="48">
        <v>5730</v>
      </c>
      <c r="AQ73" s="47" t="s">
        <v>377</v>
      </c>
      <c r="AR73" s="47"/>
      <c r="AS73" s="13">
        <f t="shared" si="77"/>
        <v>0</v>
      </c>
      <c r="AT73" s="13">
        <f t="shared" si="78"/>
        <v>0</v>
      </c>
      <c r="AU73" s="13">
        <f t="shared" si="79"/>
        <v>0</v>
      </c>
      <c r="AV73" s="13">
        <f t="shared" si="80"/>
        <v>0</v>
      </c>
      <c r="AW73" s="13">
        <f t="shared" si="81"/>
        <v>0</v>
      </c>
      <c r="AX73" s="13">
        <f t="shared" si="82"/>
        <v>0</v>
      </c>
      <c r="AY73" s="13">
        <f t="shared" si="83"/>
        <v>0</v>
      </c>
      <c r="AZ73" s="13">
        <f t="shared" si="84"/>
        <v>0</v>
      </c>
      <c r="BA73" s="13">
        <f t="shared" si="85"/>
        <v>0</v>
      </c>
      <c r="BB73" s="54">
        <f t="shared" si="71"/>
        <v>0</v>
      </c>
    </row>
    <row r="74" spans="1:54" x14ac:dyDescent="0.3">
      <c r="A74" s="6" t="s">
        <v>398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AD74" s="6" t="s">
        <v>398</v>
      </c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Q74" s="6" t="s">
        <v>398</v>
      </c>
      <c r="AR74" s="17"/>
      <c r="AS74" s="17"/>
      <c r="AT74" s="17"/>
      <c r="AU74" s="17"/>
      <c r="AV74" s="17"/>
      <c r="AW74" s="17"/>
      <c r="AX74" s="17"/>
      <c r="AY74" s="17"/>
      <c r="AZ74" s="17"/>
      <c r="BA74" s="17"/>
    </row>
    <row r="75" spans="1:54" outlineLevel="1" x14ac:dyDescent="0.3">
      <c r="A75" s="10" t="s">
        <v>378</v>
      </c>
      <c r="B75" s="10"/>
      <c r="C75" s="13">
        <v>20243</v>
      </c>
      <c r="D75" s="13">
        <v>20861</v>
      </c>
      <c r="E75" s="13">
        <v>21501</v>
      </c>
      <c r="F75" s="13">
        <v>23632</v>
      </c>
      <c r="G75" s="13">
        <v>28186</v>
      </c>
      <c r="H75" s="13">
        <v>26801</v>
      </c>
      <c r="I75" s="13">
        <v>27265</v>
      </c>
      <c r="J75" s="44">
        <v>26358</v>
      </c>
      <c r="K75" s="13">
        <v>35548</v>
      </c>
      <c r="L75" s="13">
        <f>K75*(1+L76)</f>
        <v>36635.916852502771</v>
      </c>
      <c r="M75" s="13">
        <f t="shared" ref="M75:Q75" si="100">L75*(1+M76)</f>
        <v>37680.193066325075</v>
      </c>
      <c r="N75" s="13">
        <f t="shared" si="100"/>
        <v>38675.107096068008</v>
      </c>
      <c r="O75" s="13">
        <f t="shared" si="100"/>
        <v>39615.073274973722</v>
      </c>
      <c r="P75" s="13">
        <f t="shared" si="100"/>
        <v>40494.692892978514</v>
      </c>
      <c r="Q75" s="13">
        <f t="shared" si="100"/>
        <v>41304.586750838083</v>
      </c>
      <c r="V75" s="50"/>
      <c r="W75" s="50"/>
      <c r="X75" s="50"/>
      <c r="Y75" s="50"/>
      <c r="Z75" s="50"/>
      <c r="AA75" s="50"/>
      <c r="AD75" s="10" t="s">
        <v>378</v>
      </c>
      <c r="AE75" s="10"/>
      <c r="AF75" s="13">
        <v>20243</v>
      </c>
      <c r="AG75" s="13">
        <v>20861</v>
      </c>
      <c r="AH75" s="13">
        <v>21501</v>
      </c>
      <c r="AI75" s="13">
        <v>23632</v>
      </c>
      <c r="AJ75" s="13">
        <v>28186</v>
      </c>
      <c r="AK75" s="13">
        <v>26801</v>
      </c>
      <c r="AL75" s="13">
        <v>27265</v>
      </c>
      <c r="AM75" s="44">
        <v>26358</v>
      </c>
      <c r="AN75" s="13">
        <v>35548</v>
      </c>
      <c r="AQ75" s="10" t="s">
        <v>378</v>
      </c>
      <c r="AR75" s="10"/>
      <c r="AS75" s="13">
        <f t="shared" ref="AS75:BA75" si="101">C75-AF75</f>
        <v>0</v>
      </c>
      <c r="AT75" s="13">
        <f t="shared" si="101"/>
        <v>0</v>
      </c>
      <c r="AU75" s="13">
        <f t="shared" si="101"/>
        <v>0</v>
      </c>
      <c r="AV75" s="13">
        <f t="shared" si="101"/>
        <v>0</v>
      </c>
      <c r="AW75" s="13">
        <f t="shared" si="101"/>
        <v>0</v>
      </c>
      <c r="AX75" s="13">
        <f t="shared" si="101"/>
        <v>0</v>
      </c>
      <c r="AY75" s="13">
        <f t="shared" si="101"/>
        <v>0</v>
      </c>
      <c r="AZ75" s="13">
        <f t="shared" si="101"/>
        <v>0</v>
      </c>
      <c r="BA75" s="13">
        <f t="shared" si="101"/>
        <v>0</v>
      </c>
      <c r="BB75" s="54">
        <f>SUM(AS75:BA75)</f>
        <v>0</v>
      </c>
    </row>
    <row r="76" spans="1:54" s="35" customFormat="1" outlineLevel="1" x14ac:dyDescent="0.3">
      <c r="A76" s="39" t="s">
        <v>412</v>
      </c>
      <c r="B76" s="39"/>
      <c r="C76" s="40"/>
      <c r="D76" s="43">
        <f>D75/C75-1</f>
        <v>3.0529071777898542E-2</v>
      </c>
      <c r="E76" s="43">
        <f t="shared" ref="E76:K76" si="102">E75/D75-1</f>
        <v>3.0679257945448457E-2</v>
      </c>
      <c r="F76" s="43">
        <f t="shared" si="102"/>
        <v>9.9111669224687171E-2</v>
      </c>
      <c r="G76" s="43">
        <f t="shared" si="102"/>
        <v>0.1927048070413</v>
      </c>
      <c r="H76" s="43">
        <f t="shared" si="102"/>
        <v>-4.9137869864471773E-2</v>
      </c>
      <c r="I76" s="43">
        <f t="shared" si="102"/>
        <v>1.73127868363121E-2</v>
      </c>
      <c r="J76" s="43">
        <f t="shared" si="102"/>
        <v>-3.3266092059416885E-2</v>
      </c>
      <c r="K76" s="43">
        <f t="shared" si="102"/>
        <v>0.34866074815995152</v>
      </c>
      <c r="L76" s="43">
        <f>MEDIAN(D76:K76)</f>
        <v>3.06041648616735E-2</v>
      </c>
      <c r="M76" s="43">
        <f>L76-0.0021</f>
        <v>2.8504164861673498E-2</v>
      </c>
      <c r="N76" s="43">
        <f t="shared" ref="N76:P76" si="103">M76-0.0021</f>
        <v>2.6404164861673497E-2</v>
      </c>
      <c r="O76" s="43">
        <f t="shared" si="103"/>
        <v>2.4304164861673496E-2</v>
      </c>
      <c r="P76" s="43">
        <f t="shared" si="103"/>
        <v>2.2204164861673495E-2</v>
      </c>
      <c r="Q76" s="43">
        <v>0.02</v>
      </c>
      <c r="R76" s="62"/>
      <c r="V76" s="59"/>
      <c r="W76" s="59"/>
      <c r="X76" s="59"/>
      <c r="Y76" s="59"/>
      <c r="Z76" s="59"/>
      <c r="AA76" s="59"/>
      <c r="AD76" s="39"/>
      <c r="AE76" s="39"/>
      <c r="AF76" s="40"/>
      <c r="AG76" s="40"/>
      <c r="AH76" s="40"/>
      <c r="AI76" s="40"/>
      <c r="AJ76" s="40"/>
      <c r="AK76" s="40"/>
      <c r="AL76" s="40"/>
      <c r="AM76" s="58"/>
      <c r="AN76" s="40"/>
      <c r="AQ76" s="39"/>
      <c r="AR76" s="39"/>
      <c r="AS76" s="40"/>
      <c r="AT76" s="40"/>
      <c r="AU76" s="40"/>
      <c r="AV76" s="40"/>
      <c r="AW76" s="40"/>
      <c r="AX76" s="40"/>
      <c r="AY76" s="40"/>
      <c r="AZ76" s="40"/>
      <c r="BA76" s="40"/>
      <c r="BB76" s="60"/>
    </row>
    <row r="77" spans="1:54" outlineLevel="1" x14ac:dyDescent="0.3">
      <c r="A77" s="10" t="s">
        <v>422</v>
      </c>
      <c r="B77" s="10"/>
      <c r="C77" s="13">
        <f t="shared" ref="C77:H77" si="104">C85-C75-C79-C81</f>
        <v>909</v>
      </c>
      <c r="D77" s="13">
        <f t="shared" si="104"/>
        <v>943</v>
      </c>
      <c r="E77" s="13">
        <f t="shared" si="104"/>
        <v>989</v>
      </c>
      <c r="F77" s="13">
        <f t="shared" si="104"/>
        <v>1012</v>
      </c>
      <c r="G77" s="13">
        <f t="shared" si="104"/>
        <v>1053</v>
      </c>
      <c r="H77" s="13">
        <f t="shared" si="104"/>
        <v>1078</v>
      </c>
      <c r="I77" s="13">
        <f>I85-I75-I79-I81</f>
        <v>1070</v>
      </c>
      <c r="J77" s="44">
        <f>J85-J75-J79-J81</f>
        <v>1140</v>
      </c>
      <c r="K77" s="13">
        <f>K85-K75-K79-K81</f>
        <v>1158</v>
      </c>
      <c r="L77" s="13"/>
      <c r="M77" s="13"/>
      <c r="N77" s="13"/>
      <c r="O77" s="13"/>
      <c r="P77" s="13"/>
      <c r="Q77" s="13"/>
      <c r="V77" s="50"/>
      <c r="W77" s="50"/>
      <c r="X77" s="50"/>
      <c r="Z77" s="50"/>
      <c r="AD77" s="10" t="s">
        <v>422</v>
      </c>
      <c r="AE77" s="10"/>
      <c r="AF77" s="13">
        <v>909</v>
      </c>
      <c r="AG77" s="13">
        <v>943</v>
      </c>
      <c r="AH77" s="13">
        <v>989</v>
      </c>
      <c r="AI77" s="13">
        <v>1012</v>
      </c>
      <c r="AJ77" s="13">
        <v>1053</v>
      </c>
      <c r="AK77" s="13">
        <v>1078</v>
      </c>
      <c r="AL77" s="13">
        <v>1070</v>
      </c>
      <c r="AM77" s="44">
        <v>1140</v>
      </c>
      <c r="AN77" s="13">
        <v>1158</v>
      </c>
      <c r="AQ77" s="10" t="s">
        <v>422</v>
      </c>
      <c r="AR77" s="10"/>
      <c r="AS77" s="13">
        <f t="shared" ref="AS77:BA77" si="105">C77-AF77</f>
        <v>0</v>
      </c>
      <c r="AT77" s="13">
        <f t="shared" si="105"/>
        <v>0</v>
      </c>
      <c r="AU77" s="13">
        <f t="shared" si="105"/>
        <v>0</v>
      </c>
      <c r="AV77" s="13">
        <f t="shared" si="105"/>
        <v>0</v>
      </c>
      <c r="AW77" s="13">
        <f t="shared" si="105"/>
        <v>0</v>
      </c>
      <c r="AX77" s="13">
        <f t="shared" si="105"/>
        <v>0</v>
      </c>
      <c r="AY77" s="13">
        <f t="shared" si="105"/>
        <v>0</v>
      </c>
      <c r="AZ77" s="13">
        <f t="shared" si="105"/>
        <v>0</v>
      </c>
      <c r="BA77" s="13">
        <f t="shared" si="105"/>
        <v>0</v>
      </c>
      <c r="BB77" s="54">
        <f t="shared" ref="BB77:BB195" si="106">SUM(AS77:BA77)</f>
        <v>0</v>
      </c>
    </row>
    <row r="78" spans="1:54" s="35" customFormat="1" outlineLevel="1" x14ac:dyDescent="0.3">
      <c r="A78" s="39" t="s">
        <v>435</v>
      </c>
      <c r="B78" s="39"/>
      <c r="C78" s="43">
        <f>C77/C75</f>
        <v>4.4904411401472111E-2</v>
      </c>
      <c r="D78" s="43">
        <f t="shared" ref="D78:K78" si="107">D77/D75</f>
        <v>4.5203969128996692E-2</v>
      </c>
      <c r="E78" s="43">
        <f t="shared" si="107"/>
        <v>4.5997860564624904E-2</v>
      </c>
      <c r="F78" s="43">
        <f t="shared" si="107"/>
        <v>4.2823290453622209E-2</v>
      </c>
      <c r="G78" s="43">
        <f t="shared" si="107"/>
        <v>3.7358972539558645E-2</v>
      </c>
      <c r="H78" s="43">
        <f t="shared" si="107"/>
        <v>4.022237976194918E-2</v>
      </c>
      <c r="I78" s="43">
        <f t="shared" si="107"/>
        <v>3.9244452594901891E-2</v>
      </c>
      <c r="J78" s="43">
        <f t="shared" si="107"/>
        <v>4.325062599590257E-2</v>
      </c>
      <c r="K78" s="43">
        <f t="shared" si="107"/>
        <v>3.2575672330370203E-2</v>
      </c>
      <c r="L78" s="43"/>
      <c r="M78" s="43"/>
      <c r="N78" s="43"/>
      <c r="O78" s="43"/>
      <c r="P78" s="43"/>
      <c r="Q78" s="43"/>
      <c r="V78" s="59"/>
      <c r="W78" s="59"/>
      <c r="X78" s="59"/>
      <c r="Y78" s="59"/>
      <c r="Z78" s="59"/>
      <c r="AA78" s="59"/>
      <c r="AD78" s="39"/>
      <c r="AE78" s="39"/>
      <c r="AF78" s="40"/>
      <c r="AG78" s="40"/>
      <c r="AH78" s="40"/>
      <c r="AI78" s="40"/>
      <c r="AJ78" s="40"/>
      <c r="AK78" s="40"/>
      <c r="AL78" s="40"/>
      <c r="AM78" s="58"/>
      <c r="AN78" s="40"/>
      <c r="AQ78" s="39"/>
      <c r="AR78" s="39"/>
      <c r="AS78" s="40"/>
      <c r="AT78" s="40"/>
      <c r="AU78" s="40"/>
      <c r="AV78" s="40"/>
      <c r="AW78" s="40"/>
      <c r="AX78" s="40"/>
      <c r="AY78" s="40"/>
      <c r="AZ78" s="40"/>
      <c r="BA78" s="40"/>
      <c r="BB78" s="60"/>
    </row>
    <row r="79" spans="1:54" outlineLevel="1" x14ac:dyDescent="0.3">
      <c r="A79" s="10" t="s">
        <v>384</v>
      </c>
      <c r="B79" s="10"/>
      <c r="C79" s="13">
        <v>6111</v>
      </c>
      <c r="D79" s="13">
        <v>6209</v>
      </c>
      <c r="E79" s="13">
        <v>6206</v>
      </c>
      <c r="F79" s="13">
        <v>6396</v>
      </c>
      <c r="G79" s="13">
        <v>6977</v>
      </c>
      <c r="H79" s="13">
        <v>7021</v>
      </c>
      <c r="I79" s="13">
        <v>6903</v>
      </c>
      <c r="J79" s="13">
        <v>8048</v>
      </c>
      <c r="K79" s="13">
        <v>7340</v>
      </c>
      <c r="L79" s="13"/>
      <c r="M79" s="13"/>
      <c r="N79" s="13"/>
      <c r="O79" s="13"/>
      <c r="P79" s="13"/>
      <c r="Q79" s="13"/>
      <c r="V79" s="50"/>
      <c r="W79" s="50"/>
      <c r="X79" s="50"/>
      <c r="Z79" s="50"/>
      <c r="AD79" s="10" t="s">
        <v>384</v>
      </c>
      <c r="AE79" s="10"/>
      <c r="AF79" s="13">
        <v>6111</v>
      </c>
      <c r="AG79" s="13">
        <v>6209</v>
      </c>
      <c r="AH79" s="13">
        <v>6206</v>
      </c>
      <c r="AI79" s="13">
        <v>6396</v>
      </c>
      <c r="AJ79" s="13">
        <v>6977</v>
      </c>
      <c r="AK79" s="13">
        <v>7021</v>
      </c>
      <c r="AL79" s="13">
        <v>6903</v>
      </c>
      <c r="AM79" s="13">
        <v>8048</v>
      </c>
      <c r="AN79" s="13">
        <v>7340</v>
      </c>
      <c r="AQ79" s="10" t="s">
        <v>384</v>
      </c>
      <c r="AR79" s="10"/>
      <c r="AS79" s="13">
        <f t="shared" ref="AS79:BA79" si="108">C79-AF79</f>
        <v>0</v>
      </c>
      <c r="AT79" s="13">
        <f t="shared" si="108"/>
        <v>0</v>
      </c>
      <c r="AU79" s="13">
        <f t="shared" si="108"/>
        <v>0</v>
      </c>
      <c r="AV79" s="13">
        <f t="shared" si="108"/>
        <v>0</v>
      </c>
      <c r="AW79" s="13">
        <f t="shared" si="108"/>
        <v>0</v>
      </c>
      <c r="AX79" s="13">
        <f t="shared" si="108"/>
        <v>0</v>
      </c>
      <c r="AY79" s="13">
        <f t="shared" si="108"/>
        <v>0</v>
      </c>
      <c r="AZ79" s="13">
        <f t="shared" si="108"/>
        <v>0</v>
      </c>
      <c r="BA79" s="13">
        <f t="shared" si="108"/>
        <v>0</v>
      </c>
      <c r="BB79" s="54">
        <f t="shared" si="106"/>
        <v>0</v>
      </c>
    </row>
    <row r="80" spans="1:54" s="35" customFormat="1" outlineLevel="1" x14ac:dyDescent="0.3">
      <c r="A80" s="39" t="s">
        <v>435</v>
      </c>
      <c r="B80" s="39"/>
      <c r="C80" s="43">
        <f>C79/C75</f>
        <v>0.30188213209504522</v>
      </c>
      <c r="D80" s="43">
        <f t="shared" ref="D80:K80" si="109">D79/D75</f>
        <v>0.29763673841138966</v>
      </c>
      <c r="E80" s="43">
        <f t="shared" si="109"/>
        <v>0.28863773777963814</v>
      </c>
      <c r="F80" s="43">
        <f t="shared" si="109"/>
        <v>0.27064996614759645</v>
      </c>
      <c r="G80" s="43">
        <f t="shared" si="109"/>
        <v>0.24753423685517634</v>
      </c>
      <c r="H80" s="43">
        <f t="shared" si="109"/>
        <v>0.26196783702100668</v>
      </c>
      <c r="I80" s="43">
        <f t="shared" si="109"/>
        <v>0.25318173482486706</v>
      </c>
      <c r="J80" s="43">
        <f t="shared" si="109"/>
        <v>0.30533424387282798</v>
      </c>
      <c r="K80" s="43">
        <f t="shared" si="109"/>
        <v>0.20648137729267468</v>
      </c>
      <c r="L80" s="43"/>
      <c r="M80" s="43"/>
      <c r="N80" s="43"/>
      <c r="O80" s="43"/>
      <c r="P80" s="43"/>
      <c r="Q80" s="43"/>
      <c r="V80" s="59"/>
      <c r="W80" s="59"/>
      <c r="X80" s="59"/>
      <c r="Y80" s="59"/>
      <c r="Z80" s="59"/>
      <c r="AA80" s="59"/>
      <c r="AD80" s="39"/>
      <c r="AE80" s="39"/>
      <c r="AF80" s="40"/>
      <c r="AG80" s="40"/>
      <c r="AH80" s="40"/>
      <c r="AI80" s="40"/>
      <c r="AJ80" s="40"/>
      <c r="AK80" s="40"/>
      <c r="AL80" s="40"/>
      <c r="AM80" s="58"/>
      <c r="AN80" s="40"/>
      <c r="AQ80" s="39"/>
      <c r="AR80" s="39"/>
      <c r="AS80" s="40"/>
      <c r="AT80" s="40"/>
      <c r="AU80" s="40"/>
      <c r="AV80" s="40"/>
      <c r="AW80" s="40"/>
      <c r="AX80" s="40"/>
      <c r="AY80" s="40"/>
      <c r="AZ80" s="40"/>
      <c r="BA80" s="40"/>
      <c r="BB80" s="60"/>
    </row>
    <row r="81" spans="1:54" outlineLevel="1" x14ac:dyDescent="0.3">
      <c r="A81" s="10" t="s">
        <v>391</v>
      </c>
      <c r="B81" s="10"/>
      <c r="C81" s="13">
        <v>721</v>
      </c>
      <c r="D81" s="13">
        <v>751</v>
      </c>
      <c r="E81" s="13">
        <v>784</v>
      </c>
      <c r="F81" s="13">
        <v>806</v>
      </c>
      <c r="G81" s="13">
        <v>821</v>
      </c>
      <c r="H81" s="13">
        <v>887</v>
      </c>
      <c r="I81" s="13">
        <v>957</v>
      </c>
      <c r="J81" s="13">
        <v>1538</v>
      </c>
      <c r="K81" s="13">
        <v>1756</v>
      </c>
      <c r="L81" s="13"/>
      <c r="M81" s="13"/>
      <c r="N81" s="13"/>
      <c r="O81" s="13"/>
      <c r="P81" s="13"/>
      <c r="Q81" s="13"/>
      <c r="V81" s="50"/>
      <c r="W81" s="50"/>
      <c r="X81" s="50"/>
      <c r="Z81" s="50"/>
      <c r="AD81" s="10" t="s">
        <v>391</v>
      </c>
      <c r="AE81" s="10"/>
      <c r="AF81" s="13">
        <v>721</v>
      </c>
      <c r="AG81" s="13">
        <v>751</v>
      </c>
      <c r="AH81" s="13">
        <v>784</v>
      </c>
      <c r="AI81" s="13">
        <v>806</v>
      </c>
      <c r="AJ81" s="13">
        <v>821</v>
      </c>
      <c r="AK81" s="13">
        <v>887</v>
      </c>
      <c r="AL81" s="13">
        <v>957</v>
      </c>
      <c r="AM81" s="13">
        <v>1538</v>
      </c>
      <c r="AN81" s="13">
        <v>1756</v>
      </c>
      <c r="AQ81" s="10" t="s">
        <v>391</v>
      </c>
      <c r="AR81" s="10"/>
      <c r="AS81" s="13">
        <f t="shared" ref="AS81:BA81" si="110">C81-AF81</f>
        <v>0</v>
      </c>
      <c r="AT81" s="13">
        <f t="shared" si="110"/>
        <v>0</v>
      </c>
      <c r="AU81" s="13">
        <f t="shared" si="110"/>
        <v>0</v>
      </c>
      <c r="AV81" s="13">
        <f t="shared" si="110"/>
        <v>0</v>
      </c>
      <c r="AW81" s="13">
        <f t="shared" si="110"/>
        <v>0</v>
      </c>
      <c r="AX81" s="13">
        <f t="shared" si="110"/>
        <v>0</v>
      </c>
      <c r="AY81" s="13">
        <f t="shared" si="110"/>
        <v>0</v>
      </c>
      <c r="AZ81" s="13">
        <f t="shared" si="110"/>
        <v>0</v>
      </c>
      <c r="BA81" s="13">
        <f t="shared" si="110"/>
        <v>0</v>
      </c>
      <c r="BB81" s="54">
        <f t="shared" si="106"/>
        <v>0</v>
      </c>
    </row>
    <row r="82" spans="1:54" s="35" customFormat="1" outlineLevel="1" x14ac:dyDescent="0.3">
      <c r="A82" s="39" t="s">
        <v>435</v>
      </c>
      <c r="B82" s="39"/>
      <c r="C82" s="43">
        <f>C81/C75</f>
        <v>3.561725040754829E-2</v>
      </c>
      <c r="D82" s="43">
        <f t="shared" ref="D82:K82" si="111">D81/D75</f>
        <v>3.6000191745362162E-2</v>
      </c>
      <c r="E82" s="43">
        <f t="shared" si="111"/>
        <v>3.6463420306032279E-2</v>
      </c>
      <c r="F82" s="43">
        <f t="shared" si="111"/>
        <v>3.410629654705484E-2</v>
      </c>
      <c r="G82" s="43">
        <f t="shared" si="111"/>
        <v>2.912793585467963E-2</v>
      </c>
      <c r="H82" s="43">
        <f t="shared" si="111"/>
        <v>3.3095780008208647E-2</v>
      </c>
      <c r="I82" s="43">
        <f t="shared" si="111"/>
        <v>3.5099944984412247E-2</v>
      </c>
      <c r="J82" s="43">
        <f t="shared" si="111"/>
        <v>5.8350405948858035E-2</v>
      </c>
      <c r="K82" s="43">
        <f t="shared" si="111"/>
        <v>4.9397997074378308E-2</v>
      </c>
      <c r="L82" s="43"/>
      <c r="M82" s="43"/>
      <c r="N82" s="43"/>
      <c r="O82" s="43"/>
      <c r="P82" s="43"/>
      <c r="Q82" s="43"/>
      <c r="V82" s="59"/>
      <c r="W82" s="59"/>
      <c r="X82" s="59"/>
      <c r="Y82" s="59"/>
      <c r="Z82" s="59"/>
      <c r="AA82" s="59"/>
      <c r="AD82" s="39"/>
      <c r="AE82" s="39"/>
      <c r="AF82" s="40"/>
      <c r="AG82" s="40"/>
      <c r="AH82" s="40"/>
      <c r="AI82" s="40"/>
      <c r="AJ82" s="40"/>
      <c r="AK82" s="40"/>
      <c r="AL82" s="40"/>
      <c r="AM82" s="58"/>
      <c r="AN82" s="40"/>
      <c r="AQ82" s="39"/>
      <c r="AR82" s="39"/>
      <c r="AS82" s="40"/>
      <c r="AT82" s="40"/>
      <c r="AU82" s="40"/>
      <c r="AV82" s="40"/>
      <c r="AW82" s="40"/>
      <c r="AX82" s="40"/>
      <c r="AY82" s="40"/>
      <c r="AZ82" s="40"/>
      <c r="BA82" s="40"/>
      <c r="BB82" s="60"/>
    </row>
    <row r="83" spans="1:54" outlineLevel="1" x14ac:dyDescent="0.3">
      <c r="A83" s="10" t="s">
        <v>432</v>
      </c>
      <c r="B83" s="1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V83" s="50"/>
      <c r="W83" s="50"/>
      <c r="X83" s="50"/>
      <c r="Y83" s="50"/>
      <c r="Z83" s="50"/>
      <c r="AA83" s="50"/>
      <c r="AD83" s="10"/>
      <c r="AE83" s="10"/>
      <c r="AF83" s="13"/>
      <c r="AG83" s="13"/>
      <c r="AH83" s="13"/>
      <c r="AI83" s="13"/>
      <c r="AJ83" s="13"/>
      <c r="AK83" s="13"/>
      <c r="AL83" s="13"/>
      <c r="AM83" s="13"/>
      <c r="AN83" s="13"/>
      <c r="AQ83" s="10"/>
      <c r="AR83" s="10"/>
      <c r="AS83" s="13"/>
      <c r="AT83" s="13"/>
      <c r="AU83" s="13"/>
      <c r="AV83" s="13"/>
      <c r="AW83" s="13"/>
      <c r="AX83" s="13"/>
      <c r="AY83" s="13"/>
      <c r="AZ83" s="13"/>
      <c r="BA83" s="13"/>
      <c r="BB83" s="54"/>
    </row>
    <row r="84" spans="1:54" outlineLevel="1" x14ac:dyDescent="0.3">
      <c r="A84" s="10" t="s">
        <v>433</v>
      </c>
      <c r="B84" s="1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V84" s="50"/>
      <c r="W84" s="50"/>
      <c r="X84" s="50"/>
      <c r="Y84" s="50"/>
      <c r="Z84" s="50"/>
      <c r="AA84" s="50"/>
      <c r="AD84" s="10"/>
      <c r="AE84" s="10"/>
      <c r="AF84" s="13"/>
      <c r="AG84" s="13"/>
      <c r="AH84" s="13"/>
      <c r="AI84" s="13"/>
      <c r="AJ84" s="13"/>
      <c r="AK84" s="13"/>
      <c r="AL84" s="13"/>
      <c r="AM84" s="13"/>
      <c r="AN84" s="13"/>
      <c r="AQ84" s="10"/>
      <c r="AR84" s="10"/>
      <c r="AS84" s="13"/>
      <c r="AT84" s="13"/>
      <c r="AU84" s="13"/>
      <c r="AV84" s="13"/>
      <c r="AW84" s="13"/>
      <c r="AX84" s="13"/>
      <c r="AY84" s="13"/>
      <c r="AZ84" s="13"/>
      <c r="BA84" s="13"/>
      <c r="BB84" s="54"/>
    </row>
    <row r="85" spans="1:54" s="49" customFormat="1" outlineLevel="1" x14ac:dyDescent="0.3">
      <c r="A85" s="47" t="s">
        <v>373</v>
      </c>
      <c r="B85" s="47"/>
      <c r="C85" s="48">
        <v>27984</v>
      </c>
      <c r="D85" s="48">
        <v>28764</v>
      </c>
      <c r="E85" s="48">
        <v>29480</v>
      </c>
      <c r="F85" s="48">
        <v>31846</v>
      </c>
      <c r="G85" s="48">
        <v>37037</v>
      </c>
      <c r="H85" s="48">
        <v>35787</v>
      </c>
      <c r="I85" s="48">
        <v>36195</v>
      </c>
      <c r="J85" s="48">
        <v>37084</v>
      </c>
      <c r="K85" s="48">
        <v>45802</v>
      </c>
      <c r="L85" s="48"/>
      <c r="M85" s="48"/>
      <c r="N85" s="48"/>
      <c r="O85" s="48"/>
      <c r="P85" s="48"/>
      <c r="Q85" s="48"/>
      <c r="V85" s="55"/>
      <c r="W85" s="55"/>
      <c r="X85" s="55"/>
      <c r="Z85" s="55"/>
      <c r="AD85" s="47" t="s">
        <v>373</v>
      </c>
      <c r="AE85" s="47"/>
      <c r="AF85" s="48">
        <v>27984</v>
      </c>
      <c r="AG85" s="48">
        <v>28764</v>
      </c>
      <c r="AH85" s="48">
        <v>29480</v>
      </c>
      <c r="AI85" s="48">
        <v>31846</v>
      </c>
      <c r="AJ85" s="48">
        <v>37037</v>
      </c>
      <c r="AK85" s="48">
        <v>35787</v>
      </c>
      <c r="AL85" s="48">
        <v>36195</v>
      </c>
      <c r="AM85" s="48">
        <v>37084</v>
      </c>
      <c r="AN85" s="48">
        <v>45802</v>
      </c>
      <c r="AQ85" s="47" t="s">
        <v>373</v>
      </c>
      <c r="AR85" s="47"/>
      <c r="AS85" s="13">
        <f t="shared" ref="AS85:BA87" si="112">C85-AF85</f>
        <v>0</v>
      </c>
      <c r="AT85" s="13">
        <f t="shared" si="112"/>
        <v>0</v>
      </c>
      <c r="AU85" s="13">
        <f t="shared" si="112"/>
        <v>0</v>
      </c>
      <c r="AV85" s="13">
        <f t="shared" si="112"/>
        <v>0</v>
      </c>
      <c r="AW85" s="13">
        <f t="shared" si="112"/>
        <v>0</v>
      </c>
      <c r="AX85" s="13">
        <f t="shared" si="112"/>
        <v>0</v>
      </c>
      <c r="AY85" s="13">
        <f t="shared" si="112"/>
        <v>0</v>
      </c>
      <c r="AZ85" s="13">
        <f t="shared" si="112"/>
        <v>0</v>
      </c>
      <c r="BA85" s="13">
        <f t="shared" si="112"/>
        <v>0</v>
      </c>
      <c r="BB85" s="54">
        <f t="shared" si="106"/>
        <v>0</v>
      </c>
    </row>
    <row r="86" spans="1:54" outlineLevel="1" x14ac:dyDescent="0.3">
      <c r="A86" s="10"/>
      <c r="B86" s="1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V86" s="50"/>
      <c r="W86" s="50"/>
      <c r="X86" s="50"/>
      <c r="Z86" s="50"/>
      <c r="AD86" s="10"/>
      <c r="AE86" s="10"/>
      <c r="AF86" s="13"/>
      <c r="AG86" s="13"/>
      <c r="AH86" s="13"/>
      <c r="AI86" s="13"/>
      <c r="AJ86" s="13"/>
      <c r="AK86" s="13"/>
      <c r="AL86" s="13"/>
      <c r="AM86" s="13"/>
      <c r="AN86" s="13"/>
      <c r="AQ86" s="10"/>
      <c r="AR86" s="10"/>
      <c r="AS86" s="13">
        <f t="shared" si="112"/>
        <v>0</v>
      </c>
      <c r="AT86" s="13">
        <f t="shared" si="112"/>
        <v>0</v>
      </c>
      <c r="AU86" s="13">
        <f t="shared" si="112"/>
        <v>0</v>
      </c>
      <c r="AV86" s="13">
        <f t="shared" si="112"/>
        <v>0</v>
      </c>
      <c r="AW86" s="13">
        <f t="shared" si="112"/>
        <v>0</v>
      </c>
      <c r="AX86" s="13">
        <f t="shared" si="112"/>
        <v>0</v>
      </c>
      <c r="AY86" s="13">
        <f t="shared" si="112"/>
        <v>0</v>
      </c>
      <c r="AZ86" s="13">
        <f t="shared" si="112"/>
        <v>0</v>
      </c>
      <c r="BA86" s="13">
        <f t="shared" si="112"/>
        <v>0</v>
      </c>
      <c r="BB86" s="54">
        <f t="shared" si="106"/>
        <v>0</v>
      </c>
    </row>
    <row r="87" spans="1:54" outlineLevel="1" x14ac:dyDescent="0.3">
      <c r="A87" s="10" t="s">
        <v>380</v>
      </c>
      <c r="B87" s="10"/>
      <c r="C87" s="13">
        <v>20110</v>
      </c>
      <c r="D87" s="13">
        <v>20837</v>
      </c>
      <c r="E87" s="13">
        <v>21558</v>
      </c>
      <c r="F87" s="13">
        <v>23627</v>
      </c>
      <c r="G87" s="13">
        <v>27765</v>
      </c>
      <c r="H87" s="13">
        <v>26165</v>
      </c>
      <c r="I87" s="13">
        <v>26309</v>
      </c>
      <c r="J87" s="13">
        <v>27957</v>
      </c>
      <c r="K87" s="13">
        <v>36273</v>
      </c>
      <c r="L87" s="13"/>
      <c r="M87" s="13"/>
      <c r="N87" s="13"/>
      <c r="O87" s="13"/>
      <c r="P87" s="13"/>
      <c r="Q87" s="13"/>
      <c r="V87" s="50"/>
      <c r="W87" s="50"/>
      <c r="X87" s="50"/>
      <c r="Z87" s="50"/>
      <c r="AD87" s="10" t="s">
        <v>380</v>
      </c>
      <c r="AE87" s="10"/>
      <c r="AF87" s="13">
        <v>20110</v>
      </c>
      <c r="AG87" s="13">
        <v>20837</v>
      </c>
      <c r="AH87" s="13">
        <v>21558</v>
      </c>
      <c r="AI87" s="13">
        <v>23627</v>
      </c>
      <c r="AJ87" s="13">
        <v>27765</v>
      </c>
      <c r="AK87" s="13">
        <v>26165</v>
      </c>
      <c r="AL87" s="13">
        <v>26309</v>
      </c>
      <c r="AM87" s="13">
        <v>27957</v>
      </c>
      <c r="AN87" s="13">
        <v>36273</v>
      </c>
      <c r="AQ87" s="10" t="s">
        <v>380</v>
      </c>
      <c r="AR87" s="10"/>
      <c r="AS87" s="13">
        <f t="shared" si="112"/>
        <v>0</v>
      </c>
      <c r="AT87" s="13">
        <f t="shared" si="112"/>
        <v>0</v>
      </c>
      <c r="AU87" s="13">
        <f t="shared" si="112"/>
        <v>0</v>
      </c>
      <c r="AV87" s="13">
        <f t="shared" si="112"/>
        <v>0</v>
      </c>
      <c r="AW87" s="13">
        <f t="shared" si="112"/>
        <v>0</v>
      </c>
      <c r="AX87" s="13">
        <f t="shared" si="112"/>
        <v>0</v>
      </c>
      <c r="AY87" s="13">
        <f t="shared" si="112"/>
        <v>0</v>
      </c>
      <c r="AZ87" s="13">
        <f t="shared" si="112"/>
        <v>0</v>
      </c>
      <c r="BA87" s="13">
        <f t="shared" si="112"/>
        <v>0</v>
      </c>
      <c r="BB87" s="54">
        <f t="shared" si="106"/>
        <v>0</v>
      </c>
    </row>
    <row r="88" spans="1:54" s="35" customFormat="1" outlineLevel="1" x14ac:dyDescent="0.3">
      <c r="A88" s="39" t="s">
        <v>413</v>
      </c>
      <c r="B88" s="39"/>
      <c r="C88" s="43">
        <f>C87/C85</f>
        <v>0.7186249285305889</v>
      </c>
      <c r="D88" s="43">
        <f t="shared" ref="D88:K88" si="113">D87/D85</f>
        <v>0.7244124600194688</v>
      </c>
      <c r="E88" s="43">
        <f t="shared" si="113"/>
        <v>0.73127544097693353</v>
      </c>
      <c r="F88" s="43">
        <f t="shared" si="113"/>
        <v>0.74191421214595243</v>
      </c>
      <c r="G88" s="43">
        <f t="shared" si="113"/>
        <v>0.74965574965574966</v>
      </c>
      <c r="H88" s="43">
        <f t="shared" si="113"/>
        <v>0.73113141643613599</v>
      </c>
      <c r="I88" s="43">
        <f t="shared" si="113"/>
        <v>0.72686835198231803</v>
      </c>
      <c r="J88" s="43">
        <f t="shared" si="113"/>
        <v>0.75388307625930318</v>
      </c>
      <c r="K88" s="43">
        <f t="shared" si="113"/>
        <v>0.79195231649272957</v>
      </c>
      <c r="L88" s="43"/>
      <c r="M88" s="43"/>
      <c r="N88" s="43"/>
      <c r="O88" s="43"/>
      <c r="P88" s="43"/>
      <c r="Q88" s="43"/>
      <c r="V88" s="59"/>
      <c r="W88" s="59"/>
      <c r="X88" s="59"/>
      <c r="Y88" s="59"/>
      <c r="Z88" s="59"/>
      <c r="AA88" s="59"/>
      <c r="AD88" s="39"/>
      <c r="AE88" s="39"/>
      <c r="AF88" s="40"/>
      <c r="AG88" s="40"/>
      <c r="AH88" s="40"/>
      <c r="AI88" s="40"/>
      <c r="AJ88" s="40"/>
      <c r="AK88" s="40"/>
      <c r="AL88" s="40"/>
      <c r="AM88" s="58"/>
      <c r="AN88" s="40"/>
      <c r="AQ88" s="39"/>
      <c r="AR88" s="39"/>
      <c r="AS88" s="40"/>
      <c r="AT88" s="40"/>
      <c r="AU88" s="40"/>
      <c r="AV88" s="40"/>
      <c r="AW88" s="40"/>
      <c r="AX88" s="40"/>
      <c r="AY88" s="40"/>
      <c r="AZ88" s="40"/>
      <c r="BA88" s="40"/>
      <c r="BB88" s="60"/>
    </row>
    <row r="89" spans="1:54" outlineLevel="1" x14ac:dyDescent="0.3">
      <c r="A89" s="10" t="s">
        <v>393</v>
      </c>
      <c r="B89" s="10"/>
      <c r="C89" s="13">
        <v>1168</v>
      </c>
      <c r="D89" s="13">
        <v>1216</v>
      </c>
      <c r="E89" s="13">
        <v>1302</v>
      </c>
      <c r="F89" s="13">
        <v>1474</v>
      </c>
      <c r="G89" s="13">
        <v>1790</v>
      </c>
      <c r="H89" s="13">
        <v>1984</v>
      </c>
      <c r="I89" s="13">
        <v>1622</v>
      </c>
      <c r="J89" s="13">
        <v>1422</v>
      </c>
      <c r="K89" s="13">
        <v>1789</v>
      </c>
      <c r="L89" s="13"/>
      <c r="M89" s="13"/>
      <c r="N89" s="13"/>
      <c r="O89" s="13"/>
      <c r="P89" s="13"/>
      <c r="Q89" s="13"/>
      <c r="V89" s="50"/>
      <c r="W89" s="50"/>
      <c r="X89" s="50"/>
      <c r="Z89" s="50"/>
      <c r="AD89" s="10" t="s">
        <v>393</v>
      </c>
      <c r="AE89" s="10"/>
      <c r="AF89" s="13">
        <v>1168</v>
      </c>
      <c r="AG89" s="13">
        <v>1216</v>
      </c>
      <c r="AH89" s="13">
        <v>1302</v>
      </c>
      <c r="AI89" s="13">
        <v>1474</v>
      </c>
      <c r="AJ89" s="13">
        <v>1790</v>
      </c>
      <c r="AK89" s="13">
        <v>1984</v>
      </c>
      <c r="AL89" s="13">
        <v>1622</v>
      </c>
      <c r="AM89" s="13">
        <v>1422</v>
      </c>
      <c r="AN89" s="13">
        <v>1789</v>
      </c>
      <c r="AQ89" s="10" t="s">
        <v>393</v>
      </c>
      <c r="AR89" s="10"/>
      <c r="AS89" s="13">
        <f t="shared" ref="AS89:BA89" si="114">C89-AF89</f>
        <v>0</v>
      </c>
      <c r="AT89" s="13">
        <f t="shared" si="114"/>
        <v>0</v>
      </c>
      <c r="AU89" s="13">
        <f t="shared" si="114"/>
        <v>0</v>
      </c>
      <c r="AV89" s="13">
        <f t="shared" si="114"/>
        <v>0</v>
      </c>
      <c r="AW89" s="13">
        <f t="shared" si="114"/>
        <v>0</v>
      </c>
      <c r="AX89" s="13">
        <f t="shared" si="114"/>
        <v>0</v>
      </c>
      <c r="AY89" s="13">
        <f t="shared" si="114"/>
        <v>0</v>
      </c>
      <c r="AZ89" s="13">
        <f t="shared" si="114"/>
        <v>0</v>
      </c>
      <c r="BA89" s="13">
        <f t="shared" si="114"/>
        <v>0</v>
      </c>
      <c r="BB89" s="54">
        <f t="shared" si="106"/>
        <v>0</v>
      </c>
    </row>
    <row r="90" spans="1:54" s="35" customFormat="1" outlineLevel="1" x14ac:dyDescent="0.3">
      <c r="A90" s="39" t="s">
        <v>413</v>
      </c>
      <c r="B90" s="39"/>
      <c r="C90" s="43">
        <f>C89/C85</f>
        <v>4.1738136077758718E-2</v>
      </c>
      <c r="D90" s="43">
        <f t="shared" ref="D90:K90" si="115">D89/D85</f>
        <v>4.2275066054790714E-2</v>
      </c>
      <c r="E90" s="43">
        <f t="shared" si="115"/>
        <v>4.416553595658073E-2</v>
      </c>
      <c r="F90" s="43">
        <f t="shared" si="115"/>
        <v>4.6285247754820069E-2</v>
      </c>
      <c r="G90" s="43">
        <f t="shared" si="115"/>
        <v>4.8330048330048329E-2</v>
      </c>
      <c r="H90" s="43">
        <f t="shared" si="115"/>
        <v>5.5439125939587004E-2</v>
      </c>
      <c r="I90" s="43">
        <f t="shared" si="115"/>
        <v>4.4812819450200304E-2</v>
      </c>
      <c r="J90" s="43">
        <f t="shared" si="115"/>
        <v>3.8345378060619134E-2</v>
      </c>
      <c r="K90" s="43">
        <f t="shared" si="115"/>
        <v>3.9059429719226234E-2</v>
      </c>
      <c r="L90" s="43"/>
      <c r="M90" s="43"/>
      <c r="N90" s="43"/>
      <c r="O90" s="43"/>
      <c r="P90" s="43"/>
      <c r="Q90" s="43"/>
      <c r="V90" s="59"/>
      <c r="W90" s="59"/>
      <c r="X90" s="59"/>
      <c r="Y90" s="59"/>
      <c r="Z90" s="59"/>
      <c r="AA90" s="59"/>
      <c r="AD90" s="39"/>
      <c r="AE90" s="39"/>
      <c r="AF90" s="40"/>
      <c r="AG90" s="40"/>
      <c r="AH90" s="40"/>
      <c r="AI90" s="40"/>
      <c r="AJ90" s="40"/>
      <c r="AK90" s="40"/>
      <c r="AL90" s="40"/>
      <c r="AM90" s="58"/>
      <c r="AN90" s="40"/>
      <c r="AQ90" s="39"/>
      <c r="AR90" s="39"/>
      <c r="AS90" s="40"/>
      <c r="AT90" s="40"/>
      <c r="AU90" s="40"/>
      <c r="AV90" s="40"/>
      <c r="AW90" s="40"/>
      <c r="AX90" s="40"/>
      <c r="AY90" s="40"/>
      <c r="AZ90" s="40"/>
      <c r="BA90" s="40"/>
      <c r="BB90" s="60"/>
    </row>
    <row r="91" spans="1:54" outlineLevel="1" x14ac:dyDescent="0.3">
      <c r="A91" s="10" t="s">
        <v>423</v>
      </c>
      <c r="B91" s="10"/>
      <c r="C91" s="13">
        <f t="shared" ref="C91:K91" si="116">C100-C87-C89-C93-C98-C96</f>
        <v>-488</v>
      </c>
      <c r="D91" s="13">
        <f t="shared" si="116"/>
        <v>-493</v>
      </c>
      <c r="E91" s="13">
        <f t="shared" si="116"/>
        <v>-471</v>
      </c>
      <c r="F91" s="13">
        <f t="shared" si="116"/>
        <v>-458</v>
      </c>
      <c r="G91" s="13">
        <f t="shared" si="116"/>
        <v>-449</v>
      </c>
      <c r="H91" s="13">
        <f t="shared" si="116"/>
        <v>-484</v>
      </c>
      <c r="I91" s="13">
        <f t="shared" si="116"/>
        <v>-453</v>
      </c>
      <c r="J91" s="13">
        <f t="shared" si="116"/>
        <v>-65</v>
      </c>
      <c r="K91" s="13">
        <f t="shared" si="116"/>
        <v>-77</v>
      </c>
      <c r="L91" s="13"/>
      <c r="M91" s="13"/>
      <c r="N91" s="13"/>
      <c r="O91" s="13"/>
      <c r="P91" s="13"/>
      <c r="Q91" s="13"/>
      <c r="V91" s="50"/>
      <c r="W91" s="50"/>
      <c r="X91" s="50"/>
      <c r="Z91" s="50"/>
      <c r="AD91" s="10" t="s">
        <v>423</v>
      </c>
      <c r="AE91" s="10"/>
      <c r="AF91" s="13">
        <v>-488</v>
      </c>
      <c r="AG91" s="13">
        <v>-493</v>
      </c>
      <c r="AH91" s="13">
        <v>-471</v>
      </c>
      <c r="AI91" s="13">
        <v>-458</v>
      </c>
      <c r="AJ91" s="13">
        <v>-449</v>
      </c>
      <c r="AK91" s="13">
        <v>-484</v>
      </c>
      <c r="AL91" s="13">
        <v>-453</v>
      </c>
      <c r="AM91" s="13">
        <v>-65</v>
      </c>
      <c r="AN91" s="13">
        <v>-77</v>
      </c>
      <c r="AQ91" s="10" t="s">
        <v>423</v>
      </c>
      <c r="AR91" s="10"/>
      <c r="AS91" s="13">
        <f t="shared" ref="AS91:BA91" si="117">C91-AF91</f>
        <v>0</v>
      </c>
      <c r="AT91" s="13">
        <f t="shared" si="117"/>
        <v>0</v>
      </c>
      <c r="AU91" s="13">
        <f t="shared" si="117"/>
        <v>0</v>
      </c>
      <c r="AV91" s="13">
        <f t="shared" si="117"/>
        <v>0</v>
      </c>
      <c r="AW91" s="13">
        <f t="shared" si="117"/>
        <v>0</v>
      </c>
      <c r="AX91" s="13">
        <f t="shared" si="117"/>
        <v>0</v>
      </c>
      <c r="AY91" s="13">
        <f t="shared" si="117"/>
        <v>0</v>
      </c>
      <c r="AZ91" s="13">
        <f t="shared" si="117"/>
        <v>0</v>
      </c>
      <c r="BA91" s="13">
        <f t="shared" si="117"/>
        <v>0</v>
      </c>
      <c r="BB91" s="54">
        <f t="shared" si="106"/>
        <v>0</v>
      </c>
    </row>
    <row r="92" spans="1:54" s="35" customFormat="1" outlineLevel="1" x14ac:dyDescent="0.3">
      <c r="A92" s="39" t="s">
        <v>413</v>
      </c>
      <c r="B92" s="39"/>
      <c r="C92" s="43">
        <f>C91/C85</f>
        <v>-1.7438536306460833E-2</v>
      </c>
      <c r="D92" s="43">
        <f t="shared" ref="D92:K92" si="118">D91/D85</f>
        <v>-1.7139479905437353E-2</v>
      </c>
      <c r="E92" s="43">
        <f t="shared" si="118"/>
        <v>-1.5976933514246946E-2</v>
      </c>
      <c r="F92" s="43">
        <f t="shared" si="118"/>
        <v>-1.4381711988946807E-2</v>
      </c>
      <c r="G92" s="43">
        <f t="shared" si="118"/>
        <v>-1.2123012123012124E-2</v>
      </c>
      <c r="H92" s="43">
        <f t="shared" si="118"/>
        <v>-1.3524464190907312E-2</v>
      </c>
      <c r="I92" s="43">
        <f t="shared" si="118"/>
        <v>-1.2515540820555325E-2</v>
      </c>
      <c r="J92" s="43">
        <f t="shared" si="118"/>
        <v>-1.752777478157696E-3</v>
      </c>
      <c r="K92" s="43">
        <f t="shared" si="118"/>
        <v>-1.6811492947906206E-3</v>
      </c>
      <c r="L92" s="43"/>
      <c r="M92" s="43"/>
      <c r="N92" s="43"/>
      <c r="O92" s="43"/>
      <c r="P92" s="43"/>
      <c r="Q92" s="43"/>
      <c r="V92" s="59"/>
      <c r="W92" s="59"/>
      <c r="X92" s="59"/>
      <c r="Y92" s="59"/>
      <c r="Z92" s="59"/>
      <c r="AA92" s="59"/>
      <c r="AD92" s="39"/>
      <c r="AE92" s="39"/>
      <c r="AF92" s="40"/>
      <c r="AG92" s="40"/>
      <c r="AH92" s="40"/>
      <c r="AI92" s="40"/>
      <c r="AJ92" s="40"/>
      <c r="AK92" s="40"/>
      <c r="AL92" s="40"/>
      <c r="AM92" s="58"/>
      <c r="AN92" s="40"/>
      <c r="AQ92" s="39"/>
      <c r="AR92" s="39"/>
      <c r="AS92" s="40"/>
      <c r="AT92" s="40"/>
      <c r="AU92" s="40"/>
      <c r="AV92" s="40"/>
      <c r="AW92" s="40"/>
      <c r="AX92" s="40"/>
      <c r="AY92" s="40"/>
      <c r="AZ92" s="40"/>
      <c r="BA92" s="40"/>
      <c r="BB92" s="60"/>
    </row>
    <row r="93" spans="1:54" outlineLevel="1" x14ac:dyDescent="0.3">
      <c r="A93" s="10" t="s">
        <v>392</v>
      </c>
      <c r="B93" s="10"/>
      <c r="C93" s="13">
        <v>458</v>
      </c>
      <c r="D93" s="13">
        <v>471</v>
      </c>
      <c r="E93" s="13">
        <v>471</v>
      </c>
      <c r="F93" s="13">
        <v>459</v>
      </c>
      <c r="G93" s="13">
        <v>477</v>
      </c>
      <c r="H93" s="13">
        <v>475</v>
      </c>
      <c r="I93" s="13">
        <v>471</v>
      </c>
      <c r="J93" s="13">
        <v>60</v>
      </c>
      <c r="K93" s="13">
        <v>59</v>
      </c>
      <c r="L93" s="13"/>
      <c r="M93" s="13"/>
      <c r="N93" s="13"/>
      <c r="O93" s="13"/>
      <c r="P93" s="13"/>
      <c r="Q93" s="13"/>
      <c r="V93" s="50"/>
      <c r="W93" s="50"/>
      <c r="X93" s="50"/>
      <c r="Z93" s="50"/>
      <c r="AD93" s="10" t="s">
        <v>392</v>
      </c>
      <c r="AE93" s="10"/>
      <c r="AF93" s="13">
        <v>458</v>
      </c>
      <c r="AG93" s="13">
        <v>471</v>
      </c>
      <c r="AH93" s="13">
        <v>471</v>
      </c>
      <c r="AI93" s="13">
        <v>459</v>
      </c>
      <c r="AJ93" s="13">
        <v>477</v>
      </c>
      <c r="AK93" s="13">
        <v>475</v>
      </c>
      <c r="AL93" s="13">
        <v>471</v>
      </c>
      <c r="AM93" s="13">
        <v>60</v>
      </c>
      <c r="AN93" s="13">
        <v>59</v>
      </c>
      <c r="AQ93" s="10" t="s">
        <v>392</v>
      </c>
      <c r="AR93" s="10"/>
      <c r="AS93" s="13">
        <f t="shared" ref="AS93:BA93" si="119">C93-AF93</f>
        <v>0</v>
      </c>
      <c r="AT93" s="13">
        <f t="shared" si="119"/>
        <v>0</v>
      </c>
      <c r="AU93" s="13">
        <f t="shared" si="119"/>
        <v>0</v>
      </c>
      <c r="AV93" s="13">
        <f t="shared" si="119"/>
        <v>0</v>
      </c>
      <c r="AW93" s="13">
        <f t="shared" si="119"/>
        <v>0</v>
      </c>
      <c r="AX93" s="13">
        <f t="shared" si="119"/>
        <v>0</v>
      </c>
      <c r="AY93" s="13">
        <f t="shared" si="119"/>
        <v>0</v>
      </c>
      <c r="AZ93" s="13">
        <f t="shared" si="119"/>
        <v>0</v>
      </c>
      <c r="BA93" s="13">
        <f t="shared" si="119"/>
        <v>0</v>
      </c>
      <c r="BB93" s="54">
        <f t="shared" si="106"/>
        <v>0</v>
      </c>
    </row>
    <row r="94" spans="1:54" s="35" customFormat="1" outlineLevel="1" x14ac:dyDescent="0.3">
      <c r="A94" s="39" t="s">
        <v>413</v>
      </c>
      <c r="B94" s="39"/>
      <c r="C94" s="43">
        <f>C93/C85</f>
        <v>1.6366495140080047E-2</v>
      </c>
      <c r="D94" s="43">
        <f t="shared" ref="D94:K94" si="120">D93/D85</f>
        <v>1.6374634960367125E-2</v>
      </c>
      <c r="E94" s="43">
        <f t="shared" si="120"/>
        <v>1.5976933514246946E-2</v>
      </c>
      <c r="F94" s="43">
        <f t="shared" si="120"/>
        <v>1.4413113106826603E-2</v>
      </c>
      <c r="G94" s="43">
        <f t="shared" si="120"/>
        <v>1.2879012879012879E-2</v>
      </c>
      <c r="H94" s="43">
        <f t="shared" si="120"/>
        <v>1.3272976220415235E-2</v>
      </c>
      <c r="I94" s="43">
        <f t="shared" si="120"/>
        <v>1.3012847078325736E-2</v>
      </c>
      <c r="J94" s="43">
        <f t="shared" si="120"/>
        <v>1.6179484413763349E-3</v>
      </c>
      <c r="K94" s="43">
        <f t="shared" si="120"/>
        <v>1.2881533557486573E-3</v>
      </c>
      <c r="L94" s="43"/>
      <c r="M94" s="43"/>
      <c r="N94" s="43"/>
      <c r="O94" s="43"/>
      <c r="P94" s="43"/>
      <c r="Q94" s="43"/>
      <c r="V94" s="59"/>
      <c r="W94" s="59"/>
      <c r="X94" s="59"/>
      <c r="Y94" s="59"/>
      <c r="Z94" s="59"/>
      <c r="AA94" s="59"/>
      <c r="AD94" s="39"/>
      <c r="AE94" s="39"/>
      <c r="AF94" s="40"/>
      <c r="AG94" s="40"/>
      <c r="AH94" s="40"/>
      <c r="AI94" s="40"/>
      <c r="AJ94" s="40"/>
      <c r="AK94" s="40"/>
      <c r="AL94" s="40"/>
      <c r="AM94" s="58"/>
      <c r="AN94" s="40"/>
      <c r="AQ94" s="39"/>
      <c r="AR94" s="39"/>
      <c r="AS94" s="40"/>
      <c r="AT94" s="40"/>
      <c r="AU94" s="40"/>
      <c r="AV94" s="40"/>
      <c r="AW94" s="40"/>
      <c r="AX94" s="40"/>
      <c r="AY94" s="40"/>
      <c r="AZ94" s="40"/>
      <c r="BA94" s="40"/>
      <c r="BB94" s="60"/>
    </row>
    <row r="95" spans="1:54" outlineLevel="1" x14ac:dyDescent="0.3">
      <c r="A95" s="10" t="s">
        <v>424</v>
      </c>
      <c r="B95" s="1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V95" s="50"/>
      <c r="W95" s="50"/>
      <c r="X95" s="50"/>
      <c r="Z95" s="50"/>
      <c r="AD95" s="10" t="s">
        <v>424</v>
      </c>
      <c r="AE95" s="10"/>
      <c r="AF95" s="13"/>
      <c r="AG95" s="13"/>
      <c r="AH95" s="13"/>
      <c r="AI95" s="13"/>
      <c r="AJ95" s="13"/>
      <c r="AK95" s="13"/>
      <c r="AL95" s="13"/>
      <c r="AM95" s="13"/>
      <c r="AN95" s="13"/>
      <c r="AQ95" s="10" t="s">
        <v>424</v>
      </c>
      <c r="AR95" s="10"/>
      <c r="AS95" s="13">
        <f t="shared" ref="AS95:BA96" si="121">C95-AF95</f>
        <v>0</v>
      </c>
      <c r="AT95" s="13">
        <f t="shared" si="121"/>
        <v>0</v>
      </c>
      <c r="AU95" s="13">
        <f t="shared" si="121"/>
        <v>0</v>
      </c>
      <c r="AV95" s="13">
        <f t="shared" si="121"/>
        <v>0</v>
      </c>
      <c r="AW95" s="13">
        <f t="shared" si="121"/>
        <v>0</v>
      </c>
      <c r="AX95" s="13">
        <f t="shared" si="121"/>
        <v>0</v>
      </c>
      <c r="AY95" s="13">
        <f t="shared" si="121"/>
        <v>0</v>
      </c>
      <c r="AZ95" s="13">
        <f t="shared" si="121"/>
        <v>0</v>
      </c>
      <c r="BA95" s="13">
        <f t="shared" si="121"/>
        <v>0</v>
      </c>
      <c r="BB95" s="54">
        <f t="shared" si="106"/>
        <v>0</v>
      </c>
    </row>
    <row r="96" spans="1:54" outlineLevel="1" x14ac:dyDescent="0.3">
      <c r="A96" s="10" t="s">
        <v>381</v>
      </c>
      <c r="B96" s="10"/>
      <c r="C96" s="13">
        <v>12</v>
      </c>
      <c r="D96" s="13">
        <v>4</v>
      </c>
      <c r="E96" s="13">
        <v>9</v>
      </c>
      <c r="F96" s="13">
        <v>11</v>
      </c>
      <c r="G96" s="13">
        <v>12</v>
      </c>
      <c r="H96" s="13">
        <v>10</v>
      </c>
      <c r="I96" s="13">
        <v>7</v>
      </c>
      <c r="J96" s="13">
        <v>7</v>
      </c>
      <c r="K96" s="13">
        <v>9</v>
      </c>
      <c r="L96" s="13"/>
      <c r="M96" s="13"/>
      <c r="N96" s="13"/>
      <c r="O96" s="13"/>
      <c r="P96" s="13"/>
      <c r="Q96" s="13"/>
      <c r="V96" s="50"/>
      <c r="W96" s="50"/>
      <c r="X96" s="50"/>
      <c r="Z96" s="50"/>
      <c r="AD96" s="10" t="s">
        <v>381</v>
      </c>
      <c r="AE96" s="10"/>
      <c r="AF96" s="13">
        <v>12</v>
      </c>
      <c r="AG96" s="13">
        <v>4</v>
      </c>
      <c r="AH96" s="13">
        <v>9</v>
      </c>
      <c r="AI96" s="13">
        <v>11</v>
      </c>
      <c r="AJ96" s="13">
        <v>12</v>
      </c>
      <c r="AK96" s="13">
        <v>10</v>
      </c>
      <c r="AL96" s="13">
        <v>7</v>
      </c>
      <c r="AM96" s="13">
        <v>7</v>
      </c>
      <c r="AN96" s="13">
        <v>9</v>
      </c>
      <c r="AQ96" s="10" t="s">
        <v>381</v>
      </c>
      <c r="AR96" s="10"/>
      <c r="AS96" s="13">
        <f t="shared" si="121"/>
        <v>0</v>
      </c>
      <c r="AT96" s="13">
        <f t="shared" si="121"/>
        <v>0</v>
      </c>
      <c r="AU96" s="13">
        <f t="shared" si="121"/>
        <v>0</v>
      </c>
      <c r="AV96" s="13">
        <f t="shared" si="121"/>
        <v>0</v>
      </c>
      <c r="AW96" s="13">
        <f t="shared" si="121"/>
        <v>0</v>
      </c>
      <c r="AX96" s="13">
        <f t="shared" si="121"/>
        <v>0</v>
      </c>
      <c r="AY96" s="13">
        <f t="shared" si="121"/>
        <v>0</v>
      </c>
      <c r="AZ96" s="13">
        <f t="shared" si="121"/>
        <v>0</v>
      </c>
      <c r="BA96" s="13">
        <f t="shared" si="121"/>
        <v>0</v>
      </c>
      <c r="BB96" s="54">
        <f t="shared" si="106"/>
        <v>0</v>
      </c>
    </row>
    <row r="97" spans="1:54" s="35" customFormat="1" outlineLevel="1" x14ac:dyDescent="0.3">
      <c r="A97" s="39" t="s">
        <v>413</v>
      </c>
      <c r="B97" s="39"/>
      <c r="C97" s="43">
        <f>C96/C85</f>
        <v>4.288164665523156E-4</v>
      </c>
      <c r="D97" s="43">
        <f t="shared" ref="D97:K97" si="122">D96/D85</f>
        <v>1.3906271728549575E-4</v>
      </c>
      <c r="E97" s="43">
        <f t="shared" si="122"/>
        <v>3.0529172320217096E-4</v>
      </c>
      <c r="F97" s="43">
        <f t="shared" si="122"/>
        <v>3.4541229667776175E-4</v>
      </c>
      <c r="G97" s="43">
        <f t="shared" si="122"/>
        <v>3.2400032400032398E-4</v>
      </c>
      <c r="H97" s="43">
        <f t="shared" si="122"/>
        <v>2.7943107832453123E-4</v>
      </c>
      <c r="I97" s="43">
        <f t="shared" si="122"/>
        <v>1.9339687802182623E-4</v>
      </c>
      <c r="J97" s="43">
        <f t="shared" si="122"/>
        <v>1.8876065149390573E-4</v>
      </c>
      <c r="K97" s="43">
        <f t="shared" si="122"/>
        <v>1.964979695209816E-4</v>
      </c>
      <c r="L97" s="43"/>
      <c r="M97" s="43"/>
      <c r="N97" s="43"/>
      <c r="O97" s="43"/>
      <c r="P97" s="43"/>
      <c r="Q97" s="43"/>
      <c r="V97" s="59"/>
      <c r="W97" s="59"/>
      <c r="X97" s="59"/>
      <c r="Y97" s="59"/>
      <c r="Z97" s="59"/>
      <c r="AA97" s="59"/>
      <c r="AD97" s="39"/>
      <c r="AE97" s="39"/>
      <c r="AF97" s="40"/>
      <c r="AG97" s="40"/>
      <c r="AH97" s="40"/>
      <c r="AI97" s="40"/>
      <c r="AJ97" s="40"/>
      <c r="AK97" s="40"/>
      <c r="AL97" s="40"/>
      <c r="AM97" s="58"/>
      <c r="AN97" s="40"/>
      <c r="AQ97" s="39"/>
      <c r="AR97" s="39"/>
      <c r="AS97" s="40"/>
      <c r="AT97" s="40"/>
      <c r="AU97" s="40"/>
      <c r="AV97" s="40"/>
      <c r="AW97" s="40"/>
      <c r="AX97" s="40"/>
      <c r="AY97" s="40"/>
      <c r="AZ97" s="40"/>
      <c r="BA97" s="40"/>
      <c r="BB97" s="60"/>
    </row>
    <row r="98" spans="1:54" outlineLevel="1" x14ac:dyDescent="0.3">
      <c r="A98" s="10" t="s">
        <v>388</v>
      </c>
      <c r="B98" s="10"/>
      <c r="C98" s="13">
        <v>3550</v>
      </c>
      <c r="D98" s="13">
        <v>3685</v>
      </c>
      <c r="E98" s="13">
        <v>3706</v>
      </c>
      <c r="F98" s="13">
        <v>3682</v>
      </c>
      <c r="G98" s="13">
        <v>3902</v>
      </c>
      <c r="H98" s="13">
        <v>4075</v>
      </c>
      <c r="I98" s="13">
        <v>4162</v>
      </c>
      <c r="J98" s="13">
        <v>3632</v>
      </c>
      <c r="K98" s="13">
        <v>3962</v>
      </c>
      <c r="L98" s="13"/>
      <c r="M98" s="13"/>
      <c r="N98" s="13"/>
      <c r="O98" s="13"/>
      <c r="P98" s="13"/>
      <c r="Q98" s="13"/>
      <c r="V98" s="50"/>
      <c r="W98" s="50"/>
      <c r="X98" s="50"/>
      <c r="Z98" s="50"/>
      <c r="AD98" s="10" t="s">
        <v>388</v>
      </c>
      <c r="AE98" s="10"/>
      <c r="AF98" s="13">
        <v>3550</v>
      </c>
      <c r="AG98" s="13">
        <v>3685</v>
      </c>
      <c r="AH98" s="13">
        <v>3706</v>
      </c>
      <c r="AI98" s="13">
        <v>3682</v>
      </c>
      <c r="AJ98" s="13">
        <v>3902</v>
      </c>
      <c r="AK98" s="13">
        <v>4075</v>
      </c>
      <c r="AL98" s="13">
        <v>4162</v>
      </c>
      <c r="AM98" s="13">
        <v>3632</v>
      </c>
      <c r="AN98" s="13">
        <v>3962</v>
      </c>
      <c r="AQ98" s="10" t="s">
        <v>388</v>
      </c>
      <c r="AR98" s="10"/>
      <c r="AS98" s="13">
        <f t="shared" ref="AS98:BA98" si="123">C98-AF98</f>
        <v>0</v>
      </c>
      <c r="AT98" s="13">
        <f t="shared" si="123"/>
        <v>0</v>
      </c>
      <c r="AU98" s="13">
        <f t="shared" si="123"/>
        <v>0</v>
      </c>
      <c r="AV98" s="13">
        <f t="shared" si="123"/>
        <v>0</v>
      </c>
      <c r="AW98" s="13">
        <f t="shared" si="123"/>
        <v>0</v>
      </c>
      <c r="AX98" s="13">
        <f t="shared" si="123"/>
        <v>0</v>
      </c>
      <c r="AY98" s="13">
        <f t="shared" si="123"/>
        <v>0</v>
      </c>
      <c r="AZ98" s="13">
        <f t="shared" si="123"/>
        <v>0</v>
      </c>
      <c r="BA98" s="13">
        <f t="shared" si="123"/>
        <v>0</v>
      </c>
      <c r="BB98" s="54">
        <f t="shared" si="106"/>
        <v>0</v>
      </c>
    </row>
    <row r="99" spans="1:54" s="35" customFormat="1" outlineLevel="1" x14ac:dyDescent="0.3">
      <c r="A99" s="39" t="s">
        <v>413</v>
      </c>
      <c r="B99" s="39"/>
      <c r="C99" s="43">
        <f>C98/C85</f>
        <v>0.12685820468839337</v>
      </c>
      <c r="D99" s="43">
        <f t="shared" ref="D99:K99" si="124">D98/D85</f>
        <v>0.12811152829926298</v>
      </c>
      <c r="E99" s="43">
        <f t="shared" si="124"/>
        <v>0.12571234735413839</v>
      </c>
      <c r="F99" s="43">
        <f t="shared" si="124"/>
        <v>0.11561891603341079</v>
      </c>
      <c r="G99" s="43">
        <f t="shared" si="124"/>
        <v>0.10535410535410536</v>
      </c>
      <c r="H99" s="43">
        <f t="shared" si="124"/>
        <v>0.11386816441724648</v>
      </c>
      <c r="I99" s="43">
        <f t="shared" si="124"/>
        <v>0.11498825804669154</v>
      </c>
      <c r="J99" s="43">
        <f t="shared" si="124"/>
        <v>9.7939812317980796E-2</v>
      </c>
      <c r="K99" s="43">
        <f t="shared" si="124"/>
        <v>8.6502772804681022E-2</v>
      </c>
      <c r="L99" s="43"/>
      <c r="M99" s="43"/>
      <c r="N99" s="43"/>
      <c r="O99" s="43"/>
      <c r="P99" s="43"/>
      <c r="Q99" s="43"/>
      <c r="V99" s="59"/>
      <c r="W99" s="59"/>
      <c r="X99" s="59"/>
      <c r="Y99" s="59"/>
      <c r="Z99" s="59"/>
      <c r="AA99" s="59"/>
      <c r="AD99" s="39"/>
      <c r="AE99" s="39"/>
      <c r="AF99" s="40"/>
      <c r="AG99" s="40"/>
      <c r="AH99" s="40"/>
      <c r="AI99" s="40"/>
      <c r="AJ99" s="40"/>
      <c r="AK99" s="40"/>
      <c r="AL99" s="40"/>
      <c r="AM99" s="58"/>
      <c r="AN99" s="40"/>
      <c r="AQ99" s="39"/>
      <c r="AR99" s="39"/>
      <c r="AS99" s="40"/>
      <c r="AT99" s="40"/>
      <c r="AU99" s="40"/>
      <c r="AV99" s="40"/>
      <c r="AW99" s="40"/>
      <c r="AX99" s="40"/>
      <c r="AY99" s="40"/>
      <c r="AZ99" s="40"/>
      <c r="BA99" s="40"/>
      <c r="BB99" s="60"/>
    </row>
    <row r="100" spans="1:54" s="49" customFormat="1" outlineLevel="1" x14ac:dyDescent="0.3">
      <c r="A100" s="47" t="s">
        <v>389</v>
      </c>
      <c r="B100" s="47"/>
      <c r="C100" s="48">
        <v>24810</v>
      </c>
      <c r="D100" s="48">
        <v>25720</v>
      </c>
      <c r="E100" s="48">
        <v>26575</v>
      </c>
      <c r="F100" s="48">
        <v>28795</v>
      </c>
      <c r="G100" s="48">
        <v>33497</v>
      </c>
      <c r="H100" s="48">
        <v>32225</v>
      </c>
      <c r="I100" s="48">
        <v>32118</v>
      </c>
      <c r="J100" s="48">
        <v>33013</v>
      </c>
      <c r="K100" s="48">
        <v>42015</v>
      </c>
      <c r="L100" s="48"/>
      <c r="M100" s="48"/>
      <c r="N100" s="48"/>
      <c r="O100" s="48"/>
      <c r="P100" s="48"/>
      <c r="Q100" s="48"/>
      <c r="V100" s="55"/>
      <c r="W100" s="55"/>
      <c r="X100" s="55"/>
      <c r="Z100" s="55"/>
      <c r="AD100" s="47" t="s">
        <v>389</v>
      </c>
      <c r="AE100" s="47"/>
      <c r="AF100" s="48">
        <v>24810</v>
      </c>
      <c r="AG100" s="48">
        <v>25720</v>
      </c>
      <c r="AH100" s="48">
        <v>26575</v>
      </c>
      <c r="AI100" s="48">
        <v>28795</v>
      </c>
      <c r="AJ100" s="48">
        <v>33497</v>
      </c>
      <c r="AK100" s="48">
        <v>32225</v>
      </c>
      <c r="AL100" s="48">
        <v>32118</v>
      </c>
      <c r="AM100" s="48">
        <v>33013</v>
      </c>
      <c r="AN100" s="48">
        <v>42015</v>
      </c>
      <c r="AQ100" s="47" t="s">
        <v>389</v>
      </c>
      <c r="AR100" s="47"/>
      <c r="AS100" s="13">
        <f t="shared" ref="AS100:BA100" si="125">C100-AF100</f>
        <v>0</v>
      </c>
      <c r="AT100" s="13">
        <f t="shared" si="125"/>
        <v>0</v>
      </c>
      <c r="AU100" s="13">
        <f t="shared" si="125"/>
        <v>0</v>
      </c>
      <c r="AV100" s="13">
        <f t="shared" si="125"/>
        <v>0</v>
      </c>
      <c r="AW100" s="13">
        <f t="shared" si="125"/>
        <v>0</v>
      </c>
      <c r="AX100" s="13">
        <f t="shared" si="125"/>
        <v>0</v>
      </c>
      <c r="AY100" s="13">
        <f t="shared" si="125"/>
        <v>0</v>
      </c>
      <c r="AZ100" s="13">
        <f t="shared" si="125"/>
        <v>0</v>
      </c>
      <c r="BA100" s="13">
        <f t="shared" si="125"/>
        <v>0</v>
      </c>
      <c r="BB100" s="54">
        <f t="shared" si="106"/>
        <v>0</v>
      </c>
    </row>
    <row r="101" spans="1:54" s="35" customFormat="1" outlineLevel="1" x14ac:dyDescent="0.3">
      <c r="A101" s="39" t="s">
        <v>413</v>
      </c>
      <c r="B101" s="39"/>
      <c r="C101" s="43">
        <f>C100/C85</f>
        <v>0.88657804459691247</v>
      </c>
      <c r="D101" s="43">
        <f t="shared" ref="D101:K101" si="126">D100/D85</f>
        <v>0.89417327214573772</v>
      </c>
      <c r="E101" s="43">
        <f t="shared" si="126"/>
        <v>0.90145861601085486</v>
      </c>
      <c r="F101" s="43">
        <f t="shared" si="126"/>
        <v>0.90419518934874077</v>
      </c>
      <c r="G101" s="43">
        <f t="shared" si="126"/>
        <v>0.90441990441990439</v>
      </c>
      <c r="H101" s="43">
        <f t="shared" si="126"/>
        <v>0.90046664990080194</v>
      </c>
      <c r="I101" s="43">
        <f t="shared" si="126"/>
        <v>0.88736013261500202</v>
      </c>
      <c r="J101" s="43">
        <f t="shared" si="126"/>
        <v>0.89022219825261573</v>
      </c>
      <c r="K101" s="43">
        <f t="shared" si="126"/>
        <v>0.91731802104711579</v>
      </c>
      <c r="L101" s="43"/>
      <c r="M101" s="43"/>
      <c r="N101" s="43"/>
      <c r="O101" s="43"/>
      <c r="P101" s="43"/>
      <c r="Q101" s="43"/>
      <c r="V101" s="59"/>
      <c r="W101" s="59"/>
      <c r="X101" s="59"/>
      <c r="Y101" s="59"/>
      <c r="Z101" s="59"/>
      <c r="AA101" s="59"/>
      <c r="AD101" s="39"/>
      <c r="AE101" s="39"/>
      <c r="AF101" s="40"/>
      <c r="AG101" s="40"/>
      <c r="AH101" s="40"/>
      <c r="AI101" s="40"/>
      <c r="AJ101" s="40"/>
      <c r="AK101" s="40"/>
      <c r="AL101" s="40"/>
      <c r="AM101" s="58"/>
      <c r="AN101" s="40"/>
      <c r="AQ101" s="39"/>
      <c r="AR101" s="39"/>
      <c r="AS101" s="40"/>
      <c r="AT101" s="40"/>
      <c r="AU101" s="40"/>
      <c r="AV101" s="40"/>
      <c r="AW101" s="40"/>
      <c r="AX101" s="40"/>
      <c r="AY101" s="40"/>
      <c r="AZ101" s="40"/>
      <c r="BA101" s="40"/>
      <c r="BB101" s="60"/>
    </row>
    <row r="102" spans="1:54" s="49" customFormat="1" outlineLevel="1" x14ac:dyDescent="0.3">
      <c r="A102" s="47"/>
      <c r="B102" s="47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V102" s="55"/>
      <c r="W102" s="55"/>
      <c r="X102" s="55"/>
      <c r="Z102" s="55"/>
      <c r="AD102" s="47"/>
      <c r="AE102" s="47"/>
      <c r="AF102" s="48"/>
      <c r="AG102" s="48"/>
      <c r="AH102" s="48"/>
      <c r="AI102" s="48"/>
      <c r="AJ102" s="48"/>
      <c r="AK102" s="48"/>
      <c r="AL102" s="48"/>
      <c r="AM102" s="48"/>
      <c r="AN102" s="48"/>
      <c r="AQ102" s="47"/>
      <c r="AR102" s="47"/>
      <c r="AS102" s="13">
        <f t="shared" ref="AS102:BA103" si="127">C102-AF102</f>
        <v>0</v>
      </c>
      <c r="AT102" s="13">
        <f t="shared" si="127"/>
        <v>0</v>
      </c>
      <c r="AU102" s="13">
        <f t="shared" si="127"/>
        <v>0</v>
      </c>
      <c r="AV102" s="13">
        <f t="shared" si="127"/>
        <v>0</v>
      </c>
      <c r="AW102" s="13">
        <f t="shared" si="127"/>
        <v>0</v>
      </c>
      <c r="AX102" s="13">
        <f t="shared" si="127"/>
        <v>0</v>
      </c>
      <c r="AY102" s="13">
        <f t="shared" si="127"/>
        <v>0</v>
      </c>
      <c r="AZ102" s="13">
        <f t="shared" si="127"/>
        <v>0</v>
      </c>
      <c r="BA102" s="13">
        <f t="shared" si="127"/>
        <v>0</v>
      </c>
      <c r="BB102" s="54">
        <f t="shared" si="106"/>
        <v>0</v>
      </c>
    </row>
    <row r="103" spans="1:54" s="49" customFormat="1" outlineLevel="1" x14ac:dyDescent="0.3">
      <c r="A103" s="51" t="s">
        <v>379</v>
      </c>
      <c r="B103" s="51"/>
      <c r="C103" s="52">
        <f t="shared" ref="C103:K103" si="128">C85-C100</f>
        <v>3174</v>
      </c>
      <c r="D103" s="52">
        <f t="shared" si="128"/>
        <v>3044</v>
      </c>
      <c r="E103" s="52">
        <f t="shared" si="128"/>
        <v>2905</v>
      </c>
      <c r="F103" s="52">
        <f t="shared" si="128"/>
        <v>3051</v>
      </c>
      <c r="G103" s="52">
        <f t="shared" si="128"/>
        <v>3540</v>
      </c>
      <c r="H103" s="52">
        <f t="shared" si="128"/>
        <v>3562</v>
      </c>
      <c r="I103" s="52">
        <f t="shared" si="128"/>
        <v>4077</v>
      </c>
      <c r="J103" s="52">
        <f t="shared" si="128"/>
        <v>4071</v>
      </c>
      <c r="K103" s="52">
        <f t="shared" si="128"/>
        <v>3787</v>
      </c>
      <c r="L103" s="52"/>
      <c r="M103" s="52"/>
      <c r="N103" s="52"/>
      <c r="O103" s="52"/>
      <c r="P103" s="52"/>
      <c r="Q103" s="52"/>
      <c r="AD103" s="51" t="s">
        <v>379</v>
      </c>
      <c r="AE103" s="51"/>
      <c r="AF103" s="52">
        <v>3174</v>
      </c>
      <c r="AG103" s="52">
        <v>3044</v>
      </c>
      <c r="AH103" s="52">
        <v>2905</v>
      </c>
      <c r="AI103" s="52">
        <v>3051</v>
      </c>
      <c r="AJ103" s="52">
        <v>3540</v>
      </c>
      <c r="AK103" s="52">
        <v>3562</v>
      </c>
      <c r="AL103" s="52">
        <v>4077</v>
      </c>
      <c r="AM103" s="52">
        <v>4071</v>
      </c>
      <c r="AN103" s="52">
        <v>3787</v>
      </c>
      <c r="AQ103" s="51" t="s">
        <v>379</v>
      </c>
      <c r="AR103" s="51"/>
      <c r="AS103" s="13">
        <f t="shared" si="127"/>
        <v>0</v>
      </c>
      <c r="AT103" s="13">
        <f t="shared" si="127"/>
        <v>0</v>
      </c>
      <c r="AU103" s="13">
        <f t="shared" si="127"/>
        <v>0</v>
      </c>
      <c r="AV103" s="13">
        <f t="shared" si="127"/>
        <v>0</v>
      </c>
      <c r="AW103" s="13">
        <f t="shared" si="127"/>
        <v>0</v>
      </c>
      <c r="AX103" s="13">
        <f t="shared" si="127"/>
        <v>0</v>
      </c>
      <c r="AY103" s="13">
        <f t="shared" si="127"/>
        <v>0</v>
      </c>
      <c r="AZ103" s="13">
        <f t="shared" si="127"/>
        <v>0</v>
      </c>
      <c r="BA103" s="13">
        <f t="shared" si="127"/>
        <v>0</v>
      </c>
      <c r="BB103" s="54">
        <f t="shared" si="106"/>
        <v>0</v>
      </c>
    </row>
    <row r="104" spans="1:54" s="35" customFormat="1" outlineLevel="1" x14ac:dyDescent="0.3">
      <c r="A104" s="39" t="s">
        <v>413</v>
      </c>
      <c r="B104" s="39"/>
      <c r="C104" s="43">
        <f>C103/C85</f>
        <v>0.11342195540308748</v>
      </c>
      <c r="D104" s="43">
        <f t="shared" ref="D104:K104" si="129">D103/D85</f>
        <v>0.10582672785426227</v>
      </c>
      <c r="E104" s="43">
        <f t="shared" si="129"/>
        <v>9.8541383989145179E-2</v>
      </c>
      <c r="F104" s="43">
        <f t="shared" si="129"/>
        <v>9.580481065125919E-2</v>
      </c>
      <c r="G104" s="43">
        <f t="shared" si="129"/>
        <v>9.5580095580095586E-2</v>
      </c>
      <c r="H104" s="43">
        <f t="shared" si="129"/>
        <v>9.9533350099198031E-2</v>
      </c>
      <c r="I104" s="43">
        <f t="shared" si="129"/>
        <v>0.11263986738499793</v>
      </c>
      <c r="J104" s="43">
        <f t="shared" si="129"/>
        <v>0.10977780174738432</v>
      </c>
      <c r="K104" s="43">
        <f t="shared" si="129"/>
        <v>8.268197895288415E-2</v>
      </c>
      <c r="L104" s="43"/>
      <c r="M104" s="43"/>
      <c r="N104" s="43"/>
      <c r="O104" s="43"/>
      <c r="P104" s="43"/>
      <c r="Q104" s="43"/>
      <c r="V104" s="59"/>
      <c r="W104" s="59"/>
      <c r="X104" s="59"/>
      <c r="Y104" s="59"/>
      <c r="Z104" s="59"/>
      <c r="AA104" s="59"/>
      <c r="AD104" s="39"/>
      <c r="AE104" s="39"/>
      <c r="AF104" s="40"/>
      <c r="AG104" s="40"/>
      <c r="AH104" s="40"/>
      <c r="AI104" s="40"/>
      <c r="AJ104" s="40"/>
      <c r="AK104" s="40"/>
      <c r="AL104" s="40"/>
      <c r="AM104" s="58"/>
      <c r="AN104" s="40"/>
      <c r="AQ104" s="39"/>
      <c r="AR104" s="39"/>
      <c r="AS104" s="40"/>
      <c r="AT104" s="40"/>
      <c r="AU104" s="40"/>
      <c r="AV104" s="40"/>
      <c r="AW104" s="40"/>
      <c r="AX104" s="40"/>
      <c r="AY104" s="40"/>
      <c r="AZ104" s="40"/>
      <c r="BA104" s="40"/>
      <c r="BB104" s="60"/>
    </row>
    <row r="105" spans="1:54" s="49" customFormat="1" outlineLevel="1" x14ac:dyDescent="0.3">
      <c r="A105" s="47"/>
      <c r="B105" s="47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AD105" s="47"/>
      <c r="AE105" s="47"/>
      <c r="AF105" s="48"/>
      <c r="AG105" s="48"/>
      <c r="AH105" s="48"/>
      <c r="AI105" s="48"/>
      <c r="AJ105" s="48"/>
      <c r="AK105" s="48"/>
      <c r="AL105" s="48"/>
      <c r="AM105" s="48"/>
      <c r="AN105" s="48"/>
      <c r="AQ105" s="47"/>
      <c r="AR105" s="47"/>
      <c r="AS105" s="13">
        <f t="shared" ref="AS105:BA106" si="130">C105-AF105</f>
        <v>0</v>
      </c>
      <c r="AT105" s="13">
        <f t="shared" si="130"/>
        <v>0</v>
      </c>
      <c r="AU105" s="13">
        <f t="shared" si="130"/>
        <v>0</v>
      </c>
      <c r="AV105" s="13">
        <f t="shared" si="130"/>
        <v>0</v>
      </c>
      <c r="AW105" s="13">
        <f t="shared" si="130"/>
        <v>0</v>
      </c>
      <c r="AX105" s="13">
        <f t="shared" si="130"/>
        <v>0</v>
      </c>
      <c r="AY105" s="13">
        <f t="shared" si="130"/>
        <v>0</v>
      </c>
      <c r="AZ105" s="13">
        <f t="shared" si="130"/>
        <v>0</v>
      </c>
      <c r="BA105" s="13">
        <f t="shared" si="130"/>
        <v>0</v>
      </c>
      <c r="BB105" s="54">
        <f t="shared" si="106"/>
        <v>0</v>
      </c>
    </row>
    <row r="106" spans="1:54" outlineLevel="1" x14ac:dyDescent="0.3">
      <c r="A106" s="10" t="s">
        <v>382</v>
      </c>
      <c r="B106" s="10"/>
      <c r="C106" s="13">
        <v>1073</v>
      </c>
      <c r="D106" s="13">
        <v>1040</v>
      </c>
      <c r="E106" s="13">
        <v>988</v>
      </c>
      <c r="F106" s="13">
        <v>1024</v>
      </c>
      <c r="G106" s="13">
        <v>736</v>
      </c>
      <c r="H106" s="13">
        <v>724</v>
      </c>
      <c r="I106" s="13">
        <v>853</v>
      </c>
      <c r="J106" s="13">
        <v>850</v>
      </c>
      <c r="K106" s="13">
        <v>791</v>
      </c>
      <c r="L106" s="13"/>
      <c r="M106" s="13"/>
      <c r="N106" s="13"/>
      <c r="O106" s="13"/>
      <c r="P106" s="13"/>
      <c r="Q106" s="13"/>
      <c r="V106" s="50"/>
      <c r="W106" s="50"/>
      <c r="X106" s="50"/>
      <c r="Z106" s="50"/>
      <c r="AD106" s="10" t="s">
        <v>382</v>
      </c>
      <c r="AE106" s="10"/>
      <c r="AF106" s="13">
        <v>1073</v>
      </c>
      <c r="AG106" s="13">
        <v>1040</v>
      </c>
      <c r="AH106" s="13">
        <v>988</v>
      </c>
      <c r="AI106" s="13">
        <v>1024</v>
      </c>
      <c r="AJ106" s="13">
        <v>736</v>
      </c>
      <c r="AK106" s="13">
        <v>724</v>
      </c>
      <c r="AL106" s="13">
        <v>853</v>
      </c>
      <c r="AM106" s="13">
        <v>850</v>
      </c>
      <c r="AN106" s="13">
        <v>791</v>
      </c>
      <c r="AQ106" s="10" t="s">
        <v>382</v>
      </c>
      <c r="AR106" s="10"/>
      <c r="AS106" s="13">
        <f t="shared" si="130"/>
        <v>0</v>
      </c>
      <c r="AT106" s="13">
        <f t="shared" si="130"/>
        <v>0</v>
      </c>
      <c r="AU106" s="13">
        <f t="shared" si="130"/>
        <v>0</v>
      </c>
      <c r="AV106" s="13">
        <f t="shared" si="130"/>
        <v>0</v>
      </c>
      <c r="AW106" s="13">
        <f t="shared" si="130"/>
        <v>0</v>
      </c>
      <c r="AX106" s="13">
        <f t="shared" si="130"/>
        <v>0</v>
      </c>
      <c r="AY106" s="13">
        <f t="shared" si="130"/>
        <v>0</v>
      </c>
      <c r="AZ106" s="13">
        <f t="shared" si="130"/>
        <v>0</v>
      </c>
      <c r="BA106" s="13">
        <f t="shared" si="130"/>
        <v>0</v>
      </c>
      <c r="BB106" s="54">
        <f t="shared" si="106"/>
        <v>0</v>
      </c>
    </row>
    <row r="107" spans="1:54" s="35" customFormat="1" outlineLevel="1" x14ac:dyDescent="0.3">
      <c r="A107" s="39" t="s">
        <v>414</v>
      </c>
      <c r="B107" s="39"/>
      <c r="C107" s="43">
        <f>C106/C103</f>
        <v>0.33805923125393827</v>
      </c>
      <c r="D107" s="43">
        <f t="shared" ref="D107:K107" si="131">D106/D103</f>
        <v>0.34165571616294349</v>
      </c>
      <c r="E107" s="43">
        <f t="shared" si="131"/>
        <v>0.34010327022375214</v>
      </c>
      <c r="F107" s="43">
        <f t="shared" si="131"/>
        <v>0.33562766306129138</v>
      </c>
      <c r="G107" s="43">
        <f t="shared" si="131"/>
        <v>0.207909604519774</v>
      </c>
      <c r="H107" s="43">
        <f t="shared" si="131"/>
        <v>0.20325659741718136</v>
      </c>
      <c r="I107" s="43">
        <f t="shared" si="131"/>
        <v>0.20922246750061319</v>
      </c>
      <c r="J107" s="43">
        <f t="shared" si="131"/>
        <v>0.20879390813068041</v>
      </c>
      <c r="K107" s="43">
        <f t="shared" si="131"/>
        <v>0.20887245841035121</v>
      </c>
      <c r="L107" s="43"/>
      <c r="M107" s="43"/>
      <c r="N107" s="43"/>
      <c r="O107" s="43"/>
      <c r="P107" s="43"/>
      <c r="Q107" s="43"/>
      <c r="V107" s="59"/>
      <c r="W107" s="59"/>
      <c r="X107" s="59"/>
      <c r="Y107" s="59"/>
      <c r="Z107" s="59"/>
      <c r="AA107" s="59"/>
      <c r="AD107" s="39"/>
      <c r="AE107" s="39"/>
      <c r="AF107" s="40"/>
      <c r="AG107" s="40"/>
      <c r="AH107" s="40"/>
      <c r="AI107" s="40"/>
      <c r="AJ107" s="40"/>
      <c r="AK107" s="40"/>
      <c r="AL107" s="40"/>
      <c r="AM107" s="58"/>
      <c r="AN107" s="40"/>
      <c r="AQ107" s="39"/>
      <c r="AR107" s="39"/>
      <c r="AS107" s="40"/>
      <c r="AT107" s="40"/>
      <c r="AU107" s="40"/>
      <c r="AV107" s="40"/>
      <c r="AW107" s="40"/>
      <c r="AX107" s="40"/>
      <c r="AY107" s="40"/>
      <c r="AZ107" s="40"/>
      <c r="BA107" s="40"/>
      <c r="BB107" s="60"/>
    </row>
    <row r="108" spans="1:54" s="49" customFormat="1" outlineLevel="1" x14ac:dyDescent="0.3">
      <c r="A108" s="47" t="s">
        <v>377</v>
      </c>
      <c r="B108" s="47"/>
      <c r="C108" s="48">
        <f>C103-C106</f>
        <v>2101</v>
      </c>
      <c r="D108" s="48">
        <f t="shared" ref="D108:K108" si="132">D103-D106</f>
        <v>2004</v>
      </c>
      <c r="E108" s="48">
        <f t="shared" si="132"/>
        <v>1917</v>
      </c>
      <c r="F108" s="48">
        <f t="shared" si="132"/>
        <v>2027</v>
      </c>
      <c r="G108" s="48">
        <f t="shared" si="132"/>
        <v>2804</v>
      </c>
      <c r="H108" s="48">
        <f t="shared" si="132"/>
        <v>2838</v>
      </c>
      <c r="I108" s="48">
        <f t="shared" si="132"/>
        <v>3224</v>
      </c>
      <c r="J108" s="48">
        <f t="shared" si="132"/>
        <v>3221</v>
      </c>
      <c r="K108" s="48">
        <f t="shared" si="132"/>
        <v>2996</v>
      </c>
      <c r="L108" s="48"/>
      <c r="M108" s="48"/>
      <c r="N108" s="48"/>
      <c r="O108" s="48"/>
      <c r="P108" s="48"/>
      <c r="Q108" s="48"/>
      <c r="AD108" s="47" t="s">
        <v>377</v>
      </c>
      <c r="AE108" s="47"/>
      <c r="AF108" s="48">
        <v>2101</v>
      </c>
      <c r="AG108" s="48">
        <v>2004</v>
      </c>
      <c r="AH108" s="48">
        <v>1917</v>
      </c>
      <c r="AI108" s="48">
        <v>2027</v>
      </c>
      <c r="AJ108" s="48">
        <v>2804</v>
      </c>
      <c r="AK108" s="48">
        <v>2838</v>
      </c>
      <c r="AL108" s="48">
        <v>3224</v>
      </c>
      <c r="AM108" s="48">
        <v>3221</v>
      </c>
      <c r="AN108" s="48">
        <v>2996</v>
      </c>
      <c r="AQ108" s="47" t="s">
        <v>377</v>
      </c>
      <c r="AR108" s="47"/>
      <c r="AS108" s="13">
        <f t="shared" ref="AS108:BA108" si="133">C108-AF108</f>
        <v>0</v>
      </c>
      <c r="AT108" s="13">
        <f t="shared" si="133"/>
        <v>0</v>
      </c>
      <c r="AU108" s="13">
        <f t="shared" si="133"/>
        <v>0</v>
      </c>
      <c r="AV108" s="13">
        <f t="shared" si="133"/>
        <v>0</v>
      </c>
      <c r="AW108" s="13">
        <f t="shared" si="133"/>
        <v>0</v>
      </c>
      <c r="AX108" s="13">
        <f t="shared" si="133"/>
        <v>0</v>
      </c>
      <c r="AY108" s="13">
        <f t="shared" si="133"/>
        <v>0</v>
      </c>
      <c r="AZ108" s="13">
        <f t="shared" si="133"/>
        <v>0</v>
      </c>
      <c r="BA108" s="13">
        <f t="shared" si="133"/>
        <v>0</v>
      </c>
      <c r="BB108" s="54">
        <f t="shared" si="106"/>
        <v>0</v>
      </c>
    </row>
    <row r="109" spans="1:54" s="35" customFormat="1" outlineLevel="1" x14ac:dyDescent="0.3">
      <c r="A109" s="39" t="s">
        <v>413</v>
      </c>
      <c r="B109" s="39"/>
      <c r="C109" s="43">
        <f>C108/C85</f>
        <v>7.5078616352201255E-2</v>
      </c>
      <c r="D109" s="43">
        <f t="shared" ref="D109:K109" si="134">D108/D85</f>
        <v>6.9670421360033374E-2</v>
      </c>
      <c r="E109" s="43">
        <f t="shared" si="134"/>
        <v>6.5027137042062422E-2</v>
      </c>
      <c r="F109" s="43">
        <f t="shared" si="134"/>
        <v>6.3650065942347553E-2</v>
      </c>
      <c r="G109" s="43">
        <f t="shared" si="134"/>
        <v>7.5708075708075709E-2</v>
      </c>
      <c r="H109" s="43">
        <f t="shared" si="134"/>
        <v>7.9302540028501969E-2</v>
      </c>
      <c r="I109" s="43">
        <f t="shared" si="134"/>
        <v>8.9073076391766814E-2</v>
      </c>
      <c r="J109" s="43">
        <f t="shared" si="134"/>
        <v>8.6856865494552904E-2</v>
      </c>
      <c r="K109" s="43">
        <f t="shared" si="134"/>
        <v>6.5411990742762327E-2</v>
      </c>
      <c r="L109" s="43"/>
      <c r="M109" s="43"/>
      <c r="N109" s="43"/>
      <c r="O109" s="43"/>
      <c r="P109" s="43"/>
      <c r="Q109" s="43"/>
      <c r="V109" s="59"/>
      <c r="W109" s="59"/>
      <c r="X109" s="59"/>
      <c r="Y109" s="59"/>
      <c r="Z109" s="59"/>
      <c r="AA109" s="59"/>
      <c r="AD109" s="39"/>
      <c r="AE109" s="39"/>
      <c r="AF109" s="40"/>
      <c r="AG109" s="40"/>
      <c r="AH109" s="40"/>
      <c r="AI109" s="40"/>
      <c r="AJ109" s="40"/>
      <c r="AK109" s="40"/>
      <c r="AL109" s="40"/>
      <c r="AM109" s="58"/>
      <c r="AN109" s="40"/>
      <c r="AQ109" s="39"/>
      <c r="AR109" s="39"/>
      <c r="AS109" s="40"/>
      <c r="AT109" s="40"/>
      <c r="AU109" s="40"/>
      <c r="AV109" s="40"/>
      <c r="AW109" s="40"/>
      <c r="AX109" s="40"/>
      <c r="AY109" s="40"/>
      <c r="AZ109" s="40"/>
      <c r="BA109" s="40"/>
      <c r="BB109" s="60"/>
    </row>
    <row r="110" spans="1:54" x14ac:dyDescent="0.3">
      <c r="A110" s="6" t="s">
        <v>372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AD110" s="6" t="s">
        <v>372</v>
      </c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Q110" s="6" t="s">
        <v>372</v>
      </c>
      <c r="AR110" s="17"/>
      <c r="AS110" s="13">
        <f t="shared" ref="AS110:BA111" si="135">C110-AF110</f>
        <v>0</v>
      </c>
      <c r="AT110" s="13">
        <f t="shared" si="135"/>
        <v>0</v>
      </c>
      <c r="AU110" s="13">
        <f t="shared" si="135"/>
        <v>0</v>
      </c>
      <c r="AV110" s="13">
        <f t="shared" si="135"/>
        <v>0</v>
      </c>
      <c r="AW110" s="13">
        <f t="shared" si="135"/>
        <v>0</v>
      </c>
      <c r="AX110" s="13">
        <f t="shared" si="135"/>
        <v>0</v>
      </c>
      <c r="AY110" s="13">
        <f t="shared" si="135"/>
        <v>0</v>
      </c>
      <c r="AZ110" s="13">
        <f t="shared" si="135"/>
        <v>0</v>
      </c>
      <c r="BA110" s="13">
        <f t="shared" si="135"/>
        <v>0</v>
      </c>
      <c r="BB110" s="54">
        <f t="shared" si="106"/>
        <v>0</v>
      </c>
    </row>
    <row r="111" spans="1:54" outlineLevel="1" x14ac:dyDescent="0.3">
      <c r="A111" s="10" t="s">
        <v>378</v>
      </c>
      <c r="B111" s="10"/>
      <c r="C111" s="44">
        <f>'By Segment'!D12</f>
        <v>7566</v>
      </c>
      <c r="D111" s="44">
        <v>6937</v>
      </c>
      <c r="E111" s="44">
        <f>'By Segment'!F12</f>
        <v>6902</v>
      </c>
      <c r="F111" s="44">
        <f>'By Segment'!G12</f>
        <v>6755</v>
      </c>
      <c r="G111" s="44">
        <f>'By Segment'!H12</f>
        <v>6766</v>
      </c>
      <c r="H111" s="44">
        <f>'By Segment'!I12</f>
        <v>6632</v>
      </c>
      <c r="I111" s="44">
        <f>'By Segment'!J12</f>
        <v>6571</v>
      </c>
      <c r="J111" s="13">
        <f>'By Segment'!K12</f>
        <v>6421</v>
      </c>
      <c r="K111" s="13">
        <f>'By Segment'!L12</f>
        <v>5568</v>
      </c>
      <c r="L111" s="13">
        <f>K111*(1+L112)</f>
        <v>5496.9658028764225</v>
      </c>
      <c r="M111" s="13">
        <f t="shared" ref="M111:Q111" si="136">L111*(1+M112)</f>
        <v>5462.8512878662204</v>
      </c>
      <c r="N111" s="13">
        <f t="shared" si="136"/>
        <v>5464.7384456649388</v>
      </c>
      <c r="O111" s="13">
        <f t="shared" si="136"/>
        <v>5502.428575117935</v>
      </c>
      <c r="P111" s="13">
        <f t="shared" si="136"/>
        <v>5576.4278994152482</v>
      </c>
      <c r="Q111" s="13">
        <f t="shared" si="136"/>
        <v>5687.956457403553</v>
      </c>
      <c r="AD111" s="10" t="s">
        <v>378</v>
      </c>
      <c r="AE111" s="10"/>
      <c r="AF111" s="44">
        <v>7566</v>
      </c>
      <c r="AG111" s="44">
        <v>6937</v>
      </c>
      <c r="AH111" s="44">
        <v>6902</v>
      </c>
      <c r="AI111" s="44">
        <v>6755</v>
      </c>
      <c r="AJ111" s="44">
        <v>6766</v>
      </c>
      <c r="AK111" s="44">
        <v>6632</v>
      </c>
      <c r="AL111" s="44">
        <v>6571</v>
      </c>
      <c r="AM111" s="44">
        <v>6421</v>
      </c>
      <c r="AN111" s="44">
        <v>5568</v>
      </c>
      <c r="AQ111" s="10" t="s">
        <v>378</v>
      </c>
      <c r="AR111" s="10"/>
      <c r="AS111" s="13">
        <f t="shared" si="135"/>
        <v>0</v>
      </c>
      <c r="AT111" s="13">
        <f t="shared" si="135"/>
        <v>0</v>
      </c>
      <c r="AU111" s="13">
        <f t="shared" si="135"/>
        <v>0</v>
      </c>
      <c r="AV111" s="13">
        <f t="shared" si="135"/>
        <v>0</v>
      </c>
      <c r="AW111" s="13">
        <f t="shared" si="135"/>
        <v>0</v>
      </c>
      <c r="AX111" s="13">
        <f t="shared" si="135"/>
        <v>0</v>
      </c>
      <c r="AY111" s="13">
        <f t="shared" si="135"/>
        <v>0</v>
      </c>
      <c r="AZ111" s="13">
        <f t="shared" si="135"/>
        <v>0</v>
      </c>
      <c r="BA111" s="13">
        <f t="shared" si="135"/>
        <v>0</v>
      </c>
      <c r="BB111" s="54">
        <f t="shared" si="106"/>
        <v>0</v>
      </c>
    </row>
    <row r="112" spans="1:54" s="35" customFormat="1" outlineLevel="1" x14ac:dyDescent="0.3">
      <c r="A112" s="39" t="s">
        <v>412</v>
      </c>
      <c r="B112" s="39"/>
      <c r="C112" s="40"/>
      <c r="D112" s="43">
        <f>D111/C111-1</f>
        <v>-8.3135077980438843E-2</v>
      </c>
      <c r="E112" s="43">
        <f t="shared" ref="E112" si="137">E111/D111-1</f>
        <v>-5.0454086781028806E-3</v>
      </c>
      <c r="F112" s="43">
        <f t="shared" ref="F112" si="138">F111/E111-1</f>
        <v>-2.1298174442190621E-2</v>
      </c>
      <c r="G112" s="43">
        <f t="shared" ref="G112" si="139">G111/F111-1</f>
        <v>1.6284233900814016E-3</v>
      </c>
      <c r="H112" s="43">
        <f t="shared" ref="H112" si="140">H111/G111-1</f>
        <v>-1.9804906887378015E-2</v>
      </c>
      <c r="I112" s="43">
        <f t="shared" ref="I112" si="141">I111/H111-1</f>
        <v>-9.1978287092883138E-3</v>
      </c>
      <c r="J112" s="43">
        <f t="shared" ref="J112" si="142">J111/I111-1</f>
        <v>-2.2827575711459436E-2</v>
      </c>
      <c r="K112" s="43">
        <f t="shared" ref="K112" si="143">K111/J111-1</f>
        <v>-0.13284535119140317</v>
      </c>
      <c r="L112" s="43">
        <f>AVERAGE(E112:J112)</f>
        <v>-1.2757578506389644E-2</v>
      </c>
      <c r="M112" s="43">
        <f>L112+$S$112</f>
        <v>-6.2060628051117143E-3</v>
      </c>
      <c r="N112" s="43">
        <f t="shared" ref="N112:Q112" si="144">M112+$S$112</f>
        <v>3.4545289616621545E-4</v>
      </c>
      <c r="O112" s="43">
        <f t="shared" si="144"/>
        <v>6.8969685974441452E-3</v>
      </c>
      <c r="P112" s="43">
        <f t="shared" si="144"/>
        <v>1.3448484298722075E-2</v>
      </c>
      <c r="Q112" s="43">
        <f t="shared" si="144"/>
        <v>2.0000000000000004E-2</v>
      </c>
      <c r="R112" s="250">
        <v>0.02</v>
      </c>
      <c r="S112" s="35">
        <f>(R112-L112)/5</f>
        <v>6.5515157012779298E-3</v>
      </c>
      <c r="V112" s="59"/>
      <c r="W112" s="59"/>
      <c r="X112" s="59"/>
      <c r="Y112" s="59"/>
      <c r="Z112" s="59"/>
      <c r="AA112" s="59"/>
      <c r="AD112" s="39"/>
      <c r="AE112" s="39"/>
      <c r="AF112" s="40"/>
      <c r="AG112" s="40"/>
      <c r="AH112" s="40"/>
      <c r="AI112" s="40"/>
      <c r="AJ112" s="40"/>
      <c r="AK112" s="40"/>
      <c r="AL112" s="40"/>
      <c r="AM112" s="58"/>
      <c r="AN112" s="40"/>
      <c r="AQ112" s="39"/>
      <c r="AR112" s="39"/>
      <c r="AS112" s="40"/>
      <c r="AT112" s="40"/>
      <c r="AU112" s="40"/>
      <c r="AV112" s="40"/>
      <c r="AW112" s="40"/>
      <c r="AX112" s="40"/>
      <c r="AY112" s="40"/>
      <c r="AZ112" s="40"/>
      <c r="BA112" s="40"/>
      <c r="BB112" s="60"/>
    </row>
    <row r="113" spans="1:54" outlineLevel="1" x14ac:dyDescent="0.3">
      <c r="A113" s="10" t="s">
        <v>422</v>
      </c>
      <c r="B113" s="10"/>
      <c r="C113" s="44">
        <f t="shared" ref="C113:J113" si="145">C121-C111-C115-C117</f>
        <v>1693</v>
      </c>
      <c r="D113" s="44">
        <f t="shared" si="145"/>
        <v>1542</v>
      </c>
      <c r="E113" s="44">
        <v>1487</v>
      </c>
      <c r="F113" s="44">
        <f t="shared" si="145"/>
        <v>1584</v>
      </c>
      <c r="G113" s="44">
        <f t="shared" si="145"/>
        <v>1630</v>
      </c>
      <c r="H113" s="44">
        <f t="shared" si="145"/>
        <v>1674</v>
      </c>
      <c r="I113" s="44">
        <f t="shared" si="145"/>
        <v>1892</v>
      </c>
      <c r="J113" s="13">
        <f t="shared" si="145"/>
        <v>1814</v>
      </c>
      <c r="K113" s="13">
        <f>K121-K111-K115-K117</f>
        <v>1840</v>
      </c>
      <c r="L113" s="13"/>
      <c r="M113" s="13"/>
      <c r="N113" s="13"/>
      <c r="O113" s="13"/>
      <c r="P113" s="13"/>
      <c r="Q113" s="13"/>
      <c r="AD113" s="10" t="s">
        <v>422</v>
      </c>
      <c r="AE113" s="10"/>
      <c r="AF113" s="44">
        <v>1693</v>
      </c>
      <c r="AG113" s="44">
        <v>1542</v>
      </c>
      <c r="AH113" s="44">
        <v>1487</v>
      </c>
      <c r="AI113" s="44">
        <v>1584</v>
      </c>
      <c r="AJ113" s="44">
        <v>1630</v>
      </c>
      <c r="AK113" s="44">
        <v>1674</v>
      </c>
      <c r="AL113" s="44">
        <v>1892</v>
      </c>
      <c r="AM113" s="44">
        <v>1814</v>
      </c>
      <c r="AN113" s="44">
        <v>1840</v>
      </c>
      <c r="AQ113" s="10" t="s">
        <v>422</v>
      </c>
      <c r="AR113" s="10"/>
      <c r="AS113" s="13">
        <f t="shared" ref="AS113:BA113" si="146">C113-AF113</f>
        <v>0</v>
      </c>
      <c r="AT113" s="13">
        <f t="shared" si="146"/>
        <v>0</v>
      </c>
      <c r="AU113" s="13">
        <f t="shared" si="146"/>
        <v>0</v>
      </c>
      <c r="AV113" s="13">
        <f t="shared" si="146"/>
        <v>0</v>
      </c>
      <c r="AW113" s="13">
        <f t="shared" si="146"/>
        <v>0</v>
      </c>
      <c r="AX113" s="13">
        <f t="shared" si="146"/>
        <v>0</v>
      </c>
      <c r="AY113" s="13">
        <f t="shared" si="146"/>
        <v>0</v>
      </c>
      <c r="AZ113" s="13">
        <f t="shared" si="146"/>
        <v>0</v>
      </c>
      <c r="BA113" s="13">
        <f t="shared" si="146"/>
        <v>0</v>
      </c>
      <c r="BB113" s="54">
        <f t="shared" si="106"/>
        <v>0</v>
      </c>
    </row>
    <row r="114" spans="1:54" s="35" customFormat="1" outlineLevel="1" x14ac:dyDescent="0.3">
      <c r="A114" s="39" t="s">
        <v>435</v>
      </c>
      <c r="B114" s="39"/>
      <c r="C114" s="43">
        <f>C113/C111</f>
        <v>0.22376420830029078</v>
      </c>
      <c r="D114" s="43">
        <f t="shared" ref="D114" si="147">D113/D111</f>
        <v>0.22228629090384894</v>
      </c>
      <c r="E114" s="43">
        <f t="shared" ref="E114" si="148">E113/E111</f>
        <v>0.21544479860909882</v>
      </c>
      <c r="F114" s="43">
        <f t="shared" ref="F114" si="149">F113/F111</f>
        <v>0.23449296817172466</v>
      </c>
      <c r="G114" s="43">
        <f t="shared" ref="G114" si="150">G113/G111</f>
        <v>0.24091043452556901</v>
      </c>
      <c r="H114" s="43">
        <f t="shared" ref="H114" si="151">H113/H111</f>
        <v>0.25241254523522316</v>
      </c>
      <c r="I114" s="43">
        <f t="shared" ref="I114" si="152">I113/I111</f>
        <v>0.28793182164054176</v>
      </c>
      <c r="J114" s="43">
        <f t="shared" ref="J114" si="153">J113/J111</f>
        <v>0.28251051238124902</v>
      </c>
      <c r="K114" s="43">
        <f t="shared" ref="K114" si="154">K113/K111</f>
        <v>0.33045977011494254</v>
      </c>
      <c r="L114" s="43"/>
      <c r="M114" s="43"/>
      <c r="N114" s="43"/>
      <c r="O114" s="43"/>
      <c r="P114" s="43"/>
      <c r="Q114" s="43"/>
      <c r="V114" s="59"/>
      <c r="W114" s="59"/>
      <c r="X114" s="59"/>
      <c r="Y114" s="59"/>
      <c r="Z114" s="59"/>
      <c r="AA114" s="59"/>
      <c r="AD114" s="39"/>
      <c r="AE114" s="39"/>
      <c r="AF114" s="40"/>
      <c r="AG114" s="40"/>
      <c r="AH114" s="40"/>
      <c r="AI114" s="40"/>
      <c r="AJ114" s="40"/>
      <c r="AK114" s="40"/>
      <c r="AL114" s="40"/>
      <c r="AM114" s="58"/>
      <c r="AN114" s="40"/>
      <c r="AQ114" s="39"/>
      <c r="AR114" s="39"/>
      <c r="AS114" s="40"/>
      <c r="AT114" s="40"/>
      <c r="AU114" s="40"/>
      <c r="AV114" s="40"/>
      <c r="AW114" s="40"/>
      <c r="AX114" s="40"/>
      <c r="AY114" s="40"/>
      <c r="AZ114" s="40"/>
      <c r="BA114" s="40"/>
      <c r="BB114" s="60"/>
    </row>
    <row r="115" spans="1:54" outlineLevel="1" x14ac:dyDescent="0.3">
      <c r="A115" s="10" t="s">
        <v>384</v>
      </c>
      <c r="B115" s="10"/>
      <c r="C115" s="44">
        <f>'By Segment'!D18</f>
        <v>2886</v>
      </c>
      <c r="D115" s="44">
        <f>'By Segment'!E18</f>
        <v>2675</v>
      </c>
      <c r="E115" s="44">
        <f>'By Segment'!F18</f>
        <v>2707</v>
      </c>
      <c r="F115" s="44">
        <f>'By Segment'!G18</f>
        <v>2985</v>
      </c>
      <c r="G115" s="44">
        <f>'By Segment'!H18</f>
        <v>3317</v>
      </c>
      <c r="H115" s="44">
        <f>'By Segment'!I18</f>
        <v>3691</v>
      </c>
      <c r="I115" s="44">
        <f>'By Segment'!J18</f>
        <v>3938</v>
      </c>
      <c r="J115" s="13">
        <f>'By Segment'!K18</f>
        <v>5052</v>
      </c>
      <c r="K115" s="13">
        <f>'By Segment'!L18</f>
        <v>3909</v>
      </c>
      <c r="L115" s="13"/>
      <c r="M115" s="13"/>
      <c r="N115" s="13"/>
      <c r="O115" s="13"/>
      <c r="P115" s="13"/>
      <c r="Q115" s="13"/>
      <c r="AD115" s="10" t="s">
        <v>384</v>
      </c>
      <c r="AE115" s="10"/>
      <c r="AF115" s="44">
        <v>2886</v>
      </c>
      <c r="AG115" s="44">
        <v>2675</v>
      </c>
      <c r="AH115" s="44">
        <v>2707</v>
      </c>
      <c r="AI115" s="44">
        <v>2985</v>
      </c>
      <c r="AJ115" s="44">
        <v>3317</v>
      </c>
      <c r="AK115" s="44">
        <v>3691</v>
      </c>
      <c r="AL115" s="44">
        <v>3938</v>
      </c>
      <c r="AM115" s="44">
        <v>5052</v>
      </c>
      <c r="AN115" s="44">
        <v>3909</v>
      </c>
      <c r="AQ115" s="10" t="s">
        <v>384</v>
      </c>
      <c r="AR115" s="10"/>
      <c r="AS115" s="13">
        <f t="shared" ref="AS115:BA115" si="155">C115-AF115</f>
        <v>0</v>
      </c>
      <c r="AT115" s="13">
        <f t="shared" si="155"/>
        <v>0</v>
      </c>
      <c r="AU115" s="13">
        <f t="shared" si="155"/>
        <v>0</v>
      </c>
      <c r="AV115" s="13">
        <f t="shared" si="155"/>
        <v>0</v>
      </c>
      <c r="AW115" s="13">
        <f t="shared" si="155"/>
        <v>0</v>
      </c>
      <c r="AX115" s="13">
        <f t="shared" si="155"/>
        <v>0</v>
      </c>
      <c r="AY115" s="13">
        <f t="shared" si="155"/>
        <v>0</v>
      </c>
      <c r="AZ115" s="13">
        <f t="shared" si="155"/>
        <v>0</v>
      </c>
      <c r="BA115" s="13">
        <f t="shared" si="155"/>
        <v>0</v>
      </c>
      <c r="BB115" s="54">
        <f t="shared" si="106"/>
        <v>0</v>
      </c>
    </row>
    <row r="116" spans="1:54" s="35" customFormat="1" outlineLevel="1" x14ac:dyDescent="0.3">
      <c r="A116" s="39" t="s">
        <v>435</v>
      </c>
      <c r="B116" s="39"/>
      <c r="C116" s="43">
        <f>C115/C111</f>
        <v>0.38144329896907214</v>
      </c>
      <c r="D116" s="43">
        <f t="shared" ref="D116:K116" si="156">D115/D111</f>
        <v>0.38561337754072367</v>
      </c>
      <c r="E116" s="43">
        <f t="shared" si="156"/>
        <v>0.39220515792523908</v>
      </c>
      <c r="F116" s="43">
        <f t="shared" si="156"/>
        <v>0.44189489267209475</v>
      </c>
      <c r="G116" s="43">
        <f t="shared" si="156"/>
        <v>0.49024534436890332</v>
      </c>
      <c r="H116" s="43">
        <f t="shared" si="156"/>
        <v>0.55654402895054278</v>
      </c>
      <c r="I116" s="43">
        <f t="shared" si="156"/>
        <v>0.59929995434484862</v>
      </c>
      <c r="J116" s="43">
        <f t="shared" si="156"/>
        <v>0.78679333437159316</v>
      </c>
      <c r="K116" s="43">
        <f t="shared" si="156"/>
        <v>0.70204741379310343</v>
      </c>
      <c r="L116" s="43"/>
      <c r="M116" s="43"/>
      <c r="N116" s="43"/>
      <c r="O116" s="43"/>
      <c r="P116" s="43"/>
      <c r="Q116" s="43"/>
      <c r="V116" s="59"/>
      <c r="W116" s="59"/>
      <c r="X116" s="59"/>
      <c r="Y116" s="59"/>
      <c r="Z116" s="59"/>
      <c r="AA116" s="59"/>
      <c r="AD116" s="39"/>
      <c r="AE116" s="39"/>
      <c r="AF116" s="40"/>
      <c r="AG116" s="40"/>
      <c r="AH116" s="40"/>
      <c r="AI116" s="40"/>
      <c r="AJ116" s="40"/>
      <c r="AK116" s="40"/>
      <c r="AL116" s="40"/>
      <c r="AM116" s="58"/>
      <c r="AN116" s="40"/>
      <c r="AQ116" s="39"/>
      <c r="AR116" s="39"/>
      <c r="AS116" s="40"/>
      <c r="AT116" s="40"/>
      <c r="AU116" s="40"/>
      <c r="AV116" s="40"/>
      <c r="AW116" s="40"/>
      <c r="AX116" s="40"/>
      <c r="AY116" s="40"/>
      <c r="AZ116" s="40"/>
      <c r="BA116" s="40"/>
      <c r="BB116" s="60"/>
    </row>
    <row r="117" spans="1:54" outlineLevel="1" x14ac:dyDescent="0.3">
      <c r="A117" s="10" t="s">
        <v>391</v>
      </c>
      <c r="B117" s="10"/>
      <c r="C117" s="44">
        <f>'By Segment'!D25</f>
        <v>106</v>
      </c>
      <c r="D117" s="44">
        <f>'By Segment'!E25</f>
        <v>105</v>
      </c>
      <c r="E117" s="44">
        <f>'By Segment'!F25</f>
        <v>61</v>
      </c>
      <c r="F117" s="44">
        <f>'By Segment'!G25</f>
        <v>43</v>
      </c>
      <c r="G117" s="44">
        <f>'By Segment'!H25</f>
        <v>51</v>
      </c>
      <c r="H117" s="44">
        <f>'By Segment'!I25</f>
        <v>56</v>
      </c>
      <c r="I117" s="44">
        <f>'By Segment'!J25</f>
        <v>61</v>
      </c>
      <c r="J117" s="13">
        <f>'By Segment'!K25</f>
        <v>73</v>
      </c>
      <c r="K117" s="13">
        <f>'By Segment'!L25</f>
        <v>90</v>
      </c>
      <c r="L117" s="13"/>
      <c r="M117" s="13"/>
      <c r="N117" s="13"/>
      <c r="O117" s="13"/>
      <c r="P117" s="13"/>
      <c r="Q117" s="13"/>
      <c r="AD117" s="10" t="s">
        <v>391</v>
      </c>
      <c r="AE117" s="10"/>
      <c r="AF117" s="44">
        <v>106</v>
      </c>
      <c r="AG117" s="44">
        <v>105</v>
      </c>
      <c r="AH117" s="44">
        <v>61</v>
      </c>
      <c r="AI117" s="44">
        <v>43</v>
      </c>
      <c r="AJ117" s="44">
        <v>51</v>
      </c>
      <c r="AK117" s="44">
        <v>56</v>
      </c>
      <c r="AL117" s="44">
        <v>61</v>
      </c>
      <c r="AM117" s="44">
        <v>73</v>
      </c>
      <c r="AN117" s="44">
        <v>90</v>
      </c>
      <c r="AQ117" s="10" t="s">
        <v>391</v>
      </c>
      <c r="AR117" s="10"/>
      <c r="AS117" s="13">
        <f t="shared" ref="AS117:BA117" si="157">C117-AF117</f>
        <v>0</v>
      </c>
      <c r="AT117" s="13">
        <f t="shared" si="157"/>
        <v>0</v>
      </c>
      <c r="AU117" s="13">
        <f t="shared" si="157"/>
        <v>0</v>
      </c>
      <c r="AV117" s="13">
        <f t="shared" si="157"/>
        <v>0</v>
      </c>
      <c r="AW117" s="13">
        <f t="shared" si="157"/>
        <v>0</v>
      </c>
      <c r="AX117" s="13">
        <f t="shared" si="157"/>
        <v>0</v>
      </c>
      <c r="AY117" s="13">
        <f t="shared" si="157"/>
        <v>0</v>
      </c>
      <c r="AZ117" s="13">
        <f t="shared" si="157"/>
        <v>0</v>
      </c>
      <c r="BA117" s="13">
        <f t="shared" si="157"/>
        <v>0</v>
      </c>
      <c r="BB117" s="54">
        <f t="shared" si="106"/>
        <v>0</v>
      </c>
    </row>
    <row r="118" spans="1:54" s="35" customFormat="1" outlineLevel="1" x14ac:dyDescent="0.3">
      <c r="A118" s="39" t="s">
        <v>435</v>
      </c>
      <c r="B118" s="39"/>
      <c r="C118" s="43">
        <f>C117/C111</f>
        <v>1.401004493787999E-2</v>
      </c>
      <c r="D118" s="43">
        <f t="shared" ref="D118:K118" si="158">D117/D111</f>
        <v>1.5136226034308779E-2</v>
      </c>
      <c r="E118" s="43">
        <f t="shared" si="158"/>
        <v>8.8380179658070126E-3</v>
      </c>
      <c r="F118" s="43">
        <f t="shared" si="158"/>
        <v>6.3656550703182829E-3</v>
      </c>
      <c r="G118" s="43">
        <f t="shared" si="158"/>
        <v>7.537688442211055E-3</v>
      </c>
      <c r="H118" s="43">
        <f t="shared" si="158"/>
        <v>8.4439083232810616E-3</v>
      </c>
      <c r="I118" s="43">
        <f t="shared" si="158"/>
        <v>9.2832141226601734E-3</v>
      </c>
      <c r="J118" s="43">
        <f t="shared" si="158"/>
        <v>1.1368945647095468E-2</v>
      </c>
      <c r="K118" s="43">
        <f t="shared" si="158"/>
        <v>1.6163793103448277E-2</v>
      </c>
      <c r="L118" s="43"/>
      <c r="M118" s="43"/>
      <c r="N118" s="43"/>
      <c r="O118" s="43"/>
      <c r="P118" s="43"/>
      <c r="Q118" s="43"/>
      <c r="V118" s="59"/>
      <c r="W118" s="59"/>
      <c r="X118" s="59"/>
      <c r="Y118" s="59"/>
      <c r="Z118" s="59"/>
      <c r="AA118" s="59"/>
      <c r="AD118" s="39"/>
      <c r="AE118" s="39"/>
      <c r="AF118" s="40"/>
      <c r="AG118" s="40"/>
      <c r="AH118" s="40"/>
      <c r="AI118" s="40"/>
      <c r="AJ118" s="40"/>
      <c r="AK118" s="40"/>
      <c r="AL118" s="40"/>
      <c r="AM118" s="58"/>
      <c r="AN118" s="40"/>
      <c r="AQ118" s="39"/>
      <c r="AR118" s="39"/>
      <c r="AS118" s="40"/>
      <c r="AT118" s="40"/>
      <c r="AU118" s="40"/>
      <c r="AV118" s="40"/>
      <c r="AW118" s="40"/>
      <c r="AX118" s="40"/>
      <c r="AY118" s="40"/>
      <c r="AZ118" s="40"/>
      <c r="BA118" s="40"/>
      <c r="BB118" s="60"/>
    </row>
    <row r="119" spans="1:54" outlineLevel="1" x14ac:dyDescent="0.3">
      <c r="A119" s="10" t="s">
        <v>432</v>
      </c>
      <c r="B119" s="1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V119" s="50"/>
      <c r="W119" s="50"/>
      <c r="X119" s="50"/>
      <c r="Y119" s="50"/>
      <c r="Z119" s="50"/>
      <c r="AA119" s="50"/>
      <c r="AD119" s="10"/>
      <c r="AE119" s="10"/>
      <c r="AF119" s="13"/>
      <c r="AG119" s="13"/>
      <c r="AH119" s="13"/>
      <c r="AI119" s="13"/>
      <c r="AJ119" s="13"/>
      <c r="AK119" s="13"/>
      <c r="AL119" s="13"/>
      <c r="AM119" s="13"/>
      <c r="AN119" s="13"/>
      <c r="AQ119" s="10"/>
      <c r="AR119" s="10"/>
      <c r="AS119" s="13"/>
      <c r="AT119" s="13"/>
      <c r="AU119" s="13"/>
      <c r="AV119" s="13"/>
      <c r="AW119" s="13"/>
      <c r="AX119" s="13"/>
      <c r="AY119" s="13"/>
      <c r="AZ119" s="13"/>
      <c r="BA119" s="13"/>
      <c r="BB119" s="54"/>
    </row>
    <row r="120" spans="1:54" outlineLevel="1" x14ac:dyDescent="0.3">
      <c r="A120" s="10" t="s">
        <v>433</v>
      </c>
      <c r="B120" s="1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V120" s="50"/>
      <c r="W120" s="50"/>
      <c r="X120" s="50"/>
      <c r="Y120" s="50"/>
      <c r="Z120" s="50"/>
      <c r="AA120" s="50"/>
      <c r="AD120" s="10"/>
      <c r="AE120" s="10"/>
      <c r="AF120" s="13"/>
      <c r="AG120" s="13"/>
      <c r="AH120" s="13"/>
      <c r="AI120" s="13"/>
      <c r="AJ120" s="13"/>
      <c r="AK120" s="13"/>
      <c r="AL120" s="13"/>
      <c r="AM120" s="13"/>
      <c r="AN120" s="13"/>
      <c r="AQ120" s="10"/>
      <c r="AR120" s="10"/>
      <c r="AS120" s="13"/>
      <c r="AT120" s="13"/>
      <c r="AU120" s="13"/>
      <c r="AV120" s="13"/>
      <c r="AW120" s="13"/>
      <c r="AX120" s="13"/>
      <c r="AY120" s="13"/>
      <c r="AZ120" s="13"/>
      <c r="BA120" s="13"/>
      <c r="BB120" s="54"/>
    </row>
    <row r="121" spans="1:54" s="49" customFormat="1" outlineLevel="1" x14ac:dyDescent="0.3">
      <c r="A121" s="47" t="s">
        <v>373</v>
      </c>
      <c r="B121" s="47"/>
      <c r="C121" s="48">
        <f>'By Segment'!D7</f>
        <v>12251</v>
      </c>
      <c r="D121" s="48">
        <f>'By Segment'!E7</f>
        <v>11259</v>
      </c>
      <c r="E121" s="48">
        <v>11157</v>
      </c>
      <c r="F121" s="48">
        <f>'By Segment'!G7</f>
        <v>11367</v>
      </c>
      <c r="G121" s="48">
        <f>'By Segment'!H7</f>
        <v>11764</v>
      </c>
      <c r="H121" s="48">
        <f>'By Segment'!I7</f>
        <v>12053</v>
      </c>
      <c r="I121" s="48">
        <f>'By Segment'!J7</f>
        <v>12462</v>
      </c>
      <c r="J121" s="48">
        <f>'By Segment'!K7</f>
        <v>13360</v>
      </c>
      <c r="K121" s="48">
        <f>'By Segment'!L7</f>
        <v>11407</v>
      </c>
      <c r="L121" s="48"/>
      <c r="M121" s="48"/>
      <c r="N121" s="48"/>
      <c r="O121" s="48"/>
      <c r="P121" s="48"/>
      <c r="Q121" s="48"/>
      <c r="V121" s="55"/>
      <c r="W121" s="55"/>
      <c r="X121" s="55"/>
      <c r="Z121" s="55"/>
      <c r="AD121" s="47" t="s">
        <v>373</v>
      </c>
      <c r="AE121" s="47"/>
      <c r="AF121" s="48">
        <v>12251</v>
      </c>
      <c r="AG121" s="48">
        <v>11259</v>
      </c>
      <c r="AH121" s="48">
        <v>11157</v>
      </c>
      <c r="AI121" s="48">
        <v>11367</v>
      </c>
      <c r="AJ121" s="48">
        <v>11764</v>
      </c>
      <c r="AK121" s="48">
        <v>12053</v>
      </c>
      <c r="AL121" s="48">
        <v>12462</v>
      </c>
      <c r="AM121" s="48">
        <v>13360</v>
      </c>
      <c r="AN121" s="48">
        <v>11407</v>
      </c>
      <c r="AQ121" s="47" t="s">
        <v>373</v>
      </c>
      <c r="AR121" s="47"/>
      <c r="AS121" s="13">
        <f t="shared" ref="AS121:BA123" si="159">C121-AF121</f>
        <v>0</v>
      </c>
      <c r="AT121" s="13">
        <f t="shared" si="159"/>
        <v>0</v>
      </c>
      <c r="AU121" s="13">
        <f t="shared" si="159"/>
        <v>0</v>
      </c>
      <c r="AV121" s="13">
        <f t="shared" si="159"/>
        <v>0</v>
      </c>
      <c r="AW121" s="13">
        <f t="shared" si="159"/>
        <v>0</v>
      </c>
      <c r="AX121" s="13">
        <f t="shared" si="159"/>
        <v>0</v>
      </c>
      <c r="AY121" s="13">
        <f t="shared" si="159"/>
        <v>0</v>
      </c>
      <c r="AZ121" s="13">
        <f t="shared" si="159"/>
        <v>0</v>
      </c>
      <c r="BA121" s="13">
        <f t="shared" si="159"/>
        <v>0</v>
      </c>
      <c r="BB121" s="54">
        <f t="shared" si="106"/>
        <v>0</v>
      </c>
    </row>
    <row r="122" spans="1:54" outlineLevel="1" x14ac:dyDescent="0.3">
      <c r="A122" s="10"/>
      <c r="B122" s="10"/>
      <c r="C122" s="44"/>
      <c r="D122" s="44"/>
      <c r="E122" s="44"/>
      <c r="F122" s="44"/>
      <c r="G122" s="44"/>
      <c r="H122" s="44"/>
      <c r="I122" s="44"/>
      <c r="J122" s="13"/>
      <c r="K122" s="13"/>
      <c r="L122" s="13"/>
      <c r="M122" s="13"/>
      <c r="N122" s="13"/>
      <c r="O122" s="13"/>
      <c r="P122" s="13"/>
      <c r="Q122" s="13"/>
      <c r="AD122" s="10"/>
      <c r="AE122" s="10"/>
      <c r="AF122" s="44"/>
      <c r="AG122" s="44"/>
      <c r="AH122" s="44"/>
      <c r="AI122" s="44"/>
      <c r="AJ122" s="44"/>
      <c r="AK122" s="44"/>
      <c r="AL122" s="44"/>
      <c r="AM122" s="44"/>
      <c r="AN122" s="44"/>
      <c r="AQ122" s="10"/>
      <c r="AR122" s="10"/>
      <c r="AS122" s="13">
        <f t="shared" si="159"/>
        <v>0</v>
      </c>
      <c r="AT122" s="13">
        <f t="shared" si="159"/>
        <v>0</v>
      </c>
      <c r="AU122" s="13">
        <f t="shared" si="159"/>
        <v>0</v>
      </c>
      <c r="AV122" s="13">
        <f t="shared" si="159"/>
        <v>0</v>
      </c>
      <c r="AW122" s="13">
        <f t="shared" si="159"/>
        <v>0</v>
      </c>
      <c r="AX122" s="13">
        <f t="shared" si="159"/>
        <v>0</v>
      </c>
      <c r="AY122" s="13">
        <f t="shared" si="159"/>
        <v>0</v>
      </c>
      <c r="AZ122" s="13">
        <f t="shared" si="159"/>
        <v>0</v>
      </c>
      <c r="BA122" s="13">
        <f t="shared" si="159"/>
        <v>0</v>
      </c>
      <c r="BB122" s="54">
        <f t="shared" si="106"/>
        <v>0</v>
      </c>
    </row>
    <row r="123" spans="1:54" outlineLevel="1" x14ac:dyDescent="0.3">
      <c r="A123" s="10" t="s">
        <v>380</v>
      </c>
      <c r="B123" s="10"/>
      <c r="C123" s="44">
        <f>'By Segment'!D14</f>
        <v>5724</v>
      </c>
      <c r="D123" s="44">
        <v>5275</v>
      </c>
      <c r="E123" s="44">
        <v>5191</v>
      </c>
      <c r="F123" s="44">
        <f>'By Segment'!G14</f>
        <v>5075</v>
      </c>
      <c r="G123" s="44">
        <f>'By Segment'!H14</f>
        <v>5326</v>
      </c>
      <c r="H123" s="44">
        <f>'By Segment'!I14</f>
        <v>5185</v>
      </c>
      <c r="I123" s="44">
        <f>'By Segment'!J14</f>
        <v>5213</v>
      </c>
      <c r="J123" s="13">
        <f>'By Segment'!K14</f>
        <v>5008</v>
      </c>
      <c r="K123" s="13">
        <f>'By Segment'!L14</f>
        <v>4752</v>
      </c>
      <c r="L123" s="13"/>
      <c r="M123" s="13"/>
      <c r="N123" s="13"/>
      <c r="O123" s="13"/>
      <c r="P123" s="13"/>
      <c r="Q123" s="13"/>
      <c r="AD123" s="10" t="s">
        <v>380</v>
      </c>
      <c r="AE123" s="10"/>
      <c r="AF123" s="44">
        <v>5724</v>
      </c>
      <c r="AG123" s="44">
        <v>5275</v>
      </c>
      <c r="AH123" s="44">
        <v>5191</v>
      </c>
      <c r="AI123" s="44">
        <v>5075</v>
      </c>
      <c r="AJ123" s="44">
        <v>5326</v>
      </c>
      <c r="AK123" s="44">
        <v>5185</v>
      </c>
      <c r="AL123" s="44">
        <v>5213</v>
      </c>
      <c r="AM123" s="44">
        <v>5008</v>
      </c>
      <c r="AN123" s="44">
        <v>4752</v>
      </c>
      <c r="AQ123" s="10" t="s">
        <v>380</v>
      </c>
      <c r="AR123" s="10"/>
      <c r="AS123" s="13">
        <f t="shared" si="159"/>
        <v>0</v>
      </c>
      <c r="AT123" s="13">
        <f t="shared" si="159"/>
        <v>0</v>
      </c>
      <c r="AU123" s="13">
        <f t="shared" si="159"/>
        <v>0</v>
      </c>
      <c r="AV123" s="13">
        <f t="shared" si="159"/>
        <v>0</v>
      </c>
      <c r="AW123" s="13">
        <f t="shared" si="159"/>
        <v>0</v>
      </c>
      <c r="AX123" s="13">
        <f t="shared" si="159"/>
        <v>0</v>
      </c>
      <c r="AY123" s="13">
        <f t="shared" si="159"/>
        <v>0</v>
      </c>
      <c r="AZ123" s="13">
        <f t="shared" si="159"/>
        <v>0</v>
      </c>
      <c r="BA123" s="13">
        <f t="shared" si="159"/>
        <v>0</v>
      </c>
      <c r="BB123" s="54">
        <f t="shared" si="106"/>
        <v>0</v>
      </c>
    </row>
    <row r="124" spans="1:54" s="35" customFormat="1" outlineLevel="1" x14ac:dyDescent="0.3">
      <c r="A124" s="39" t="s">
        <v>413</v>
      </c>
      <c r="B124" s="39"/>
      <c r="C124" s="43">
        <f>C123/C121</f>
        <v>0.46722716512937718</v>
      </c>
      <c r="D124" s="43">
        <f t="shared" ref="D124" si="160">D123/D121</f>
        <v>0.46851407762678748</v>
      </c>
      <c r="E124" s="43">
        <f t="shared" ref="E124" si="161">E123/E121</f>
        <v>0.46526844133727707</v>
      </c>
      <c r="F124" s="43">
        <f t="shared" ref="F124" si="162">F123/F121</f>
        <v>0.44646784551772678</v>
      </c>
      <c r="G124" s="43">
        <f t="shared" ref="G124" si="163">G123/G121</f>
        <v>0.45273716422985377</v>
      </c>
      <c r="H124" s="43">
        <f t="shared" ref="H124" si="164">H123/H121</f>
        <v>0.43018335684062059</v>
      </c>
      <c r="I124" s="43">
        <f t="shared" ref="I124" si="165">I123/I121</f>
        <v>0.41831166746910609</v>
      </c>
      <c r="J124" s="43">
        <f t="shared" ref="J124" si="166">J123/J121</f>
        <v>0.37485029940119763</v>
      </c>
      <c r="K124" s="43">
        <f t="shared" ref="K124" si="167">K123/K121</f>
        <v>0.41658630665380908</v>
      </c>
      <c r="L124" s="43"/>
      <c r="M124" s="43"/>
      <c r="N124" s="43"/>
      <c r="O124" s="43"/>
      <c r="P124" s="43"/>
      <c r="Q124" s="43"/>
      <c r="V124" s="59"/>
      <c r="W124" s="59"/>
      <c r="X124" s="59"/>
      <c r="Y124" s="59"/>
      <c r="Z124" s="59"/>
      <c r="AA124" s="59"/>
      <c r="AD124" s="39"/>
      <c r="AE124" s="39"/>
      <c r="AF124" s="40"/>
      <c r="AG124" s="40"/>
      <c r="AH124" s="40"/>
      <c r="AI124" s="40"/>
      <c r="AJ124" s="40"/>
      <c r="AK124" s="40"/>
      <c r="AL124" s="40"/>
      <c r="AM124" s="58"/>
      <c r="AN124" s="40"/>
      <c r="AQ124" s="39"/>
      <c r="AR124" s="39"/>
      <c r="AS124" s="40"/>
      <c r="AT124" s="40"/>
      <c r="AU124" s="40"/>
      <c r="AV124" s="40"/>
      <c r="AW124" s="40"/>
      <c r="AX124" s="40"/>
      <c r="AY124" s="40"/>
      <c r="AZ124" s="40"/>
      <c r="BA124" s="40"/>
      <c r="BB124" s="60"/>
    </row>
    <row r="125" spans="1:54" outlineLevel="1" x14ac:dyDescent="0.3">
      <c r="A125" s="10" t="s">
        <v>393</v>
      </c>
      <c r="B125" s="10"/>
      <c r="C125" s="44">
        <f>'By Segment'!D27</f>
        <v>1544</v>
      </c>
      <c r="D125" s="44">
        <f>'By Segment'!E27</f>
        <v>1309</v>
      </c>
      <c r="E125" s="44">
        <f>'By Segment'!F27</f>
        <v>1298</v>
      </c>
      <c r="F125" s="44">
        <f>'By Segment'!G27</f>
        <v>1351</v>
      </c>
      <c r="G125" s="44">
        <f>'By Segment'!H27</f>
        <v>1465</v>
      </c>
      <c r="H125" s="44">
        <f>'By Segment'!I27</f>
        <v>1710</v>
      </c>
      <c r="I125" s="44">
        <f>'By Segment'!J27</f>
        <v>1834</v>
      </c>
      <c r="J125" s="13">
        <f>'By Segment'!K27</f>
        <v>1995</v>
      </c>
      <c r="K125" s="13">
        <f>'By Segment'!L27</f>
        <v>2003</v>
      </c>
      <c r="L125" s="13"/>
      <c r="M125" s="13"/>
      <c r="N125" s="13"/>
      <c r="O125" s="13"/>
      <c r="P125" s="13"/>
      <c r="Q125" s="13"/>
      <c r="AD125" s="10" t="s">
        <v>393</v>
      </c>
      <c r="AE125" s="10"/>
      <c r="AF125" s="44">
        <v>1544</v>
      </c>
      <c r="AG125" s="44">
        <v>1309</v>
      </c>
      <c r="AH125" s="44">
        <v>1298</v>
      </c>
      <c r="AI125" s="44">
        <v>1351</v>
      </c>
      <c r="AJ125" s="44">
        <v>1465</v>
      </c>
      <c r="AK125" s="44">
        <v>1710</v>
      </c>
      <c r="AL125" s="44">
        <v>1834</v>
      </c>
      <c r="AM125" s="44">
        <v>1995</v>
      </c>
      <c r="AN125" s="44">
        <v>2003</v>
      </c>
      <c r="AQ125" s="10" t="s">
        <v>393</v>
      </c>
      <c r="AR125" s="10"/>
      <c r="AS125" s="13">
        <f t="shared" ref="AS125:BA125" si="168">C125-AF125</f>
        <v>0</v>
      </c>
      <c r="AT125" s="13">
        <f t="shared" si="168"/>
        <v>0</v>
      </c>
      <c r="AU125" s="13">
        <f t="shared" si="168"/>
        <v>0</v>
      </c>
      <c r="AV125" s="13">
        <f t="shared" si="168"/>
        <v>0</v>
      </c>
      <c r="AW125" s="13">
        <f t="shared" si="168"/>
        <v>0</v>
      </c>
      <c r="AX125" s="13">
        <f t="shared" si="168"/>
        <v>0</v>
      </c>
      <c r="AY125" s="13">
        <f t="shared" si="168"/>
        <v>0</v>
      </c>
      <c r="AZ125" s="13">
        <f t="shared" si="168"/>
        <v>0</v>
      </c>
      <c r="BA125" s="13">
        <f t="shared" si="168"/>
        <v>0</v>
      </c>
      <c r="BB125" s="54">
        <f t="shared" si="106"/>
        <v>0</v>
      </c>
    </row>
    <row r="126" spans="1:54" s="35" customFormat="1" outlineLevel="1" x14ac:dyDescent="0.3">
      <c r="A126" s="39" t="s">
        <v>413</v>
      </c>
      <c r="B126" s="39"/>
      <c r="C126" s="43">
        <f>C125/C121</f>
        <v>0.12603052812015345</v>
      </c>
      <c r="D126" s="43">
        <f t="shared" ref="D126:K126" si="169">D125/D121</f>
        <v>0.11626254551914024</v>
      </c>
      <c r="E126" s="43">
        <f t="shared" si="169"/>
        <v>0.11633951779152102</v>
      </c>
      <c r="F126" s="43">
        <f t="shared" si="169"/>
        <v>0.11885281956540864</v>
      </c>
      <c r="G126" s="43">
        <f t="shared" si="169"/>
        <v>0.1245324719483169</v>
      </c>
      <c r="H126" s="43">
        <f t="shared" si="169"/>
        <v>0.14187339251638595</v>
      </c>
      <c r="I126" s="43">
        <f t="shared" si="169"/>
        <v>0.1471673888621409</v>
      </c>
      <c r="J126" s="43">
        <f t="shared" si="169"/>
        <v>0.14932634730538921</v>
      </c>
      <c r="K126" s="43">
        <f t="shared" si="169"/>
        <v>0.17559393354957481</v>
      </c>
      <c r="L126" s="43"/>
      <c r="M126" s="43"/>
      <c r="N126" s="43"/>
      <c r="O126" s="43"/>
      <c r="P126" s="43"/>
      <c r="Q126" s="43"/>
      <c r="V126" s="59"/>
      <c r="W126" s="59"/>
      <c r="X126" s="59"/>
      <c r="Y126" s="59"/>
      <c r="Z126" s="59"/>
      <c r="AA126" s="59"/>
      <c r="AD126" s="39"/>
      <c r="AE126" s="39"/>
      <c r="AF126" s="40"/>
      <c r="AG126" s="40"/>
      <c r="AH126" s="40"/>
      <c r="AI126" s="40"/>
      <c r="AJ126" s="40"/>
      <c r="AK126" s="40"/>
      <c r="AL126" s="40"/>
      <c r="AM126" s="58"/>
      <c r="AN126" s="40"/>
      <c r="AQ126" s="39"/>
      <c r="AR126" s="39"/>
      <c r="AS126" s="40"/>
      <c r="AT126" s="40"/>
      <c r="AU126" s="40"/>
      <c r="AV126" s="40"/>
      <c r="AW126" s="40"/>
      <c r="AX126" s="40"/>
      <c r="AY126" s="40"/>
      <c r="AZ126" s="40"/>
      <c r="BA126" s="40"/>
      <c r="BB126" s="60"/>
    </row>
    <row r="127" spans="1:54" outlineLevel="1" x14ac:dyDescent="0.3">
      <c r="A127" s="10" t="s">
        <v>423</v>
      </c>
      <c r="B127" s="10"/>
      <c r="C127" s="44">
        <f t="shared" ref="C127:J127" si="170">C137-C123-C125-C129-C131-C133-C135</f>
        <v>-1914</v>
      </c>
      <c r="D127" s="44">
        <f t="shared" si="170"/>
        <v>-1720</v>
      </c>
      <c r="E127" s="44">
        <f t="shared" si="170"/>
        <v>-1668</v>
      </c>
      <c r="F127" s="44">
        <f t="shared" si="170"/>
        <v>-1710</v>
      </c>
      <c r="G127" s="44">
        <f t="shared" si="170"/>
        <v>-1915</v>
      </c>
      <c r="H127" s="44">
        <f t="shared" si="170"/>
        <v>-1913</v>
      </c>
      <c r="I127" s="44">
        <f t="shared" si="170"/>
        <v>-1652</v>
      </c>
      <c r="J127" s="13">
        <f t="shared" si="170"/>
        <v>-1607</v>
      </c>
      <c r="K127" s="13">
        <f>K137-K123-K125-K129-K131-K133-K135</f>
        <v>-1524</v>
      </c>
      <c r="L127" s="13"/>
      <c r="M127" s="13"/>
      <c r="N127" s="13"/>
      <c r="O127" s="13"/>
      <c r="P127" s="13"/>
      <c r="Q127" s="13"/>
      <c r="AD127" s="10" t="s">
        <v>423</v>
      </c>
      <c r="AE127" s="10"/>
      <c r="AF127" s="44">
        <v>-1914</v>
      </c>
      <c r="AG127" s="44">
        <v>-1720</v>
      </c>
      <c r="AH127" s="44">
        <v>-1668</v>
      </c>
      <c r="AI127" s="44">
        <v>-1710</v>
      </c>
      <c r="AJ127" s="44">
        <v>-1915</v>
      </c>
      <c r="AK127" s="44">
        <v>-1913</v>
      </c>
      <c r="AL127" s="44">
        <v>-1652</v>
      </c>
      <c r="AM127" s="44">
        <v>-1607</v>
      </c>
      <c r="AN127" s="44">
        <v>-1524</v>
      </c>
      <c r="AQ127" s="10" t="s">
        <v>423</v>
      </c>
      <c r="AR127" s="10"/>
      <c r="AS127" s="13">
        <f t="shared" ref="AS127:BA127" si="171">C127-AF127</f>
        <v>0</v>
      </c>
      <c r="AT127" s="13">
        <f t="shared" si="171"/>
        <v>0</v>
      </c>
      <c r="AU127" s="13">
        <f t="shared" si="171"/>
        <v>0</v>
      </c>
      <c r="AV127" s="13">
        <f t="shared" si="171"/>
        <v>0</v>
      </c>
      <c r="AW127" s="13">
        <f t="shared" si="171"/>
        <v>0</v>
      </c>
      <c r="AX127" s="13">
        <f t="shared" si="171"/>
        <v>0</v>
      </c>
      <c r="AY127" s="13">
        <f t="shared" si="171"/>
        <v>0</v>
      </c>
      <c r="AZ127" s="13">
        <f t="shared" si="171"/>
        <v>0</v>
      </c>
      <c r="BA127" s="13">
        <f t="shared" si="171"/>
        <v>0</v>
      </c>
      <c r="BB127" s="54">
        <f t="shared" si="106"/>
        <v>0</v>
      </c>
    </row>
    <row r="128" spans="1:54" s="35" customFormat="1" outlineLevel="1" x14ac:dyDescent="0.3">
      <c r="A128" s="39" t="s">
        <v>413</v>
      </c>
      <c r="B128" s="39"/>
      <c r="C128" s="43">
        <f>C127/C121</f>
        <v>-0.15623214431474983</v>
      </c>
      <c r="D128" s="43">
        <f t="shared" ref="D128:K128" si="172">D127/D121</f>
        <v>-0.15276667554845014</v>
      </c>
      <c r="E128" s="43">
        <f t="shared" si="172"/>
        <v>-0.14950255445012101</v>
      </c>
      <c r="F128" s="43">
        <f t="shared" si="172"/>
        <v>-0.15043547110055425</v>
      </c>
      <c r="G128" s="43">
        <f t="shared" si="172"/>
        <v>-0.16278476708602516</v>
      </c>
      <c r="H128" s="43">
        <f t="shared" si="172"/>
        <v>-0.15871567244669377</v>
      </c>
      <c r="I128" s="43">
        <f t="shared" si="172"/>
        <v>-0.13256299149414219</v>
      </c>
      <c r="J128" s="43">
        <f t="shared" si="172"/>
        <v>-0.12028443113772455</v>
      </c>
      <c r="K128" s="43">
        <f t="shared" si="172"/>
        <v>-0.13360217410362057</v>
      </c>
      <c r="L128" s="43"/>
      <c r="M128" s="43"/>
      <c r="N128" s="43"/>
      <c r="O128" s="43"/>
      <c r="P128" s="43"/>
      <c r="Q128" s="43"/>
      <c r="V128" s="59"/>
      <c r="W128" s="59"/>
      <c r="X128" s="59"/>
      <c r="Y128" s="59"/>
      <c r="Z128" s="59"/>
      <c r="AA128" s="59"/>
      <c r="AD128" s="39"/>
      <c r="AE128" s="39"/>
      <c r="AF128" s="40"/>
      <c r="AG128" s="40"/>
      <c r="AH128" s="40"/>
      <c r="AI128" s="40"/>
      <c r="AJ128" s="40"/>
      <c r="AK128" s="40"/>
      <c r="AL128" s="40"/>
      <c r="AM128" s="58"/>
      <c r="AN128" s="40"/>
      <c r="AQ128" s="39"/>
      <c r="AR128" s="39"/>
      <c r="AS128" s="40"/>
      <c r="AT128" s="40"/>
      <c r="AU128" s="40"/>
      <c r="AV128" s="40"/>
      <c r="AW128" s="40"/>
      <c r="AX128" s="40"/>
      <c r="AY128" s="40"/>
      <c r="AZ128" s="40"/>
      <c r="BA128" s="40"/>
      <c r="BB128" s="60"/>
    </row>
    <row r="129" spans="1:54" outlineLevel="1" x14ac:dyDescent="0.3">
      <c r="A129" s="10" t="s">
        <v>392</v>
      </c>
      <c r="B129" s="10"/>
      <c r="C129" s="44">
        <f>'By Segment'!D26</f>
        <v>1397</v>
      </c>
      <c r="D129" s="44">
        <v>1256</v>
      </c>
      <c r="E129" s="44">
        <v>1224</v>
      </c>
      <c r="F129" s="44">
        <f>'By Segment'!G26</f>
        <v>1300</v>
      </c>
      <c r="G129" s="44">
        <f>'By Segment'!H26</f>
        <v>1302</v>
      </c>
      <c r="H129" s="44">
        <f>'By Segment'!I26</f>
        <v>1288</v>
      </c>
      <c r="I129" s="44">
        <f>'By Segment'!J26</f>
        <v>1415</v>
      </c>
      <c r="J129" s="13">
        <f>'By Segment'!K26</f>
        <v>1369</v>
      </c>
      <c r="K129" s="13">
        <f>'By Segment'!L26</f>
        <v>1105</v>
      </c>
      <c r="L129" s="13"/>
      <c r="M129" s="13"/>
      <c r="N129" s="13"/>
      <c r="O129" s="13"/>
      <c r="P129" s="13"/>
      <c r="Q129" s="13"/>
      <c r="AD129" s="10" t="s">
        <v>392</v>
      </c>
      <c r="AE129" s="10"/>
      <c r="AF129" s="44">
        <v>1397</v>
      </c>
      <c r="AG129" s="44">
        <v>1256</v>
      </c>
      <c r="AH129" s="44">
        <v>1224</v>
      </c>
      <c r="AI129" s="44">
        <v>1300</v>
      </c>
      <c r="AJ129" s="44">
        <v>1302</v>
      </c>
      <c r="AK129" s="44">
        <v>1288</v>
      </c>
      <c r="AL129" s="44">
        <v>1415</v>
      </c>
      <c r="AM129" s="44">
        <v>1369</v>
      </c>
      <c r="AN129" s="44">
        <v>1105</v>
      </c>
      <c r="AQ129" s="10" t="s">
        <v>392</v>
      </c>
      <c r="AR129" s="10"/>
      <c r="AS129" s="13">
        <f t="shared" ref="AS129:BA129" si="173">C129-AF129</f>
        <v>0</v>
      </c>
      <c r="AT129" s="13">
        <f t="shared" si="173"/>
        <v>0</v>
      </c>
      <c r="AU129" s="13">
        <f t="shared" si="173"/>
        <v>0</v>
      </c>
      <c r="AV129" s="13">
        <f t="shared" si="173"/>
        <v>0</v>
      </c>
      <c r="AW129" s="13">
        <f t="shared" si="173"/>
        <v>0</v>
      </c>
      <c r="AX129" s="13">
        <f t="shared" si="173"/>
        <v>0</v>
      </c>
      <c r="AY129" s="13">
        <f t="shared" si="173"/>
        <v>0</v>
      </c>
      <c r="AZ129" s="13">
        <f t="shared" si="173"/>
        <v>0</v>
      </c>
      <c r="BA129" s="13">
        <f t="shared" si="173"/>
        <v>0</v>
      </c>
      <c r="BB129" s="54">
        <f t="shared" si="106"/>
        <v>0</v>
      </c>
    </row>
    <row r="130" spans="1:54" s="35" customFormat="1" outlineLevel="1" x14ac:dyDescent="0.3">
      <c r="A130" s="39" t="s">
        <v>413</v>
      </c>
      <c r="B130" s="39"/>
      <c r="C130" s="43">
        <f>C129/C121</f>
        <v>0.11403150763203004</v>
      </c>
      <c r="D130" s="43">
        <f t="shared" ref="D130:K130" si="174">D129/D121</f>
        <v>0.11155520028421707</v>
      </c>
      <c r="E130" s="43">
        <f t="shared" si="174"/>
        <v>0.10970691045980102</v>
      </c>
      <c r="F130" s="43">
        <f t="shared" si="174"/>
        <v>0.11436614762030439</v>
      </c>
      <c r="G130" s="43">
        <f t="shared" si="174"/>
        <v>0.1106766405984359</v>
      </c>
      <c r="H130" s="43">
        <f t="shared" si="174"/>
        <v>0.10686136231643574</v>
      </c>
      <c r="I130" s="43">
        <f t="shared" si="174"/>
        <v>0.1135451773391109</v>
      </c>
      <c r="J130" s="43">
        <f t="shared" si="174"/>
        <v>0.10247005988023952</v>
      </c>
      <c r="K130" s="43">
        <f t="shared" si="174"/>
        <v>9.6870342771982115E-2</v>
      </c>
      <c r="L130" s="43"/>
      <c r="M130" s="43"/>
      <c r="N130" s="43"/>
      <c r="O130" s="43"/>
      <c r="P130" s="43"/>
      <c r="Q130" s="43"/>
      <c r="V130" s="59"/>
      <c r="W130" s="59"/>
      <c r="X130" s="59"/>
      <c r="Y130" s="59"/>
      <c r="Z130" s="59"/>
      <c r="AA130" s="59"/>
      <c r="AD130" s="39"/>
      <c r="AE130" s="39"/>
      <c r="AF130" s="40"/>
      <c r="AG130" s="40"/>
      <c r="AH130" s="40"/>
      <c r="AI130" s="40"/>
      <c r="AJ130" s="40"/>
      <c r="AK130" s="40"/>
      <c r="AL130" s="40"/>
      <c r="AM130" s="58"/>
      <c r="AN130" s="40"/>
      <c r="AQ130" s="39"/>
      <c r="AR130" s="39"/>
      <c r="AS130" s="40"/>
      <c r="AT130" s="40"/>
      <c r="AU130" s="40"/>
      <c r="AV130" s="40"/>
      <c r="AW130" s="40"/>
      <c r="AX130" s="40"/>
      <c r="AY130" s="40"/>
      <c r="AZ130" s="40"/>
      <c r="BA130" s="40"/>
      <c r="BB130" s="60"/>
    </row>
    <row r="131" spans="1:54" outlineLevel="1" x14ac:dyDescent="0.3">
      <c r="A131" s="10" t="s">
        <v>424</v>
      </c>
      <c r="B131" s="10"/>
      <c r="C131" s="53">
        <v>-364</v>
      </c>
      <c r="D131" s="53">
        <v>-309</v>
      </c>
      <c r="E131" s="53">
        <v>-208</v>
      </c>
      <c r="F131" s="53">
        <v>-111</v>
      </c>
      <c r="G131" s="53">
        <v>-39</v>
      </c>
      <c r="H131" s="53">
        <v>-25</v>
      </c>
      <c r="I131" s="53">
        <v>-37</v>
      </c>
      <c r="J131" s="14">
        <v>-27</v>
      </c>
      <c r="K131" s="14">
        <v>-36</v>
      </c>
      <c r="L131" s="14"/>
      <c r="M131" s="14"/>
      <c r="N131" s="14"/>
      <c r="O131" s="14"/>
      <c r="P131" s="14"/>
      <c r="Q131" s="14"/>
      <c r="AD131" s="10" t="s">
        <v>424</v>
      </c>
      <c r="AE131" s="10"/>
      <c r="AF131" s="53">
        <v>-364</v>
      </c>
      <c r="AG131" s="53">
        <v>-309</v>
      </c>
      <c r="AH131" s="53">
        <v>-208</v>
      </c>
      <c r="AI131" s="53">
        <v>-111</v>
      </c>
      <c r="AJ131" s="53">
        <v>-39</v>
      </c>
      <c r="AK131" s="53">
        <v>-25</v>
      </c>
      <c r="AL131" s="53">
        <v>-37</v>
      </c>
      <c r="AM131" s="53">
        <v>-27</v>
      </c>
      <c r="AN131" s="53">
        <v>-36</v>
      </c>
      <c r="AQ131" s="10" t="s">
        <v>424</v>
      </c>
      <c r="AR131" s="10"/>
      <c r="AS131" s="13">
        <f t="shared" ref="AS131:BA131" si="175">C131-AF131</f>
        <v>0</v>
      </c>
      <c r="AT131" s="13">
        <f t="shared" si="175"/>
        <v>0</v>
      </c>
      <c r="AU131" s="13">
        <f t="shared" si="175"/>
        <v>0</v>
      </c>
      <c r="AV131" s="13">
        <f t="shared" si="175"/>
        <v>0</v>
      </c>
      <c r="AW131" s="13">
        <f t="shared" si="175"/>
        <v>0</v>
      </c>
      <c r="AX131" s="13">
        <f t="shared" si="175"/>
        <v>0</v>
      </c>
      <c r="AY131" s="13">
        <f t="shared" si="175"/>
        <v>0</v>
      </c>
      <c r="AZ131" s="13">
        <f t="shared" si="175"/>
        <v>0</v>
      </c>
      <c r="BA131" s="13">
        <f t="shared" si="175"/>
        <v>0</v>
      </c>
      <c r="BB131" s="54">
        <f t="shared" si="106"/>
        <v>0</v>
      </c>
    </row>
    <row r="132" spans="1:54" s="35" customFormat="1" outlineLevel="1" x14ac:dyDescent="0.3">
      <c r="A132" s="39" t="s">
        <v>413</v>
      </c>
      <c r="B132" s="39"/>
      <c r="C132" s="43">
        <f>C131/C121</f>
        <v>-2.9711860256305608E-2</v>
      </c>
      <c r="D132" s="43">
        <f t="shared" ref="D132:K132" si="176">D131/D121</f>
        <v>-2.7444710897948307E-2</v>
      </c>
      <c r="E132" s="43">
        <f t="shared" si="176"/>
        <v>-1.864300439186161E-2</v>
      </c>
      <c r="F132" s="43">
        <f t="shared" si="176"/>
        <v>-9.7651095275798367E-3</v>
      </c>
      <c r="G132" s="43">
        <f t="shared" si="176"/>
        <v>-3.3151989119347162E-3</v>
      </c>
      <c r="H132" s="43">
        <f t="shared" si="176"/>
        <v>-2.074172405210321E-3</v>
      </c>
      <c r="I132" s="43">
        <f t="shared" si="176"/>
        <v>-2.9690258385491894E-3</v>
      </c>
      <c r="J132" s="43">
        <f t="shared" si="176"/>
        <v>-2.0209580838323354E-3</v>
      </c>
      <c r="K132" s="43">
        <f t="shared" si="176"/>
        <v>-3.1559568685894626E-3</v>
      </c>
      <c r="L132" s="43"/>
      <c r="M132" s="43"/>
      <c r="N132" s="43"/>
      <c r="O132" s="43"/>
      <c r="P132" s="43"/>
      <c r="Q132" s="43"/>
      <c r="V132" s="59"/>
      <c r="W132" s="59"/>
      <c r="X132" s="59"/>
      <c r="Y132" s="59"/>
      <c r="Z132" s="59"/>
      <c r="AA132" s="59"/>
      <c r="AD132" s="39"/>
      <c r="AE132" s="39"/>
      <c r="AF132" s="40"/>
      <c r="AG132" s="40"/>
      <c r="AH132" s="40"/>
      <c r="AI132" s="40"/>
      <c r="AJ132" s="40"/>
      <c r="AK132" s="40"/>
      <c r="AL132" s="40"/>
      <c r="AM132" s="58"/>
      <c r="AN132" s="40"/>
      <c r="AQ132" s="39"/>
      <c r="AR132" s="39"/>
      <c r="AS132" s="40"/>
      <c r="AT132" s="40"/>
      <c r="AU132" s="40"/>
      <c r="AV132" s="40"/>
      <c r="AW132" s="40"/>
      <c r="AX132" s="40"/>
      <c r="AY132" s="40"/>
      <c r="AZ132" s="40"/>
      <c r="BA132" s="40"/>
      <c r="BB132" s="60"/>
    </row>
    <row r="133" spans="1:54" outlineLevel="1" x14ac:dyDescent="0.3">
      <c r="A133" s="10" t="s">
        <v>381</v>
      </c>
      <c r="B133" s="10"/>
      <c r="C133" s="13">
        <f>'By Segment'!D15</f>
        <v>0</v>
      </c>
      <c r="D133" s="13">
        <f>'By Segment'!E15</f>
        <v>0</v>
      </c>
      <c r="E133" s="13">
        <f>'By Segment'!F15</f>
        <v>0</v>
      </c>
      <c r="F133" s="13">
        <f>'By Segment'!G15</f>
        <v>0</v>
      </c>
      <c r="G133" s="13">
        <f>'By Segment'!H15</f>
        <v>0</v>
      </c>
      <c r="H133" s="13">
        <f>'By Segment'!I15</f>
        <v>0</v>
      </c>
      <c r="I133" s="13">
        <f>'By Segment'!J15</f>
        <v>0</v>
      </c>
      <c r="J133" s="13">
        <f>'By Segment'!K15</f>
        <v>0</v>
      </c>
      <c r="K133" s="13">
        <f>'By Segment'!L15</f>
        <v>0</v>
      </c>
      <c r="L133" s="13"/>
      <c r="M133" s="13"/>
      <c r="N133" s="13"/>
      <c r="O133" s="13"/>
      <c r="P133" s="13"/>
      <c r="Q133" s="13"/>
      <c r="AD133" s="10" t="s">
        <v>381</v>
      </c>
      <c r="AE133" s="10"/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Q133" s="10" t="s">
        <v>381</v>
      </c>
      <c r="AR133" s="10"/>
      <c r="AS133" s="13">
        <f t="shared" ref="AS133:BA133" si="177">C133-AF133</f>
        <v>0</v>
      </c>
      <c r="AT133" s="13">
        <f t="shared" si="177"/>
        <v>0</v>
      </c>
      <c r="AU133" s="13">
        <f t="shared" si="177"/>
        <v>0</v>
      </c>
      <c r="AV133" s="13">
        <f t="shared" si="177"/>
        <v>0</v>
      </c>
      <c r="AW133" s="13">
        <f t="shared" si="177"/>
        <v>0</v>
      </c>
      <c r="AX133" s="13">
        <f t="shared" si="177"/>
        <v>0</v>
      </c>
      <c r="AY133" s="13">
        <f t="shared" si="177"/>
        <v>0</v>
      </c>
      <c r="AZ133" s="13">
        <f t="shared" si="177"/>
        <v>0</v>
      </c>
      <c r="BA133" s="13">
        <f t="shared" si="177"/>
        <v>0</v>
      </c>
      <c r="BB133" s="54">
        <f t="shared" si="106"/>
        <v>0</v>
      </c>
    </row>
    <row r="134" spans="1:54" s="35" customFormat="1" outlineLevel="1" x14ac:dyDescent="0.3">
      <c r="A134" s="39" t="s">
        <v>413</v>
      </c>
      <c r="B134" s="39"/>
      <c r="C134" s="43">
        <f>C133/C121</f>
        <v>0</v>
      </c>
      <c r="D134" s="43">
        <f t="shared" ref="D134:K134" si="178">D133/D121</f>
        <v>0</v>
      </c>
      <c r="E134" s="43">
        <f t="shared" si="178"/>
        <v>0</v>
      </c>
      <c r="F134" s="43">
        <f t="shared" si="178"/>
        <v>0</v>
      </c>
      <c r="G134" s="43">
        <f t="shared" si="178"/>
        <v>0</v>
      </c>
      <c r="H134" s="43">
        <f t="shared" si="178"/>
        <v>0</v>
      </c>
      <c r="I134" s="43">
        <f t="shared" si="178"/>
        <v>0</v>
      </c>
      <c r="J134" s="43">
        <f t="shared" si="178"/>
        <v>0</v>
      </c>
      <c r="K134" s="43">
        <f t="shared" si="178"/>
        <v>0</v>
      </c>
      <c r="L134" s="43"/>
      <c r="M134" s="43"/>
      <c r="N134" s="43"/>
      <c r="O134" s="43"/>
      <c r="P134" s="43"/>
      <c r="Q134" s="43"/>
      <c r="V134" s="59"/>
      <c r="W134" s="59"/>
      <c r="X134" s="59"/>
      <c r="Y134" s="59"/>
      <c r="Z134" s="59"/>
      <c r="AA134" s="59"/>
      <c r="AD134" s="39"/>
      <c r="AE134" s="39"/>
      <c r="AF134" s="40"/>
      <c r="AG134" s="40"/>
      <c r="AH134" s="40"/>
      <c r="AI134" s="40"/>
      <c r="AJ134" s="40"/>
      <c r="AK134" s="40"/>
      <c r="AL134" s="40"/>
      <c r="AM134" s="58"/>
      <c r="AN134" s="40"/>
      <c r="AQ134" s="39"/>
      <c r="AR134" s="39"/>
      <c r="AS134" s="40"/>
      <c r="AT134" s="40"/>
      <c r="AU134" s="40"/>
      <c r="AV134" s="40"/>
      <c r="AW134" s="40"/>
      <c r="AX134" s="40"/>
      <c r="AY134" s="40"/>
      <c r="AZ134" s="40"/>
      <c r="BA134" s="40"/>
      <c r="BB134" s="60"/>
    </row>
    <row r="135" spans="1:54" outlineLevel="1" x14ac:dyDescent="0.3">
      <c r="A135" s="10" t="s">
        <v>388</v>
      </c>
      <c r="B135" s="10"/>
      <c r="C135" s="13">
        <v>3975</v>
      </c>
      <c r="D135" s="13">
        <v>3611</v>
      </c>
      <c r="E135" s="13">
        <f>'By Segment'!F22</f>
        <v>3586</v>
      </c>
      <c r="F135" s="13">
        <f>'By Segment'!G22</f>
        <v>3613</v>
      </c>
      <c r="G135" s="13">
        <f>'By Segment'!H22</f>
        <v>3840</v>
      </c>
      <c r="H135" s="13">
        <f>'By Segment'!I22</f>
        <v>3818</v>
      </c>
      <c r="I135" s="13">
        <f>'By Segment'!J22</f>
        <v>3481</v>
      </c>
      <c r="J135" s="13">
        <f>'By Segment'!K22</f>
        <v>3388</v>
      </c>
      <c r="K135" s="13">
        <f>'By Segment'!L22</f>
        <v>3153</v>
      </c>
      <c r="L135" s="13"/>
      <c r="M135" s="13"/>
      <c r="N135" s="13"/>
      <c r="O135" s="13"/>
      <c r="P135" s="13"/>
      <c r="Q135" s="13"/>
      <c r="AD135" s="10" t="s">
        <v>388</v>
      </c>
      <c r="AE135" s="10"/>
      <c r="AF135" s="44">
        <v>3975</v>
      </c>
      <c r="AG135" s="44">
        <v>3611</v>
      </c>
      <c r="AH135" s="44">
        <v>3586</v>
      </c>
      <c r="AI135" s="44">
        <v>3613</v>
      </c>
      <c r="AJ135" s="44">
        <v>3840</v>
      </c>
      <c r="AK135" s="44">
        <v>3818</v>
      </c>
      <c r="AL135" s="44">
        <v>3481</v>
      </c>
      <c r="AM135" s="44">
        <v>3388</v>
      </c>
      <c r="AN135" s="44">
        <v>3153</v>
      </c>
      <c r="AQ135" s="10" t="s">
        <v>388</v>
      </c>
      <c r="AR135" s="10"/>
      <c r="AS135" s="13">
        <f t="shared" ref="AS135:BA135" si="179">C135-AF135</f>
        <v>0</v>
      </c>
      <c r="AT135" s="13">
        <f t="shared" si="179"/>
        <v>0</v>
      </c>
      <c r="AU135" s="13">
        <f t="shared" si="179"/>
        <v>0</v>
      </c>
      <c r="AV135" s="13">
        <f t="shared" si="179"/>
        <v>0</v>
      </c>
      <c r="AW135" s="13">
        <f t="shared" si="179"/>
        <v>0</v>
      </c>
      <c r="AX135" s="13">
        <f t="shared" si="179"/>
        <v>0</v>
      </c>
      <c r="AY135" s="13">
        <f t="shared" si="179"/>
        <v>0</v>
      </c>
      <c r="AZ135" s="13">
        <f t="shared" si="179"/>
        <v>0</v>
      </c>
      <c r="BA135" s="13">
        <f t="shared" si="179"/>
        <v>0</v>
      </c>
      <c r="BB135" s="54">
        <f t="shared" si="106"/>
        <v>0</v>
      </c>
    </row>
    <row r="136" spans="1:54" s="35" customFormat="1" outlineLevel="1" x14ac:dyDescent="0.3">
      <c r="A136" s="39" t="s">
        <v>413</v>
      </c>
      <c r="B136" s="39"/>
      <c r="C136" s="43">
        <f>C135/C121</f>
        <v>0.32446330911762306</v>
      </c>
      <c r="D136" s="43">
        <f t="shared" ref="D136:K136" si="180">D135/D121</f>
        <v>0.32072120081712407</v>
      </c>
      <c r="E136" s="43">
        <f t="shared" si="180"/>
        <v>0.32141256610199875</v>
      </c>
      <c r="F136" s="43">
        <f t="shared" si="180"/>
        <v>0.31784991642473825</v>
      </c>
      <c r="G136" s="43">
        <f t="shared" si="180"/>
        <v>0.32641958517511049</v>
      </c>
      <c r="H136" s="43">
        <f t="shared" si="180"/>
        <v>0.31676760972372026</v>
      </c>
      <c r="I136" s="43">
        <f t="shared" si="180"/>
        <v>0.27932916064837104</v>
      </c>
      <c r="J136" s="43">
        <f t="shared" si="180"/>
        <v>0.25359281437125747</v>
      </c>
      <c r="K136" s="43">
        <f t="shared" si="180"/>
        <v>0.27640922240729376</v>
      </c>
      <c r="L136" s="43"/>
      <c r="M136" s="43"/>
      <c r="N136" s="43"/>
      <c r="O136" s="43"/>
      <c r="P136" s="43"/>
      <c r="Q136" s="43"/>
      <c r="V136" s="59"/>
      <c r="W136" s="59"/>
      <c r="X136" s="59"/>
      <c r="Y136" s="59"/>
      <c r="Z136" s="59"/>
      <c r="AA136" s="59"/>
      <c r="AD136" s="39"/>
      <c r="AE136" s="39"/>
      <c r="AF136" s="40"/>
      <c r="AG136" s="40"/>
      <c r="AH136" s="40"/>
      <c r="AI136" s="40"/>
      <c r="AJ136" s="40"/>
      <c r="AK136" s="40"/>
      <c r="AL136" s="40"/>
      <c r="AM136" s="58"/>
      <c r="AN136" s="40"/>
      <c r="AQ136" s="39"/>
      <c r="AR136" s="39"/>
      <c r="AS136" s="40"/>
      <c r="AT136" s="40"/>
      <c r="AU136" s="40"/>
      <c r="AV136" s="40"/>
      <c r="AW136" s="40"/>
      <c r="AX136" s="40"/>
      <c r="AY136" s="40"/>
      <c r="AZ136" s="40"/>
      <c r="BA136" s="40"/>
      <c r="BB136" s="60"/>
    </row>
    <row r="137" spans="1:54" s="49" customFormat="1" outlineLevel="1" x14ac:dyDescent="0.3">
      <c r="A137" s="47" t="s">
        <v>389</v>
      </c>
      <c r="B137" s="47"/>
      <c r="C137" s="48">
        <v>10362</v>
      </c>
      <c r="D137" s="48">
        <v>9422</v>
      </c>
      <c r="E137" s="48">
        <v>9423</v>
      </c>
      <c r="F137" s="48">
        <f>'By Segment'!G23</f>
        <v>9518</v>
      </c>
      <c r="G137" s="48">
        <f>'By Segment'!H23</f>
        <v>9979</v>
      </c>
      <c r="H137" s="48">
        <f>'By Segment'!I23</f>
        <v>10063</v>
      </c>
      <c r="I137" s="48">
        <f>'By Segment'!J23</f>
        <v>10254</v>
      </c>
      <c r="J137" s="48">
        <f>'By Segment'!K23</f>
        <v>10126</v>
      </c>
      <c r="K137" s="48">
        <f>'By Segment'!L23</f>
        <v>9453</v>
      </c>
      <c r="L137" s="48"/>
      <c r="M137" s="48"/>
      <c r="N137" s="48"/>
      <c r="O137" s="48"/>
      <c r="P137" s="48"/>
      <c r="Q137" s="48"/>
      <c r="V137" s="55"/>
      <c r="W137" s="55"/>
      <c r="X137" s="55"/>
      <c r="Z137" s="55"/>
      <c r="AD137" s="47" t="s">
        <v>389</v>
      </c>
      <c r="AE137" s="47"/>
      <c r="AF137" s="48">
        <v>10362</v>
      </c>
      <c r="AG137" s="48">
        <v>9422</v>
      </c>
      <c r="AH137" s="48">
        <v>9423</v>
      </c>
      <c r="AI137" s="48">
        <v>9518</v>
      </c>
      <c r="AJ137" s="48">
        <v>9979</v>
      </c>
      <c r="AK137" s="48">
        <v>10063</v>
      </c>
      <c r="AL137" s="48">
        <v>10254</v>
      </c>
      <c r="AM137" s="48">
        <v>10126</v>
      </c>
      <c r="AN137" s="48">
        <v>9453</v>
      </c>
      <c r="AQ137" s="47" t="s">
        <v>389</v>
      </c>
      <c r="AR137" s="47"/>
      <c r="AS137" s="13">
        <f t="shared" ref="AS137:BA137" si="181">C137-AF137</f>
        <v>0</v>
      </c>
      <c r="AT137" s="13">
        <f t="shared" si="181"/>
        <v>0</v>
      </c>
      <c r="AU137" s="13">
        <f t="shared" si="181"/>
        <v>0</v>
      </c>
      <c r="AV137" s="13">
        <f t="shared" si="181"/>
        <v>0</v>
      </c>
      <c r="AW137" s="13">
        <f t="shared" si="181"/>
        <v>0</v>
      </c>
      <c r="AX137" s="13">
        <f t="shared" si="181"/>
        <v>0</v>
      </c>
      <c r="AY137" s="13">
        <f t="shared" si="181"/>
        <v>0</v>
      </c>
      <c r="AZ137" s="13">
        <f t="shared" si="181"/>
        <v>0</v>
      </c>
      <c r="BA137" s="13">
        <f t="shared" si="181"/>
        <v>0</v>
      </c>
      <c r="BB137" s="54">
        <f t="shared" si="106"/>
        <v>0</v>
      </c>
    </row>
    <row r="138" spans="1:54" s="35" customFormat="1" outlineLevel="1" x14ac:dyDescent="0.3">
      <c r="A138" s="39" t="s">
        <v>413</v>
      </c>
      <c r="B138" s="39"/>
      <c r="C138" s="43">
        <f>C137/C121</f>
        <v>0.84580850542812835</v>
      </c>
      <c r="D138" s="43">
        <f t="shared" ref="D138:K138" si="182">D137/D121</f>
        <v>0.8368416378008704</v>
      </c>
      <c r="E138" s="43">
        <f t="shared" si="182"/>
        <v>0.84458187684861519</v>
      </c>
      <c r="F138" s="43">
        <f t="shared" si="182"/>
        <v>0.83733614850004401</v>
      </c>
      <c r="G138" s="43">
        <f t="shared" si="182"/>
        <v>0.84826589595375723</v>
      </c>
      <c r="H138" s="43">
        <f t="shared" si="182"/>
        <v>0.83489587654525843</v>
      </c>
      <c r="I138" s="43">
        <f t="shared" si="182"/>
        <v>0.82282137698603752</v>
      </c>
      <c r="J138" s="43">
        <f t="shared" si="182"/>
        <v>0.75793413173652691</v>
      </c>
      <c r="K138" s="43">
        <f t="shared" si="182"/>
        <v>0.82870167441044973</v>
      </c>
      <c r="L138" s="43"/>
      <c r="M138" s="43"/>
      <c r="N138" s="43"/>
      <c r="O138" s="43"/>
      <c r="P138" s="43"/>
      <c r="Q138" s="43"/>
      <c r="V138" s="59"/>
      <c r="W138" s="59"/>
      <c r="X138" s="59"/>
      <c r="Y138" s="59"/>
      <c r="Z138" s="59"/>
      <c r="AA138" s="59"/>
      <c r="AD138" s="39"/>
      <c r="AE138" s="39"/>
      <c r="AF138" s="40"/>
      <c r="AG138" s="40"/>
      <c r="AH138" s="40"/>
      <c r="AI138" s="40"/>
      <c r="AJ138" s="40"/>
      <c r="AK138" s="40"/>
      <c r="AL138" s="40"/>
      <c r="AM138" s="58"/>
      <c r="AN138" s="40"/>
      <c r="AQ138" s="39"/>
      <c r="AR138" s="39"/>
      <c r="AS138" s="40"/>
      <c r="AT138" s="40"/>
      <c r="AU138" s="40"/>
      <c r="AV138" s="40"/>
      <c r="AW138" s="40"/>
      <c r="AX138" s="40"/>
      <c r="AY138" s="40"/>
      <c r="AZ138" s="40"/>
      <c r="BA138" s="40"/>
      <c r="BB138" s="60"/>
    </row>
    <row r="139" spans="1:54" outlineLevel="1" x14ac:dyDescent="0.3">
      <c r="A139" s="47"/>
      <c r="B139" s="1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AD139" s="47"/>
      <c r="AE139" s="10"/>
      <c r="AF139" s="44"/>
      <c r="AG139" s="44"/>
      <c r="AH139" s="44"/>
      <c r="AI139" s="44"/>
      <c r="AJ139" s="44"/>
      <c r="AK139" s="44"/>
      <c r="AL139" s="44"/>
      <c r="AM139" s="44"/>
      <c r="AN139" s="44"/>
      <c r="AQ139" s="47"/>
      <c r="AR139" s="10"/>
      <c r="AS139" s="13">
        <f t="shared" ref="AS139:BA140" si="183">C139-AF139</f>
        <v>0</v>
      </c>
      <c r="AT139" s="13">
        <f t="shared" si="183"/>
        <v>0</v>
      </c>
      <c r="AU139" s="13">
        <f t="shared" si="183"/>
        <v>0</v>
      </c>
      <c r="AV139" s="13">
        <f t="shared" si="183"/>
        <v>0</v>
      </c>
      <c r="AW139" s="13">
        <f t="shared" si="183"/>
        <v>0</v>
      </c>
      <c r="AX139" s="13">
        <f t="shared" si="183"/>
        <v>0</v>
      </c>
      <c r="AY139" s="13">
        <f t="shared" si="183"/>
        <v>0</v>
      </c>
      <c r="AZ139" s="13">
        <f t="shared" si="183"/>
        <v>0</v>
      </c>
      <c r="BA139" s="13">
        <f t="shared" si="183"/>
        <v>0</v>
      </c>
      <c r="BB139" s="54">
        <f t="shared" si="106"/>
        <v>0</v>
      </c>
    </row>
    <row r="140" spans="1:54" s="49" customFormat="1" outlineLevel="1" x14ac:dyDescent="0.3">
      <c r="A140" s="47" t="s">
        <v>379</v>
      </c>
      <c r="B140" s="47"/>
      <c r="C140" s="48">
        <f>C121-C137</f>
        <v>1889</v>
      </c>
      <c r="D140" s="48">
        <f t="shared" ref="D140:K140" si="184">D121-D137</f>
        <v>1837</v>
      </c>
      <c r="E140" s="48">
        <f t="shared" si="184"/>
        <v>1734</v>
      </c>
      <c r="F140" s="48">
        <f t="shared" si="184"/>
        <v>1849</v>
      </c>
      <c r="G140" s="48">
        <f t="shared" si="184"/>
        <v>1785</v>
      </c>
      <c r="H140" s="48">
        <f t="shared" si="184"/>
        <v>1990</v>
      </c>
      <c r="I140" s="48">
        <f t="shared" si="184"/>
        <v>2208</v>
      </c>
      <c r="J140" s="48">
        <f t="shared" si="184"/>
        <v>3234</v>
      </c>
      <c r="K140" s="48">
        <f t="shared" si="184"/>
        <v>1954</v>
      </c>
      <c r="L140" s="48"/>
      <c r="M140" s="48"/>
      <c r="N140" s="48"/>
      <c r="O140" s="48"/>
      <c r="P140" s="48"/>
      <c r="Q140" s="48"/>
      <c r="V140" s="55"/>
      <c r="W140" s="55"/>
      <c r="X140" s="55"/>
      <c r="Z140" s="55"/>
      <c r="AD140" s="47" t="s">
        <v>379</v>
      </c>
      <c r="AE140" s="47"/>
      <c r="AF140" s="48">
        <v>1889</v>
      </c>
      <c r="AG140" s="48">
        <v>1837</v>
      </c>
      <c r="AH140" s="48">
        <v>1734</v>
      </c>
      <c r="AI140" s="48">
        <v>1849</v>
      </c>
      <c r="AJ140" s="48">
        <v>1785</v>
      </c>
      <c r="AK140" s="48">
        <v>1990</v>
      </c>
      <c r="AL140" s="48">
        <v>2208</v>
      </c>
      <c r="AM140" s="48">
        <v>3234</v>
      </c>
      <c r="AN140" s="48">
        <v>1954</v>
      </c>
      <c r="AQ140" s="47" t="s">
        <v>379</v>
      </c>
      <c r="AR140" s="47"/>
      <c r="AS140" s="13">
        <f t="shared" si="183"/>
        <v>0</v>
      </c>
      <c r="AT140" s="13">
        <f t="shared" si="183"/>
        <v>0</v>
      </c>
      <c r="AU140" s="13">
        <f t="shared" si="183"/>
        <v>0</v>
      </c>
      <c r="AV140" s="13">
        <f t="shared" si="183"/>
        <v>0</v>
      </c>
      <c r="AW140" s="13">
        <f t="shared" si="183"/>
        <v>0</v>
      </c>
      <c r="AX140" s="13">
        <f t="shared" si="183"/>
        <v>0</v>
      </c>
      <c r="AY140" s="13">
        <f t="shared" si="183"/>
        <v>0</v>
      </c>
      <c r="AZ140" s="13">
        <f t="shared" si="183"/>
        <v>0</v>
      </c>
      <c r="BA140" s="13">
        <f t="shared" si="183"/>
        <v>0</v>
      </c>
      <c r="BB140" s="54">
        <f t="shared" si="106"/>
        <v>0</v>
      </c>
    </row>
    <row r="141" spans="1:54" s="35" customFormat="1" outlineLevel="1" x14ac:dyDescent="0.3">
      <c r="A141" s="39" t="s">
        <v>413</v>
      </c>
      <c r="B141" s="39"/>
      <c r="C141" s="43">
        <f>C140/C121</f>
        <v>0.15419149457187167</v>
      </c>
      <c r="D141" s="43">
        <f t="shared" ref="D141:K141" si="185">D140/D121</f>
        <v>0.16315836219912958</v>
      </c>
      <c r="E141" s="43">
        <f t="shared" si="185"/>
        <v>0.15541812315138478</v>
      </c>
      <c r="F141" s="43">
        <f t="shared" si="185"/>
        <v>0.16266385149995602</v>
      </c>
      <c r="G141" s="43">
        <f t="shared" si="185"/>
        <v>0.15173410404624277</v>
      </c>
      <c r="H141" s="43">
        <f t="shared" si="185"/>
        <v>0.16510412345474157</v>
      </c>
      <c r="I141" s="43">
        <f t="shared" si="185"/>
        <v>0.17717862301396245</v>
      </c>
      <c r="J141" s="43">
        <f t="shared" si="185"/>
        <v>0.24206586826347307</v>
      </c>
      <c r="K141" s="43">
        <f t="shared" si="185"/>
        <v>0.17129832558955027</v>
      </c>
      <c r="L141" s="43"/>
      <c r="M141" s="43"/>
      <c r="N141" s="43"/>
      <c r="O141" s="43"/>
      <c r="P141" s="43"/>
      <c r="Q141" s="43"/>
      <c r="V141" s="59"/>
      <c r="W141" s="59"/>
      <c r="X141" s="59"/>
      <c r="Y141" s="59"/>
      <c r="Z141" s="59"/>
      <c r="AA141" s="59"/>
      <c r="AD141" s="39"/>
      <c r="AE141" s="39"/>
      <c r="AF141" s="40"/>
      <c r="AG141" s="40"/>
      <c r="AH141" s="40"/>
      <c r="AI141" s="40"/>
      <c r="AJ141" s="40"/>
      <c r="AK141" s="40"/>
      <c r="AL141" s="40"/>
      <c r="AM141" s="58"/>
      <c r="AN141" s="40"/>
      <c r="AQ141" s="39"/>
      <c r="AR141" s="39"/>
      <c r="AS141" s="40"/>
      <c r="AT141" s="40"/>
      <c r="AU141" s="40"/>
      <c r="AV141" s="40"/>
      <c r="AW141" s="40"/>
      <c r="AX141" s="40"/>
      <c r="AY141" s="40"/>
      <c r="AZ141" s="40"/>
      <c r="BA141" s="40"/>
      <c r="BB141" s="60"/>
    </row>
    <row r="142" spans="1:54" outlineLevel="1" x14ac:dyDescent="0.3">
      <c r="A142" s="47"/>
      <c r="B142" s="10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AD142" s="47"/>
      <c r="AE142" s="10"/>
      <c r="AF142" s="44"/>
      <c r="AG142" s="44"/>
      <c r="AH142" s="44"/>
      <c r="AI142" s="44"/>
      <c r="AJ142" s="44"/>
      <c r="AK142" s="44"/>
      <c r="AL142" s="44"/>
      <c r="AM142" s="44"/>
      <c r="AN142" s="44"/>
      <c r="AQ142" s="47"/>
      <c r="AR142" s="10"/>
      <c r="AS142" s="13">
        <f t="shared" ref="AS142:BA143" si="186">C142-AF142</f>
        <v>0</v>
      </c>
      <c r="AT142" s="13">
        <f t="shared" si="186"/>
        <v>0</v>
      </c>
      <c r="AU142" s="13">
        <f t="shared" si="186"/>
        <v>0</v>
      </c>
      <c r="AV142" s="13">
        <f t="shared" si="186"/>
        <v>0</v>
      </c>
      <c r="AW142" s="13">
        <f t="shared" si="186"/>
        <v>0</v>
      </c>
      <c r="AX142" s="13">
        <f t="shared" si="186"/>
        <v>0</v>
      </c>
      <c r="AY142" s="13">
        <f t="shared" si="186"/>
        <v>0</v>
      </c>
      <c r="AZ142" s="13">
        <f t="shared" si="186"/>
        <v>0</v>
      </c>
      <c r="BA142" s="13">
        <f t="shared" si="186"/>
        <v>0</v>
      </c>
      <c r="BB142" s="54">
        <f t="shared" si="106"/>
        <v>0</v>
      </c>
    </row>
    <row r="143" spans="1:54" outlineLevel="1" x14ac:dyDescent="0.3">
      <c r="A143" s="10" t="s">
        <v>382</v>
      </c>
      <c r="B143" s="10"/>
      <c r="C143" s="13">
        <f>'By Segment'!D16</f>
        <v>582</v>
      </c>
      <c r="D143" s="13">
        <v>457</v>
      </c>
      <c r="E143" s="13">
        <v>492</v>
      </c>
      <c r="F143" s="13">
        <f>'By Segment'!G16</f>
        <v>620</v>
      </c>
      <c r="G143" s="13">
        <f>'By Segment'!H16</f>
        <v>548</v>
      </c>
      <c r="H143" s="13">
        <f>'By Segment'!I16</f>
        <v>585</v>
      </c>
      <c r="I143" s="13">
        <f>'By Segment'!J16</f>
        <v>643</v>
      </c>
      <c r="J143" s="13">
        <f>'By Segment'!K16</f>
        <v>936</v>
      </c>
      <c r="K143" s="13">
        <f>'By Segment'!L16</f>
        <v>576</v>
      </c>
      <c r="L143" s="13"/>
      <c r="M143" s="13"/>
      <c r="N143" s="13"/>
      <c r="O143" s="13"/>
      <c r="P143" s="13"/>
      <c r="Q143" s="13"/>
      <c r="AD143" s="10" t="s">
        <v>382</v>
      </c>
      <c r="AE143" s="10"/>
      <c r="AF143" s="44">
        <v>582</v>
      </c>
      <c r="AG143" s="44">
        <v>457</v>
      </c>
      <c r="AH143" s="44">
        <v>492</v>
      </c>
      <c r="AI143" s="44">
        <v>620</v>
      </c>
      <c r="AJ143" s="44">
        <v>548</v>
      </c>
      <c r="AK143" s="44">
        <v>585</v>
      </c>
      <c r="AL143" s="44">
        <v>643</v>
      </c>
      <c r="AM143" s="44">
        <v>936</v>
      </c>
      <c r="AN143" s="44">
        <v>576</v>
      </c>
      <c r="AQ143" s="10" t="s">
        <v>382</v>
      </c>
      <c r="AR143" s="10"/>
      <c r="AS143" s="13">
        <f t="shared" si="186"/>
        <v>0</v>
      </c>
      <c r="AT143" s="13">
        <f t="shared" si="186"/>
        <v>0</v>
      </c>
      <c r="AU143" s="13">
        <f t="shared" si="186"/>
        <v>0</v>
      </c>
      <c r="AV143" s="13">
        <f t="shared" si="186"/>
        <v>0</v>
      </c>
      <c r="AW143" s="13">
        <f t="shared" si="186"/>
        <v>0</v>
      </c>
      <c r="AX143" s="13">
        <f t="shared" si="186"/>
        <v>0</v>
      </c>
      <c r="AY143" s="13">
        <f t="shared" si="186"/>
        <v>0</v>
      </c>
      <c r="AZ143" s="13">
        <f t="shared" si="186"/>
        <v>0</v>
      </c>
      <c r="BA143" s="13">
        <f t="shared" si="186"/>
        <v>0</v>
      </c>
      <c r="BB143" s="54">
        <f t="shared" si="106"/>
        <v>0</v>
      </c>
    </row>
    <row r="144" spans="1:54" s="35" customFormat="1" outlineLevel="1" x14ac:dyDescent="0.3">
      <c r="A144" s="39" t="s">
        <v>414</v>
      </c>
      <c r="B144" s="39"/>
      <c r="C144" s="43">
        <f>C143/C140</f>
        <v>0.3080995235574378</v>
      </c>
      <c r="D144" s="43">
        <f t="shared" ref="D144:K144" si="187">D143/D140</f>
        <v>0.24877517691888951</v>
      </c>
      <c r="E144" s="43">
        <f t="shared" si="187"/>
        <v>0.2837370242214533</v>
      </c>
      <c r="F144" s="43">
        <f t="shared" si="187"/>
        <v>0.33531638723634399</v>
      </c>
      <c r="G144" s="43">
        <f t="shared" si="187"/>
        <v>0.3070028011204482</v>
      </c>
      <c r="H144" s="43">
        <f t="shared" si="187"/>
        <v>0.29396984924623115</v>
      </c>
      <c r="I144" s="43">
        <f t="shared" si="187"/>
        <v>0.29121376811594202</v>
      </c>
      <c r="J144" s="43">
        <f t="shared" si="187"/>
        <v>0.28942486085343228</v>
      </c>
      <c r="K144" s="43">
        <f t="shared" si="187"/>
        <v>0.29477993858751278</v>
      </c>
      <c r="L144" s="43"/>
      <c r="M144" s="43"/>
      <c r="N144" s="43"/>
      <c r="O144" s="43"/>
      <c r="P144" s="43"/>
      <c r="Q144" s="43"/>
      <c r="V144" s="59"/>
      <c r="W144" s="59"/>
      <c r="X144" s="59"/>
      <c r="Y144" s="59"/>
      <c r="Z144" s="59"/>
      <c r="AA144" s="59"/>
      <c r="AD144" s="39"/>
      <c r="AE144" s="39"/>
      <c r="AF144" s="40"/>
      <c r="AG144" s="40"/>
      <c r="AH144" s="40"/>
      <c r="AI144" s="40"/>
      <c r="AJ144" s="40"/>
      <c r="AK144" s="40"/>
      <c r="AL144" s="40"/>
      <c r="AM144" s="58"/>
      <c r="AN144" s="40"/>
      <c r="AQ144" s="39"/>
      <c r="AR144" s="39"/>
      <c r="AS144" s="40"/>
      <c r="AT144" s="40"/>
      <c r="AU144" s="40"/>
      <c r="AV144" s="40"/>
      <c r="AW144" s="40"/>
      <c r="AX144" s="40"/>
      <c r="AY144" s="40"/>
      <c r="AZ144" s="40"/>
      <c r="BA144" s="40"/>
      <c r="BB144" s="60"/>
    </row>
    <row r="145" spans="1:54" s="49" customFormat="1" outlineLevel="1" x14ac:dyDescent="0.3">
      <c r="A145" s="47" t="s">
        <v>377</v>
      </c>
      <c r="B145" s="47"/>
      <c r="C145" s="48">
        <f>C140-C143</f>
        <v>1307</v>
      </c>
      <c r="D145" s="48">
        <f t="shared" ref="D145:K145" si="188">D140-D143</f>
        <v>1380</v>
      </c>
      <c r="E145" s="48">
        <f t="shared" si="188"/>
        <v>1242</v>
      </c>
      <c r="F145" s="48">
        <f t="shared" si="188"/>
        <v>1229</v>
      </c>
      <c r="G145" s="48">
        <f t="shared" si="188"/>
        <v>1237</v>
      </c>
      <c r="H145" s="48">
        <f t="shared" si="188"/>
        <v>1405</v>
      </c>
      <c r="I145" s="48">
        <f t="shared" si="188"/>
        <v>1565</v>
      </c>
      <c r="J145" s="48">
        <f t="shared" si="188"/>
        <v>2298</v>
      </c>
      <c r="K145" s="48">
        <f t="shared" si="188"/>
        <v>1378</v>
      </c>
      <c r="L145" s="48"/>
      <c r="M145" s="48"/>
      <c r="N145" s="48"/>
      <c r="O145" s="48"/>
      <c r="P145" s="48"/>
      <c r="Q145" s="48"/>
      <c r="V145" s="55"/>
      <c r="W145" s="55"/>
      <c r="X145" s="55"/>
      <c r="Z145" s="55"/>
      <c r="AD145" s="47" t="s">
        <v>377</v>
      </c>
      <c r="AE145" s="47"/>
      <c r="AF145" s="48">
        <v>1307</v>
      </c>
      <c r="AG145" s="48">
        <v>1380</v>
      </c>
      <c r="AH145" s="48">
        <v>1242</v>
      </c>
      <c r="AI145" s="48">
        <v>1229</v>
      </c>
      <c r="AJ145" s="48">
        <v>1237</v>
      </c>
      <c r="AK145" s="48">
        <v>1405</v>
      </c>
      <c r="AL145" s="48">
        <v>1565</v>
      </c>
      <c r="AM145" s="48">
        <v>2298</v>
      </c>
      <c r="AN145" s="48">
        <v>1378</v>
      </c>
      <c r="AQ145" s="47" t="s">
        <v>377</v>
      </c>
      <c r="AR145" s="47"/>
      <c r="AS145" s="13">
        <f t="shared" ref="AS145:BA145" si="189">C145-AF145</f>
        <v>0</v>
      </c>
      <c r="AT145" s="13">
        <f t="shared" si="189"/>
        <v>0</v>
      </c>
      <c r="AU145" s="13">
        <f t="shared" si="189"/>
        <v>0</v>
      </c>
      <c r="AV145" s="13">
        <f t="shared" si="189"/>
        <v>0</v>
      </c>
      <c r="AW145" s="13">
        <f t="shared" si="189"/>
        <v>0</v>
      </c>
      <c r="AX145" s="13">
        <f t="shared" si="189"/>
        <v>0</v>
      </c>
      <c r="AY145" s="13">
        <f t="shared" si="189"/>
        <v>0</v>
      </c>
      <c r="AZ145" s="13">
        <f t="shared" si="189"/>
        <v>0</v>
      </c>
      <c r="BA145" s="13">
        <f t="shared" si="189"/>
        <v>0</v>
      </c>
      <c r="BB145" s="54">
        <f t="shared" si="106"/>
        <v>0</v>
      </c>
    </row>
    <row r="146" spans="1:54" s="35" customFormat="1" outlineLevel="1" x14ac:dyDescent="0.3">
      <c r="A146" s="39" t="s">
        <v>413</v>
      </c>
      <c r="B146" s="39"/>
      <c r="C146" s="43">
        <f>C145/C121</f>
        <v>0.10668516855766876</v>
      </c>
      <c r="D146" s="43">
        <f t="shared" ref="D146:K146" si="190">D145/D121</f>
        <v>0.12256861177724487</v>
      </c>
      <c r="E146" s="43">
        <f t="shared" si="190"/>
        <v>0.11132024737832751</v>
      </c>
      <c r="F146" s="43">
        <f t="shared" si="190"/>
        <v>0.10811999648104161</v>
      </c>
      <c r="G146" s="43">
        <f t="shared" si="190"/>
        <v>0.10515130907854471</v>
      </c>
      <c r="H146" s="43">
        <f t="shared" si="190"/>
        <v>0.11656848917282005</v>
      </c>
      <c r="I146" s="43">
        <f t="shared" si="190"/>
        <v>0.12558176857647246</v>
      </c>
      <c r="J146" s="43">
        <f t="shared" si="190"/>
        <v>0.17200598802395209</v>
      </c>
      <c r="K146" s="43">
        <f t="shared" si="190"/>
        <v>0.12080301569211888</v>
      </c>
      <c r="L146" s="43"/>
      <c r="M146" s="43"/>
      <c r="N146" s="43"/>
      <c r="O146" s="43"/>
      <c r="P146" s="43"/>
      <c r="Q146" s="43"/>
      <c r="V146" s="59"/>
      <c r="W146" s="59"/>
      <c r="X146" s="59"/>
      <c r="Y146" s="59"/>
      <c r="Z146" s="59"/>
      <c r="AA146" s="59"/>
      <c r="AD146" s="39"/>
      <c r="AE146" s="39"/>
      <c r="AF146" s="40"/>
      <c r="AG146" s="40"/>
      <c r="AH146" s="40"/>
      <c r="AI146" s="40"/>
      <c r="AJ146" s="40"/>
      <c r="AK146" s="40"/>
      <c r="AL146" s="40"/>
      <c r="AM146" s="58"/>
      <c r="AN146" s="40"/>
      <c r="AQ146" s="39"/>
      <c r="AR146" s="39"/>
      <c r="AS146" s="40"/>
      <c r="AT146" s="40"/>
      <c r="AU146" s="40"/>
      <c r="AV146" s="40"/>
      <c r="AW146" s="40"/>
      <c r="AX146" s="40"/>
      <c r="AY146" s="40"/>
      <c r="AZ146" s="40"/>
      <c r="BA146" s="40"/>
      <c r="BB146" s="60"/>
    </row>
    <row r="147" spans="1:54" x14ac:dyDescent="0.3">
      <c r="A147" s="6" t="s">
        <v>397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AD147" s="6" t="s">
        <v>397</v>
      </c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Q147" s="6" t="s">
        <v>397</v>
      </c>
      <c r="AR147" s="17"/>
      <c r="AS147" s="13">
        <f t="shared" ref="AS147:BA148" si="191">C147-AF147</f>
        <v>0</v>
      </c>
      <c r="AT147" s="13">
        <f t="shared" si="191"/>
        <v>0</v>
      </c>
      <c r="AU147" s="13">
        <f t="shared" si="191"/>
        <v>0</v>
      </c>
      <c r="AV147" s="13">
        <f t="shared" si="191"/>
        <v>0</v>
      </c>
      <c r="AW147" s="13">
        <f t="shared" si="191"/>
        <v>0</v>
      </c>
      <c r="AX147" s="13">
        <f t="shared" si="191"/>
        <v>0</v>
      </c>
      <c r="AY147" s="13">
        <f t="shared" si="191"/>
        <v>0</v>
      </c>
      <c r="AZ147" s="13">
        <f t="shared" si="191"/>
        <v>0</v>
      </c>
      <c r="BA147" s="13">
        <f t="shared" si="191"/>
        <v>0</v>
      </c>
      <c r="BB147" s="54">
        <f t="shared" si="106"/>
        <v>0</v>
      </c>
    </row>
    <row r="148" spans="1:54" outlineLevel="1" x14ac:dyDescent="0.3">
      <c r="A148" s="10" t="s">
        <v>378</v>
      </c>
      <c r="B148" s="10"/>
      <c r="C148" s="44">
        <v>2796</v>
      </c>
      <c r="D148" s="44">
        <v>2581</v>
      </c>
      <c r="E148" s="44">
        <f>'By Segment'!F80</f>
        <v>2529</v>
      </c>
      <c r="F148" s="44">
        <f>'By Segment'!G80</f>
        <v>2693</v>
      </c>
      <c r="G148" s="44">
        <f>'By Segment'!H80</f>
        <v>2760</v>
      </c>
      <c r="H148" s="44">
        <f>'By Segment'!I80</f>
        <v>2723</v>
      </c>
      <c r="I148" s="44">
        <f>'By Segment'!J80</f>
        <v>2265</v>
      </c>
      <c r="J148" s="44">
        <f>'By Segment'!K80</f>
        <v>2609</v>
      </c>
      <c r="K148" s="44">
        <f>'By Segment'!L80</f>
        <v>3226</v>
      </c>
      <c r="L148" s="44">
        <f>K148*(1+L149)</f>
        <v>3306.4270450746553</v>
      </c>
      <c r="M148" s="44">
        <f t="shared" ref="M148:Q148" si="192">L148*(1+M149)</f>
        <v>3385.5527807668027</v>
      </c>
      <c r="N148" s="44">
        <f t="shared" si="192"/>
        <v>3463.1865128064337</v>
      </c>
      <c r="O148" s="44">
        <f t="shared" si="192"/>
        <v>3539.1372687569856</v>
      </c>
      <c r="P148" s="44">
        <f t="shared" si="192"/>
        <v>3613.2145549701509</v>
      </c>
      <c r="Q148" s="44">
        <f t="shared" si="192"/>
        <v>3685.478846069554</v>
      </c>
      <c r="AD148" s="10" t="s">
        <v>378</v>
      </c>
      <c r="AE148" s="10"/>
      <c r="AF148" s="44">
        <v>2796</v>
      </c>
      <c r="AG148" s="44">
        <v>2581</v>
      </c>
      <c r="AH148" s="44">
        <v>2529</v>
      </c>
      <c r="AI148" s="44">
        <v>2693</v>
      </c>
      <c r="AJ148" s="44">
        <v>2760</v>
      </c>
      <c r="AK148" s="44">
        <v>2723</v>
      </c>
      <c r="AL148" s="44">
        <v>2265</v>
      </c>
      <c r="AM148" s="44">
        <v>2609</v>
      </c>
      <c r="AN148" s="44">
        <v>3226</v>
      </c>
      <c r="AQ148" s="10" t="s">
        <v>378</v>
      </c>
      <c r="AR148" s="10"/>
      <c r="AS148" s="13">
        <f t="shared" si="191"/>
        <v>0</v>
      </c>
      <c r="AT148" s="13">
        <f t="shared" si="191"/>
        <v>0</v>
      </c>
      <c r="AU148" s="13">
        <f t="shared" si="191"/>
        <v>0</v>
      </c>
      <c r="AV148" s="13">
        <f t="shared" si="191"/>
        <v>0</v>
      </c>
      <c r="AW148" s="13">
        <f t="shared" si="191"/>
        <v>0</v>
      </c>
      <c r="AX148" s="13">
        <f t="shared" si="191"/>
        <v>0</v>
      </c>
      <c r="AY148" s="13">
        <f t="shared" si="191"/>
        <v>0</v>
      </c>
      <c r="AZ148" s="13">
        <f t="shared" si="191"/>
        <v>0</v>
      </c>
      <c r="BA148" s="13">
        <f t="shared" si="191"/>
        <v>0</v>
      </c>
      <c r="BB148" s="54">
        <f t="shared" si="106"/>
        <v>0</v>
      </c>
    </row>
    <row r="149" spans="1:54" s="35" customFormat="1" outlineLevel="1" x14ac:dyDescent="0.3">
      <c r="A149" s="39" t="s">
        <v>412</v>
      </c>
      <c r="B149" s="39"/>
      <c r="C149" s="40"/>
      <c r="D149" s="43">
        <f>D148/C148-1</f>
        <v>-7.6895565092990004E-2</v>
      </c>
      <c r="E149" s="43">
        <f t="shared" ref="E149" si="193">E148/D148-1</f>
        <v>-2.0147229755908547E-2</v>
      </c>
      <c r="F149" s="43">
        <f t="shared" ref="F149" si="194">F148/E148-1</f>
        <v>6.4847765915381661E-2</v>
      </c>
      <c r="G149" s="43">
        <f t="shared" ref="G149" si="195">G148/F148-1</f>
        <v>2.4879316747122182E-2</v>
      </c>
      <c r="H149" s="43">
        <f t="shared" ref="H149" si="196">H148/G148-1</f>
        <v>-1.340579710144929E-2</v>
      </c>
      <c r="I149" s="43">
        <f t="shared" ref="I149" si="197">I148/H148-1</f>
        <v>-0.16819684171869265</v>
      </c>
      <c r="J149" s="43">
        <f t="shared" ref="J149" si="198">J148/I148-1</f>
        <v>0.15187637969094925</v>
      </c>
      <c r="K149" s="43">
        <f t="shared" ref="K149" si="199">K148/J148-1</f>
        <v>0.23648907627443472</v>
      </c>
      <c r="L149" s="43">
        <f>AVERAGE(D149:K149)</f>
        <v>2.4930888119855915E-2</v>
      </c>
      <c r="M149" s="43">
        <f>L149-0.001</f>
        <v>2.3930888119855914E-2</v>
      </c>
      <c r="N149" s="43">
        <f t="shared" ref="N149:P149" si="200">M149-0.001</f>
        <v>2.2930888119855913E-2</v>
      </c>
      <c r="O149" s="43">
        <f t="shared" si="200"/>
        <v>2.1930888119855912E-2</v>
      </c>
      <c r="P149" s="43">
        <f t="shared" si="200"/>
        <v>2.0930888119855912E-2</v>
      </c>
      <c r="Q149" s="43">
        <v>0.02</v>
      </c>
      <c r="V149" s="59"/>
      <c r="W149" s="59"/>
      <c r="X149" s="59"/>
      <c r="Y149" s="59"/>
      <c r="Z149" s="59"/>
      <c r="AA149" s="59"/>
      <c r="AD149" s="39"/>
      <c r="AE149" s="39"/>
      <c r="AF149" s="40"/>
      <c r="AG149" s="40"/>
      <c r="AH149" s="40"/>
      <c r="AI149" s="40"/>
      <c r="AJ149" s="40"/>
      <c r="AK149" s="40"/>
      <c r="AL149" s="40"/>
      <c r="AM149" s="58"/>
      <c r="AN149" s="40"/>
      <c r="AQ149" s="39"/>
      <c r="AR149" s="39"/>
      <c r="AS149" s="40"/>
      <c r="AT149" s="40"/>
      <c r="AU149" s="40"/>
      <c r="AV149" s="40"/>
      <c r="AW149" s="40"/>
      <c r="AX149" s="40"/>
      <c r="AY149" s="40"/>
      <c r="AZ149" s="40"/>
      <c r="BA149" s="40"/>
      <c r="BB149" s="60"/>
    </row>
    <row r="150" spans="1:54" outlineLevel="1" x14ac:dyDescent="0.3">
      <c r="A150" s="10" t="s">
        <v>422</v>
      </c>
      <c r="B150" s="10"/>
      <c r="C150" s="44">
        <f t="shared" ref="C150" si="201">C158-C148-C152-C154</f>
        <v>1239</v>
      </c>
      <c r="D150" s="44">
        <f t="shared" ref="D150" si="202">D158-D148-D152-D154</f>
        <v>1117</v>
      </c>
      <c r="E150" s="44">
        <f t="shared" ref="E150" si="203">E158-E148-E152-E154</f>
        <v>1025</v>
      </c>
      <c r="F150" s="44">
        <f t="shared" ref="F150" si="204">F158-F148-F152-F154</f>
        <v>1044</v>
      </c>
      <c r="G150" s="44">
        <f t="shared" ref="G150" si="205">G158-G148-G152-G154</f>
        <v>1050</v>
      </c>
      <c r="H150" s="44">
        <f t="shared" ref="H150" si="206">H158-H148-H152-H154</f>
        <v>1094</v>
      </c>
      <c r="I150" s="44">
        <f t="shared" ref="I150" si="207">I158-I148-I152-I154</f>
        <v>994</v>
      </c>
      <c r="J150" s="44">
        <f t="shared" ref="J150" si="208">J158-J148-J152-J154</f>
        <v>1109</v>
      </c>
      <c r="K150" s="44">
        <f>K158-K148-K152-K154</f>
        <v>1175</v>
      </c>
      <c r="L150" s="44"/>
      <c r="M150" s="44"/>
      <c r="N150" s="44"/>
      <c r="O150" s="44"/>
      <c r="P150" s="44"/>
      <c r="Q150" s="44"/>
      <c r="AD150" s="10" t="s">
        <v>422</v>
      </c>
      <c r="AE150" s="10"/>
      <c r="AF150" s="44">
        <v>1239</v>
      </c>
      <c r="AG150" s="44">
        <v>1117</v>
      </c>
      <c r="AH150" s="44">
        <v>1025</v>
      </c>
      <c r="AI150" s="44">
        <v>1044</v>
      </c>
      <c r="AJ150" s="44">
        <v>1050</v>
      </c>
      <c r="AK150" s="44">
        <v>1094</v>
      </c>
      <c r="AL150" s="44">
        <v>994</v>
      </c>
      <c r="AM150" s="44">
        <v>1109</v>
      </c>
      <c r="AN150" s="44">
        <v>1175</v>
      </c>
      <c r="AQ150" s="10" t="s">
        <v>422</v>
      </c>
      <c r="AR150" s="10"/>
      <c r="AS150" s="13">
        <f t="shared" ref="AS150:BA150" si="209">C150-AF150</f>
        <v>0</v>
      </c>
      <c r="AT150" s="13">
        <f t="shared" si="209"/>
        <v>0</v>
      </c>
      <c r="AU150" s="13">
        <f t="shared" si="209"/>
        <v>0</v>
      </c>
      <c r="AV150" s="13">
        <f t="shared" si="209"/>
        <v>0</v>
      </c>
      <c r="AW150" s="13">
        <f t="shared" si="209"/>
        <v>0</v>
      </c>
      <c r="AX150" s="13">
        <f t="shared" si="209"/>
        <v>0</v>
      </c>
      <c r="AY150" s="13">
        <f t="shared" si="209"/>
        <v>0</v>
      </c>
      <c r="AZ150" s="13">
        <f t="shared" si="209"/>
        <v>0</v>
      </c>
      <c r="BA150" s="13">
        <f t="shared" si="209"/>
        <v>0</v>
      </c>
      <c r="BB150" s="54">
        <f t="shared" si="106"/>
        <v>0</v>
      </c>
    </row>
    <row r="151" spans="1:54" s="35" customFormat="1" outlineLevel="1" x14ac:dyDescent="0.3">
      <c r="A151" s="39" t="s">
        <v>435</v>
      </c>
      <c r="B151" s="39"/>
      <c r="C151" s="43">
        <f>C150/C148</f>
        <v>0.44313304721030045</v>
      </c>
      <c r="D151" s="43">
        <f t="shared" ref="D151" si="210">D150/D148</f>
        <v>0.43277799302595893</v>
      </c>
      <c r="E151" s="43">
        <f t="shared" ref="E151" si="211">E150/E148</f>
        <v>0.40529853697113483</v>
      </c>
      <c r="F151" s="43">
        <f t="shared" ref="F151" si="212">F150/F148</f>
        <v>0.38767174155217232</v>
      </c>
      <c r="G151" s="43">
        <f t="shared" ref="G151" si="213">G150/G148</f>
        <v>0.38043478260869568</v>
      </c>
      <c r="H151" s="43">
        <f t="shared" ref="H151" si="214">H150/H148</f>
        <v>0.40176276165993391</v>
      </c>
      <c r="I151" s="43">
        <f t="shared" ref="I151" si="215">I150/I148</f>
        <v>0.43885209713024281</v>
      </c>
      <c r="J151" s="43">
        <f t="shared" ref="J151" si="216">J150/J148</f>
        <v>0.42506707550785744</v>
      </c>
      <c r="K151" s="43">
        <f t="shared" ref="K151" si="217">K150/K148</f>
        <v>0.3642281463112213</v>
      </c>
      <c r="L151" s="43"/>
      <c r="M151" s="43"/>
      <c r="N151" s="43"/>
      <c r="O151" s="43"/>
      <c r="P151" s="43"/>
      <c r="Q151" s="43"/>
      <c r="V151" s="59"/>
      <c r="W151" s="59"/>
      <c r="X151" s="59"/>
      <c r="Y151" s="59"/>
      <c r="Z151" s="59"/>
      <c r="AA151" s="59"/>
      <c r="AD151" s="39"/>
      <c r="AE151" s="39"/>
      <c r="AF151" s="40"/>
      <c r="AG151" s="40"/>
      <c r="AH151" s="40"/>
      <c r="AI151" s="40"/>
      <c r="AJ151" s="40"/>
      <c r="AK151" s="40"/>
      <c r="AL151" s="40"/>
      <c r="AM151" s="58"/>
      <c r="AN151" s="40"/>
      <c r="AQ151" s="39"/>
      <c r="AR151" s="39"/>
      <c r="AS151" s="40"/>
      <c r="AT151" s="40"/>
      <c r="AU151" s="40"/>
      <c r="AV151" s="40"/>
      <c r="AW151" s="40"/>
      <c r="AX151" s="40"/>
      <c r="AY151" s="40"/>
      <c r="AZ151" s="40"/>
      <c r="BA151" s="40"/>
      <c r="BB151" s="60"/>
    </row>
    <row r="152" spans="1:54" outlineLevel="1" x14ac:dyDescent="0.3">
      <c r="A152" s="10" t="s">
        <v>384</v>
      </c>
      <c r="B152" s="10"/>
      <c r="C152" s="44">
        <f>'By Segment'!D86</f>
        <v>1219</v>
      </c>
      <c r="D152" s="44">
        <f>'By Segment'!E86</f>
        <v>1038</v>
      </c>
      <c r="E152" s="44">
        <f>'By Segment'!F86</f>
        <v>1084</v>
      </c>
      <c r="F152" s="44">
        <f>'By Segment'!G86</f>
        <v>1219</v>
      </c>
      <c r="G152" s="44">
        <f>'By Segment'!H86</f>
        <v>1239</v>
      </c>
      <c r="H152" s="44">
        <f>'By Segment'!I86</f>
        <v>1271</v>
      </c>
      <c r="I152" s="44">
        <f>'By Segment'!J86</f>
        <v>992</v>
      </c>
      <c r="J152" s="44">
        <f>'By Segment'!K86</f>
        <v>1271</v>
      </c>
      <c r="K152" s="44">
        <f>'By Segment'!L86</f>
        <v>1593</v>
      </c>
      <c r="L152" s="44"/>
      <c r="M152" s="44"/>
      <c r="N152" s="44"/>
      <c r="O152" s="44"/>
      <c r="P152" s="44"/>
      <c r="Q152" s="44"/>
      <c r="AD152" s="10" t="s">
        <v>384</v>
      </c>
      <c r="AE152" s="10"/>
      <c r="AF152" s="44">
        <v>1219</v>
      </c>
      <c r="AG152" s="44">
        <v>1038</v>
      </c>
      <c r="AH152" s="44">
        <v>1084</v>
      </c>
      <c r="AI152" s="44">
        <v>1219</v>
      </c>
      <c r="AJ152" s="44">
        <v>1239</v>
      </c>
      <c r="AK152" s="44">
        <v>1271</v>
      </c>
      <c r="AL152" s="44">
        <v>992</v>
      </c>
      <c r="AM152" s="44">
        <v>1271</v>
      </c>
      <c r="AN152" s="44">
        <v>1593</v>
      </c>
      <c r="AQ152" s="10" t="s">
        <v>384</v>
      </c>
      <c r="AR152" s="10"/>
      <c r="AS152" s="13">
        <f t="shared" ref="AS152:BA152" si="218">C152-AF152</f>
        <v>0</v>
      </c>
      <c r="AT152" s="13">
        <f t="shared" si="218"/>
        <v>0</v>
      </c>
      <c r="AU152" s="13">
        <f t="shared" si="218"/>
        <v>0</v>
      </c>
      <c r="AV152" s="13">
        <f t="shared" si="218"/>
        <v>0</v>
      </c>
      <c r="AW152" s="13">
        <f t="shared" si="218"/>
        <v>0</v>
      </c>
      <c r="AX152" s="13">
        <f t="shared" si="218"/>
        <v>0</v>
      </c>
      <c r="AY152" s="13">
        <f t="shared" si="218"/>
        <v>0</v>
      </c>
      <c r="AZ152" s="13">
        <f t="shared" si="218"/>
        <v>0</v>
      </c>
      <c r="BA152" s="13">
        <f t="shared" si="218"/>
        <v>0</v>
      </c>
      <c r="BB152" s="54">
        <f t="shared" si="106"/>
        <v>0</v>
      </c>
    </row>
    <row r="153" spans="1:54" s="35" customFormat="1" outlineLevel="1" x14ac:dyDescent="0.3">
      <c r="A153" s="39" t="s">
        <v>435</v>
      </c>
      <c r="B153" s="39"/>
      <c r="C153" s="43">
        <f>C152/C148</f>
        <v>0.43597997138769673</v>
      </c>
      <c r="D153" s="43">
        <f t="shared" ref="D153:K153" si="219">D152/D148</f>
        <v>0.4021697016660209</v>
      </c>
      <c r="E153" s="43">
        <f t="shared" si="219"/>
        <v>0.42862791617240015</v>
      </c>
      <c r="F153" s="43">
        <f t="shared" si="219"/>
        <v>0.45265503156331227</v>
      </c>
      <c r="G153" s="43">
        <f t="shared" si="219"/>
        <v>0.44891304347826089</v>
      </c>
      <c r="H153" s="43">
        <f t="shared" si="219"/>
        <v>0.4667645978699963</v>
      </c>
      <c r="I153" s="43">
        <f t="shared" si="219"/>
        <v>0.43796909492273733</v>
      </c>
      <c r="J153" s="43">
        <f t="shared" si="219"/>
        <v>0.48715983135300883</v>
      </c>
      <c r="K153" s="43">
        <f t="shared" si="219"/>
        <v>0.49380037197768134</v>
      </c>
      <c r="L153" s="43"/>
      <c r="M153" s="43"/>
      <c r="N153" s="43"/>
      <c r="O153" s="43"/>
      <c r="P153" s="43"/>
      <c r="Q153" s="43"/>
      <c r="V153" s="59"/>
      <c r="W153" s="59"/>
      <c r="X153" s="59"/>
      <c r="Y153" s="59"/>
      <c r="Z153" s="59"/>
      <c r="AA153" s="59"/>
      <c r="AD153" s="39"/>
      <c r="AE153" s="39"/>
      <c r="AF153" s="40"/>
      <c r="AG153" s="40"/>
      <c r="AH153" s="40"/>
      <c r="AI153" s="40"/>
      <c r="AJ153" s="40"/>
      <c r="AK153" s="40"/>
      <c r="AL153" s="40"/>
      <c r="AM153" s="58"/>
      <c r="AN153" s="40"/>
      <c r="AQ153" s="39"/>
      <c r="AR153" s="39"/>
      <c r="AS153" s="40"/>
      <c r="AT153" s="40"/>
      <c r="AU153" s="40"/>
      <c r="AV153" s="40"/>
      <c r="AW153" s="40"/>
      <c r="AX153" s="40"/>
      <c r="AY153" s="40"/>
      <c r="AZ153" s="40"/>
      <c r="BA153" s="40"/>
      <c r="BB153" s="60"/>
    </row>
    <row r="154" spans="1:54" outlineLevel="1" x14ac:dyDescent="0.3">
      <c r="A154" s="10" t="s">
        <v>391</v>
      </c>
      <c r="B154" s="10"/>
      <c r="C154" s="44">
        <v>33</v>
      </c>
      <c r="D154" s="44">
        <f>'By Segment'!E93</f>
        <v>41</v>
      </c>
      <c r="E154" s="44">
        <f>'By Segment'!F93</f>
        <v>34</v>
      </c>
      <c r="F154" s="44">
        <f>'By Segment'!G93</f>
        <v>32</v>
      </c>
      <c r="G154" s="44">
        <f>'By Segment'!H93</f>
        <v>35</v>
      </c>
      <c r="H154" s="44">
        <f>'By Segment'!I93</f>
        <v>44</v>
      </c>
      <c r="I154" s="44">
        <f>'By Segment'!J93</f>
        <v>38</v>
      </c>
      <c r="J154" s="44">
        <f>'By Segment'!K93</f>
        <v>41</v>
      </c>
      <c r="K154" s="44">
        <f>'By Segment'!L93</f>
        <v>39</v>
      </c>
      <c r="L154" s="44"/>
      <c r="M154" s="44"/>
      <c r="N154" s="44"/>
      <c r="O154" s="44"/>
      <c r="P154" s="44"/>
      <c r="Q154" s="44"/>
      <c r="AD154" s="10" t="s">
        <v>391</v>
      </c>
      <c r="AE154" s="10"/>
      <c r="AF154" s="44">
        <v>33</v>
      </c>
      <c r="AG154" s="44">
        <v>41</v>
      </c>
      <c r="AH154" s="44">
        <v>34</v>
      </c>
      <c r="AI154" s="44">
        <v>32</v>
      </c>
      <c r="AJ154" s="44">
        <v>35</v>
      </c>
      <c r="AK154" s="44">
        <v>44</v>
      </c>
      <c r="AL154" s="44">
        <v>38</v>
      </c>
      <c r="AM154" s="44">
        <v>41</v>
      </c>
      <c r="AN154" s="44">
        <v>39</v>
      </c>
      <c r="AQ154" s="10" t="s">
        <v>391</v>
      </c>
      <c r="AR154" s="10"/>
      <c r="AS154" s="13">
        <f t="shared" ref="AS154:BA154" si="220">C154-AF154</f>
        <v>0</v>
      </c>
      <c r="AT154" s="13">
        <f t="shared" si="220"/>
        <v>0</v>
      </c>
      <c r="AU154" s="13">
        <f t="shared" si="220"/>
        <v>0</v>
      </c>
      <c r="AV154" s="13">
        <f t="shared" si="220"/>
        <v>0</v>
      </c>
      <c r="AW154" s="13">
        <f t="shared" si="220"/>
        <v>0</v>
      </c>
      <c r="AX154" s="13">
        <f t="shared" si="220"/>
        <v>0</v>
      </c>
      <c r="AY154" s="13">
        <f t="shared" si="220"/>
        <v>0</v>
      </c>
      <c r="AZ154" s="13">
        <f t="shared" si="220"/>
        <v>0</v>
      </c>
      <c r="BA154" s="13">
        <f t="shared" si="220"/>
        <v>0</v>
      </c>
      <c r="BB154" s="54">
        <f t="shared" si="106"/>
        <v>0</v>
      </c>
    </row>
    <row r="155" spans="1:54" s="35" customFormat="1" outlineLevel="1" x14ac:dyDescent="0.3">
      <c r="A155" s="39" t="s">
        <v>435</v>
      </c>
      <c r="B155" s="39"/>
      <c r="C155" s="43">
        <f>C154/C148</f>
        <v>1.1802575107296138E-2</v>
      </c>
      <c r="D155" s="43">
        <f t="shared" ref="D155:K155" si="221">D154/D148</f>
        <v>1.588531576908175E-2</v>
      </c>
      <c r="E155" s="43">
        <f t="shared" si="221"/>
        <v>1.3444049031237644E-2</v>
      </c>
      <c r="F155" s="43">
        <f t="shared" si="221"/>
        <v>1.188265874489417E-2</v>
      </c>
      <c r="G155" s="43">
        <f t="shared" si="221"/>
        <v>1.2681159420289856E-2</v>
      </c>
      <c r="H155" s="43">
        <f t="shared" si="221"/>
        <v>1.6158648549394052E-2</v>
      </c>
      <c r="I155" s="43">
        <f t="shared" si="221"/>
        <v>1.6777041942604858E-2</v>
      </c>
      <c r="J155" s="43">
        <f t="shared" si="221"/>
        <v>1.5714833269451896E-2</v>
      </c>
      <c r="K155" s="43">
        <f t="shared" si="221"/>
        <v>1.208927464352139E-2</v>
      </c>
      <c r="L155" s="43"/>
      <c r="M155" s="43"/>
      <c r="N155" s="43"/>
      <c r="O155" s="43"/>
      <c r="P155" s="43"/>
      <c r="Q155" s="43"/>
      <c r="V155" s="59"/>
      <c r="W155" s="59"/>
      <c r="X155" s="59"/>
      <c r="Y155" s="59"/>
      <c r="Z155" s="59"/>
      <c r="AA155" s="59"/>
      <c r="AD155" s="39"/>
      <c r="AE155" s="39"/>
      <c r="AF155" s="40"/>
      <c r="AG155" s="40"/>
      <c r="AH155" s="40"/>
      <c r="AI155" s="40"/>
      <c r="AJ155" s="40"/>
      <c r="AK155" s="40"/>
      <c r="AL155" s="40"/>
      <c r="AM155" s="58"/>
      <c r="AN155" s="40"/>
      <c r="AQ155" s="39"/>
      <c r="AR155" s="39"/>
      <c r="AS155" s="40"/>
      <c r="AT155" s="40"/>
      <c r="AU155" s="40"/>
      <c r="AV155" s="40"/>
      <c r="AW155" s="40"/>
      <c r="AX155" s="40"/>
      <c r="AY155" s="40"/>
      <c r="AZ155" s="40"/>
      <c r="BA155" s="40"/>
      <c r="BB155" s="60"/>
    </row>
    <row r="156" spans="1:54" outlineLevel="1" x14ac:dyDescent="0.3">
      <c r="A156" s="10" t="s">
        <v>432</v>
      </c>
      <c r="B156" s="10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V156" s="50"/>
      <c r="W156" s="50"/>
      <c r="X156" s="50"/>
      <c r="Y156" s="50"/>
      <c r="Z156" s="50"/>
      <c r="AA156" s="50"/>
      <c r="AD156" s="10"/>
      <c r="AE156" s="10"/>
      <c r="AF156" s="13"/>
      <c r="AG156" s="13"/>
      <c r="AH156" s="13"/>
      <c r="AI156" s="13"/>
      <c r="AJ156" s="13"/>
      <c r="AK156" s="13"/>
      <c r="AL156" s="13"/>
      <c r="AM156" s="13"/>
      <c r="AN156" s="13"/>
      <c r="AQ156" s="10"/>
      <c r="AR156" s="10"/>
      <c r="AS156" s="13"/>
      <c r="AT156" s="13"/>
      <c r="AU156" s="13"/>
      <c r="AV156" s="13"/>
      <c r="AW156" s="13"/>
      <c r="AX156" s="13"/>
      <c r="AY156" s="13"/>
      <c r="AZ156" s="13"/>
      <c r="BA156" s="13"/>
      <c r="BB156" s="54"/>
    </row>
    <row r="157" spans="1:54" outlineLevel="1" x14ac:dyDescent="0.3">
      <c r="A157" s="10" t="s">
        <v>433</v>
      </c>
      <c r="B157" s="10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V157" s="50"/>
      <c r="W157" s="50"/>
      <c r="X157" s="50"/>
      <c r="Y157" s="50"/>
      <c r="Z157" s="50"/>
      <c r="AA157" s="50"/>
      <c r="AD157" s="10"/>
      <c r="AE157" s="10"/>
      <c r="AF157" s="13"/>
      <c r="AG157" s="13"/>
      <c r="AH157" s="13"/>
      <c r="AI157" s="13"/>
      <c r="AJ157" s="13"/>
      <c r="AK157" s="13"/>
      <c r="AL157" s="13"/>
      <c r="AM157" s="13"/>
      <c r="AN157" s="13"/>
      <c r="AQ157" s="10"/>
      <c r="AR157" s="10"/>
      <c r="AS157" s="13"/>
      <c r="AT157" s="13"/>
      <c r="AU157" s="13"/>
      <c r="AV157" s="13"/>
      <c r="AW157" s="13"/>
      <c r="AX157" s="13"/>
      <c r="AY157" s="13"/>
      <c r="AZ157" s="13"/>
      <c r="BA157" s="13"/>
      <c r="BB157" s="54"/>
    </row>
    <row r="158" spans="1:54" s="49" customFormat="1" outlineLevel="1" x14ac:dyDescent="0.3">
      <c r="A158" s="47" t="s">
        <v>373</v>
      </c>
      <c r="B158" s="47"/>
      <c r="C158" s="52">
        <f>'By Segment'!D75</f>
        <v>5287</v>
      </c>
      <c r="D158" s="52">
        <f>'By Segment'!E75</f>
        <v>4777</v>
      </c>
      <c r="E158" s="52">
        <f>'By Segment'!F75</f>
        <v>4672</v>
      </c>
      <c r="F158" s="52">
        <f>'By Segment'!G75</f>
        <v>4988</v>
      </c>
      <c r="G158" s="52">
        <f>'By Segment'!H75</f>
        <v>5084</v>
      </c>
      <c r="H158" s="52">
        <f>'By Segment'!I75</f>
        <v>5132</v>
      </c>
      <c r="I158" s="52">
        <f>'By Segment'!J75</f>
        <v>4289</v>
      </c>
      <c r="J158" s="52">
        <f>'By Segment'!K75</f>
        <v>5030</v>
      </c>
      <c r="K158" s="52">
        <f>'By Segment'!L75</f>
        <v>6033</v>
      </c>
      <c r="L158" s="52"/>
      <c r="M158" s="52"/>
      <c r="N158" s="52"/>
      <c r="O158" s="52"/>
      <c r="P158" s="52"/>
      <c r="Q158" s="52"/>
      <c r="V158" s="55"/>
      <c r="W158" s="55"/>
      <c r="X158" s="55"/>
      <c r="Z158" s="55"/>
      <c r="AD158" s="47" t="s">
        <v>373</v>
      </c>
      <c r="AE158" s="47"/>
      <c r="AF158" s="52">
        <v>5287</v>
      </c>
      <c r="AG158" s="52">
        <v>4777</v>
      </c>
      <c r="AH158" s="52">
        <v>4672</v>
      </c>
      <c r="AI158" s="52">
        <v>4988</v>
      </c>
      <c r="AJ158" s="52">
        <v>5084</v>
      </c>
      <c r="AK158" s="52">
        <v>5132</v>
      </c>
      <c r="AL158" s="52">
        <v>4289</v>
      </c>
      <c r="AM158" s="52">
        <v>5030</v>
      </c>
      <c r="AN158" s="52">
        <v>6033</v>
      </c>
      <c r="AQ158" s="47" t="s">
        <v>373</v>
      </c>
      <c r="AR158" s="47"/>
      <c r="AS158" s="13">
        <f t="shared" ref="AS158:BA160" si="222">C158-AF158</f>
        <v>0</v>
      </c>
      <c r="AT158" s="13">
        <f t="shared" si="222"/>
        <v>0</v>
      </c>
      <c r="AU158" s="13">
        <f t="shared" si="222"/>
        <v>0</v>
      </c>
      <c r="AV158" s="13">
        <f t="shared" si="222"/>
        <v>0</v>
      </c>
      <c r="AW158" s="13">
        <f t="shared" si="222"/>
        <v>0</v>
      </c>
      <c r="AX158" s="13">
        <f t="shared" si="222"/>
        <v>0</v>
      </c>
      <c r="AY158" s="13">
        <f t="shared" si="222"/>
        <v>0</v>
      </c>
      <c r="AZ158" s="13">
        <f t="shared" si="222"/>
        <v>0</v>
      </c>
      <c r="BA158" s="13">
        <f t="shared" si="222"/>
        <v>0</v>
      </c>
      <c r="BB158" s="54">
        <f t="shared" si="106"/>
        <v>0</v>
      </c>
    </row>
    <row r="159" spans="1:54" outlineLevel="1" x14ac:dyDescent="0.3">
      <c r="A159" s="10"/>
      <c r="B159" s="10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AD159" s="10"/>
      <c r="AE159" s="10"/>
      <c r="AF159" s="44"/>
      <c r="AG159" s="44"/>
      <c r="AH159" s="44"/>
      <c r="AI159" s="44"/>
      <c r="AJ159" s="44"/>
      <c r="AK159" s="44"/>
      <c r="AL159" s="44"/>
      <c r="AM159" s="44"/>
      <c r="AN159" s="44"/>
      <c r="AQ159" s="10"/>
      <c r="AR159" s="10"/>
      <c r="AS159" s="13">
        <f t="shared" si="222"/>
        <v>0</v>
      </c>
      <c r="AT159" s="13">
        <f t="shared" si="222"/>
        <v>0</v>
      </c>
      <c r="AU159" s="13">
        <f t="shared" si="222"/>
        <v>0</v>
      </c>
      <c r="AV159" s="13">
        <f t="shared" si="222"/>
        <v>0</v>
      </c>
      <c r="AW159" s="13">
        <f t="shared" si="222"/>
        <v>0</v>
      </c>
      <c r="AX159" s="13">
        <f t="shared" si="222"/>
        <v>0</v>
      </c>
      <c r="AY159" s="13">
        <f t="shared" si="222"/>
        <v>0</v>
      </c>
      <c r="AZ159" s="13">
        <f t="shared" si="222"/>
        <v>0</v>
      </c>
      <c r="BA159" s="13">
        <f t="shared" si="222"/>
        <v>0</v>
      </c>
      <c r="BB159" s="54">
        <f t="shared" si="106"/>
        <v>0</v>
      </c>
    </row>
    <row r="160" spans="1:54" outlineLevel="1" x14ac:dyDescent="0.3">
      <c r="A160" s="10" t="s">
        <v>380</v>
      </c>
      <c r="B160" s="10"/>
      <c r="C160" s="44">
        <v>2615</v>
      </c>
      <c r="D160" s="44">
        <f>'By Segment'!E82</f>
        <v>2408</v>
      </c>
      <c r="E160" s="44">
        <f>'By Segment'!F82</f>
        <v>2443</v>
      </c>
      <c r="F160" s="44">
        <f>'By Segment'!G82</f>
        <v>2535</v>
      </c>
      <c r="G160" s="44">
        <f>'By Segment'!H82</f>
        <v>2602</v>
      </c>
      <c r="H160" s="44">
        <f>'By Segment'!I82</f>
        <v>2623</v>
      </c>
      <c r="I160" s="44">
        <f>'By Segment'!J82</f>
        <v>2406</v>
      </c>
      <c r="J160" s="44">
        <f>'By Segment'!K82</f>
        <v>3143</v>
      </c>
      <c r="K160" s="44">
        <f>'By Segment'!L82</f>
        <v>3301</v>
      </c>
      <c r="L160" s="44"/>
      <c r="M160" s="44"/>
      <c r="N160" s="44"/>
      <c r="O160" s="44"/>
      <c r="P160" s="44"/>
      <c r="Q160" s="44"/>
      <c r="AD160" s="10" t="s">
        <v>380</v>
      </c>
      <c r="AE160" s="10"/>
      <c r="AF160" s="44">
        <v>2615</v>
      </c>
      <c r="AG160" s="44">
        <v>2408</v>
      </c>
      <c r="AH160" s="44">
        <v>2443</v>
      </c>
      <c r="AI160" s="44">
        <v>2535</v>
      </c>
      <c r="AJ160" s="44">
        <v>2602</v>
      </c>
      <c r="AK160" s="44">
        <v>2623</v>
      </c>
      <c r="AL160" s="44">
        <v>2406</v>
      </c>
      <c r="AM160" s="44">
        <v>3143</v>
      </c>
      <c r="AN160" s="44">
        <v>3301</v>
      </c>
      <c r="AQ160" s="10" t="s">
        <v>380</v>
      </c>
      <c r="AR160" s="10"/>
      <c r="AS160" s="13">
        <f t="shared" si="222"/>
        <v>0</v>
      </c>
      <c r="AT160" s="13">
        <f t="shared" si="222"/>
        <v>0</v>
      </c>
      <c r="AU160" s="13">
        <f t="shared" si="222"/>
        <v>0</v>
      </c>
      <c r="AV160" s="13">
        <f t="shared" si="222"/>
        <v>0</v>
      </c>
      <c r="AW160" s="13">
        <f t="shared" si="222"/>
        <v>0</v>
      </c>
      <c r="AX160" s="13">
        <f t="shared" si="222"/>
        <v>0</v>
      </c>
      <c r="AY160" s="13">
        <f t="shared" si="222"/>
        <v>0</v>
      </c>
      <c r="AZ160" s="13">
        <f t="shared" si="222"/>
        <v>0</v>
      </c>
      <c r="BA160" s="13">
        <f t="shared" si="222"/>
        <v>0</v>
      </c>
      <c r="BB160" s="54">
        <f t="shared" si="106"/>
        <v>0</v>
      </c>
    </row>
    <row r="161" spans="1:54" s="35" customFormat="1" outlineLevel="1" x14ac:dyDescent="0.3">
      <c r="A161" s="39" t="s">
        <v>413</v>
      </c>
      <c r="B161" s="39"/>
      <c r="C161" s="43">
        <f>C160/C158</f>
        <v>0.49460941933043312</v>
      </c>
      <c r="D161" s="43">
        <f t="shared" ref="D161" si="223">D160/D158</f>
        <v>0.50408205987021149</v>
      </c>
      <c r="E161" s="43">
        <f t="shared" ref="E161" si="224">E160/E158</f>
        <v>0.52290239726027399</v>
      </c>
      <c r="F161" s="43">
        <f t="shared" ref="F161" si="225">F160/F158</f>
        <v>0.50821972734562948</v>
      </c>
      <c r="G161" s="43">
        <f t="shared" ref="G161" si="226">G160/G158</f>
        <v>0.51180173092053505</v>
      </c>
      <c r="H161" s="43">
        <f t="shared" ref="H161" si="227">H160/H158</f>
        <v>0.51110678098207329</v>
      </c>
      <c r="I161" s="43">
        <f t="shared" ref="I161" si="228">I160/I158</f>
        <v>0.56096992305898807</v>
      </c>
      <c r="J161" s="43">
        <f t="shared" ref="J161" si="229">J160/J158</f>
        <v>0.62485089463220678</v>
      </c>
      <c r="K161" s="43">
        <f t="shared" ref="K161" si="230">K160/K158</f>
        <v>0.54715730150837061</v>
      </c>
      <c r="L161" s="43"/>
      <c r="M161" s="43"/>
      <c r="N161" s="43"/>
      <c r="O161" s="43"/>
      <c r="P161" s="43"/>
      <c r="Q161" s="43"/>
      <c r="V161" s="59"/>
      <c r="W161" s="59"/>
      <c r="X161" s="59"/>
      <c r="Y161" s="59"/>
      <c r="Z161" s="59"/>
      <c r="AA161" s="59"/>
      <c r="AD161" s="39"/>
      <c r="AE161" s="39"/>
      <c r="AF161" s="40"/>
      <c r="AG161" s="40"/>
      <c r="AH161" s="40"/>
      <c r="AI161" s="40"/>
      <c r="AJ161" s="40"/>
      <c r="AK161" s="40"/>
      <c r="AL161" s="40"/>
      <c r="AM161" s="58"/>
      <c r="AN161" s="40"/>
      <c r="AQ161" s="39"/>
      <c r="AR161" s="39"/>
      <c r="AS161" s="40"/>
      <c r="AT161" s="40"/>
      <c r="AU161" s="40"/>
      <c r="AV161" s="40"/>
      <c r="AW161" s="40"/>
      <c r="AX161" s="40"/>
      <c r="AY161" s="40"/>
      <c r="AZ161" s="40"/>
      <c r="BA161" s="40"/>
      <c r="BB161" s="60"/>
    </row>
    <row r="162" spans="1:54" outlineLevel="1" x14ac:dyDescent="0.3">
      <c r="A162" s="10" t="s">
        <v>393</v>
      </c>
      <c r="B162" s="10"/>
      <c r="C162" s="44">
        <v>394</v>
      </c>
      <c r="D162" s="44">
        <f>'By Segment'!E95</f>
        <v>349</v>
      </c>
      <c r="E162" s="44">
        <f>'By Segment'!F95</f>
        <v>328</v>
      </c>
      <c r="F162" s="44">
        <f>'By Segment'!G95</f>
        <v>369</v>
      </c>
      <c r="G162" s="44">
        <f>'By Segment'!H95</f>
        <v>394</v>
      </c>
      <c r="H162" s="44">
        <f>'By Segment'!I95</f>
        <v>332</v>
      </c>
      <c r="I162" s="44">
        <f>'By Segment'!J95</f>
        <v>240</v>
      </c>
      <c r="J162" s="44">
        <f>'By Segment'!K95</f>
        <v>249</v>
      </c>
      <c r="K162" s="44">
        <f>'By Segment'!L95</f>
        <v>335</v>
      </c>
      <c r="L162" s="44"/>
      <c r="M162" s="44"/>
      <c r="N162" s="44"/>
      <c r="O162" s="44"/>
      <c r="P162" s="44"/>
      <c r="Q162" s="44"/>
      <c r="AD162" s="10" t="s">
        <v>393</v>
      </c>
      <c r="AE162" s="10"/>
      <c r="AF162" s="44">
        <v>394</v>
      </c>
      <c r="AG162" s="44">
        <v>349</v>
      </c>
      <c r="AH162" s="44">
        <v>328</v>
      </c>
      <c r="AI162" s="44">
        <v>369</v>
      </c>
      <c r="AJ162" s="44">
        <v>394</v>
      </c>
      <c r="AK162" s="44">
        <v>332</v>
      </c>
      <c r="AL162" s="44">
        <v>240</v>
      </c>
      <c r="AM162" s="44">
        <v>249</v>
      </c>
      <c r="AN162" s="44">
        <v>335</v>
      </c>
      <c r="AQ162" s="10" t="s">
        <v>393</v>
      </c>
      <c r="AR162" s="10"/>
      <c r="AS162" s="13">
        <f t="shared" ref="AS162:BA162" si="231">C162-AF162</f>
        <v>0</v>
      </c>
      <c r="AT162" s="13">
        <f t="shared" si="231"/>
        <v>0</v>
      </c>
      <c r="AU162" s="13">
        <f t="shared" si="231"/>
        <v>0</v>
      </c>
      <c r="AV162" s="13">
        <f t="shared" si="231"/>
        <v>0</v>
      </c>
      <c r="AW162" s="13">
        <f t="shared" si="231"/>
        <v>0</v>
      </c>
      <c r="AX162" s="13">
        <f t="shared" si="231"/>
        <v>0</v>
      </c>
      <c r="AY162" s="13">
        <f t="shared" si="231"/>
        <v>0</v>
      </c>
      <c r="AZ162" s="13">
        <f t="shared" si="231"/>
        <v>0</v>
      </c>
      <c r="BA162" s="13">
        <f t="shared" si="231"/>
        <v>0</v>
      </c>
      <c r="BB162" s="54">
        <f t="shared" si="106"/>
        <v>0</v>
      </c>
    </row>
    <row r="163" spans="1:54" s="35" customFormat="1" outlineLevel="1" x14ac:dyDescent="0.3">
      <c r="A163" s="39" t="s">
        <v>413</v>
      </c>
      <c r="B163" s="39"/>
      <c r="C163" s="43">
        <f>C162/C158</f>
        <v>7.4522413466994508E-2</v>
      </c>
      <c r="D163" s="43">
        <f t="shared" ref="D163:K163" si="232">D162/D158</f>
        <v>7.3058404856604559E-2</v>
      </c>
      <c r="E163" s="43">
        <f t="shared" si="232"/>
        <v>7.0205479452054798E-2</v>
      </c>
      <c r="F163" s="43">
        <f t="shared" si="232"/>
        <v>7.3977546110665593E-2</v>
      </c>
      <c r="G163" s="43">
        <f t="shared" si="232"/>
        <v>7.7498033044846579E-2</v>
      </c>
      <c r="H163" s="43">
        <f t="shared" si="232"/>
        <v>6.4692127825409201E-2</v>
      </c>
      <c r="I163" s="43">
        <f t="shared" si="232"/>
        <v>5.5957099557006298E-2</v>
      </c>
      <c r="J163" s="43">
        <f t="shared" si="232"/>
        <v>4.9502982107355868E-2</v>
      </c>
      <c r="K163" s="43">
        <f t="shared" si="232"/>
        <v>5.5527929719874025E-2</v>
      </c>
      <c r="L163" s="43"/>
      <c r="M163" s="43"/>
      <c r="N163" s="43"/>
      <c r="O163" s="43"/>
      <c r="P163" s="43"/>
      <c r="Q163" s="43"/>
      <c r="V163" s="59"/>
      <c r="W163" s="59"/>
      <c r="X163" s="59"/>
      <c r="Y163" s="59"/>
      <c r="Z163" s="59"/>
      <c r="AA163" s="59"/>
      <c r="AD163" s="39"/>
      <c r="AE163" s="39"/>
      <c r="AF163" s="40"/>
      <c r="AG163" s="40"/>
      <c r="AH163" s="40"/>
      <c r="AI163" s="40"/>
      <c r="AJ163" s="40"/>
      <c r="AK163" s="40"/>
      <c r="AL163" s="40"/>
      <c r="AM163" s="58"/>
      <c r="AN163" s="40"/>
      <c r="AQ163" s="39"/>
      <c r="AR163" s="39"/>
      <c r="AS163" s="40"/>
      <c r="AT163" s="40"/>
      <c r="AU163" s="40"/>
      <c r="AV163" s="40"/>
      <c r="AW163" s="40"/>
      <c r="AX163" s="40"/>
      <c r="AY163" s="40"/>
      <c r="AZ163" s="40"/>
      <c r="BA163" s="40"/>
      <c r="BB163" s="60"/>
    </row>
    <row r="164" spans="1:54" outlineLevel="1" x14ac:dyDescent="0.3">
      <c r="A164" s="10" t="s">
        <v>423</v>
      </c>
      <c r="B164" s="10"/>
      <c r="C164" s="44">
        <f t="shared" ref="C164" si="233">C174-C160-C162-C166-C168-C170-C172</f>
        <v>-377</v>
      </c>
      <c r="D164" s="44">
        <f t="shared" ref="D164" si="234">D174-D160-D162-D166-D168-D170-D172</f>
        <v>-341</v>
      </c>
      <c r="E164" s="44">
        <f t="shared" ref="E164" si="235">E174-E160-E162-E166-E168-E170-E172</f>
        <v>-321</v>
      </c>
      <c r="F164" s="44">
        <f t="shared" ref="F164" si="236">F174-F160-F162-F166-F168-F170-F172</f>
        <v>-364</v>
      </c>
      <c r="G164" s="44">
        <f t="shared" ref="G164" si="237">G174-G160-G162-G166-G168-G170-G172</f>
        <v>-377</v>
      </c>
      <c r="H164" s="44">
        <f t="shared" ref="H164" si="238">H174-H160-H162-H166-H168-H170-H172</f>
        <v>-396</v>
      </c>
      <c r="I164" s="44">
        <f t="shared" ref="I164" si="239">I174-I160-I162-I166-I168-I170-I172</f>
        <v>-362</v>
      </c>
      <c r="J164" s="44">
        <f t="shared" ref="J164" si="240">J174-J160-J162-J166-J168-J170-J172</f>
        <v>-414</v>
      </c>
      <c r="K164" s="44">
        <f>K174-K160-K162-K166-K168-K170-K172</f>
        <v>-499</v>
      </c>
      <c r="L164" s="44"/>
      <c r="M164" s="44"/>
      <c r="N164" s="44"/>
      <c r="O164" s="44"/>
      <c r="P164" s="44"/>
      <c r="Q164" s="44"/>
      <c r="AD164" s="10" t="s">
        <v>423</v>
      </c>
      <c r="AE164" s="10"/>
      <c r="AF164" s="44">
        <v>-377</v>
      </c>
      <c r="AG164" s="44">
        <v>-341</v>
      </c>
      <c r="AH164" s="44">
        <v>-321</v>
      </c>
      <c r="AI164" s="44">
        <v>-364</v>
      </c>
      <c r="AJ164" s="44">
        <v>-377</v>
      </c>
      <c r="AK164" s="44">
        <v>-396</v>
      </c>
      <c r="AL164" s="44">
        <v>-362</v>
      </c>
      <c r="AM164" s="44">
        <v>-414</v>
      </c>
      <c r="AN164" s="44">
        <v>-499</v>
      </c>
      <c r="AQ164" s="10" t="s">
        <v>423</v>
      </c>
      <c r="AR164" s="10"/>
      <c r="AS164" s="13">
        <f t="shared" ref="AS164:BA164" si="241">C164-AF164</f>
        <v>0</v>
      </c>
      <c r="AT164" s="13">
        <f t="shared" si="241"/>
        <v>0</v>
      </c>
      <c r="AU164" s="13">
        <f t="shared" si="241"/>
        <v>0</v>
      </c>
      <c r="AV164" s="13">
        <f t="shared" si="241"/>
        <v>0</v>
      </c>
      <c r="AW164" s="13">
        <f t="shared" si="241"/>
        <v>0</v>
      </c>
      <c r="AX164" s="13">
        <f t="shared" si="241"/>
        <v>0</v>
      </c>
      <c r="AY164" s="13">
        <f t="shared" si="241"/>
        <v>0</v>
      </c>
      <c r="AZ164" s="13">
        <f t="shared" si="241"/>
        <v>0</v>
      </c>
      <c r="BA164" s="13">
        <f t="shared" si="241"/>
        <v>0</v>
      </c>
      <c r="BB164" s="54">
        <f t="shared" si="106"/>
        <v>0</v>
      </c>
    </row>
    <row r="165" spans="1:54" s="35" customFormat="1" outlineLevel="1" x14ac:dyDescent="0.3">
      <c r="A165" s="39" t="s">
        <v>413</v>
      </c>
      <c r="B165" s="39"/>
      <c r="C165" s="43">
        <f>C164/C158</f>
        <v>-7.1306979383393226E-2</v>
      </c>
      <c r="D165" s="43">
        <f t="shared" ref="D165:K165" si="242">D164/D158</f>
        <v>-7.1383713627799869E-2</v>
      </c>
      <c r="E165" s="43">
        <f t="shared" si="242"/>
        <v>-6.8707191780821922E-2</v>
      </c>
      <c r="F165" s="43">
        <f t="shared" si="242"/>
        <v>-7.2975140336808339E-2</v>
      </c>
      <c r="G165" s="43">
        <f t="shared" si="242"/>
        <v>-7.4154209284028327E-2</v>
      </c>
      <c r="H165" s="43">
        <f t="shared" si="242"/>
        <v>-7.7162899454403744E-2</v>
      </c>
      <c r="I165" s="43">
        <f t="shared" si="242"/>
        <v>-8.4401958498484489E-2</v>
      </c>
      <c r="J165" s="43">
        <f t="shared" si="242"/>
        <v>-8.2306163021868786E-2</v>
      </c>
      <c r="K165" s="43">
        <f t="shared" si="242"/>
        <v>-8.2711752030498922E-2</v>
      </c>
      <c r="L165" s="43"/>
      <c r="M165" s="43"/>
      <c r="N165" s="43"/>
      <c r="O165" s="43"/>
      <c r="P165" s="43"/>
      <c r="Q165" s="43"/>
      <c r="V165" s="59"/>
      <c r="W165" s="59"/>
      <c r="X165" s="59"/>
      <c r="Y165" s="59"/>
      <c r="Z165" s="59"/>
      <c r="AA165" s="59"/>
      <c r="AD165" s="39"/>
      <c r="AE165" s="39"/>
      <c r="AF165" s="40"/>
      <c r="AG165" s="40"/>
      <c r="AH165" s="40"/>
      <c r="AI165" s="40"/>
      <c r="AJ165" s="40"/>
      <c r="AK165" s="40"/>
      <c r="AL165" s="40"/>
      <c r="AM165" s="58"/>
      <c r="AN165" s="40"/>
      <c r="AQ165" s="39"/>
      <c r="AR165" s="39"/>
      <c r="AS165" s="40"/>
      <c r="AT165" s="40"/>
      <c r="AU165" s="40"/>
      <c r="AV165" s="40"/>
      <c r="AW165" s="40"/>
      <c r="AX165" s="40"/>
      <c r="AY165" s="40"/>
      <c r="AZ165" s="40"/>
      <c r="BA165" s="40"/>
      <c r="BB165" s="60"/>
    </row>
    <row r="166" spans="1:54" outlineLevel="1" x14ac:dyDescent="0.3">
      <c r="A166" s="10" t="s">
        <v>392</v>
      </c>
      <c r="B166" s="10"/>
      <c r="C166" s="44">
        <f>'By Segment'!D94</f>
        <v>313</v>
      </c>
      <c r="D166" s="44">
        <f>'By Segment'!E94</f>
        <v>271</v>
      </c>
      <c r="E166" s="44">
        <f>'By Segment'!F94</f>
        <v>184</v>
      </c>
      <c r="F166" s="44">
        <f>'By Segment'!G94</f>
        <v>224</v>
      </c>
      <c r="G166" s="44">
        <f>'By Segment'!H94</f>
        <v>209</v>
      </c>
      <c r="H166" s="44">
        <f>'By Segment'!I94</f>
        <v>291</v>
      </c>
      <c r="I166" s="44">
        <f>'By Segment'!J94</f>
        <v>276</v>
      </c>
      <c r="J166" s="44">
        <f>'By Segment'!K94</f>
        <v>285</v>
      </c>
      <c r="K166" s="44">
        <f>'By Segment'!L94</f>
        <v>339</v>
      </c>
      <c r="L166" s="44"/>
      <c r="M166" s="44"/>
      <c r="N166" s="44"/>
      <c r="O166" s="44"/>
      <c r="P166" s="44"/>
      <c r="Q166" s="44"/>
      <c r="AD166" s="10" t="s">
        <v>392</v>
      </c>
      <c r="AE166" s="10"/>
      <c r="AF166" s="44">
        <v>313</v>
      </c>
      <c r="AG166" s="44">
        <v>271</v>
      </c>
      <c r="AH166" s="44">
        <v>184</v>
      </c>
      <c r="AI166" s="44">
        <v>224</v>
      </c>
      <c r="AJ166" s="44">
        <v>209</v>
      </c>
      <c r="AK166" s="44">
        <v>291</v>
      </c>
      <c r="AL166" s="44">
        <v>276</v>
      </c>
      <c r="AM166" s="44">
        <v>285</v>
      </c>
      <c r="AN166" s="44">
        <v>339</v>
      </c>
      <c r="AQ166" s="10" t="s">
        <v>392</v>
      </c>
      <c r="AR166" s="10"/>
      <c r="AS166" s="13">
        <f t="shared" ref="AS166:BA166" si="243">C166-AF166</f>
        <v>0</v>
      </c>
      <c r="AT166" s="13">
        <f t="shared" si="243"/>
        <v>0</v>
      </c>
      <c r="AU166" s="13">
        <f t="shared" si="243"/>
        <v>0</v>
      </c>
      <c r="AV166" s="13">
        <f t="shared" si="243"/>
        <v>0</v>
      </c>
      <c r="AW166" s="13">
        <f t="shared" si="243"/>
        <v>0</v>
      </c>
      <c r="AX166" s="13">
        <f t="shared" si="243"/>
        <v>0</v>
      </c>
      <c r="AY166" s="13">
        <f t="shared" si="243"/>
        <v>0</v>
      </c>
      <c r="AZ166" s="13">
        <f t="shared" si="243"/>
        <v>0</v>
      </c>
      <c r="BA166" s="13">
        <f t="shared" si="243"/>
        <v>0</v>
      </c>
      <c r="BB166" s="54">
        <f t="shared" si="106"/>
        <v>0</v>
      </c>
    </row>
    <row r="167" spans="1:54" s="35" customFormat="1" outlineLevel="1" x14ac:dyDescent="0.3">
      <c r="A167" s="39" t="s">
        <v>413</v>
      </c>
      <c r="B167" s="39"/>
      <c r="C167" s="43">
        <f>C166/C158</f>
        <v>5.9201815774541325E-2</v>
      </c>
      <c r="D167" s="43">
        <f t="shared" ref="D167:K167" si="244">D166/D158</f>
        <v>5.6730165375758847E-2</v>
      </c>
      <c r="E167" s="43">
        <f t="shared" si="244"/>
        <v>3.9383561643835614E-2</v>
      </c>
      <c r="F167" s="43">
        <f t="shared" si="244"/>
        <v>4.4907778668805132E-2</v>
      </c>
      <c r="G167" s="43">
        <f t="shared" si="244"/>
        <v>4.1109362706530289E-2</v>
      </c>
      <c r="H167" s="43">
        <f t="shared" si="244"/>
        <v>5.670303975058457E-2</v>
      </c>
      <c r="I167" s="43">
        <f t="shared" si="244"/>
        <v>6.4350664490557236E-2</v>
      </c>
      <c r="J167" s="43">
        <f t="shared" si="244"/>
        <v>5.6660039761431413E-2</v>
      </c>
      <c r="K167" s="43">
        <f t="shared" si="244"/>
        <v>5.6190949776230729E-2</v>
      </c>
      <c r="L167" s="43"/>
      <c r="M167" s="43"/>
      <c r="N167" s="43"/>
      <c r="O167" s="43"/>
      <c r="P167" s="43"/>
      <c r="Q167" s="43"/>
      <c r="V167" s="59"/>
      <c r="W167" s="59"/>
      <c r="X167" s="59"/>
      <c r="Y167" s="59"/>
      <c r="Z167" s="59"/>
      <c r="AA167" s="59"/>
      <c r="AD167" s="39"/>
      <c r="AE167" s="39"/>
      <c r="AF167" s="40"/>
      <c r="AG167" s="40"/>
      <c r="AH167" s="40"/>
      <c r="AI167" s="40"/>
      <c r="AJ167" s="40"/>
      <c r="AK167" s="40"/>
      <c r="AL167" s="40"/>
      <c r="AM167" s="58"/>
      <c r="AN167" s="40"/>
      <c r="AQ167" s="39"/>
      <c r="AR167" s="39"/>
      <c r="AS167" s="40"/>
      <c r="AT167" s="40"/>
      <c r="AU167" s="40"/>
      <c r="AV167" s="40"/>
      <c r="AW167" s="40"/>
      <c r="AX167" s="40"/>
      <c r="AY167" s="40"/>
      <c r="AZ167" s="40"/>
      <c r="BA167" s="40"/>
      <c r="BB167" s="60"/>
    </row>
    <row r="168" spans="1:54" outlineLevel="1" x14ac:dyDescent="0.3">
      <c r="A168" s="10" t="s">
        <v>424</v>
      </c>
      <c r="B168" s="10"/>
      <c r="C168" s="53">
        <v>-1</v>
      </c>
      <c r="D168" s="53">
        <v>-1</v>
      </c>
      <c r="E168" s="53">
        <v>-1</v>
      </c>
      <c r="F168" s="53">
        <v>-1</v>
      </c>
      <c r="G168" s="53">
        <v>-1</v>
      </c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AD168" s="10" t="s">
        <v>424</v>
      </c>
      <c r="AE168" s="10"/>
      <c r="AF168" s="53">
        <v>-1</v>
      </c>
      <c r="AG168" s="53">
        <v>-1</v>
      </c>
      <c r="AH168" s="53">
        <v>-1</v>
      </c>
      <c r="AI168" s="53">
        <v>-1</v>
      </c>
      <c r="AJ168" s="53">
        <v>-1</v>
      </c>
      <c r="AK168" s="53"/>
      <c r="AL168" s="53"/>
      <c r="AM168" s="53"/>
      <c r="AN168" s="53"/>
      <c r="AQ168" s="10" t="s">
        <v>424</v>
      </c>
      <c r="AR168" s="10"/>
      <c r="AS168" s="13">
        <f t="shared" ref="AS168:BA168" si="245">C168-AF168</f>
        <v>0</v>
      </c>
      <c r="AT168" s="13">
        <f t="shared" si="245"/>
        <v>0</v>
      </c>
      <c r="AU168" s="13">
        <f t="shared" si="245"/>
        <v>0</v>
      </c>
      <c r="AV168" s="13">
        <f t="shared" si="245"/>
        <v>0</v>
      </c>
      <c r="AW168" s="13">
        <f t="shared" si="245"/>
        <v>0</v>
      </c>
      <c r="AX168" s="13">
        <f t="shared" si="245"/>
        <v>0</v>
      </c>
      <c r="AY168" s="13">
        <f t="shared" si="245"/>
        <v>0</v>
      </c>
      <c r="AZ168" s="13">
        <f t="shared" si="245"/>
        <v>0</v>
      </c>
      <c r="BA168" s="13">
        <f t="shared" si="245"/>
        <v>0</v>
      </c>
      <c r="BB168" s="54">
        <f t="shared" si="106"/>
        <v>0</v>
      </c>
    </row>
    <row r="169" spans="1:54" s="35" customFormat="1" outlineLevel="1" x14ac:dyDescent="0.3">
      <c r="A169" s="39" t="s">
        <v>413</v>
      </c>
      <c r="B169" s="39"/>
      <c r="C169" s="43">
        <f>C168/C158</f>
        <v>-1.8914318138831096E-4</v>
      </c>
      <c r="D169" s="43">
        <f t="shared" ref="D169:K169" si="246">D168/D158</f>
        <v>-2.0933640360058616E-4</v>
      </c>
      <c r="E169" s="43">
        <f t="shared" si="246"/>
        <v>-2.1404109589041095E-4</v>
      </c>
      <c r="F169" s="43">
        <f t="shared" si="246"/>
        <v>-2.0048115477145148E-4</v>
      </c>
      <c r="G169" s="43">
        <f t="shared" si="246"/>
        <v>-1.966955153422502E-4</v>
      </c>
      <c r="H169" s="43">
        <f t="shared" si="246"/>
        <v>0</v>
      </c>
      <c r="I169" s="43">
        <f t="shared" si="246"/>
        <v>0</v>
      </c>
      <c r="J169" s="43">
        <f t="shared" si="246"/>
        <v>0</v>
      </c>
      <c r="K169" s="43">
        <f t="shared" si="246"/>
        <v>0</v>
      </c>
      <c r="L169" s="43"/>
      <c r="M169" s="43"/>
      <c r="N169" s="43"/>
      <c r="O169" s="43"/>
      <c r="P169" s="43"/>
      <c r="Q169" s="43"/>
      <c r="V169" s="59"/>
      <c r="W169" s="59"/>
      <c r="X169" s="59"/>
      <c r="Y169" s="59"/>
      <c r="Z169" s="59"/>
      <c r="AA169" s="59"/>
      <c r="AD169" s="39"/>
      <c r="AE169" s="39"/>
      <c r="AF169" s="40"/>
      <c r="AG169" s="40"/>
      <c r="AH169" s="40"/>
      <c r="AI169" s="40"/>
      <c r="AJ169" s="40"/>
      <c r="AK169" s="40"/>
      <c r="AL169" s="40"/>
      <c r="AM169" s="58"/>
      <c r="AN169" s="40"/>
      <c r="AQ169" s="39"/>
      <c r="AR169" s="39"/>
      <c r="AS169" s="40"/>
      <c r="AT169" s="40"/>
      <c r="AU169" s="40"/>
      <c r="AV169" s="40"/>
      <c r="AW169" s="40"/>
      <c r="AX169" s="40"/>
      <c r="AY169" s="40"/>
      <c r="AZ169" s="40"/>
      <c r="BA169" s="40"/>
      <c r="BB169" s="60"/>
    </row>
    <row r="170" spans="1:54" outlineLevel="1" x14ac:dyDescent="0.3">
      <c r="A170" s="10" t="s">
        <v>381</v>
      </c>
      <c r="B170" s="10"/>
      <c r="C170" s="44">
        <v>0</v>
      </c>
      <c r="D170" s="44">
        <f>'By Segment'!E83</f>
        <v>0</v>
      </c>
      <c r="E170" s="44">
        <f>'By Segment'!F83</f>
        <v>2</v>
      </c>
      <c r="F170" s="44">
        <f>'By Segment'!G83</f>
        <v>5</v>
      </c>
      <c r="G170" s="44">
        <f>'By Segment'!H83</f>
        <v>6</v>
      </c>
      <c r="H170" s="44">
        <f>'By Segment'!I83</f>
        <v>3</v>
      </c>
      <c r="I170" s="44">
        <f>'By Segment'!J83</f>
        <v>4</v>
      </c>
      <c r="J170" s="44">
        <f>'By Segment'!K83</f>
        <v>5</v>
      </c>
      <c r="K170" s="44">
        <f>'By Segment'!L83</f>
        <v>12</v>
      </c>
      <c r="L170" s="44"/>
      <c r="M170" s="44"/>
      <c r="N170" s="44"/>
      <c r="O170" s="44"/>
      <c r="P170" s="44"/>
      <c r="Q170" s="44"/>
      <c r="AD170" s="10" t="s">
        <v>381</v>
      </c>
      <c r="AE170" s="10"/>
      <c r="AF170" s="44">
        <v>0</v>
      </c>
      <c r="AG170" s="44">
        <v>0</v>
      </c>
      <c r="AH170" s="44">
        <v>2</v>
      </c>
      <c r="AI170" s="44">
        <v>5</v>
      </c>
      <c r="AJ170" s="44">
        <v>6</v>
      </c>
      <c r="AK170" s="44">
        <v>3</v>
      </c>
      <c r="AL170" s="44">
        <v>4</v>
      </c>
      <c r="AM170" s="44">
        <v>5</v>
      </c>
      <c r="AN170" s="44">
        <v>12</v>
      </c>
      <c r="AQ170" s="10" t="s">
        <v>381</v>
      </c>
      <c r="AR170" s="10"/>
      <c r="AS170" s="13">
        <f t="shared" ref="AS170:BA170" si="247">C170-AF170</f>
        <v>0</v>
      </c>
      <c r="AT170" s="13">
        <f t="shared" si="247"/>
        <v>0</v>
      </c>
      <c r="AU170" s="13">
        <f t="shared" si="247"/>
        <v>0</v>
      </c>
      <c r="AV170" s="13">
        <f t="shared" si="247"/>
        <v>0</v>
      </c>
      <c r="AW170" s="13">
        <f t="shared" si="247"/>
        <v>0</v>
      </c>
      <c r="AX170" s="13">
        <f t="shared" si="247"/>
        <v>0</v>
      </c>
      <c r="AY170" s="13">
        <f t="shared" si="247"/>
        <v>0</v>
      </c>
      <c r="AZ170" s="13">
        <f t="shared" si="247"/>
        <v>0</v>
      </c>
      <c r="BA170" s="13">
        <f t="shared" si="247"/>
        <v>0</v>
      </c>
      <c r="BB170" s="54">
        <f t="shared" si="106"/>
        <v>0</v>
      </c>
    </row>
    <row r="171" spans="1:54" s="35" customFormat="1" outlineLevel="1" x14ac:dyDescent="0.3">
      <c r="A171" s="39" t="s">
        <v>413</v>
      </c>
      <c r="B171" s="39"/>
      <c r="C171" s="43">
        <f>C170/C158</f>
        <v>0</v>
      </c>
      <c r="D171" s="43">
        <f t="shared" ref="D171:K171" si="248">D170/D158</f>
        <v>0</v>
      </c>
      <c r="E171" s="43">
        <f t="shared" si="248"/>
        <v>4.2808219178082189E-4</v>
      </c>
      <c r="F171" s="43">
        <f t="shared" si="248"/>
        <v>1.0024057738572574E-3</v>
      </c>
      <c r="G171" s="43">
        <f t="shared" si="248"/>
        <v>1.1801730920535012E-3</v>
      </c>
      <c r="H171" s="43">
        <f t="shared" si="248"/>
        <v>5.8456742010911929E-4</v>
      </c>
      <c r="I171" s="43">
        <f t="shared" si="248"/>
        <v>9.3261832595010487E-4</v>
      </c>
      <c r="J171" s="43">
        <f t="shared" si="248"/>
        <v>9.9403578528827028E-4</v>
      </c>
      <c r="K171" s="43">
        <f t="shared" si="248"/>
        <v>1.9890601690701142E-3</v>
      </c>
      <c r="L171" s="43"/>
      <c r="M171" s="43"/>
      <c r="N171" s="43"/>
      <c r="O171" s="43"/>
      <c r="P171" s="43"/>
      <c r="Q171" s="43"/>
      <c r="V171" s="59"/>
      <c r="W171" s="59"/>
      <c r="X171" s="59"/>
      <c r="Y171" s="59"/>
      <c r="Z171" s="59"/>
      <c r="AA171" s="59"/>
      <c r="AD171" s="39"/>
      <c r="AE171" s="39"/>
      <c r="AF171" s="40"/>
      <c r="AG171" s="40"/>
      <c r="AH171" s="40"/>
      <c r="AI171" s="40"/>
      <c r="AJ171" s="40"/>
      <c r="AK171" s="40"/>
      <c r="AL171" s="40"/>
      <c r="AM171" s="58"/>
      <c r="AN171" s="40"/>
      <c r="AQ171" s="39"/>
      <c r="AR171" s="39"/>
      <c r="AS171" s="40"/>
      <c r="AT171" s="40"/>
      <c r="AU171" s="40"/>
      <c r="AV171" s="40"/>
      <c r="AW171" s="40"/>
      <c r="AX171" s="40"/>
      <c r="AY171" s="40"/>
      <c r="AZ171" s="40"/>
      <c r="BA171" s="40"/>
      <c r="BB171" s="60"/>
    </row>
    <row r="172" spans="1:54" outlineLevel="1" x14ac:dyDescent="0.3">
      <c r="A172" s="10" t="s">
        <v>388</v>
      </c>
      <c r="B172" s="10"/>
      <c r="C172" s="44">
        <v>1588</v>
      </c>
      <c r="D172" s="44">
        <v>1429</v>
      </c>
      <c r="E172" s="44">
        <f>'By Segment'!F90</f>
        <v>1336</v>
      </c>
      <c r="F172" s="44">
        <f>'By Segment'!G90</f>
        <v>1479</v>
      </c>
      <c r="G172" s="44">
        <f>'By Segment'!H90</f>
        <v>1421</v>
      </c>
      <c r="H172" s="44">
        <f>'By Segment'!I90</f>
        <v>1443</v>
      </c>
      <c r="I172" s="44">
        <f>'By Segment'!J90</f>
        <v>1318</v>
      </c>
      <c r="J172" s="44">
        <f>'By Segment'!K90</f>
        <v>1401</v>
      </c>
      <c r="K172" s="44">
        <f>'By Segment'!L90</f>
        <v>1553</v>
      </c>
      <c r="L172" s="44"/>
      <c r="M172" s="44"/>
      <c r="N172" s="44"/>
      <c r="O172" s="44"/>
      <c r="P172" s="44"/>
      <c r="Q172" s="44"/>
      <c r="AD172" s="10" t="s">
        <v>388</v>
      </c>
      <c r="AE172" s="10"/>
      <c r="AF172" s="44">
        <v>1588</v>
      </c>
      <c r="AG172" s="44">
        <v>1429</v>
      </c>
      <c r="AH172" s="44">
        <v>1336</v>
      </c>
      <c r="AI172" s="44">
        <v>1479</v>
      </c>
      <c r="AJ172" s="44">
        <v>1421</v>
      </c>
      <c r="AK172" s="44">
        <v>1443</v>
      </c>
      <c r="AL172" s="44">
        <v>1318</v>
      </c>
      <c r="AM172" s="44">
        <v>1401</v>
      </c>
      <c r="AN172" s="44">
        <v>1553</v>
      </c>
      <c r="AQ172" s="10" t="s">
        <v>388</v>
      </c>
      <c r="AR172" s="10"/>
      <c r="AS172" s="13">
        <f t="shared" ref="AS172:BA172" si="249">C172-AF172</f>
        <v>0</v>
      </c>
      <c r="AT172" s="13">
        <f t="shared" si="249"/>
        <v>0</v>
      </c>
      <c r="AU172" s="13">
        <f t="shared" si="249"/>
        <v>0</v>
      </c>
      <c r="AV172" s="13">
        <f t="shared" si="249"/>
        <v>0</v>
      </c>
      <c r="AW172" s="13">
        <f t="shared" si="249"/>
        <v>0</v>
      </c>
      <c r="AX172" s="13">
        <f t="shared" si="249"/>
        <v>0</v>
      </c>
      <c r="AY172" s="13">
        <f t="shared" si="249"/>
        <v>0</v>
      </c>
      <c r="AZ172" s="13">
        <f t="shared" si="249"/>
        <v>0</v>
      </c>
      <c r="BA172" s="13">
        <f t="shared" si="249"/>
        <v>0</v>
      </c>
      <c r="BB172" s="54">
        <f t="shared" si="106"/>
        <v>0</v>
      </c>
    </row>
    <row r="173" spans="1:54" s="35" customFormat="1" outlineLevel="1" x14ac:dyDescent="0.3">
      <c r="A173" s="39" t="s">
        <v>413</v>
      </c>
      <c r="B173" s="39"/>
      <c r="C173" s="43">
        <f>C172/C158</f>
        <v>0.30035937204463781</v>
      </c>
      <c r="D173" s="43">
        <f t="shared" ref="D173:K173" si="250">D172/D158</f>
        <v>0.29914172074523759</v>
      </c>
      <c r="E173" s="43">
        <f t="shared" si="250"/>
        <v>0.28595890410958902</v>
      </c>
      <c r="F173" s="43">
        <f t="shared" si="250"/>
        <v>0.29651162790697677</v>
      </c>
      <c r="G173" s="43">
        <f t="shared" si="250"/>
        <v>0.27950432730133751</v>
      </c>
      <c r="H173" s="43">
        <f t="shared" si="250"/>
        <v>0.28117692907248637</v>
      </c>
      <c r="I173" s="43">
        <f t="shared" si="250"/>
        <v>0.30729773840055957</v>
      </c>
      <c r="J173" s="43">
        <f t="shared" si="250"/>
        <v>0.27852882703777337</v>
      </c>
      <c r="K173" s="43">
        <f t="shared" si="250"/>
        <v>0.25741753688049063</v>
      </c>
      <c r="L173" s="43"/>
      <c r="M173" s="43"/>
      <c r="N173" s="43"/>
      <c r="O173" s="43"/>
      <c r="P173" s="43"/>
      <c r="Q173" s="43"/>
      <c r="V173" s="59"/>
      <c r="W173" s="59"/>
      <c r="X173" s="59"/>
      <c r="Y173" s="59"/>
      <c r="Z173" s="59"/>
      <c r="AA173" s="59"/>
      <c r="AD173" s="39"/>
      <c r="AE173" s="39"/>
      <c r="AF173" s="40"/>
      <c r="AG173" s="40"/>
      <c r="AH173" s="40"/>
      <c r="AI173" s="40"/>
      <c r="AJ173" s="40"/>
      <c r="AK173" s="40"/>
      <c r="AL173" s="40"/>
      <c r="AM173" s="58"/>
      <c r="AN173" s="40"/>
      <c r="AQ173" s="39"/>
      <c r="AR173" s="39"/>
      <c r="AS173" s="40"/>
      <c r="AT173" s="40"/>
      <c r="AU173" s="40"/>
      <c r="AV173" s="40"/>
      <c r="AW173" s="40"/>
      <c r="AX173" s="40"/>
      <c r="AY173" s="40"/>
      <c r="AZ173" s="40"/>
      <c r="BA173" s="40"/>
      <c r="BB173" s="60"/>
    </row>
    <row r="174" spans="1:54" s="49" customFormat="1" outlineLevel="1" x14ac:dyDescent="0.3">
      <c r="A174" s="47" t="s">
        <v>389</v>
      </c>
      <c r="B174" s="47"/>
      <c r="C174" s="52">
        <v>4532</v>
      </c>
      <c r="D174" s="52">
        <v>4115</v>
      </c>
      <c r="E174" s="52">
        <v>3971</v>
      </c>
      <c r="F174" s="52">
        <f>'By Segment'!G91</f>
        <v>4247</v>
      </c>
      <c r="G174" s="52">
        <f>'By Segment'!H91</f>
        <v>4254</v>
      </c>
      <c r="H174" s="52">
        <f>'By Segment'!I91</f>
        <v>4296</v>
      </c>
      <c r="I174" s="52">
        <f>'By Segment'!J91</f>
        <v>3882</v>
      </c>
      <c r="J174" s="52">
        <f>'By Segment'!K91</f>
        <v>4669</v>
      </c>
      <c r="K174" s="52">
        <f>'By Segment'!L91</f>
        <v>5041</v>
      </c>
      <c r="L174" s="52"/>
      <c r="M174" s="52"/>
      <c r="N174" s="52"/>
      <c r="O174" s="52"/>
      <c r="P174" s="52"/>
      <c r="Q174" s="52"/>
      <c r="V174" s="55"/>
      <c r="W174" s="55"/>
      <c r="X174" s="55"/>
      <c r="Z174" s="55"/>
      <c r="AD174" s="47" t="s">
        <v>389</v>
      </c>
      <c r="AE174" s="47"/>
      <c r="AF174" s="52">
        <v>4532</v>
      </c>
      <c r="AG174" s="52">
        <v>4115</v>
      </c>
      <c r="AH174" s="52">
        <v>3971</v>
      </c>
      <c r="AI174" s="52">
        <v>4247</v>
      </c>
      <c r="AJ174" s="52">
        <v>4254</v>
      </c>
      <c r="AK174" s="52">
        <v>4296</v>
      </c>
      <c r="AL174" s="52">
        <v>3882</v>
      </c>
      <c r="AM174" s="52">
        <v>4669</v>
      </c>
      <c r="AN174" s="52">
        <v>5041</v>
      </c>
      <c r="AQ174" s="47" t="s">
        <v>389</v>
      </c>
      <c r="AR174" s="47"/>
      <c r="AS174" s="13">
        <f t="shared" ref="AS174:BA174" si="251">C174-AF174</f>
        <v>0</v>
      </c>
      <c r="AT174" s="13">
        <f t="shared" si="251"/>
        <v>0</v>
      </c>
      <c r="AU174" s="13">
        <f t="shared" si="251"/>
        <v>0</v>
      </c>
      <c r="AV174" s="13">
        <f t="shared" si="251"/>
        <v>0</v>
      </c>
      <c r="AW174" s="13">
        <f t="shared" si="251"/>
        <v>0</v>
      </c>
      <c r="AX174" s="13">
        <f t="shared" si="251"/>
        <v>0</v>
      </c>
      <c r="AY174" s="13">
        <f t="shared" si="251"/>
        <v>0</v>
      </c>
      <c r="AZ174" s="13">
        <f t="shared" si="251"/>
        <v>0</v>
      </c>
      <c r="BA174" s="13">
        <f t="shared" si="251"/>
        <v>0</v>
      </c>
      <c r="BB174" s="54">
        <f t="shared" si="106"/>
        <v>0</v>
      </c>
    </row>
    <row r="175" spans="1:54" s="35" customFormat="1" outlineLevel="1" x14ac:dyDescent="0.3">
      <c r="A175" s="39" t="s">
        <v>413</v>
      </c>
      <c r="B175" s="39"/>
      <c r="C175" s="43">
        <f>C174/C158</f>
        <v>0.8571968980518252</v>
      </c>
      <c r="D175" s="43">
        <f t="shared" ref="D175:K175" si="252">D174/D158</f>
        <v>0.86141930081641194</v>
      </c>
      <c r="E175" s="43">
        <f t="shared" si="252"/>
        <v>0.84995719178082196</v>
      </c>
      <c r="F175" s="43">
        <f t="shared" si="252"/>
        <v>0.85144346431435447</v>
      </c>
      <c r="G175" s="43">
        <f t="shared" si="252"/>
        <v>0.83674272226593238</v>
      </c>
      <c r="H175" s="43">
        <f t="shared" si="252"/>
        <v>0.83710054559625879</v>
      </c>
      <c r="I175" s="43">
        <f t="shared" si="252"/>
        <v>0.90510608533457682</v>
      </c>
      <c r="J175" s="43">
        <f t="shared" si="252"/>
        <v>0.92823061630218684</v>
      </c>
      <c r="K175" s="43">
        <f t="shared" si="252"/>
        <v>0.83557102602353717</v>
      </c>
      <c r="L175" s="43"/>
      <c r="M175" s="43"/>
      <c r="N175" s="43"/>
      <c r="O175" s="43"/>
      <c r="P175" s="43"/>
      <c r="Q175" s="43"/>
      <c r="V175" s="59"/>
      <c r="W175" s="59"/>
      <c r="X175" s="59"/>
      <c r="Y175" s="59"/>
      <c r="Z175" s="59"/>
      <c r="AA175" s="59"/>
      <c r="AD175" s="39"/>
      <c r="AE175" s="39"/>
      <c r="AF175" s="40"/>
      <c r="AG175" s="40"/>
      <c r="AH175" s="40"/>
      <c r="AI175" s="40"/>
      <c r="AJ175" s="40"/>
      <c r="AK175" s="40"/>
      <c r="AL175" s="40"/>
      <c r="AM175" s="58"/>
      <c r="AN175" s="40"/>
      <c r="AQ175" s="39"/>
      <c r="AR175" s="39"/>
      <c r="AS175" s="40"/>
      <c r="AT175" s="40"/>
      <c r="AU175" s="40"/>
      <c r="AV175" s="40"/>
      <c r="AW175" s="40"/>
      <c r="AX175" s="40"/>
      <c r="AY175" s="40"/>
      <c r="AZ175" s="40"/>
      <c r="BA175" s="40"/>
      <c r="BB175" s="60"/>
    </row>
    <row r="176" spans="1:54" outlineLevel="1" x14ac:dyDescent="0.3">
      <c r="A176" s="47"/>
      <c r="B176" s="10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AD176" s="47"/>
      <c r="AE176" s="10"/>
      <c r="AF176" s="44"/>
      <c r="AG176" s="44"/>
      <c r="AH176" s="44"/>
      <c r="AI176" s="44"/>
      <c r="AJ176" s="44"/>
      <c r="AK176" s="44"/>
      <c r="AL176" s="44"/>
      <c r="AM176" s="44"/>
      <c r="AN176" s="44"/>
      <c r="AQ176" s="47"/>
      <c r="AR176" s="10"/>
      <c r="AS176" s="13">
        <f t="shared" ref="AS176:BA177" si="253">C176-AF176</f>
        <v>0</v>
      </c>
      <c r="AT176" s="13">
        <f t="shared" si="253"/>
        <v>0</v>
      </c>
      <c r="AU176" s="13">
        <f t="shared" si="253"/>
        <v>0</v>
      </c>
      <c r="AV176" s="13">
        <f t="shared" si="253"/>
        <v>0</v>
      </c>
      <c r="AW176" s="13">
        <f t="shared" si="253"/>
        <v>0</v>
      </c>
      <c r="AX176" s="13">
        <f t="shared" si="253"/>
        <v>0</v>
      </c>
      <c r="AY176" s="13">
        <f t="shared" si="253"/>
        <v>0</v>
      </c>
      <c r="AZ176" s="13">
        <f t="shared" si="253"/>
        <v>0</v>
      </c>
      <c r="BA176" s="13">
        <f t="shared" si="253"/>
        <v>0</v>
      </c>
      <c r="BB176" s="54">
        <f t="shared" si="106"/>
        <v>0</v>
      </c>
    </row>
    <row r="177" spans="1:54" s="49" customFormat="1" outlineLevel="1" x14ac:dyDescent="0.3">
      <c r="A177" s="47" t="s">
        <v>379</v>
      </c>
      <c r="B177" s="47"/>
      <c r="C177" s="52">
        <f>C158-C174</f>
        <v>755</v>
      </c>
      <c r="D177" s="52">
        <f t="shared" ref="D177:K177" si="254">D158-D174</f>
        <v>662</v>
      </c>
      <c r="E177" s="52">
        <f t="shared" si="254"/>
        <v>701</v>
      </c>
      <c r="F177" s="52">
        <f t="shared" si="254"/>
        <v>741</v>
      </c>
      <c r="G177" s="52">
        <f t="shared" si="254"/>
        <v>830</v>
      </c>
      <c r="H177" s="52">
        <f t="shared" si="254"/>
        <v>836</v>
      </c>
      <c r="I177" s="52">
        <f t="shared" si="254"/>
        <v>407</v>
      </c>
      <c r="J177" s="52">
        <f t="shared" si="254"/>
        <v>361</v>
      </c>
      <c r="K177" s="52">
        <f t="shared" si="254"/>
        <v>992</v>
      </c>
      <c r="L177" s="52"/>
      <c r="M177" s="52"/>
      <c r="N177" s="52"/>
      <c r="O177" s="52"/>
      <c r="P177" s="52"/>
      <c r="Q177" s="52"/>
      <c r="V177" s="55"/>
      <c r="W177" s="55"/>
      <c r="X177" s="55"/>
      <c r="Z177" s="55"/>
      <c r="AD177" s="47" t="s">
        <v>379</v>
      </c>
      <c r="AE177" s="47"/>
      <c r="AF177" s="52">
        <v>755</v>
      </c>
      <c r="AG177" s="52">
        <v>662</v>
      </c>
      <c r="AH177" s="52">
        <v>701</v>
      </c>
      <c r="AI177" s="52">
        <v>741</v>
      </c>
      <c r="AJ177" s="52">
        <v>830</v>
      </c>
      <c r="AK177" s="52">
        <v>836</v>
      </c>
      <c r="AL177" s="52">
        <v>407</v>
      </c>
      <c r="AM177" s="52">
        <v>361</v>
      </c>
      <c r="AN177" s="52">
        <v>992</v>
      </c>
      <c r="AQ177" s="47" t="s">
        <v>379</v>
      </c>
      <c r="AR177" s="47"/>
      <c r="AS177" s="13">
        <f t="shared" si="253"/>
        <v>0</v>
      </c>
      <c r="AT177" s="13">
        <f t="shared" si="253"/>
        <v>0</v>
      </c>
      <c r="AU177" s="13">
        <f t="shared" si="253"/>
        <v>0</v>
      </c>
      <c r="AV177" s="13">
        <f t="shared" si="253"/>
        <v>0</v>
      </c>
      <c r="AW177" s="13">
        <f t="shared" si="253"/>
        <v>0</v>
      </c>
      <c r="AX177" s="13">
        <f t="shared" si="253"/>
        <v>0</v>
      </c>
      <c r="AY177" s="13">
        <f t="shared" si="253"/>
        <v>0</v>
      </c>
      <c r="AZ177" s="13">
        <f t="shared" si="253"/>
        <v>0</v>
      </c>
      <c r="BA177" s="13">
        <f t="shared" si="253"/>
        <v>0</v>
      </c>
      <c r="BB177" s="54">
        <f t="shared" si="106"/>
        <v>0</v>
      </c>
    </row>
    <row r="178" spans="1:54" s="35" customFormat="1" outlineLevel="1" x14ac:dyDescent="0.3">
      <c r="A178" s="39" t="s">
        <v>413</v>
      </c>
      <c r="B178" s="39"/>
      <c r="C178" s="43">
        <f>C177/C158</f>
        <v>0.14280310194817478</v>
      </c>
      <c r="D178" s="43">
        <f t="shared" ref="D178:K178" si="255">D177/D158</f>
        <v>0.13858069918358804</v>
      </c>
      <c r="E178" s="43">
        <f t="shared" si="255"/>
        <v>0.15004280821917809</v>
      </c>
      <c r="F178" s="43">
        <f t="shared" si="255"/>
        <v>0.14855653568564556</v>
      </c>
      <c r="G178" s="43">
        <f t="shared" si="255"/>
        <v>0.16325727773406767</v>
      </c>
      <c r="H178" s="43">
        <f t="shared" si="255"/>
        <v>0.16289945440374123</v>
      </c>
      <c r="I178" s="43">
        <f t="shared" si="255"/>
        <v>9.4893914665423171E-2</v>
      </c>
      <c r="J178" s="43">
        <f t="shared" si="255"/>
        <v>7.1769383697813119E-2</v>
      </c>
      <c r="K178" s="43">
        <f t="shared" si="255"/>
        <v>0.16442897397646278</v>
      </c>
      <c r="L178" s="43"/>
      <c r="M178" s="43"/>
      <c r="N178" s="43"/>
      <c r="O178" s="43"/>
      <c r="P178" s="43"/>
      <c r="Q178" s="43"/>
      <c r="V178" s="59"/>
      <c r="W178" s="59"/>
      <c r="X178" s="59"/>
      <c r="Y178" s="59"/>
      <c r="Z178" s="59"/>
      <c r="AA178" s="59"/>
      <c r="AD178" s="39"/>
      <c r="AE178" s="39"/>
      <c r="AF178" s="40"/>
      <c r="AG178" s="40"/>
      <c r="AH178" s="40"/>
      <c r="AI178" s="40"/>
      <c r="AJ178" s="40"/>
      <c r="AK178" s="40"/>
      <c r="AL178" s="40"/>
      <c r="AM178" s="58"/>
      <c r="AN178" s="40"/>
      <c r="AQ178" s="39"/>
      <c r="AR178" s="39"/>
      <c r="AS178" s="40"/>
      <c r="AT178" s="40"/>
      <c r="AU178" s="40"/>
      <c r="AV178" s="40"/>
      <c r="AW178" s="40"/>
      <c r="AX178" s="40"/>
      <c r="AY178" s="40"/>
      <c r="AZ178" s="40"/>
      <c r="BA178" s="40"/>
      <c r="BB178" s="60"/>
    </row>
    <row r="179" spans="1:54" outlineLevel="1" x14ac:dyDescent="0.3">
      <c r="A179" s="47"/>
      <c r="B179" s="10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AD179" s="47"/>
      <c r="AE179" s="10"/>
      <c r="AF179" s="44"/>
      <c r="AG179" s="44"/>
      <c r="AH179" s="44"/>
      <c r="AI179" s="44"/>
      <c r="AJ179" s="44"/>
      <c r="AK179" s="44"/>
      <c r="AL179" s="44"/>
      <c r="AM179" s="44"/>
      <c r="AN179" s="44"/>
      <c r="AQ179" s="47"/>
      <c r="AR179" s="10"/>
      <c r="AS179" s="13">
        <f t="shared" ref="AS179:BA180" si="256">C179-AF179</f>
        <v>0</v>
      </c>
      <c r="AT179" s="13">
        <f t="shared" si="256"/>
        <v>0</v>
      </c>
      <c r="AU179" s="13">
        <f t="shared" si="256"/>
        <v>0</v>
      </c>
      <c r="AV179" s="13">
        <f t="shared" si="256"/>
        <v>0</v>
      </c>
      <c r="AW179" s="13">
        <f t="shared" si="256"/>
        <v>0</v>
      </c>
      <c r="AX179" s="13">
        <f t="shared" si="256"/>
        <v>0</v>
      </c>
      <c r="AY179" s="13">
        <f t="shared" si="256"/>
        <v>0</v>
      </c>
      <c r="AZ179" s="13">
        <f t="shared" si="256"/>
        <v>0</v>
      </c>
      <c r="BA179" s="13">
        <f t="shared" si="256"/>
        <v>0</v>
      </c>
      <c r="BB179" s="54">
        <f t="shared" si="106"/>
        <v>0</v>
      </c>
    </row>
    <row r="180" spans="1:54" outlineLevel="1" x14ac:dyDescent="0.3">
      <c r="A180" s="10" t="s">
        <v>382</v>
      </c>
      <c r="B180" s="10"/>
      <c r="C180" s="44">
        <v>129</v>
      </c>
      <c r="D180" s="44">
        <f>'By Segment'!E84</f>
        <v>37</v>
      </c>
      <c r="E180" s="44">
        <f>'By Segment'!F84</f>
        <v>158</v>
      </c>
      <c r="F180" s="44">
        <f>'By Segment'!G84</f>
        <v>156</v>
      </c>
      <c r="G180" s="44">
        <f>'By Segment'!H84</f>
        <v>238</v>
      </c>
      <c r="H180" s="44">
        <f>'By Segment'!I84</f>
        <v>227</v>
      </c>
      <c r="I180" s="44">
        <f>'By Segment'!J84</f>
        <v>127</v>
      </c>
      <c r="J180" s="44">
        <f>'By Segment'!K84</f>
        <v>70</v>
      </c>
      <c r="K180" s="44">
        <f>'By Segment'!L84</f>
        <v>231</v>
      </c>
      <c r="L180" s="44"/>
      <c r="M180" s="44"/>
      <c r="N180" s="44"/>
      <c r="O180" s="44"/>
      <c r="P180" s="44"/>
      <c r="Q180" s="44"/>
      <c r="AD180" s="10" t="s">
        <v>382</v>
      </c>
      <c r="AE180" s="10"/>
      <c r="AF180" s="44">
        <v>129</v>
      </c>
      <c r="AG180" s="44">
        <v>37</v>
      </c>
      <c r="AH180" s="44">
        <v>158</v>
      </c>
      <c r="AI180" s="44">
        <v>156</v>
      </c>
      <c r="AJ180" s="44">
        <v>238</v>
      </c>
      <c r="AK180" s="44">
        <v>227</v>
      </c>
      <c r="AL180" s="44">
        <v>127</v>
      </c>
      <c r="AM180" s="44">
        <v>70</v>
      </c>
      <c r="AN180" s="44">
        <v>231</v>
      </c>
      <c r="AQ180" s="10" t="s">
        <v>382</v>
      </c>
      <c r="AR180" s="10"/>
      <c r="AS180" s="13">
        <f t="shared" si="256"/>
        <v>0</v>
      </c>
      <c r="AT180" s="13">
        <f t="shared" si="256"/>
        <v>0</v>
      </c>
      <c r="AU180" s="13">
        <f t="shared" si="256"/>
        <v>0</v>
      </c>
      <c r="AV180" s="13">
        <f t="shared" si="256"/>
        <v>0</v>
      </c>
      <c r="AW180" s="13">
        <f t="shared" si="256"/>
        <v>0</v>
      </c>
      <c r="AX180" s="13">
        <f t="shared" si="256"/>
        <v>0</v>
      </c>
      <c r="AY180" s="13">
        <f t="shared" si="256"/>
        <v>0</v>
      </c>
      <c r="AZ180" s="13">
        <f t="shared" si="256"/>
        <v>0</v>
      </c>
      <c r="BA180" s="13">
        <f t="shared" si="256"/>
        <v>0</v>
      </c>
      <c r="BB180" s="54">
        <f t="shared" si="106"/>
        <v>0</v>
      </c>
    </row>
    <row r="181" spans="1:54" s="35" customFormat="1" outlineLevel="1" x14ac:dyDescent="0.3">
      <c r="A181" s="39" t="s">
        <v>414</v>
      </c>
      <c r="B181" s="39"/>
      <c r="C181" s="43">
        <f>C180/C177</f>
        <v>0.17086092715231788</v>
      </c>
      <c r="D181" s="43">
        <f t="shared" ref="D181:K181" si="257">D180/D177</f>
        <v>5.5891238670694864E-2</v>
      </c>
      <c r="E181" s="43">
        <f t="shared" si="257"/>
        <v>0.2253922967189729</v>
      </c>
      <c r="F181" s="43">
        <f t="shared" si="257"/>
        <v>0.21052631578947367</v>
      </c>
      <c r="G181" s="43">
        <f t="shared" si="257"/>
        <v>0.28674698795180725</v>
      </c>
      <c r="H181" s="43">
        <f t="shared" si="257"/>
        <v>0.2715311004784689</v>
      </c>
      <c r="I181" s="43">
        <f t="shared" si="257"/>
        <v>0.31203931203931207</v>
      </c>
      <c r="J181" s="43">
        <f t="shared" si="257"/>
        <v>0.19390581717451524</v>
      </c>
      <c r="K181" s="43">
        <f t="shared" si="257"/>
        <v>0.23286290322580644</v>
      </c>
      <c r="L181" s="43"/>
      <c r="M181" s="43"/>
      <c r="N181" s="43"/>
      <c r="O181" s="43"/>
      <c r="P181" s="43"/>
      <c r="Q181" s="43"/>
      <c r="V181" s="59"/>
      <c r="W181" s="59"/>
      <c r="X181" s="59"/>
      <c r="Y181" s="59"/>
      <c r="Z181" s="59"/>
      <c r="AA181" s="59"/>
      <c r="AD181" s="39"/>
      <c r="AE181" s="39"/>
      <c r="AF181" s="40"/>
      <c r="AG181" s="40"/>
      <c r="AH181" s="40"/>
      <c r="AI181" s="40"/>
      <c r="AJ181" s="40"/>
      <c r="AK181" s="40"/>
      <c r="AL181" s="40"/>
      <c r="AM181" s="58"/>
      <c r="AN181" s="40"/>
      <c r="AQ181" s="39"/>
      <c r="AR181" s="39"/>
      <c r="AS181" s="40"/>
      <c r="AT181" s="40"/>
      <c r="AU181" s="40"/>
      <c r="AV181" s="40"/>
      <c r="AW181" s="40"/>
      <c r="AX181" s="40"/>
      <c r="AY181" s="40"/>
      <c r="AZ181" s="40"/>
      <c r="BA181" s="40"/>
      <c r="BB181" s="60"/>
    </row>
    <row r="182" spans="1:54" s="49" customFormat="1" outlineLevel="1" x14ac:dyDescent="0.3">
      <c r="A182" s="47" t="s">
        <v>377</v>
      </c>
      <c r="B182" s="47"/>
      <c r="C182" s="52">
        <f>C177-C180</f>
        <v>626</v>
      </c>
      <c r="D182" s="52">
        <f t="shared" ref="D182:K182" si="258">D177-D180</f>
        <v>625</v>
      </c>
      <c r="E182" s="52">
        <f t="shared" si="258"/>
        <v>543</v>
      </c>
      <c r="F182" s="52">
        <f t="shared" si="258"/>
        <v>585</v>
      </c>
      <c r="G182" s="52">
        <f t="shared" si="258"/>
        <v>592</v>
      </c>
      <c r="H182" s="52">
        <f t="shared" si="258"/>
        <v>609</v>
      </c>
      <c r="I182" s="52">
        <f t="shared" si="258"/>
        <v>280</v>
      </c>
      <c r="J182" s="52">
        <f t="shared" si="258"/>
        <v>291</v>
      </c>
      <c r="K182" s="52">
        <f t="shared" si="258"/>
        <v>761</v>
      </c>
      <c r="L182" s="52"/>
      <c r="M182" s="52"/>
      <c r="N182" s="52"/>
      <c r="O182" s="52"/>
      <c r="P182" s="52"/>
      <c r="Q182" s="52"/>
      <c r="V182" s="55"/>
      <c r="W182" s="55"/>
      <c r="X182" s="55"/>
      <c r="Z182" s="55"/>
      <c r="AD182" s="47" t="s">
        <v>377</v>
      </c>
      <c r="AE182" s="47"/>
      <c r="AF182" s="52">
        <v>626</v>
      </c>
      <c r="AG182" s="52">
        <v>625</v>
      </c>
      <c r="AH182" s="52">
        <v>543</v>
      </c>
      <c r="AI182" s="52">
        <v>585</v>
      </c>
      <c r="AJ182" s="52">
        <v>592</v>
      </c>
      <c r="AK182" s="52">
        <v>609</v>
      </c>
      <c r="AL182" s="52">
        <v>280</v>
      </c>
      <c r="AM182" s="52">
        <v>291</v>
      </c>
      <c r="AN182" s="52">
        <v>761</v>
      </c>
      <c r="AQ182" s="47" t="s">
        <v>377</v>
      </c>
      <c r="AR182" s="47"/>
      <c r="AS182" s="13">
        <f t="shared" ref="AS182:BA182" si="259">C182-AF182</f>
        <v>0</v>
      </c>
      <c r="AT182" s="13">
        <f t="shared" si="259"/>
        <v>0</v>
      </c>
      <c r="AU182" s="13">
        <f t="shared" si="259"/>
        <v>0</v>
      </c>
      <c r="AV182" s="13">
        <f t="shared" si="259"/>
        <v>0</v>
      </c>
      <c r="AW182" s="13">
        <f t="shared" si="259"/>
        <v>0</v>
      </c>
      <c r="AX182" s="13">
        <f t="shared" si="259"/>
        <v>0</v>
      </c>
      <c r="AY182" s="13">
        <f t="shared" si="259"/>
        <v>0</v>
      </c>
      <c r="AZ182" s="13">
        <f t="shared" si="259"/>
        <v>0</v>
      </c>
      <c r="BA182" s="13">
        <f t="shared" si="259"/>
        <v>0</v>
      </c>
      <c r="BB182" s="54">
        <f t="shared" si="106"/>
        <v>0</v>
      </c>
    </row>
    <row r="183" spans="1:54" s="35" customFormat="1" outlineLevel="1" x14ac:dyDescent="0.3">
      <c r="A183" s="39" t="s">
        <v>413</v>
      </c>
      <c r="B183" s="39"/>
      <c r="C183" s="43">
        <f>C182/C158</f>
        <v>0.11840363154908265</v>
      </c>
      <c r="D183" s="43">
        <f t="shared" ref="D183:K183" si="260">D182/D158</f>
        <v>0.13083525225036635</v>
      </c>
      <c r="E183" s="43">
        <f t="shared" si="260"/>
        <v>0.11622431506849315</v>
      </c>
      <c r="F183" s="43">
        <f t="shared" si="260"/>
        <v>0.11728147554129911</v>
      </c>
      <c r="G183" s="43">
        <f t="shared" si="260"/>
        <v>0.11644374508261211</v>
      </c>
      <c r="H183" s="43">
        <f t="shared" si="260"/>
        <v>0.11866718628215121</v>
      </c>
      <c r="I183" s="43">
        <f t="shared" si="260"/>
        <v>6.5283282816507346E-2</v>
      </c>
      <c r="J183" s="43">
        <f t="shared" si="260"/>
        <v>5.7852882703777336E-2</v>
      </c>
      <c r="K183" s="43">
        <f t="shared" si="260"/>
        <v>0.12613956572186308</v>
      </c>
      <c r="L183" s="43"/>
      <c r="M183" s="43"/>
      <c r="N183" s="43"/>
      <c r="O183" s="43"/>
      <c r="P183" s="43"/>
      <c r="Q183" s="43"/>
      <c r="V183" s="59"/>
      <c r="W183" s="59"/>
      <c r="X183" s="59"/>
      <c r="Y183" s="59"/>
      <c r="Z183" s="59"/>
      <c r="AA183" s="59"/>
      <c r="AD183" s="39"/>
      <c r="AE183" s="39"/>
      <c r="AF183" s="40"/>
      <c r="AG183" s="40"/>
      <c r="AH183" s="40"/>
      <c r="AI183" s="40"/>
      <c r="AJ183" s="40"/>
      <c r="AK183" s="40"/>
      <c r="AL183" s="40"/>
      <c r="AM183" s="58"/>
      <c r="AN183" s="40"/>
      <c r="AQ183" s="39"/>
      <c r="AR183" s="39"/>
      <c r="AS183" s="40"/>
      <c r="AT183" s="40"/>
      <c r="AU183" s="40"/>
      <c r="AV183" s="40"/>
      <c r="AW183" s="40"/>
      <c r="AX183" s="40"/>
      <c r="AY183" s="40"/>
      <c r="AZ183" s="40"/>
      <c r="BA183" s="40"/>
      <c r="BB183" s="60"/>
    </row>
    <row r="184" spans="1:54" x14ac:dyDescent="0.3">
      <c r="A184" s="6" t="s">
        <v>395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AD184" s="6" t="s">
        <v>395</v>
      </c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Q184" s="6" t="s">
        <v>395</v>
      </c>
      <c r="AR184" s="17"/>
      <c r="AS184" s="13">
        <f t="shared" ref="AS184:BA185" si="261">C184-AF184</f>
        <v>0</v>
      </c>
      <c r="AT184" s="13">
        <f t="shared" si="261"/>
        <v>0</v>
      </c>
      <c r="AU184" s="13">
        <f t="shared" si="261"/>
        <v>0</v>
      </c>
      <c r="AV184" s="13">
        <f t="shared" si="261"/>
        <v>0</v>
      </c>
      <c r="AW184" s="13">
        <f t="shared" si="261"/>
        <v>0</v>
      </c>
      <c r="AX184" s="13">
        <f t="shared" si="261"/>
        <v>0</v>
      </c>
      <c r="AY184" s="13">
        <f t="shared" si="261"/>
        <v>0</v>
      </c>
      <c r="AZ184" s="13">
        <f t="shared" si="261"/>
        <v>0</v>
      </c>
      <c r="BA184" s="13">
        <f t="shared" si="261"/>
        <v>0</v>
      </c>
      <c r="BB184" s="54">
        <f t="shared" si="106"/>
        <v>0</v>
      </c>
    </row>
    <row r="185" spans="1:54" outlineLevel="1" x14ac:dyDescent="0.3">
      <c r="A185" s="10" t="s">
        <v>378</v>
      </c>
      <c r="B185" s="10"/>
      <c r="C185" s="44">
        <f>'By Segment'!D35</f>
        <v>2309</v>
      </c>
      <c r="D185" s="44">
        <v>2036</v>
      </c>
      <c r="E185" s="44">
        <f>'By Segment'!F35</f>
        <v>2027</v>
      </c>
      <c r="F185" s="44">
        <v>2061</v>
      </c>
      <c r="G185" s="44">
        <f>'By Segment'!H35</f>
        <v>2131</v>
      </c>
      <c r="H185" s="44">
        <f>'By Segment'!I35</f>
        <v>2177</v>
      </c>
      <c r="I185" s="44">
        <f>'By Segment'!J35</f>
        <v>2259</v>
      </c>
      <c r="J185" s="44">
        <f>'By Segment'!K35</f>
        <v>2271</v>
      </c>
      <c r="K185" s="44">
        <f>'By Segment'!L35</f>
        <v>1964</v>
      </c>
      <c r="L185" s="44">
        <f>K185*(1+L186)</f>
        <v>2000.2953511680307</v>
      </c>
      <c r="M185" s="44">
        <f t="shared" ref="M185:Q185" si="262">L185*(1+M186)</f>
        <v>2037.869413310146</v>
      </c>
      <c r="N185" s="44">
        <f t="shared" si="262"/>
        <v>2076.7686576158167</v>
      </c>
      <c r="O185" s="44">
        <f t="shared" si="262"/>
        <v>2117.0416223876396</v>
      </c>
      <c r="P185" s="44">
        <f t="shared" si="262"/>
        <v>2158.7390102523486</v>
      </c>
      <c r="Q185" s="44">
        <f t="shared" si="262"/>
        <v>2201.9137904573959</v>
      </c>
      <c r="AD185" s="10" t="s">
        <v>378</v>
      </c>
      <c r="AE185" s="10"/>
      <c r="AF185" s="44">
        <v>2309</v>
      </c>
      <c r="AG185" s="44">
        <v>2036</v>
      </c>
      <c r="AH185" s="44">
        <v>2027</v>
      </c>
      <c r="AI185" s="44">
        <v>2061</v>
      </c>
      <c r="AJ185" s="44">
        <v>2131</v>
      </c>
      <c r="AK185" s="44">
        <v>2177</v>
      </c>
      <c r="AL185" s="44">
        <v>2259</v>
      </c>
      <c r="AM185" s="44">
        <v>2271</v>
      </c>
      <c r="AN185" s="44">
        <v>1964</v>
      </c>
      <c r="AQ185" s="10" t="s">
        <v>378</v>
      </c>
      <c r="AR185" s="10"/>
      <c r="AS185" s="13">
        <f t="shared" si="261"/>
        <v>0</v>
      </c>
      <c r="AT185" s="13">
        <f t="shared" si="261"/>
        <v>0</v>
      </c>
      <c r="AU185" s="13">
        <f t="shared" si="261"/>
        <v>0</v>
      </c>
      <c r="AV185" s="13">
        <f t="shared" si="261"/>
        <v>0</v>
      </c>
      <c r="AW185" s="13">
        <f t="shared" si="261"/>
        <v>0</v>
      </c>
      <c r="AX185" s="13">
        <f t="shared" si="261"/>
        <v>0</v>
      </c>
      <c r="AY185" s="13">
        <f t="shared" si="261"/>
        <v>0</v>
      </c>
      <c r="AZ185" s="13">
        <f t="shared" si="261"/>
        <v>0</v>
      </c>
      <c r="BA185" s="13">
        <f t="shared" si="261"/>
        <v>0</v>
      </c>
      <c r="BB185" s="54">
        <f t="shared" si="106"/>
        <v>0</v>
      </c>
    </row>
    <row r="186" spans="1:54" s="35" customFormat="1" outlineLevel="1" x14ac:dyDescent="0.3">
      <c r="A186" s="39" t="s">
        <v>412</v>
      </c>
      <c r="B186" s="39"/>
      <c r="C186" s="40"/>
      <c r="D186" s="43">
        <f>D185/C185-1</f>
        <v>-0.11823300129926373</v>
      </c>
      <c r="E186" s="43">
        <f t="shared" ref="E186" si="263">E185/D185-1</f>
        <v>-4.4204322200392943E-3</v>
      </c>
      <c r="F186" s="43">
        <f t="shared" ref="F186" si="264">F185/E185-1</f>
        <v>1.6773556980759663E-2</v>
      </c>
      <c r="G186" s="43">
        <f t="shared" ref="G186" si="265">G185/F185-1</f>
        <v>3.3964095099466185E-2</v>
      </c>
      <c r="H186" s="43">
        <f t="shared" ref="H186" si="266">H185/G185-1</f>
        <v>2.1586109807602005E-2</v>
      </c>
      <c r="I186" s="43">
        <f t="shared" ref="I186" si="267">I185/H185-1</f>
        <v>3.7666513550757896E-2</v>
      </c>
      <c r="J186" s="43">
        <f t="shared" ref="J186" si="268">J185/I185-1</f>
        <v>5.312084993359889E-3</v>
      </c>
      <c r="K186" s="43">
        <f t="shared" ref="K186" si="269">K185/J185-1</f>
        <v>-0.13518273888154997</v>
      </c>
      <c r="L186" s="43">
        <f>AVERAGE(E186:J186)</f>
        <v>1.8480321368651059E-2</v>
      </c>
      <c r="M186" s="43">
        <f>L186+$R$186</f>
        <v>1.8784257094920848E-2</v>
      </c>
      <c r="N186" s="43">
        <f t="shared" ref="N186:Q186" si="270">M186+$R$186</f>
        <v>1.9088192821190637E-2</v>
      </c>
      <c r="O186" s="43">
        <f t="shared" si="270"/>
        <v>1.9392128547460426E-2</v>
      </c>
      <c r="P186" s="43">
        <f t="shared" si="270"/>
        <v>1.9696064273730215E-2</v>
      </c>
      <c r="Q186" s="43">
        <f t="shared" si="270"/>
        <v>2.0000000000000004E-2</v>
      </c>
      <c r="R186" s="61">
        <f>(0.02-L186)/5</f>
        <v>3.0393572626978836E-4</v>
      </c>
      <c r="S186" s="61">
        <f>AVERAGE(D186:I186)</f>
        <v>-2.1105263467862123E-3</v>
      </c>
      <c r="T186" s="61">
        <f>AVERAGE(E186:J186)</f>
        <v>1.8480321368651059E-2</v>
      </c>
      <c r="V186" s="59"/>
      <c r="W186" s="59"/>
      <c r="X186" s="59"/>
      <c r="Y186" s="59"/>
      <c r="Z186" s="59"/>
      <c r="AA186" s="59"/>
      <c r="AD186" s="39"/>
      <c r="AE186" s="39"/>
      <c r="AF186" s="40"/>
      <c r="AG186" s="40"/>
      <c r="AH186" s="40"/>
      <c r="AI186" s="40"/>
      <c r="AJ186" s="40"/>
      <c r="AK186" s="40"/>
      <c r="AL186" s="40"/>
      <c r="AM186" s="58"/>
      <c r="AN186" s="40"/>
      <c r="AQ186" s="39"/>
      <c r="AR186" s="39"/>
      <c r="AS186" s="40"/>
      <c r="AT186" s="40"/>
      <c r="AU186" s="40"/>
      <c r="AV186" s="40"/>
      <c r="AW186" s="40"/>
      <c r="AX186" s="40"/>
      <c r="AY186" s="40"/>
      <c r="AZ186" s="40"/>
      <c r="BA186" s="40"/>
      <c r="BB186" s="60"/>
    </row>
    <row r="187" spans="1:54" outlineLevel="1" x14ac:dyDescent="0.3">
      <c r="A187" s="10" t="s">
        <v>422</v>
      </c>
      <c r="B187" s="10"/>
      <c r="C187" s="44">
        <f t="shared" ref="C187" si="271">C195-C185-C189-C191</f>
        <v>466</v>
      </c>
      <c r="D187" s="44">
        <f t="shared" ref="D187" si="272">D195-D185-D189-D191</f>
        <v>424</v>
      </c>
      <c r="E187" s="44">
        <f t="shared" ref="E187" si="273">E195-E185-E189-E191</f>
        <v>391</v>
      </c>
      <c r="F187" s="44">
        <f t="shared" ref="F187" si="274">F195-F185-F189-F191</f>
        <v>405</v>
      </c>
      <c r="G187" s="44">
        <f t="shared" ref="G187" si="275">G195-G185-G189-G191</f>
        <v>431</v>
      </c>
      <c r="H187" s="44">
        <f t="shared" ref="H187" si="276">H195-H185-H189-H191</f>
        <v>423</v>
      </c>
      <c r="I187" s="44">
        <f t="shared" ref="I187" si="277">I195-I185-I189-I191</f>
        <v>433</v>
      </c>
      <c r="J187" s="44">
        <f t="shared" ref="J187" si="278">J195-J185-J189-J191</f>
        <v>395</v>
      </c>
      <c r="K187" s="44">
        <f>K195-K185-K189-K191</f>
        <v>300</v>
      </c>
      <c r="L187" s="44"/>
      <c r="M187" s="44"/>
      <c r="N187" s="44"/>
      <c r="O187" s="44"/>
      <c r="P187" s="44"/>
      <c r="Q187" s="44"/>
      <c r="AD187" s="10" t="s">
        <v>422</v>
      </c>
      <c r="AE187" s="10"/>
      <c r="AF187" s="44">
        <v>466</v>
      </c>
      <c r="AG187" s="44">
        <v>424</v>
      </c>
      <c r="AH187" s="44">
        <v>391</v>
      </c>
      <c r="AI187" s="44">
        <v>405</v>
      </c>
      <c r="AJ187" s="44">
        <v>431</v>
      </c>
      <c r="AK187" s="44">
        <v>423</v>
      </c>
      <c r="AL187" s="44">
        <v>433</v>
      </c>
      <c r="AM187" s="44">
        <v>395</v>
      </c>
      <c r="AN187" s="44">
        <v>300</v>
      </c>
      <c r="AQ187" s="10" t="s">
        <v>422</v>
      </c>
      <c r="AR187" s="10"/>
      <c r="AS187" s="13">
        <f t="shared" ref="AS187:BA187" si="279">C187-AF187</f>
        <v>0</v>
      </c>
      <c r="AT187" s="13">
        <f t="shared" si="279"/>
        <v>0</v>
      </c>
      <c r="AU187" s="13">
        <f t="shared" si="279"/>
        <v>0</v>
      </c>
      <c r="AV187" s="13">
        <f t="shared" si="279"/>
        <v>0</v>
      </c>
      <c r="AW187" s="13">
        <f t="shared" si="279"/>
        <v>0</v>
      </c>
      <c r="AX187" s="13">
        <f t="shared" si="279"/>
        <v>0</v>
      </c>
      <c r="AY187" s="13">
        <f t="shared" si="279"/>
        <v>0</v>
      </c>
      <c r="AZ187" s="13">
        <f t="shared" si="279"/>
        <v>0</v>
      </c>
      <c r="BA187" s="13">
        <f t="shared" si="279"/>
        <v>0</v>
      </c>
      <c r="BB187" s="54">
        <f t="shared" si="106"/>
        <v>0</v>
      </c>
    </row>
    <row r="188" spans="1:54" s="35" customFormat="1" outlineLevel="1" x14ac:dyDescent="0.3">
      <c r="A188" s="39" t="s">
        <v>435</v>
      </c>
      <c r="B188" s="39"/>
      <c r="C188" s="43">
        <f>C187/C185</f>
        <v>0.2018189692507579</v>
      </c>
      <c r="D188" s="43">
        <f t="shared" ref="D188" si="280">D187/D185</f>
        <v>0.20825147347740669</v>
      </c>
      <c r="E188" s="43">
        <f t="shared" ref="E188" si="281">E187/E185</f>
        <v>0.19289590527873704</v>
      </c>
      <c r="F188" s="43">
        <f t="shared" ref="F188" si="282">F187/F185</f>
        <v>0.1965065502183406</v>
      </c>
      <c r="G188" s="43">
        <f t="shared" ref="G188" si="283">G187/G185</f>
        <v>0.20225246363209762</v>
      </c>
      <c r="H188" s="43">
        <f t="shared" ref="H188" si="284">H187/H185</f>
        <v>0.19430408819476344</v>
      </c>
      <c r="I188" s="43">
        <f t="shared" ref="I188" si="285">I187/I185</f>
        <v>0.19167773351040282</v>
      </c>
      <c r="J188" s="43">
        <f t="shared" ref="J188" si="286">J187/J185</f>
        <v>0.17393218846323205</v>
      </c>
      <c r="K188" s="43">
        <f t="shared" ref="K188" si="287">K187/K185</f>
        <v>0.15274949083503056</v>
      </c>
      <c r="L188" s="43"/>
      <c r="M188" s="43"/>
      <c r="N188" s="43"/>
      <c r="O188" s="43"/>
      <c r="P188" s="43"/>
      <c r="Q188" s="43"/>
      <c r="V188" s="59"/>
      <c r="W188" s="59"/>
      <c r="X188" s="59"/>
      <c r="Y188" s="59"/>
      <c r="Z188" s="59"/>
      <c r="AA188" s="59"/>
      <c r="AD188" s="39"/>
      <c r="AE188" s="39"/>
      <c r="AF188" s="40"/>
      <c r="AG188" s="40"/>
      <c r="AH188" s="40"/>
      <c r="AI188" s="40"/>
      <c r="AJ188" s="40"/>
      <c r="AK188" s="40"/>
      <c r="AL188" s="40"/>
      <c r="AM188" s="58"/>
      <c r="AN188" s="40"/>
      <c r="AQ188" s="39"/>
      <c r="AR188" s="39"/>
      <c r="AS188" s="40"/>
      <c r="AT188" s="40"/>
      <c r="AU188" s="40"/>
      <c r="AV188" s="40"/>
      <c r="AW188" s="40"/>
      <c r="AX188" s="40"/>
      <c r="AY188" s="40"/>
      <c r="AZ188" s="40"/>
      <c r="BA188" s="40"/>
      <c r="BB188" s="60"/>
    </row>
    <row r="189" spans="1:54" outlineLevel="1" x14ac:dyDescent="0.3">
      <c r="A189" s="10" t="s">
        <v>384</v>
      </c>
      <c r="B189" s="10"/>
      <c r="C189" s="44">
        <f>'By Segment'!D41</f>
        <v>428</v>
      </c>
      <c r="D189" s="44">
        <f>'By Segment'!E41</f>
        <v>326</v>
      </c>
      <c r="E189" s="44">
        <f>'By Segment'!F41</f>
        <v>318</v>
      </c>
      <c r="F189" s="44">
        <f>'By Segment'!G41</f>
        <v>309</v>
      </c>
      <c r="G189" s="44">
        <f>'By Segment'!H41</f>
        <v>293</v>
      </c>
      <c r="H189" s="44">
        <f>'By Segment'!I41</f>
        <v>291</v>
      </c>
      <c r="I189" s="44">
        <f>'By Segment'!J41</f>
        <v>269</v>
      </c>
      <c r="J189" s="44">
        <f>'By Segment'!K41</f>
        <v>215</v>
      </c>
      <c r="K189" s="44">
        <f>'By Segment'!L41</f>
        <v>160</v>
      </c>
      <c r="L189" s="44"/>
      <c r="M189" s="44"/>
      <c r="N189" s="44"/>
      <c r="O189" s="44"/>
      <c r="P189" s="44"/>
      <c r="Q189" s="44"/>
      <c r="AD189" s="10" t="s">
        <v>384</v>
      </c>
      <c r="AE189" s="10"/>
      <c r="AF189" s="44">
        <v>428</v>
      </c>
      <c r="AG189" s="44">
        <v>326</v>
      </c>
      <c r="AH189" s="44">
        <v>318</v>
      </c>
      <c r="AI189" s="44">
        <v>309</v>
      </c>
      <c r="AJ189" s="44">
        <v>293</v>
      </c>
      <c r="AK189" s="44">
        <v>291</v>
      </c>
      <c r="AL189" s="44">
        <v>269</v>
      </c>
      <c r="AM189" s="44">
        <v>215</v>
      </c>
      <c r="AN189" s="44">
        <v>160</v>
      </c>
      <c r="AQ189" s="10" t="s">
        <v>384</v>
      </c>
      <c r="AR189" s="10"/>
      <c r="AS189" s="13">
        <f t="shared" ref="AS189:BA189" si="288">C189-AF189</f>
        <v>0</v>
      </c>
      <c r="AT189" s="13">
        <f t="shared" si="288"/>
        <v>0</v>
      </c>
      <c r="AU189" s="13">
        <f t="shared" si="288"/>
        <v>0</v>
      </c>
      <c r="AV189" s="13">
        <f t="shared" si="288"/>
        <v>0</v>
      </c>
      <c r="AW189" s="13">
        <f t="shared" si="288"/>
        <v>0</v>
      </c>
      <c r="AX189" s="13">
        <f t="shared" si="288"/>
        <v>0</v>
      </c>
      <c r="AY189" s="13">
        <f t="shared" si="288"/>
        <v>0</v>
      </c>
      <c r="AZ189" s="13">
        <f t="shared" si="288"/>
        <v>0</v>
      </c>
      <c r="BA189" s="13">
        <f t="shared" si="288"/>
        <v>0</v>
      </c>
      <c r="BB189" s="54">
        <f t="shared" si="106"/>
        <v>0</v>
      </c>
    </row>
    <row r="190" spans="1:54" s="35" customFormat="1" outlineLevel="1" x14ac:dyDescent="0.3">
      <c r="A190" s="39" t="s">
        <v>435</v>
      </c>
      <c r="B190" s="39"/>
      <c r="C190" s="43">
        <f>C189/C185</f>
        <v>0.18536162841056736</v>
      </c>
      <c r="D190" s="43">
        <f t="shared" ref="D190:K190" si="289">D189/D185</f>
        <v>0.16011787819253437</v>
      </c>
      <c r="E190" s="43">
        <f t="shared" si="289"/>
        <v>0.15688209176122347</v>
      </c>
      <c r="F190" s="43">
        <f t="shared" si="289"/>
        <v>0.14992721979621543</v>
      </c>
      <c r="G190" s="43">
        <f t="shared" si="289"/>
        <v>0.13749413420929141</v>
      </c>
      <c r="H190" s="43">
        <f t="shared" si="289"/>
        <v>0.13367018833256775</v>
      </c>
      <c r="I190" s="43">
        <f t="shared" si="289"/>
        <v>0.11907923860115095</v>
      </c>
      <c r="J190" s="43">
        <f t="shared" si="289"/>
        <v>9.4671950682518713E-2</v>
      </c>
      <c r="K190" s="43">
        <f t="shared" si="289"/>
        <v>8.1466395112016296E-2</v>
      </c>
      <c r="L190" s="43"/>
      <c r="M190" s="43"/>
      <c r="N190" s="43"/>
      <c r="O190" s="43"/>
      <c r="P190" s="43"/>
      <c r="Q190" s="43"/>
      <c r="V190" s="59"/>
      <c r="W190" s="59"/>
      <c r="X190" s="59"/>
      <c r="Y190" s="59"/>
      <c r="Z190" s="59"/>
      <c r="AA190" s="59"/>
      <c r="AD190" s="39"/>
      <c r="AE190" s="39"/>
      <c r="AF190" s="40"/>
      <c r="AG190" s="40"/>
      <c r="AH190" s="40"/>
      <c r="AI190" s="40"/>
      <c r="AJ190" s="40"/>
      <c r="AK190" s="40"/>
      <c r="AL190" s="40"/>
      <c r="AM190" s="58"/>
      <c r="AN190" s="40"/>
      <c r="AQ190" s="39"/>
      <c r="AR190" s="39"/>
      <c r="AS190" s="40"/>
      <c r="AT190" s="40"/>
      <c r="AU190" s="40"/>
      <c r="AV190" s="40"/>
      <c r="AW190" s="40"/>
      <c r="AX190" s="40"/>
      <c r="AY190" s="40"/>
      <c r="AZ190" s="40"/>
      <c r="BA190" s="40"/>
      <c r="BB190" s="60"/>
    </row>
    <row r="191" spans="1:54" outlineLevel="1" x14ac:dyDescent="0.3">
      <c r="A191" s="10" t="s">
        <v>391</v>
      </c>
      <c r="B191" s="10"/>
      <c r="C191" s="44">
        <f>'By Segment'!D48</f>
        <v>60</v>
      </c>
      <c r="D191" s="44">
        <f>'By Segment'!E48</f>
        <v>61</v>
      </c>
      <c r="E191" s="44">
        <f>'By Segment'!F48</f>
        <v>73</v>
      </c>
      <c r="F191" s="44">
        <f>'By Segment'!G48</f>
        <v>58</v>
      </c>
      <c r="G191" s="44">
        <f>'By Segment'!H48</f>
        <v>66</v>
      </c>
      <c r="H191" s="44">
        <f>'By Segment'!I48</f>
        <v>54</v>
      </c>
      <c r="I191" s="44">
        <f>'By Segment'!J48</f>
        <v>52</v>
      </c>
      <c r="J191" s="44">
        <f>'By Segment'!K48</f>
        <v>47</v>
      </c>
      <c r="K191" s="44">
        <f>'By Segment'!L48</f>
        <v>35</v>
      </c>
      <c r="L191" s="44"/>
      <c r="M191" s="44"/>
      <c r="N191" s="44"/>
      <c r="O191" s="44"/>
      <c r="P191" s="44"/>
      <c r="Q191" s="44"/>
      <c r="AD191" s="10" t="s">
        <v>391</v>
      </c>
      <c r="AE191" s="10"/>
      <c r="AF191" s="44">
        <v>60</v>
      </c>
      <c r="AG191" s="44">
        <v>61</v>
      </c>
      <c r="AH191" s="44">
        <v>73</v>
      </c>
      <c r="AI191" s="44">
        <v>58</v>
      </c>
      <c r="AJ191" s="44">
        <v>66</v>
      </c>
      <c r="AK191" s="44">
        <v>54</v>
      </c>
      <c r="AL191" s="44">
        <v>52</v>
      </c>
      <c r="AM191" s="44">
        <v>47</v>
      </c>
      <c r="AN191" s="44">
        <v>35</v>
      </c>
      <c r="AQ191" s="10" t="s">
        <v>391</v>
      </c>
      <c r="AR191" s="10"/>
      <c r="AS191" s="13">
        <f t="shared" ref="AS191:BA191" si="290">C191-AF191</f>
        <v>0</v>
      </c>
      <c r="AT191" s="13">
        <f t="shared" si="290"/>
        <v>0</v>
      </c>
      <c r="AU191" s="13">
        <f t="shared" si="290"/>
        <v>0</v>
      </c>
      <c r="AV191" s="13">
        <f t="shared" si="290"/>
        <v>0</v>
      </c>
      <c r="AW191" s="13">
        <f t="shared" si="290"/>
        <v>0</v>
      </c>
      <c r="AX191" s="13">
        <f t="shared" si="290"/>
        <v>0</v>
      </c>
      <c r="AY191" s="13">
        <f t="shared" si="290"/>
        <v>0</v>
      </c>
      <c r="AZ191" s="13">
        <f t="shared" si="290"/>
        <v>0</v>
      </c>
      <c r="BA191" s="13">
        <f t="shared" si="290"/>
        <v>0</v>
      </c>
      <c r="BB191" s="54">
        <f t="shared" si="106"/>
        <v>0</v>
      </c>
    </row>
    <row r="192" spans="1:54" s="35" customFormat="1" outlineLevel="1" x14ac:dyDescent="0.3">
      <c r="A192" s="39" t="s">
        <v>435</v>
      </c>
      <c r="B192" s="39"/>
      <c r="C192" s="43">
        <f>C191/C185</f>
        <v>2.5985275010827199E-2</v>
      </c>
      <c r="D192" s="43">
        <f t="shared" ref="D192:K192" si="291">D191/D185</f>
        <v>2.9960707269155205E-2</v>
      </c>
      <c r="E192" s="43">
        <f t="shared" si="291"/>
        <v>3.6013813517513565E-2</v>
      </c>
      <c r="F192" s="43">
        <f t="shared" si="291"/>
        <v>2.8141678796700632E-2</v>
      </c>
      <c r="G192" s="43">
        <f t="shared" si="291"/>
        <v>3.0971374941342094E-2</v>
      </c>
      <c r="H192" s="43">
        <f t="shared" si="291"/>
        <v>2.480477721635278E-2</v>
      </c>
      <c r="I192" s="43">
        <f t="shared" si="291"/>
        <v>2.3019034971226208E-2</v>
      </c>
      <c r="J192" s="43">
        <f t="shared" si="291"/>
        <v>2.0695728753852928E-2</v>
      </c>
      <c r="K192" s="43">
        <f t="shared" si="291"/>
        <v>1.7820773930753563E-2</v>
      </c>
      <c r="L192" s="43"/>
      <c r="M192" s="43"/>
      <c r="N192" s="43"/>
      <c r="O192" s="43"/>
      <c r="P192" s="43"/>
      <c r="Q192" s="43"/>
      <c r="V192" s="59"/>
      <c r="W192" s="59"/>
      <c r="X192" s="59"/>
      <c r="Y192" s="59"/>
      <c r="Z192" s="59"/>
      <c r="AA192" s="59"/>
      <c r="AD192" s="39"/>
      <c r="AE192" s="39"/>
      <c r="AF192" s="40"/>
      <c r="AG192" s="40"/>
      <c r="AH192" s="40"/>
      <c r="AI192" s="40"/>
      <c r="AJ192" s="40"/>
      <c r="AK192" s="40"/>
      <c r="AL192" s="40"/>
      <c r="AM192" s="58"/>
      <c r="AN192" s="40"/>
      <c r="AQ192" s="39"/>
      <c r="AR192" s="39"/>
      <c r="AS192" s="40"/>
      <c r="AT192" s="40"/>
      <c r="AU192" s="40"/>
      <c r="AV192" s="40"/>
      <c r="AW192" s="40"/>
      <c r="AX192" s="40"/>
      <c r="AY192" s="40"/>
      <c r="AZ192" s="40"/>
      <c r="BA192" s="40"/>
      <c r="BB192" s="60"/>
    </row>
    <row r="193" spans="1:54" outlineLevel="1" x14ac:dyDescent="0.3">
      <c r="A193" s="10" t="s">
        <v>432</v>
      </c>
      <c r="B193" s="10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V193" s="50"/>
      <c r="W193" s="50"/>
      <c r="X193" s="50"/>
      <c r="Y193" s="50"/>
      <c r="Z193" s="50"/>
      <c r="AA193" s="50"/>
      <c r="AD193" s="10"/>
      <c r="AE193" s="10"/>
      <c r="AF193" s="13"/>
      <c r="AG193" s="13"/>
      <c r="AH193" s="13"/>
      <c r="AI193" s="13"/>
      <c r="AJ193" s="13"/>
      <c r="AK193" s="13"/>
      <c r="AL193" s="13"/>
      <c r="AM193" s="13"/>
      <c r="AN193" s="13"/>
      <c r="AQ193" s="10"/>
      <c r="AR193" s="10"/>
      <c r="AS193" s="13"/>
      <c r="AT193" s="13"/>
      <c r="AU193" s="13"/>
      <c r="AV193" s="13"/>
      <c r="AW193" s="13"/>
      <c r="AX193" s="13"/>
      <c r="AY193" s="13"/>
      <c r="AZ193" s="13"/>
      <c r="BA193" s="13"/>
      <c r="BB193" s="54"/>
    </row>
    <row r="194" spans="1:54" outlineLevel="1" x14ac:dyDescent="0.3">
      <c r="A194" s="10" t="s">
        <v>433</v>
      </c>
      <c r="B194" s="10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V194" s="50"/>
      <c r="W194" s="50"/>
      <c r="X194" s="50"/>
      <c r="Y194" s="50"/>
      <c r="Z194" s="50"/>
      <c r="AA194" s="50"/>
      <c r="AD194" s="10"/>
      <c r="AE194" s="10"/>
      <c r="AF194" s="13"/>
      <c r="AG194" s="13"/>
      <c r="AH194" s="13"/>
      <c r="AI194" s="13"/>
      <c r="AJ194" s="13"/>
      <c r="AK194" s="13"/>
      <c r="AL194" s="13"/>
      <c r="AM194" s="13"/>
      <c r="AN194" s="13"/>
      <c r="AQ194" s="10"/>
      <c r="AR194" s="10"/>
      <c r="AS194" s="13"/>
      <c r="AT194" s="13"/>
      <c r="AU194" s="13"/>
      <c r="AV194" s="13"/>
      <c r="AW194" s="13"/>
      <c r="AX194" s="13"/>
      <c r="AY194" s="13"/>
      <c r="AZ194" s="13"/>
      <c r="BA194" s="13"/>
      <c r="BB194" s="54"/>
    </row>
    <row r="195" spans="1:54" s="49" customFormat="1" outlineLevel="1" x14ac:dyDescent="0.3">
      <c r="A195" s="47" t="s">
        <v>373</v>
      </c>
      <c r="B195" s="47"/>
      <c r="C195" s="52">
        <f>'By Segment'!D30</f>
        <v>3263</v>
      </c>
      <c r="D195" s="52">
        <f>'By Segment'!E30</f>
        <v>2847</v>
      </c>
      <c r="E195" s="52">
        <f>'By Segment'!F30</f>
        <v>2809</v>
      </c>
      <c r="F195" s="52">
        <f>'By Segment'!G30</f>
        <v>2833</v>
      </c>
      <c r="G195" s="52">
        <f>'By Segment'!H30</f>
        <v>2921</v>
      </c>
      <c r="H195" s="52">
        <f>'By Segment'!I30</f>
        <v>2945</v>
      </c>
      <c r="I195" s="52">
        <f>'By Segment'!J30</f>
        <v>3013</v>
      </c>
      <c r="J195" s="52">
        <f>'By Segment'!K30</f>
        <v>2928</v>
      </c>
      <c r="K195" s="52">
        <f>'By Segment'!L30</f>
        <v>2459</v>
      </c>
      <c r="L195" s="52"/>
      <c r="M195" s="52"/>
      <c r="N195" s="52"/>
      <c r="O195" s="52"/>
      <c r="P195" s="52"/>
      <c r="Q195" s="52"/>
      <c r="V195" s="55"/>
      <c r="W195" s="55"/>
      <c r="X195" s="55"/>
      <c r="Z195" s="55"/>
      <c r="AD195" s="47" t="s">
        <v>373</v>
      </c>
      <c r="AE195" s="47"/>
      <c r="AF195" s="52">
        <v>3263</v>
      </c>
      <c r="AG195" s="52">
        <v>2847</v>
      </c>
      <c r="AH195" s="52">
        <v>2809</v>
      </c>
      <c r="AI195" s="52">
        <v>2833</v>
      </c>
      <c r="AJ195" s="52">
        <v>2921</v>
      </c>
      <c r="AK195" s="52">
        <v>2945</v>
      </c>
      <c r="AL195" s="52">
        <v>3013</v>
      </c>
      <c r="AM195" s="52">
        <v>2928</v>
      </c>
      <c r="AN195" s="52">
        <v>2459</v>
      </c>
      <c r="AQ195" s="47" t="s">
        <v>373</v>
      </c>
      <c r="AR195" s="47"/>
      <c r="AS195" s="13">
        <f t="shared" ref="AS195:BA197" si="292">C195-AF195</f>
        <v>0</v>
      </c>
      <c r="AT195" s="13">
        <f t="shared" si="292"/>
        <v>0</v>
      </c>
      <c r="AU195" s="13">
        <f t="shared" si="292"/>
        <v>0</v>
      </c>
      <c r="AV195" s="13">
        <f t="shared" si="292"/>
        <v>0</v>
      </c>
      <c r="AW195" s="13">
        <f t="shared" si="292"/>
        <v>0</v>
      </c>
      <c r="AX195" s="13">
        <f t="shared" si="292"/>
        <v>0</v>
      </c>
      <c r="AY195" s="13">
        <f t="shared" si="292"/>
        <v>0</v>
      </c>
      <c r="AZ195" s="13">
        <f t="shared" si="292"/>
        <v>0</v>
      </c>
      <c r="BA195" s="13">
        <f t="shared" si="292"/>
        <v>0</v>
      </c>
      <c r="BB195" s="54">
        <f t="shared" si="106"/>
        <v>0</v>
      </c>
    </row>
    <row r="196" spans="1:54" outlineLevel="1" x14ac:dyDescent="0.3">
      <c r="A196" s="10"/>
      <c r="B196" s="10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AD196" s="10"/>
      <c r="AE196" s="10"/>
      <c r="AF196" s="44"/>
      <c r="AG196" s="44"/>
      <c r="AH196" s="44"/>
      <c r="AI196" s="44"/>
      <c r="AJ196" s="44"/>
      <c r="AK196" s="44"/>
      <c r="AL196" s="44"/>
      <c r="AM196" s="44"/>
      <c r="AN196" s="44"/>
      <c r="AQ196" s="10"/>
      <c r="AR196" s="10"/>
      <c r="AS196" s="13">
        <f t="shared" si="292"/>
        <v>0</v>
      </c>
      <c r="AT196" s="13">
        <f t="shared" si="292"/>
        <v>0</v>
      </c>
      <c r="AU196" s="13">
        <f t="shared" si="292"/>
        <v>0</v>
      </c>
      <c r="AV196" s="13">
        <f t="shared" si="292"/>
        <v>0</v>
      </c>
      <c r="AW196" s="13">
        <f t="shared" si="292"/>
        <v>0</v>
      </c>
      <c r="AX196" s="13">
        <f t="shared" si="292"/>
        <v>0</v>
      </c>
      <c r="AY196" s="13">
        <f t="shared" si="292"/>
        <v>0</v>
      </c>
      <c r="AZ196" s="13">
        <f t="shared" si="292"/>
        <v>0</v>
      </c>
      <c r="BA196" s="13">
        <f t="shared" si="292"/>
        <v>0</v>
      </c>
      <c r="BB196" s="54">
        <f t="shared" ref="BB196:BB292" si="293">SUM(AS196:BA196)</f>
        <v>0</v>
      </c>
    </row>
    <row r="197" spans="1:54" outlineLevel="1" x14ac:dyDescent="0.3">
      <c r="A197" s="10" t="s">
        <v>380</v>
      </c>
      <c r="B197" s="10"/>
      <c r="C197" s="44">
        <v>1053</v>
      </c>
      <c r="D197" s="44">
        <f>'By Segment'!E37</f>
        <v>988</v>
      </c>
      <c r="E197" s="44">
        <f>'By Segment'!F37</f>
        <v>1067</v>
      </c>
      <c r="F197" s="44">
        <f>'By Segment'!G37</f>
        <v>1077</v>
      </c>
      <c r="G197" s="44">
        <f>'By Segment'!H37</f>
        <v>1127</v>
      </c>
      <c r="H197" s="44">
        <f>'By Segment'!I37</f>
        <v>1176</v>
      </c>
      <c r="I197" s="44">
        <f>'By Segment'!J37</f>
        <v>1196</v>
      </c>
      <c r="J197" s="44">
        <f>'By Segment'!K37</f>
        <v>1241</v>
      </c>
      <c r="K197" s="44">
        <f>'By Segment'!L37</f>
        <v>990</v>
      </c>
      <c r="L197" s="44"/>
      <c r="M197" s="44"/>
      <c r="N197" s="44"/>
      <c r="O197" s="44"/>
      <c r="P197" s="44"/>
      <c r="Q197" s="44"/>
      <c r="AD197" s="10" t="s">
        <v>380</v>
      </c>
      <c r="AE197" s="10"/>
      <c r="AF197" s="44">
        <v>1053</v>
      </c>
      <c r="AG197" s="44">
        <v>988</v>
      </c>
      <c r="AH197" s="44">
        <v>1067</v>
      </c>
      <c r="AI197" s="44">
        <v>1077</v>
      </c>
      <c r="AJ197" s="44">
        <v>1127</v>
      </c>
      <c r="AK197" s="44">
        <v>1176</v>
      </c>
      <c r="AL197" s="44">
        <v>1196</v>
      </c>
      <c r="AM197" s="44">
        <v>1241</v>
      </c>
      <c r="AN197" s="44">
        <v>990</v>
      </c>
      <c r="AQ197" s="10" t="s">
        <v>380</v>
      </c>
      <c r="AR197" s="10"/>
      <c r="AS197" s="13">
        <f t="shared" si="292"/>
        <v>0</v>
      </c>
      <c r="AT197" s="13">
        <f t="shared" si="292"/>
        <v>0</v>
      </c>
      <c r="AU197" s="13">
        <f t="shared" si="292"/>
        <v>0</v>
      </c>
      <c r="AV197" s="13">
        <f t="shared" si="292"/>
        <v>0</v>
      </c>
      <c r="AW197" s="13">
        <f t="shared" si="292"/>
        <v>0</v>
      </c>
      <c r="AX197" s="13">
        <f t="shared" si="292"/>
        <v>0</v>
      </c>
      <c r="AY197" s="13">
        <f t="shared" si="292"/>
        <v>0</v>
      </c>
      <c r="AZ197" s="13">
        <f t="shared" si="292"/>
        <v>0</v>
      </c>
      <c r="BA197" s="13">
        <f t="shared" si="292"/>
        <v>0</v>
      </c>
      <c r="BB197" s="54">
        <f t="shared" si="293"/>
        <v>0</v>
      </c>
    </row>
    <row r="198" spans="1:54" s="35" customFormat="1" outlineLevel="1" x14ac:dyDescent="0.3">
      <c r="A198" s="39" t="s">
        <v>413</v>
      </c>
      <c r="B198" s="39"/>
      <c r="C198" s="43">
        <f>C197/C195</f>
        <v>0.32270916334661354</v>
      </c>
      <c r="D198" s="43">
        <f t="shared" ref="D198" si="294">D197/D195</f>
        <v>0.34703196347031962</v>
      </c>
      <c r="E198" s="43">
        <f t="shared" ref="E198" si="295">E197/E195</f>
        <v>0.37985048059807763</v>
      </c>
      <c r="F198" s="43">
        <f t="shared" ref="F198" si="296">F197/F195</f>
        <v>0.38016237204376985</v>
      </c>
      <c r="G198" s="43">
        <f t="shared" ref="G198" si="297">G197/G195</f>
        <v>0.38582677165354329</v>
      </c>
      <c r="H198" s="43">
        <f t="shared" ref="H198" si="298">H197/H195</f>
        <v>0.399320882852292</v>
      </c>
      <c r="I198" s="43">
        <f t="shared" ref="I198" si="299">I197/I195</f>
        <v>0.39694656488549618</v>
      </c>
      <c r="J198" s="43">
        <f t="shared" ref="J198" si="300">J197/J195</f>
        <v>0.42383879781420764</v>
      </c>
      <c r="K198" s="43">
        <f t="shared" ref="K198" si="301">K197/K195</f>
        <v>0.40260268401789345</v>
      </c>
      <c r="L198" s="43"/>
      <c r="M198" s="43"/>
      <c r="N198" s="43"/>
      <c r="O198" s="43"/>
      <c r="P198" s="43"/>
      <c r="Q198" s="43"/>
      <c r="V198" s="59"/>
      <c r="W198" s="59"/>
      <c r="X198" s="59"/>
      <c r="Y198" s="59"/>
      <c r="Z198" s="59"/>
      <c r="AA198" s="59"/>
      <c r="AD198" s="39"/>
      <c r="AE198" s="39"/>
      <c r="AF198" s="40"/>
      <c r="AG198" s="40"/>
      <c r="AH198" s="40"/>
      <c r="AI198" s="40"/>
      <c r="AJ198" s="40"/>
      <c r="AK198" s="40"/>
      <c r="AL198" s="40"/>
      <c r="AM198" s="58"/>
      <c r="AN198" s="40"/>
      <c r="AQ198" s="39"/>
      <c r="AR198" s="39"/>
      <c r="AS198" s="40"/>
      <c r="AT198" s="40"/>
      <c r="AU198" s="40"/>
      <c r="AV198" s="40"/>
      <c r="AW198" s="40"/>
      <c r="AX198" s="40"/>
      <c r="AY198" s="40"/>
      <c r="AZ198" s="40"/>
      <c r="BA198" s="40"/>
      <c r="BB198" s="60"/>
    </row>
    <row r="199" spans="1:54" outlineLevel="1" x14ac:dyDescent="0.3">
      <c r="A199" s="10" t="s">
        <v>393</v>
      </c>
      <c r="B199" s="10"/>
      <c r="C199" s="44">
        <f>'By Segment'!D50</f>
        <v>148</v>
      </c>
      <c r="D199" s="44">
        <f>'By Segment'!E50</f>
        <v>120</v>
      </c>
      <c r="E199" s="44">
        <f>'By Segment'!F50</f>
        <v>112</v>
      </c>
      <c r="F199" s="44">
        <f>'By Segment'!G50</f>
        <v>100</v>
      </c>
      <c r="G199" s="44">
        <f>'By Segment'!H50</f>
        <v>100</v>
      </c>
      <c r="H199" s="44">
        <f>'By Segment'!I50</f>
        <v>98</v>
      </c>
      <c r="I199" s="44">
        <f>'By Segment'!J50</f>
        <v>109</v>
      </c>
      <c r="J199" s="44">
        <f>'By Segment'!K50</f>
        <v>86</v>
      </c>
      <c r="K199" s="44">
        <f>'By Segment'!L50</f>
        <v>71</v>
      </c>
      <c r="L199" s="44"/>
      <c r="M199" s="44"/>
      <c r="N199" s="44"/>
      <c r="O199" s="44"/>
      <c r="P199" s="44"/>
      <c r="Q199" s="44"/>
      <c r="AD199" s="10" t="s">
        <v>393</v>
      </c>
      <c r="AE199" s="10"/>
      <c r="AF199" s="44">
        <v>148</v>
      </c>
      <c r="AG199" s="44">
        <v>120</v>
      </c>
      <c r="AH199" s="44">
        <v>112</v>
      </c>
      <c r="AI199" s="44">
        <v>100</v>
      </c>
      <c r="AJ199" s="44">
        <v>100</v>
      </c>
      <c r="AK199" s="44">
        <v>98</v>
      </c>
      <c r="AL199" s="44">
        <v>109</v>
      </c>
      <c r="AM199" s="44">
        <v>86</v>
      </c>
      <c r="AN199" s="44">
        <v>71</v>
      </c>
      <c r="AQ199" s="10" t="s">
        <v>393</v>
      </c>
      <c r="AR199" s="10"/>
      <c r="AS199" s="13">
        <f t="shared" ref="AS199:BA199" si="302">C199-AF199</f>
        <v>0</v>
      </c>
      <c r="AT199" s="13">
        <f t="shared" si="302"/>
        <v>0</v>
      </c>
      <c r="AU199" s="13">
        <f t="shared" si="302"/>
        <v>0</v>
      </c>
      <c r="AV199" s="13">
        <f t="shared" si="302"/>
        <v>0</v>
      </c>
      <c r="AW199" s="13">
        <f t="shared" si="302"/>
        <v>0</v>
      </c>
      <c r="AX199" s="13">
        <f t="shared" si="302"/>
        <v>0</v>
      </c>
      <c r="AY199" s="13">
        <f t="shared" si="302"/>
        <v>0</v>
      </c>
      <c r="AZ199" s="13">
        <f t="shared" si="302"/>
        <v>0</v>
      </c>
      <c r="BA199" s="13">
        <f t="shared" si="302"/>
        <v>0</v>
      </c>
      <c r="BB199" s="54">
        <f t="shared" si="293"/>
        <v>0</v>
      </c>
    </row>
    <row r="200" spans="1:54" s="35" customFormat="1" outlineLevel="1" x14ac:dyDescent="0.3">
      <c r="A200" s="39" t="s">
        <v>413</v>
      </c>
      <c r="B200" s="39"/>
      <c r="C200" s="43">
        <f>C199/C195</f>
        <v>4.5357033404842172E-2</v>
      </c>
      <c r="D200" s="43">
        <f t="shared" ref="D200:K200" si="303">D199/D195</f>
        <v>4.214963119072708E-2</v>
      </c>
      <c r="E200" s="43">
        <f t="shared" si="303"/>
        <v>3.9871840512637952E-2</v>
      </c>
      <c r="F200" s="43">
        <f t="shared" si="303"/>
        <v>3.5298270384751147E-2</v>
      </c>
      <c r="G200" s="43">
        <f t="shared" si="303"/>
        <v>3.4234851078397806E-2</v>
      </c>
      <c r="H200" s="43">
        <f t="shared" si="303"/>
        <v>3.3276740237691005E-2</v>
      </c>
      <c r="I200" s="43">
        <f t="shared" si="303"/>
        <v>3.6176568204447396E-2</v>
      </c>
      <c r="J200" s="43">
        <f t="shared" si="303"/>
        <v>2.9371584699453553E-2</v>
      </c>
      <c r="K200" s="43">
        <f t="shared" si="303"/>
        <v>2.887352582350549E-2</v>
      </c>
      <c r="L200" s="43"/>
      <c r="M200" s="43"/>
      <c r="N200" s="43"/>
      <c r="O200" s="43"/>
      <c r="P200" s="43"/>
      <c r="Q200" s="43"/>
      <c r="V200" s="59"/>
      <c r="W200" s="59"/>
      <c r="X200" s="59"/>
      <c r="Y200" s="59"/>
      <c r="Z200" s="59"/>
      <c r="AA200" s="59"/>
      <c r="AD200" s="39"/>
      <c r="AE200" s="39"/>
      <c r="AF200" s="40"/>
      <c r="AG200" s="40"/>
      <c r="AH200" s="40"/>
      <c r="AI200" s="40"/>
      <c r="AJ200" s="40"/>
      <c r="AK200" s="40"/>
      <c r="AL200" s="40"/>
      <c r="AM200" s="58"/>
      <c r="AN200" s="40"/>
      <c r="AQ200" s="39"/>
      <c r="AR200" s="39"/>
      <c r="AS200" s="40"/>
      <c r="AT200" s="40"/>
      <c r="AU200" s="40"/>
      <c r="AV200" s="40"/>
      <c r="AW200" s="40"/>
      <c r="AX200" s="40"/>
      <c r="AY200" s="40"/>
      <c r="AZ200" s="40"/>
      <c r="BA200" s="40"/>
      <c r="BB200" s="60"/>
    </row>
    <row r="201" spans="1:54" outlineLevel="1" x14ac:dyDescent="0.3">
      <c r="A201" s="10" t="s">
        <v>423</v>
      </c>
      <c r="B201" s="10"/>
      <c r="C201" s="44">
        <f t="shared" ref="C201" si="304">C211-C197-C199-C203-C205-C207-C209</f>
        <v>-680</v>
      </c>
      <c r="D201" s="44">
        <f t="shared" ref="D201" si="305">D211-D197-D199-D203-D205-D207-D209</f>
        <v>-472</v>
      </c>
      <c r="E201" s="44">
        <f t="shared" ref="E201" si="306">E211-E197-E199-E203-E205-E207-E209</f>
        <v>-403</v>
      </c>
      <c r="F201" s="44">
        <f t="shared" ref="F201" si="307">F211-F197-F199-F203-F205-F207-F209</f>
        <v>-414</v>
      </c>
      <c r="G201" s="44">
        <f t="shared" ref="G201" si="308">G211-G197-G199-G203-G205-G207-G209</f>
        <v>-468</v>
      </c>
      <c r="H201" s="44">
        <f t="shared" ref="H201:I201" si="309">H211-H197-H199-H203-H205-H207-H209</f>
        <v>-505</v>
      </c>
      <c r="I201" s="44">
        <f t="shared" si="309"/>
        <v>-491</v>
      </c>
      <c r="J201" s="44">
        <f t="shared" ref="J201" si="310">J211-J197-J199-J203-J205-J207-J209</f>
        <v>-469</v>
      </c>
      <c r="K201" s="44">
        <f t="shared" ref="K201" si="311">K211-K197-K199-K203-K205-K207-K209</f>
        <v>-411</v>
      </c>
      <c r="L201" s="44"/>
      <c r="M201" s="44"/>
      <c r="N201" s="44"/>
      <c r="O201" s="44"/>
      <c r="P201" s="44"/>
      <c r="Q201" s="44"/>
      <c r="AD201" s="10" t="s">
        <v>423</v>
      </c>
      <c r="AE201" s="10"/>
      <c r="AF201" s="44">
        <v>-680</v>
      </c>
      <c r="AG201" s="44">
        <v>-472</v>
      </c>
      <c r="AH201" s="44">
        <v>-403</v>
      </c>
      <c r="AI201" s="44">
        <v>-414</v>
      </c>
      <c r="AJ201" s="44">
        <v>-468</v>
      </c>
      <c r="AK201" s="44">
        <v>-505</v>
      </c>
      <c r="AL201" s="44">
        <v>-491</v>
      </c>
      <c r="AM201" s="44">
        <v>-469</v>
      </c>
      <c r="AN201" s="44">
        <v>-411</v>
      </c>
      <c r="AQ201" s="10" t="s">
        <v>423</v>
      </c>
      <c r="AR201" s="10"/>
      <c r="AS201" s="13">
        <f t="shared" ref="AS201:BA201" si="312">C201-AF201</f>
        <v>0</v>
      </c>
      <c r="AT201" s="13">
        <f t="shared" si="312"/>
        <v>0</v>
      </c>
      <c r="AU201" s="13">
        <f t="shared" si="312"/>
        <v>0</v>
      </c>
      <c r="AV201" s="13">
        <f t="shared" si="312"/>
        <v>0</v>
      </c>
      <c r="AW201" s="13">
        <f t="shared" si="312"/>
        <v>0</v>
      </c>
      <c r="AX201" s="13">
        <f t="shared" si="312"/>
        <v>0</v>
      </c>
      <c r="AY201" s="13">
        <f t="shared" si="312"/>
        <v>0</v>
      </c>
      <c r="AZ201" s="13">
        <f t="shared" si="312"/>
        <v>0</v>
      </c>
      <c r="BA201" s="13">
        <f t="shared" si="312"/>
        <v>0</v>
      </c>
      <c r="BB201" s="54">
        <f t="shared" si="293"/>
        <v>0</v>
      </c>
    </row>
    <row r="202" spans="1:54" s="35" customFormat="1" outlineLevel="1" x14ac:dyDescent="0.3">
      <c r="A202" s="39" t="s">
        <v>413</v>
      </c>
      <c r="B202" s="39"/>
      <c r="C202" s="43">
        <f>C201/C195</f>
        <v>-0.20839718050873429</v>
      </c>
      <c r="D202" s="43">
        <f t="shared" ref="D202:K202" si="313">D201/D195</f>
        <v>-0.16578854935019319</v>
      </c>
      <c r="E202" s="43">
        <f t="shared" si="313"/>
        <v>-0.14346742613029548</v>
      </c>
      <c r="F202" s="43">
        <f t="shared" si="313"/>
        <v>-0.14613483939286975</v>
      </c>
      <c r="G202" s="43">
        <f t="shared" si="313"/>
        <v>-0.16021910304690173</v>
      </c>
      <c r="H202" s="43">
        <f t="shared" si="313"/>
        <v>-0.17147707979626486</v>
      </c>
      <c r="I202" s="43">
        <f t="shared" si="313"/>
        <v>-0.16296050448058413</v>
      </c>
      <c r="J202" s="43">
        <f t="shared" si="313"/>
        <v>-0.1601775956284153</v>
      </c>
      <c r="K202" s="43">
        <f t="shared" si="313"/>
        <v>-0.16714111427409517</v>
      </c>
      <c r="L202" s="43"/>
      <c r="M202" s="43"/>
      <c r="N202" s="43"/>
      <c r="O202" s="43"/>
      <c r="P202" s="43"/>
      <c r="Q202" s="43"/>
      <c r="V202" s="59"/>
      <c r="W202" s="59"/>
      <c r="X202" s="59"/>
      <c r="Y202" s="59"/>
      <c r="Z202" s="59"/>
      <c r="AA202" s="59"/>
      <c r="AD202" s="39"/>
      <c r="AE202" s="39"/>
      <c r="AF202" s="40"/>
      <c r="AG202" s="40"/>
      <c r="AH202" s="40"/>
      <c r="AI202" s="40"/>
      <c r="AJ202" s="40"/>
      <c r="AK202" s="40"/>
      <c r="AL202" s="40"/>
      <c r="AM202" s="58"/>
      <c r="AN202" s="40"/>
      <c r="AQ202" s="39"/>
      <c r="AR202" s="39"/>
      <c r="AS202" s="40"/>
      <c r="AT202" s="40"/>
      <c r="AU202" s="40"/>
      <c r="AV202" s="40"/>
      <c r="AW202" s="40"/>
      <c r="AX202" s="40"/>
      <c r="AY202" s="40"/>
      <c r="AZ202" s="40"/>
      <c r="BA202" s="40"/>
      <c r="BB202" s="60"/>
    </row>
    <row r="203" spans="1:54" outlineLevel="1" x14ac:dyDescent="0.3">
      <c r="A203" s="10" t="s">
        <v>392</v>
      </c>
      <c r="B203" s="10"/>
      <c r="C203" s="44">
        <f>'By Segment'!D49</f>
        <v>613</v>
      </c>
      <c r="D203" s="44">
        <f>'By Segment'!E49</f>
        <v>497</v>
      </c>
      <c r="E203" s="44">
        <f>'By Segment'!F49</f>
        <v>408</v>
      </c>
      <c r="F203" s="44">
        <f>'By Segment'!G49</f>
        <v>357</v>
      </c>
      <c r="G203" s="44">
        <f>'By Segment'!H49</f>
        <v>434</v>
      </c>
      <c r="H203" s="44">
        <f>'By Segment'!I49</f>
        <v>428</v>
      </c>
      <c r="I203" s="44">
        <f>'By Segment'!J49</f>
        <v>454</v>
      </c>
      <c r="J203" s="44">
        <f>'By Segment'!K49</f>
        <v>356</v>
      </c>
      <c r="K203" s="44">
        <f>'By Segment'!L49</f>
        <v>333</v>
      </c>
      <c r="L203" s="44"/>
      <c r="M203" s="44"/>
      <c r="N203" s="44"/>
      <c r="O203" s="44"/>
      <c r="P203" s="44"/>
      <c r="Q203" s="44"/>
      <c r="AD203" s="10" t="s">
        <v>392</v>
      </c>
      <c r="AE203" s="10"/>
      <c r="AF203" s="44">
        <v>613</v>
      </c>
      <c r="AG203" s="44">
        <v>497</v>
      </c>
      <c r="AH203" s="44">
        <v>408</v>
      </c>
      <c r="AI203" s="44">
        <v>357</v>
      </c>
      <c r="AJ203" s="44">
        <v>434</v>
      </c>
      <c r="AK203" s="44">
        <v>428</v>
      </c>
      <c r="AL203" s="44">
        <v>454</v>
      </c>
      <c r="AM203" s="44">
        <v>356</v>
      </c>
      <c r="AN203" s="44">
        <v>333</v>
      </c>
      <c r="AQ203" s="10" t="s">
        <v>392</v>
      </c>
      <c r="AR203" s="10"/>
      <c r="AS203" s="13">
        <f t="shared" ref="AS203:BA203" si="314">C203-AF203</f>
        <v>0</v>
      </c>
      <c r="AT203" s="13">
        <f t="shared" si="314"/>
        <v>0</v>
      </c>
      <c r="AU203" s="13">
        <f t="shared" si="314"/>
        <v>0</v>
      </c>
      <c r="AV203" s="13">
        <f t="shared" si="314"/>
        <v>0</v>
      </c>
      <c r="AW203" s="13">
        <f t="shared" si="314"/>
        <v>0</v>
      </c>
      <c r="AX203" s="13">
        <f t="shared" si="314"/>
        <v>0</v>
      </c>
      <c r="AY203" s="13">
        <f t="shared" si="314"/>
        <v>0</v>
      </c>
      <c r="AZ203" s="13">
        <f t="shared" si="314"/>
        <v>0</v>
      </c>
      <c r="BA203" s="13">
        <f t="shared" si="314"/>
        <v>0</v>
      </c>
      <c r="BB203" s="54">
        <f t="shared" si="293"/>
        <v>0</v>
      </c>
    </row>
    <row r="204" spans="1:54" s="35" customFormat="1" outlineLevel="1" x14ac:dyDescent="0.3">
      <c r="A204" s="39" t="s">
        <v>413</v>
      </c>
      <c r="B204" s="39"/>
      <c r="C204" s="43">
        <f>C203/C195</f>
        <v>0.18786392889978548</v>
      </c>
      <c r="D204" s="43">
        <f t="shared" ref="D204:K204" si="315">D203/D195</f>
        <v>0.174569722514928</v>
      </c>
      <c r="E204" s="43">
        <f t="shared" si="315"/>
        <v>0.14524741901032395</v>
      </c>
      <c r="F204" s="43">
        <f t="shared" si="315"/>
        <v>0.12601482527356159</v>
      </c>
      <c r="G204" s="43">
        <f t="shared" si="315"/>
        <v>0.14857925368024649</v>
      </c>
      <c r="H204" s="43">
        <f t="shared" si="315"/>
        <v>0.14533106960950765</v>
      </c>
      <c r="I204" s="43">
        <f t="shared" si="315"/>
        <v>0.15068038499834052</v>
      </c>
      <c r="J204" s="43">
        <f t="shared" si="315"/>
        <v>0.12158469945355191</v>
      </c>
      <c r="K204" s="43">
        <f t="shared" si="315"/>
        <v>0.13542090280601871</v>
      </c>
      <c r="L204" s="43"/>
      <c r="M204" s="43"/>
      <c r="N204" s="43"/>
      <c r="O204" s="43"/>
      <c r="P204" s="43"/>
      <c r="Q204" s="43"/>
      <c r="V204" s="59"/>
      <c r="W204" s="59"/>
      <c r="X204" s="59"/>
      <c r="Y204" s="59"/>
      <c r="Z204" s="59"/>
      <c r="AA204" s="59"/>
      <c r="AD204" s="39"/>
      <c r="AE204" s="39"/>
      <c r="AF204" s="40"/>
      <c r="AG204" s="40"/>
      <c r="AH204" s="40"/>
      <c r="AI204" s="40"/>
      <c r="AJ204" s="40"/>
      <c r="AK204" s="40"/>
      <c r="AL204" s="40"/>
      <c r="AM204" s="58"/>
      <c r="AN204" s="40"/>
      <c r="AQ204" s="39"/>
      <c r="AR204" s="39"/>
      <c r="AS204" s="40"/>
      <c r="AT204" s="40"/>
      <c r="AU204" s="40"/>
      <c r="AV204" s="40"/>
      <c r="AW204" s="40"/>
      <c r="AX204" s="40"/>
      <c r="AY204" s="40"/>
      <c r="AZ204" s="40"/>
      <c r="BA204" s="40"/>
      <c r="BB204" s="60"/>
    </row>
    <row r="205" spans="1:54" outlineLevel="1" x14ac:dyDescent="0.3">
      <c r="A205" s="10" t="s">
        <v>424</v>
      </c>
      <c r="B205" s="10"/>
      <c r="C205" s="53">
        <v>-31</v>
      </c>
      <c r="D205" s="53">
        <v>-16</v>
      </c>
      <c r="E205" s="53">
        <v>-13</v>
      </c>
      <c r="F205" s="53">
        <v>-19</v>
      </c>
      <c r="G205" s="53">
        <v>-15</v>
      </c>
      <c r="H205" s="53">
        <v>-8</v>
      </c>
      <c r="I205" s="53">
        <v>-8</v>
      </c>
      <c r="J205" s="53">
        <v>-7</v>
      </c>
      <c r="K205" s="53">
        <v>-5</v>
      </c>
      <c r="L205" s="53"/>
      <c r="M205" s="53"/>
      <c r="N205" s="53"/>
      <c r="O205" s="53"/>
      <c r="P205" s="53"/>
      <c r="Q205" s="53"/>
      <c r="AD205" s="10" t="s">
        <v>424</v>
      </c>
      <c r="AE205" s="10"/>
      <c r="AF205" s="53">
        <v>-31</v>
      </c>
      <c r="AG205" s="53">
        <v>-16</v>
      </c>
      <c r="AH205" s="53">
        <v>-13</v>
      </c>
      <c r="AI205" s="53">
        <v>-19</v>
      </c>
      <c r="AJ205" s="53">
        <v>-15</v>
      </c>
      <c r="AK205" s="53">
        <v>-8</v>
      </c>
      <c r="AL205" s="53">
        <v>-8</v>
      </c>
      <c r="AM205" s="53">
        <v>-7</v>
      </c>
      <c r="AN205" s="53">
        <v>-5</v>
      </c>
      <c r="AQ205" s="10" t="s">
        <v>424</v>
      </c>
      <c r="AR205" s="10"/>
      <c r="AS205" s="13">
        <f t="shared" ref="AS205:BA205" si="316">C205-AF205</f>
        <v>0</v>
      </c>
      <c r="AT205" s="13">
        <f t="shared" si="316"/>
        <v>0</v>
      </c>
      <c r="AU205" s="13">
        <f t="shared" si="316"/>
        <v>0</v>
      </c>
      <c r="AV205" s="13">
        <f t="shared" si="316"/>
        <v>0</v>
      </c>
      <c r="AW205" s="13">
        <f t="shared" si="316"/>
        <v>0</v>
      </c>
      <c r="AX205" s="13">
        <f t="shared" si="316"/>
        <v>0</v>
      </c>
      <c r="AY205" s="13">
        <f t="shared" si="316"/>
        <v>0</v>
      </c>
      <c r="AZ205" s="13">
        <f t="shared" si="316"/>
        <v>0</v>
      </c>
      <c r="BA205" s="13">
        <f t="shared" si="316"/>
        <v>0</v>
      </c>
      <c r="BB205" s="54">
        <f t="shared" si="293"/>
        <v>0</v>
      </c>
    </row>
    <row r="206" spans="1:54" s="35" customFormat="1" outlineLevel="1" x14ac:dyDescent="0.3">
      <c r="A206" s="39" t="s">
        <v>413</v>
      </c>
      <c r="B206" s="39"/>
      <c r="C206" s="43">
        <f>C205/C195</f>
        <v>-9.5004596996628877E-3</v>
      </c>
      <c r="D206" s="43">
        <f t="shared" ref="D206:K206" si="317">D205/D195</f>
        <v>-5.6199508254302774E-3</v>
      </c>
      <c r="E206" s="43">
        <f t="shared" si="317"/>
        <v>-4.627981488074048E-3</v>
      </c>
      <c r="F206" s="43">
        <f t="shared" si="317"/>
        <v>-6.706671373102718E-3</v>
      </c>
      <c r="G206" s="43">
        <f t="shared" si="317"/>
        <v>-5.1352276617596714E-3</v>
      </c>
      <c r="H206" s="43">
        <f t="shared" si="317"/>
        <v>-2.7164685908319186E-3</v>
      </c>
      <c r="I206" s="43">
        <f t="shared" si="317"/>
        <v>-2.6551609691337539E-3</v>
      </c>
      <c r="J206" s="43">
        <f t="shared" si="317"/>
        <v>-2.3907103825136613E-3</v>
      </c>
      <c r="K206" s="43">
        <f t="shared" si="317"/>
        <v>-2.0333468889792597E-3</v>
      </c>
      <c r="L206" s="43"/>
      <c r="M206" s="43"/>
      <c r="N206" s="43"/>
      <c r="O206" s="43"/>
      <c r="P206" s="43"/>
      <c r="Q206" s="43"/>
      <c r="V206" s="59"/>
      <c r="W206" s="59"/>
      <c r="X206" s="59"/>
      <c r="Y206" s="59"/>
      <c r="Z206" s="59"/>
      <c r="AA206" s="59"/>
      <c r="AD206" s="39"/>
      <c r="AE206" s="39"/>
      <c r="AF206" s="40"/>
      <c r="AG206" s="40"/>
      <c r="AH206" s="40"/>
      <c r="AI206" s="40"/>
      <c r="AJ206" s="40"/>
      <c r="AK206" s="40"/>
      <c r="AL206" s="40"/>
      <c r="AM206" s="58"/>
      <c r="AN206" s="40"/>
      <c r="AQ206" s="39"/>
      <c r="AR206" s="39"/>
      <c r="AS206" s="40"/>
      <c r="AT206" s="40"/>
      <c r="AU206" s="40"/>
      <c r="AV206" s="40"/>
      <c r="AW206" s="40"/>
      <c r="AX206" s="40"/>
      <c r="AY206" s="40"/>
      <c r="AZ206" s="40"/>
      <c r="BA206" s="40"/>
      <c r="BB206" s="60"/>
    </row>
    <row r="207" spans="1:54" outlineLevel="1" x14ac:dyDescent="0.3">
      <c r="A207" s="10" t="s">
        <v>381</v>
      </c>
      <c r="B207" s="10"/>
      <c r="C207" s="44">
        <f>'By Segment'!D38</f>
        <v>0</v>
      </c>
      <c r="D207" s="44">
        <f>'By Segment'!E38</f>
        <v>0</v>
      </c>
      <c r="E207" s="44">
        <f>'By Segment'!F38</f>
        <v>0</v>
      </c>
      <c r="F207" s="44">
        <f>'By Segment'!G38</f>
        <v>0</v>
      </c>
      <c r="G207" s="44">
        <f>'By Segment'!H38</f>
        <v>0</v>
      </c>
      <c r="H207" s="44">
        <f>'By Segment'!I38</f>
        <v>0</v>
      </c>
      <c r="I207" s="44">
        <f>'By Segment'!J38</f>
        <v>1</v>
      </c>
      <c r="J207" s="44">
        <f>'By Segment'!K38</f>
        <v>0</v>
      </c>
      <c r="K207" s="44">
        <f>'By Segment'!L38</f>
        <v>0</v>
      </c>
      <c r="L207" s="44"/>
      <c r="M207" s="44"/>
      <c r="N207" s="44"/>
      <c r="O207" s="44"/>
      <c r="P207" s="44"/>
      <c r="Q207" s="44"/>
      <c r="AD207" s="10" t="s">
        <v>381</v>
      </c>
      <c r="AE207" s="10"/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1</v>
      </c>
      <c r="AM207" s="44">
        <v>0</v>
      </c>
      <c r="AN207" s="44">
        <v>0</v>
      </c>
      <c r="AQ207" s="10" t="s">
        <v>381</v>
      </c>
      <c r="AR207" s="10"/>
      <c r="AS207" s="13">
        <f t="shared" ref="AS207:BA207" si="318">C207-AF207</f>
        <v>0</v>
      </c>
      <c r="AT207" s="13">
        <f t="shared" si="318"/>
        <v>0</v>
      </c>
      <c r="AU207" s="13">
        <f t="shared" si="318"/>
        <v>0</v>
      </c>
      <c r="AV207" s="13">
        <f t="shared" si="318"/>
        <v>0</v>
      </c>
      <c r="AW207" s="13">
        <f t="shared" si="318"/>
        <v>0</v>
      </c>
      <c r="AX207" s="13">
        <f t="shared" si="318"/>
        <v>0</v>
      </c>
      <c r="AY207" s="13">
        <f t="shared" si="318"/>
        <v>0</v>
      </c>
      <c r="AZ207" s="13">
        <f t="shared" si="318"/>
        <v>0</v>
      </c>
      <c r="BA207" s="13">
        <f t="shared" si="318"/>
        <v>0</v>
      </c>
      <c r="BB207" s="54">
        <f t="shared" si="293"/>
        <v>0</v>
      </c>
    </row>
    <row r="208" spans="1:54" s="35" customFormat="1" outlineLevel="1" x14ac:dyDescent="0.3">
      <c r="A208" s="39" t="s">
        <v>413</v>
      </c>
      <c r="B208" s="39"/>
      <c r="C208" s="43">
        <f>C207/C195</f>
        <v>0</v>
      </c>
      <c r="D208" s="43">
        <f t="shared" ref="D208:K208" si="319">D207/D195</f>
        <v>0</v>
      </c>
      <c r="E208" s="43">
        <f t="shared" si="319"/>
        <v>0</v>
      </c>
      <c r="F208" s="43">
        <f t="shared" si="319"/>
        <v>0</v>
      </c>
      <c r="G208" s="43">
        <f t="shared" si="319"/>
        <v>0</v>
      </c>
      <c r="H208" s="43">
        <f t="shared" si="319"/>
        <v>0</v>
      </c>
      <c r="I208" s="43">
        <f t="shared" si="319"/>
        <v>3.3189512114171923E-4</v>
      </c>
      <c r="J208" s="43">
        <f t="shared" si="319"/>
        <v>0</v>
      </c>
      <c r="K208" s="43">
        <f t="shared" si="319"/>
        <v>0</v>
      </c>
      <c r="L208" s="43"/>
      <c r="M208" s="43"/>
      <c r="N208" s="43"/>
      <c r="O208" s="43"/>
      <c r="P208" s="43"/>
      <c r="Q208" s="43"/>
      <c r="V208" s="59"/>
      <c r="W208" s="59"/>
      <c r="X208" s="59"/>
      <c r="Y208" s="59"/>
      <c r="Z208" s="59"/>
      <c r="AA208" s="59"/>
      <c r="AD208" s="39"/>
      <c r="AE208" s="39"/>
      <c r="AF208" s="40"/>
      <c r="AG208" s="40"/>
      <c r="AH208" s="40"/>
      <c r="AI208" s="40"/>
      <c r="AJ208" s="40"/>
      <c r="AK208" s="40"/>
      <c r="AL208" s="40"/>
      <c r="AM208" s="58"/>
      <c r="AN208" s="40"/>
      <c r="AQ208" s="39"/>
      <c r="AR208" s="39"/>
      <c r="AS208" s="40"/>
      <c r="AT208" s="40"/>
      <c r="AU208" s="40"/>
      <c r="AV208" s="40"/>
      <c r="AW208" s="40"/>
      <c r="AX208" s="40"/>
      <c r="AY208" s="40"/>
      <c r="AZ208" s="40"/>
      <c r="BA208" s="40"/>
      <c r="BB208" s="60"/>
    </row>
    <row r="209" spans="1:54" outlineLevel="1" x14ac:dyDescent="0.3">
      <c r="A209" s="10" t="s">
        <v>388</v>
      </c>
      <c r="B209" s="10"/>
      <c r="C209" s="44">
        <v>1846</v>
      </c>
      <c r="D209" s="44">
        <v>1469</v>
      </c>
      <c r="E209" s="44">
        <f>'By Segment'!F45</f>
        <v>1323</v>
      </c>
      <c r="F209" s="44">
        <f>'By Segment'!G45</f>
        <v>1376</v>
      </c>
      <c r="G209" s="44">
        <f>'By Segment'!H45</f>
        <v>1378</v>
      </c>
      <c r="H209" s="44">
        <f>'By Segment'!I45</f>
        <v>1399</v>
      </c>
      <c r="I209" s="44">
        <f>'By Segment'!J45</f>
        <v>1344</v>
      </c>
      <c r="J209" s="44">
        <f>'By Segment'!K45</f>
        <v>1324</v>
      </c>
      <c r="K209" s="44">
        <f>'By Segment'!L45</f>
        <v>1171</v>
      </c>
      <c r="L209" s="44"/>
      <c r="M209" s="44"/>
      <c r="N209" s="44"/>
      <c r="O209" s="44"/>
      <c r="P209" s="44"/>
      <c r="Q209" s="44"/>
      <c r="AD209" s="10" t="s">
        <v>388</v>
      </c>
      <c r="AE209" s="10"/>
      <c r="AF209" s="44">
        <v>1846</v>
      </c>
      <c r="AG209" s="44">
        <v>1469</v>
      </c>
      <c r="AH209" s="44">
        <v>1323</v>
      </c>
      <c r="AI209" s="44">
        <v>1376</v>
      </c>
      <c r="AJ209" s="44">
        <v>1378</v>
      </c>
      <c r="AK209" s="44">
        <v>1399</v>
      </c>
      <c r="AL209" s="44">
        <v>1344</v>
      </c>
      <c r="AM209" s="44">
        <v>1324</v>
      </c>
      <c r="AN209" s="44">
        <v>1171</v>
      </c>
      <c r="AQ209" s="10" t="s">
        <v>388</v>
      </c>
      <c r="AR209" s="10"/>
      <c r="AS209" s="13">
        <f t="shared" ref="AS209:BA209" si="320">C209-AF209</f>
        <v>0</v>
      </c>
      <c r="AT209" s="13">
        <f t="shared" si="320"/>
        <v>0</v>
      </c>
      <c r="AU209" s="13">
        <f t="shared" si="320"/>
        <v>0</v>
      </c>
      <c r="AV209" s="13">
        <f t="shared" si="320"/>
        <v>0</v>
      </c>
      <c r="AW209" s="13">
        <f t="shared" si="320"/>
        <v>0</v>
      </c>
      <c r="AX209" s="13">
        <f t="shared" si="320"/>
        <v>0</v>
      </c>
      <c r="AY209" s="13">
        <f t="shared" si="320"/>
        <v>0</v>
      </c>
      <c r="AZ209" s="13">
        <f t="shared" si="320"/>
        <v>0</v>
      </c>
      <c r="BA209" s="13">
        <f t="shared" si="320"/>
        <v>0</v>
      </c>
      <c r="BB209" s="54">
        <f t="shared" si="293"/>
        <v>0</v>
      </c>
    </row>
    <row r="210" spans="1:54" s="35" customFormat="1" outlineLevel="1" x14ac:dyDescent="0.3">
      <c r="A210" s="39" t="s">
        <v>413</v>
      </c>
      <c r="B210" s="39"/>
      <c r="C210" s="43">
        <f>C209/C195</f>
        <v>0.56573705179282874</v>
      </c>
      <c r="D210" s="43">
        <f t="shared" ref="D210:K210" si="321">D209/D195</f>
        <v>0.51598173515981738</v>
      </c>
      <c r="E210" s="43">
        <f t="shared" si="321"/>
        <v>0.47098611605553575</v>
      </c>
      <c r="F210" s="43">
        <f t="shared" si="321"/>
        <v>0.48570420049417579</v>
      </c>
      <c r="G210" s="43">
        <f t="shared" si="321"/>
        <v>0.47175624786032183</v>
      </c>
      <c r="H210" s="43">
        <f t="shared" si="321"/>
        <v>0.47504244482173175</v>
      </c>
      <c r="I210" s="43">
        <f t="shared" si="321"/>
        <v>0.44606704281447063</v>
      </c>
      <c r="J210" s="43">
        <f t="shared" si="321"/>
        <v>0.45218579234972678</v>
      </c>
      <c r="K210" s="43">
        <f t="shared" si="321"/>
        <v>0.47620984139894268</v>
      </c>
      <c r="L210" s="43"/>
      <c r="M210" s="43"/>
      <c r="N210" s="43"/>
      <c r="O210" s="43"/>
      <c r="P210" s="43"/>
      <c r="Q210" s="43"/>
      <c r="V210" s="59"/>
      <c r="W210" s="59"/>
      <c r="X210" s="59"/>
      <c r="Y210" s="59"/>
      <c r="Z210" s="59"/>
      <c r="AA210" s="59"/>
      <c r="AD210" s="39"/>
      <c r="AE210" s="39"/>
      <c r="AF210" s="40"/>
      <c r="AG210" s="40"/>
      <c r="AH210" s="40"/>
      <c r="AI210" s="40"/>
      <c r="AJ210" s="40"/>
      <c r="AK210" s="40"/>
      <c r="AL210" s="40"/>
      <c r="AM210" s="58"/>
      <c r="AN210" s="40"/>
      <c r="AQ210" s="39"/>
      <c r="AR210" s="39"/>
      <c r="AS210" s="40"/>
      <c r="AT210" s="40"/>
      <c r="AU210" s="40"/>
      <c r="AV210" s="40"/>
      <c r="AW210" s="40"/>
      <c r="AX210" s="40"/>
      <c r="AY210" s="40"/>
      <c r="AZ210" s="40"/>
      <c r="BA210" s="40"/>
      <c r="BB210" s="60"/>
    </row>
    <row r="211" spans="1:54" s="49" customFormat="1" outlineLevel="1" x14ac:dyDescent="0.3">
      <c r="A211" s="47" t="s">
        <v>389</v>
      </c>
      <c r="B211" s="47"/>
      <c r="C211" s="52">
        <v>2949</v>
      </c>
      <c r="D211" s="52">
        <v>2586</v>
      </c>
      <c r="E211" s="52">
        <v>2494</v>
      </c>
      <c r="F211" s="52">
        <f>'By Segment'!G46</f>
        <v>2477</v>
      </c>
      <c r="G211" s="52">
        <f>'By Segment'!H46</f>
        <v>2556</v>
      </c>
      <c r="H211" s="52">
        <f>'By Segment'!I46</f>
        <v>2588</v>
      </c>
      <c r="I211" s="52">
        <f>'By Segment'!J46</f>
        <v>2605</v>
      </c>
      <c r="J211" s="52">
        <f>'By Segment'!K46</f>
        <v>2531</v>
      </c>
      <c r="K211" s="52">
        <f>'By Segment'!L46</f>
        <v>2149</v>
      </c>
      <c r="L211" s="52"/>
      <c r="M211" s="52"/>
      <c r="N211" s="52"/>
      <c r="O211" s="52"/>
      <c r="P211" s="52"/>
      <c r="Q211" s="52"/>
      <c r="V211" s="55"/>
      <c r="W211" s="55"/>
      <c r="X211" s="55"/>
      <c r="Z211" s="55"/>
      <c r="AD211" s="47" t="s">
        <v>389</v>
      </c>
      <c r="AE211" s="47"/>
      <c r="AF211" s="52">
        <v>2949</v>
      </c>
      <c r="AG211" s="52">
        <v>2586</v>
      </c>
      <c r="AH211" s="52">
        <v>2494</v>
      </c>
      <c r="AI211" s="52">
        <v>2477</v>
      </c>
      <c r="AJ211" s="52">
        <v>2556</v>
      </c>
      <c r="AK211" s="52">
        <v>2588</v>
      </c>
      <c r="AL211" s="52">
        <v>2605</v>
      </c>
      <c r="AM211" s="52">
        <v>2531</v>
      </c>
      <c r="AN211" s="52">
        <v>2149</v>
      </c>
      <c r="AQ211" s="47" t="s">
        <v>389</v>
      </c>
      <c r="AR211" s="47"/>
      <c r="AS211" s="13">
        <f t="shared" ref="AS211:BA211" si="322">C211-AF211</f>
        <v>0</v>
      </c>
      <c r="AT211" s="13">
        <f t="shared" si="322"/>
        <v>0</v>
      </c>
      <c r="AU211" s="13">
        <f t="shared" si="322"/>
        <v>0</v>
      </c>
      <c r="AV211" s="13">
        <f t="shared" si="322"/>
        <v>0</v>
      </c>
      <c r="AW211" s="13">
        <f t="shared" si="322"/>
        <v>0</v>
      </c>
      <c r="AX211" s="13">
        <f t="shared" si="322"/>
        <v>0</v>
      </c>
      <c r="AY211" s="13">
        <f t="shared" si="322"/>
        <v>0</v>
      </c>
      <c r="AZ211" s="13">
        <f t="shared" si="322"/>
        <v>0</v>
      </c>
      <c r="BA211" s="13">
        <f t="shared" si="322"/>
        <v>0</v>
      </c>
      <c r="BB211" s="54">
        <f t="shared" si="293"/>
        <v>0</v>
      </c>
    </row>
    <row r="212" spans="1:54" s="35" customFormat="1" outlineLevel="1" x14ac:dyDescent="0.3">
      <c r="A212" s="39" t="s">
        <v>413</v>
      </c>
      <c r="B212" s="39"/>
      <c r="C212" s="43">
        <f>C211/C195</f>
        <v>0.90376953723567266</v>
      </c>
      <c r="D212" s="43">
        <f t="shared" ref="D212:K212" si="323">D211/D195</f>
        <v>0.90832455216016861</v>
      </c>
      <c r="E212" s="43">
        <f t="shared" si="323"/>
        <v>0.88786044855820578</v>
      </c>
      <c r="F212" s="43">
        <f t="shared" si="323"/>
        <v>0.87433815743028587</v>
      </c>
      <c r="G212" s="43">
        <f t="shared" si="323"/>
        <v>0.87504279356384795</v>
      </c>
      <c r="H212" s="43">
        <f t="shared" si="323"/>
        <v>0.87877758913412563</v>
      </c>
      <c r="I212" s="43">
        <f t="shared" si="323"/>
        <v>0.86458679057417853</v>
      </c>
      <c r="J212" s="43">
        <f t="shared" si="323"/>
        <v>0.86441256830601088</v>
      </c>
      <c r="K212" s="43">
        <f t="shared" si="323"/>
        <v>0.87393249288328589</v>
      </c>
      <c r="L212" s="43"/>
      <c r="M212" s="43"/>
      <c r="N212" s="43"/>
      <c r="O212" s="43"/>
      <c r="P212" s="43"/>
      <c r="Q212" s="43"/>
      <c r="V212" s="59"/>
      <c r="W212" s="59"/>
      <c r="X212" s="59"/>
      <c r="Y212" s="59"/>
      <c r="Z212" s="59"/>
      <c r="AA212" s="59"/>
      <c r="AD212" s="39"/>
      <c r="AE212" s="39"/>
      <c r="AF212" s="40"/>
      <c r="AG212" s="40"/>
      <c r="AH212" s="40"/>
      <c r="AI212" s="40"/>
      <c r="AJ212" s="40"/>
      <c r="AK212" s="40"/>
      <c r="AL212" s="40"/>
      <c r="AM212" s="58"/>
      <c r="AN212" s="40"/>
      <c r="AQ212" s="39"/>
      <c r="AR212" s="39"/>
      <c r="AS212" s="40"/>
      <c r="AT212" s="40"/>
      <c r="AU212" s="40"/>
      <c r="AV212" s="40"/>
      <c r="AW212" s="40"/>
      <c r="AX212" s="40"/>
      <c r="AY212" s="40"/>
      <c r="AZ212" s="40"/>
      <c r="BA212" s="40"/>
      <c r="BB212" s="60"/>
    </row>
    <row r="213" spans="1:54" outlineLevel="1" x14ac:dyDescent="0.3">
      <c r="A213" s="47"/>
      <c r="B213" s="10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AD213" s="47"/>
      <c r="AE213" s="10"/>
      <c r="AF213" s="44"/>
      <c r="AG213" s="44"/>
      <c r="AH213" s="44"/>
      <c r="AI213" s="44"/>
      <c r="AJ213" s="44"/>
      <c r="AK213" s="44"/>
      <c r="AL213" s="44"/>
      <c r="AM213" s="44"/>
      <c r="AN213" s="44"/>
      <c r="AQ213" s="47"/>
      <c r="AR213" s="10"/>
      <c r="AS213" s="13">
        <f t="shared" ref="AS213:BA214" si="324">C213-AF213</f>
        <v>0</v>
      </c>
      <c r="AT213" s="13">
        <f t="shared" si="324"/>
        <v>0</v>
      </c>
      <c r="AU213" s="13">
        <f t="shared" si="324"/>
        <v>0</v>
      </c>
      <c r="AV213" s="13">
        <f t="shared" si="324"/>
        <v>0</v>
      </c>
      <c r="AW213" s="13">
        <f t="shared" si="324"/>
        <v>0</v>
      </c>
      <c r="AX213" s="13">
        <f t="shared" si="324"/>
        <v>0</v>
      </c>
      <c r="AY213" s="13">
        <f t="shared" si="324"/>
        <v>0</v>
      </c>
      <c r="AZ213" s="13">
        <f t="shared" si="324"/>
        <v>0</v>
      </c>
      <c r="BA213" s="13">
        <f t="shared" si="324"/>
        <v>0</v>
      </c>
      <c r="BB213" s="54">
        <f t="shared" si="293"/>
        <v>0</v>
      </c>
    </row>
    <row r="214" spans="1:54" s="49" customFormat="1" outlineLevel="1" x14ac:dyDescent="0.3">
      <c r="A214" s="47" t="s">
        <v>379</v>
      </c>
      <c r="B214" s="47"/>
      <c r="C214" s="52">
        <f>C195-C211</f>
        <v>314</v>
      </c>
      <c r="D214" s="52">
        <f t="shared" ref="D214:K214" si="325">D195-D211</f>
        <v>261</v>
      </c>
      <c r="E214" s="52">
        <f t="shared" si="325"/>
        <v>315</v>
      </c>
      <c r="F214" s="52">
        <f t="shared" si="325"/>
        <v>356</v>
      </c>
      <c r="G214" s="52">
        <f t="shared" si="325"/>
        <v>365</v>
      </c>
      <c r="H214" s="52">
        <f t="shared" si="325"/>
        <v>357</v>
      </c>
      <c r="I214" s="52">
        <f t="shared" si="325"/>
        <v>408</v>
      </c>
      <c r="J214" s="52">
        <f t="shared" si="325"/>
        <v>397</v>
      </c>
      <c r="K214" s="52">
        <f t="shared" si="325"/>
        <v>310</v>
      </c>
      <c r="L214" s="52"/>
      <c r="M214" s="52"/>
      <c r="N214" s="52"/>
      <c r="O214" s="52"/>
      <c r="P214" s="52"/>
      <c r="Q214" s="52"/>
      <c r="V214" s="55"/>
      <c r="W214" s="55"/>
      <c r="X214" s="55"/>
      <c r="Z214" s="55"/>
      <c r="AD214" s="47" t="s">
        <v>379</v>
      </c>
      <c r="AE214" s="47"/>
      <c r="AF214" s="52">
        <v>314</v>
      </c>
      <c r="AG214" s="52">
        <v>261</v>
      </c>
      <c r="AH214" s="52">
        <v>315</v>
      </c>
      <c r="AI214" s="52">
        <v>356</v>
      </c>
      <c r="AJ214" s="52">
        <v>365</v>
      </c>
      <c r="AK214" s="52">
        <v>357</v>
      </c>
      <c r="AL214" s="52">
        <v>408</v>
      </c>
      <c r="AM214" s="52">
        <v>397</v>
      </c>
      <c r="AN214" s="52">
        <v>310</v>
      </c>
      <c r="AQ214" s="47" t="s">
        <v>379</v>
      </c>
      <c r="AR214" s="47"/>
      <c r="AS214" s="13">
        <f t="shared" si="324"/>
        <v>0</v>
      </c>
      <c r="AT214" s="13">
        <f t="shared" si="324"/>
        <v>0</v>
      </c>
      <c r="AU214" s="13">
        <f t="shared" si="324"/>
        <v>0</v>
      </c>
      <c r="AV214" s="13">
        <f t="shared" si="324"/>
        <v>0</v>
      </c>
      <c r="AW214" s="13">
        <f t="shared" si="324"/>
        <v>0</v>
      </c>
      <c r="AX214" s="13">
        <f t="shared" si="324"/>
        <v>0</v>
      </c>
      <c r="AY214" s="13">
        <f t="shared" si="324"/>
        <v>0</v>
      </c>
      <c r="AZ214" s="13">
        <f t="shared" si="324"/>
        <v>0</v>
      </c>
      <c r="BA214" s="13">
        <f t="shared" si="324"/>
        <v>0</v>
      </c>
      <c r="BB214" s="54">
        <f t="shared" si="293"/>
        <v>0</v>
      </c>
    </row>
    <row r="215" spans="1:54" s="35" customFormat="1" outlineLevel="1" x14ac:dyDescent="0.3">
      <c r="A215" s="39" t="s">
        <v>413</v>
      </c>
      <c r="B215" s="39"/>
      <c r="C215" s="43">
        <f>C214/C195</f>
        <v>9.6230462764327312E-2</v>
      </c>
      <c r="D215" s="43">
        <f t="shared" ref="D215:K215" si="326">D214/D195</f>
        <v>9.1675447839831406E-2</v>
      </c>
      <c r="E215" s="43">
        <f t="shared" si="326"/>
        <v>0.11213955144179423</v>
      </c>
      <c r="F215" s="43">
        <f t="shared" si="326"/>
        <v>0.12566184256971408</v>
      </c>
      <c r="G215" s="43">
        <f t="shared" si="326"/>
        <v>0.124957206436152</v>
      </c>
      <c r="H215" s="43">
        <f t="shared" si="326"/>
        <v>0.12122241086587436</v>
      </c>
      <c r="I215" s="43">
        <f t="shared" si="326"/>
        <v>0.13541320942582144</v>
      </c>
      <c r="J215" s="43">
        <f t="shared" si="326"/>
        <v>0.13558743169398907</v>
      </c>
      <c r="K215" s="43">
        <f t="shared" si="326"/>
        <v>0.12606750711671411</v>
      </c>
      <c r="L215" s="43"/>
      <c r="M215" s="43"/>
      <c r="N215" s="43"/>
      <c r="O215" s="43"/>
      <c r="P215" s="43"/>
      <c r="Q215" s="43"/>
      <c r="V215" s="59"/>
      <c r="W215" s="59"/>
      <c r="X215" s="59"/>
      <c r="Y215" s="59"/>
      <c r="Z215" s="59"/>
      <c r="AA215" s="59"/>
      <c r="AD215" s="39"/>
      <c r="AE215" s="39"/>
      <c r="AF215" s="40"/>
      <c r="AG215" s="40"/>
      <c r="AH215" s="40"/>
      <c r="AI215" s="40"/>
      <c r="AJ215" s="40"/>
      <c r="AK215" s="40"/>
      <c r="AL215" s="40"/>
      <c r="AM215" s="58"/>
      <c r="AN215" s="40"/>
      <c r="AQ215" s="39"/>
      <c r="AR215" s="39"/>
      <c r="AS215" s="40"/>
      <c r="AT215" s="40"/>
      <c r="AU215" s="40"/>
      <c r="AV215" s="40"/>
      <c r="AW215" s="40"/>
      <c r="AX215" s="40"/>
      <c r="AY215" s="40"/>
      <c r="AZ215" s="40"/>
      <c r="BA215" s="40"/>
      <c r="BB215" s="60"/>
    </row>
    <row r="216" spans="1:54" outlineLevel="1" x14ac:dyDescent="0.3">
      <c r="A216" s="47"/>
      <c r="B216" s="10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AD216" s="47"/>
      <c r="AE216" s="10"/>
      <c r="AF216" s="44"/>
      <c r="AG216" s="44"/>
      <c r="AH216" s="44"/>
      <c r="AI216" s="44"/>
      <c r="AJ216" s="44"/>
      <c r="AK216" s="44"/>
      <c r="AL216" s="44"/>
      <c r="AM216" s="44"/>
      <c r="AN216" s="44"/>
      <c r="AQ216" s="47"/>
      <c r="AR216" s="10"/>
      <c r="AS216" s="13">
        <f t="shared" ref="AS216:BA217" si="327">C216-AF216</f>
        <v>0</v>
      </c>
      <c r="AT216" s="13">
        <f t="shared" si="327"/>
        <v>0</v>
      </c>
      <c r="AU216" s="13">
        <f t="shared" si="327"/>
        <v>0</v>
      </c>
      <c r="AV216" s="13">
        <f t="shared" si="327"/>
        <v>0</v>
      </c>
      <c r="AW216" s="13">
        <f t="shared" si="327"/>
        <v>0</v>
      </c>
      <c r="AX216" s="13">
        <f t="shared" si="327"/>
        <v>0</v>
      </c>
      <c r="AY216" s="13">
        <f t="shared" si="327"/>
        <v>0</v>
      </c>
      <c r="AZ216" s="13">
        <f t="shared" si="327"/>
        <v>0</v>
      </c>
      <c r="BA216" s="13">
        <f t="shared" si="327"/>
        <v>0</v>
      </c>
      <c r="BB216" s="54">
        <f t="shared" si="293"/>
        <v>0</v>
      </c>
    </row>
    <row r="217" spans="1:54" outlineLevel="1" x14ac:dyDescent="0.3">
      <c r="A217" s="10" t="s">
        <v>382</v>
      </c>
      <c r="B217" s="10"/>
      <c r="C217" s="44">
        <f>'By Segment'!D39</f>
        <v>29</v>
      </c>
      <c r="D217" s="44">
        <f>'By Segment'!E39</f>
        <v>21</v>
      </c>
      <c r="E217" s="44">
        <f>'By Segment'!F39</f>
        <v>42</v>
      </c>
      <c r="F217" s="44">
        <f>'By Segment'!G39</f>
        <v>59</v>
      </c>
      <c r="G217" s="44">
        <f>'By Segment'!H39</f>
        <v>88</v>
      </c>
      <c r="H217" s="44">
        <f>'By Segment'!I39</f>
        <v>75</v>
      </c>
      <c r="I217" s="44">
        <f>'By Segment'!J39</f>
        <v>81</v>
      </c>
      <c r="J217" s="44">
        <f>'By Segment'!K39</f>
        <v>96</v>
      </c>
      <c r="K217" s="44">
        <f>'By Segment'!L39</f>
        <v>64</v>
      </c>
      <c r="L217" s="44"/>
      <c r="M217" s="44"/>
      <c r="N217" s="44"/>
      <c r="O217" s="44"/>
      <c r="P217" s="44"/>
      <c r="Q217" s="44"/>
      <c r="AD217" s="10" t="s">
        <v>382</v>
      </c>
      <c r="AE217" s="10"/>
      <c r="AF217" s="44">
        <v>29</v>
      </c>
      <c r="AG217" s="44">
        <v>21</v>
      </c>
      <c r="AH217" s="44">
        <v>42</v>
      </c>
      <c r="AI217" s="44">
        <v>59</v>
      </c>
      <c r="AJ217" s="44">
        <v>88</v>
      </c>
      <c r="AK217" s="44">
        <v>75</v>
      </c>
      <c r="AL217" s="44">
        <v>81</v>
      </c>
      <c r="AM217" s="44">
        <v>96</v>
      </c>
      <c r="AN217" s="44">
        <v>64</v>
      </c>
      <c r="AQ217" s="10" t="s">
        <v>382</v>
      </c>
      <c r="AR217" s="10"/>
      <c r="AS217" s="13">
        <f t="shared" si="327"/>
        <v>0</v>
      </c>
      <c r="AT217" s="13">
        <f t="shared" si="327"/>
        <v>0</v>
      </c>
      <c r="AU217" s="13">
        <f t="shared" si="327"/>
        <v>0</v>
      </c>
      <c r="AV217" s="13">
        <f t="shared" si="327"/>
        <v>0</v>
      </c>
      <c r="AW217" s="13">
        <f t="shared" si="327"/>
        <v>0</v>
      </c>
      <c r="AX217" s="13">
        <f t="shared" si="327"/>
        <v>0</v>
      </c>
      <c r="AY217" s="13">
        <f t="shared" si="327"/>
        <v>0</v>
      </c>
      <c r="AZ217" s="13">
        <f t="shared" si="327"/>
        <v>0</v>
      </c>
      <c r="BA217" s="13">
        <f t="shared" si="327"/>
        <v>0</v>
      </c>
      <c r="BB217" s="54">
        <f t="shared" si="293"/>
        <v>0</v>
      </c>
    </row>
    <row r="218" spans="1:54" s="35" customFormat="1" outlineLevel="1" x14ac:dyDescent="0.3">
      <c r="A218" s="39" t="s">
        <v>414</v>
      </c>
      <c r="B218" s="39"/>
      <c r="C218" s="43">
        <f>C217/C214</f>
        <v>9.2356687898089165E-2</v>
      </c>
      <c r="D218" s="43">
        <f t="shared" ref="D218:K218" si="328">D217/D214</f>
        <v>8.0459770114942528E-2</v>
      </c>
      <c r="E218" s="43">
        <f t="shared" si="328"/>
        <v>0.13333333333333333</v>
      </c>
      <c r="F218" s="43">
        <f t="shared" si="328"/>
        <v>0.16573033707865167</v>
      </c>
      <c r="G218" s="43">
        <f t="shared" si="328"/>
        <v>0.24109589041095891</v>
      </c>
      <c r="H218" s="43">
        <f t="shared" si="328"/>
        <v>0.21008403361344538</v>
      </c>
      <c r="I218" s="43">
        <f t="shared" si="328"/>
        <v>0.19852941176470587</v>
      </c>
      <c r="J218" s="43">
        <f t="shared" si="328"/>
        <v>0.24181360201511334</v>
      </c>
      <c r="K218" s="43">
        <f t="shared" si="328"/>
        <v>0.20645161290322581</v>
      </c>
      <c r="L218" s="43"/>
      <c r="M218" s="43"/>
      <c r="N218" s="43"/>
      <c r="O218" s="43"/>
      <c r="P218" s="43"/>
      <c r="Q218" s="43"/>
      <c r="V218" s="59"/>
      <c r="W218" s="59"/>
      <c r="X218" s="59"/>
      <c r="Y218" s="59"/>
      <c r="Z218" s="59"/>
      <c r="AA218" s="59"/>
      <c r="AD218" s="39"/>
      <c r="AE218" s="39"/>
      <c r="AF218" s="40"/>
      <c r="AG218" s="40"/>
      <c r="AH218" s="40"/>
      <c r="AI218" s="40"/>
      <c r="AJ218" s="40"/>
      <c r="AK218" s="40"/>
      <c r="AL218" s="40"/>
      <c r="AM218" s="58"/>
      <c r="AN218" s="40"/>
      <c r="AQ218" s="39"/>
      <c r="AR218" s="39"/>
      <c r="AS218" s="40"/>
      <c r="AT218" s="40"/>
      <c r="AU218" s="40"/>
      <c r="AV218" s="40"/>
      <c r="AW218" s="40"/>
      <c r="AX218" s="40"/>
      <c r="AY218" s="40"/>
      <c r="AZ218" s="40"/>
      <c r="BA218" s="40"/>
      <c r="BB218" s="60"/>
    </row>
    <row r="219" spans="1:54" s="49" customFormat="1" outlineLevel="1" x14ac:dyDescent="0.3">
      <c r="A219" s="47" t="s">
        <v>377</v>
      </c>
      <c r="B219" s="47"/>
      <c r="C219" s="52">
        <f>C214-C217</f>
        <v>285</v>
      </c>
      <c r="D219" s="52">
        <f t="shared" ref="D219:K219" si="329">D214-D217</f>
        <v>240</v>
      </c>
      <c r="E219" s="52">
        <f t="shared" si="329"/>
        <v>273</v>
      </c>
      <c r="F219" s="52">
        <f t="shared" si="329"/>
        <v>297</v>
      </c>
      <c r="G219" s="52">
        <f t="shared" si="329"/>
        <v>277</v>
      </c>
      <c r="H219" s="52">
        <f t="shared" si="329"/>
        <v>282</v>
      </c>
      <c r="I219" s="52">
        <f t="shared" si="329"/>
        <v>327</v>
      </c>
      <c r="J219" s="52">
        <f t="shared" si="329"/>
        <v>301</v>
      </c>
      <c r="K219" s="52">
        <f t="shared" si="329"/>
        <v>246</v>
      </c>
      <c r="L219" s="52"/>
      <c r="M219" s="52"/>
      <c r="N219" s="52"/>
      <c r="O219" s="52"/>
      <c r="P219" s="52"/>
      <c r="Q219" s="52"/>
      <c r="V219" s="55"/>
      <c r="W219" s="55"/>
      <c r="X219" s="55"/>
      <c r="Z219" s="55"/>
      <c r="AD219" s="47" t="s">
        <v>377</v>
      </c>
      <c r="AE219" s="47"/>
      <c r="AF219" s="52">
        <v>285</v>
      </c>
      <c r="AG219" s="52">
        <v>240</v>
      </c>
      <c r="AH219" s="52">
        <v>273</v>
      </c>
      <c r="AI219" s="52">
        <v>297</v>
      </c>
      <c r="AJ219" s="52">
        <v>277</v>
      </c>
      <c r="AK219" s="52">
        <v>282</v>
      </c>
      <c r="AL219" s="52">
        <v>327</v>
      </c>
      <c r="AM219" s="52">
        <v>301</v>
      </c>
      <c r="AN219" s="52">
        <v>246</v>
      </c>
      <c r="AQ219" s="47" t="s">
        <v>377</v>
      </c>
      <c r="AR219" s="47"/>
      <c r="AS219" s="13">
        <f t="shared" ref="AS219:BA219" si="330">C219-AF219</f>
        <v>0</v>
      </c>
      <c r="AT219" s="13">
        <f t="shared" si="330"/>
        <v>0</v>
      </c>
      <c r="AU219" s="13">
        <f t="shared" si="330"/>
        <v>0</v>
      </c>
      <c r="AV219" s="13">
        <f t="shared" si="330"/>
        <v>0</v>
      </c>
      <c r="AW219" s="13">
        <f t="shared" si="330"/>
        <v>0</v>
      </c>
      <c r="AX219" s="13">
        <f t="shared" si="330"/>
        <v>0</v>
      </c>
      <c r="AY219" s="13">
        <f t="shared" si="330"/>
        <v>0</v>
      </c>
      <c r="AZ219" s="13">
        <f t="shared" si="330"/>
        <v>0</v>
      </c>
      <c r="BA219" s="13">
        <f t="shared" si="330"/>
        <v>0</v>
      </c>
      <c r="BB219" s="54">
        <f t="shared" si="293"/>
        <v>0</v>
      </c>
    </row>
    <row r="220" spans="1:54" s="35" customFormat="1" outlineLevel="1" x14ac:dyDescent="0.3">
      <c r="A220" s="39" t="s">
        <v>413</v>
      </c>
      <c r="B220" s="39"/>
      <c r="C220" s="43">
        <f>C219/C195</f>
        <v>8.7342935948513639E-2</v>
      </c>
      <c r="D220" s="43">
        <f t="shared" ref="D220:K220" si="331">D219/D195</f>
        <v>8.429926238145416E-2</v>
      </c>
      <c r="E220" s="43">
        <f t="shared" si="331"/>
        <v>9.7187611249554995E-2</v>
      </c>
      <c r="F220" s="43">
        <f t="shared" si="331"/>
        <v>0.10483586304271091</v>
      </c>
      <c r="G220" s="43">
        <f t="shared" si="331"/>
        <v>9.4830537487161928E-2</v>
      </c>
      <c r="H220" s="43">
        <f t="shared" si="331"/>
        <v>9.5755517826825121E-2</v>
      </c>
      <c r="I220" s="43">
        <f t="shared" si="331"/>
        <v>0.10852970461334219</v>
      </c>
      <c r="J220" s="43">
        <f t="shared" si="331"/>
        <v>0.10280054644808743</v>
      </c>
      <c r="K220" s="43">
        <f t="shared" si="331"/>
        <v>0.10004066693777959</v>
      </c>
      <c r="L220" s="43"/>
      <c r="M220" s="43"/>
      <c r="N220" s="43"/>
      <c r="O220" s="43"/>
      <c r="P220" s="43"/>
      <c r="Q220" s="43"/>
      <c r="V220" s="59"/>
      <c r="W220" s="59"/>
      <c r="X220" s="59"/>
      <c r="Y220" s="59"/>
      <c r="Z220" s="59"/>
      <c r="AA220" s="59"/>
      <c r="AD220" s="39"/>
      <c r="AE220" s="39"/>
      <c r="AF220" s="40"/>
      <c r="AG220" s="40"/>
      <c r="AH220" s="40"/>
      <c r="AI220" s="40"/>
      <c r="AJ220" s="40"/>
      <c r="AK220" s="40"/>
      <c r="AL220" s="40"/>
      <c r="AM220" s="58"/>
      <c r="AN220" s="40"/>
      <c r="AQ220" s="39"/>
      <c r="AR220" s="39"/>
      <c r="AS220" s="40"/>
      <c r="AT220" s="40"/>
      <c r="AU220" s="40"/>
      <c r="AV220" s="40"/>
      <c r="AW220" s="40"/>
      <c r="AX220" s="40"/>
      <c r="AY220" s="40"/>
      <c r="AZ220" s="40"/>
      <c r="BA220" s="40"/>
      <c r="BB220" s="60"/>
    </row>
    <row r="221" spans="1:54" x14ac:dyDescent="0.3">
      <c r="A221" s="6" t="s">
        <v>399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AD221" s="6" t="s">
        <v>399</v>
      </c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Q221" s="6" t="s">
        <v>399</v>
      </c>
      <c r="AR221" s="17"/>
      <c r="AS221" s="13">
        <f t="shared" ref="AS221:BA222" si="332">C221-AF221</f>
        <v>0</v>
      </c>
      <c r="AT221" s="13">
        <f t="shared" si="332"/>
        <v>0</v>
      </c>
      <c r="AU221" s="13">
        <f t="shared" si="332"/>
        <v>0</v>
      </c>
      <c r="AV221" s="13">
        <f t="shared" si="332"/>
        <v>0</v>
      </c>
      <c r="AW221" s="13">
        <f t="shared" si="332"/>
        <v>0</v>
      </c>
      <c r="AX221" s="13">
        <f t="shared" si="332"/>
        <v>0</v>
      </c>
      <c r="AY221" s="13">
        <f t="shared" si="332"/>
        <v>0</v>
      </c>
      <c r="AZ221" s="13">
        <f t="shared" si="332"/>
        <v>0</v>
      </c>
      <c r="BA221" s="13">
        <f t="shared" si="332"/>
        <v>0</v>
      </c>
      <c r="BB221" s="54">
        <f t="shared" si="293"/>
        <v>0</v>
      </c>
    </row>
    <row r="222" spans="1:54" outlineLevel="1" x14ac:dyDescent="0.3">
      <c r="A222" s="10" t="s">
        <v>378</v>
      </c>
      <c r="B222" s="10"/>
      <c r="C222" s="44">
        <v>4545</v>
      </c>
      <c r="D222" s="44">
        <v>4545</v>
      </c>
      <c r="E222" s="44">
        <f>'By Segment'!F127</f>
        <v>4506</v>
      </c>
      <c r="F222" s="44">
        <f>'By Segment'!G127</f>
        <v>4144</v>
      </c>
      <c r="G222" s="44">
        <f>'By Segment'!H127</f>
        <v>3879</v>
      </c>
      <c r="H222" s="44">
        <f>'By Segment'!I127</f>
        <v>3748</v>
      </c>
      <c r="I222" s="44">
        <f>'By Segment'!J127</f>
        <v>3600</v>
      </c>
      <c r="J222" s="44">
        <f>'By Segment'!K127</f>
        <v>3333</v>
      </c>
      <c r="K222" s="44">
        <f>'By Segment'!L127</f>
        <v>3066</v>
      </c>
      <c r="L222" s="44">
        <f>K222*(1+L223)</f>
        <v>2907.4332202399842</v>
      </c>
      <c r="M222" s="44">
        <f t="shared" ref="M222:Q222" si="333">L222*(1+M223)</f>
        <v>2757.067165738762</v>
      </c>
      <c r="N222" s="44">
        <f t="shared" si="333"/>
        <v>2614.4777130142775</v>
      </c>
      <c r="O222" s="44">
        <f t="shared" si="333"/>
        <v>2479.2626733185812</v>
      </c>
      <c r="P222" s="44">
        <f t="shared" si="333"/>
        <v>2351.0406582216028</v>
      </c>
      <c r="Q222" s="44">
        <f t="shared" si="333"/>
        <v>2229.4500038644378</v>
      </c>
      <c r="AD222" s="10" t="s">
        <v>378</v>
      </c>
      <c r="AE222" s="10"/>
      <c r="AF222" s="44">
        <v>4545</v>
      </c>
      <c r="AG222" s="44">
        <v>4545</v>
      </c>
      <c r="AH222" s="44">
        <v>4506</v>
      </c>
      <c r="AI222" s="44">
        <v>4144</v>
      </c>
      <c r="AJ222" s="44">
        <v>3879</v>
      </c>
      <c r="AK222" s="44">
        <v>3748</v>
      </c>
      <c r="AL222" s="44">
        <v>3600</v>
      </c>
      <c r="AM222" s="44">
        <v>3333</v>
      </c>
      <c r="AN222" s="44">
        <v>3066</v>
      </c>
      <c r="AQ222" s="10" t="s">
        <v>378</v>
      </c>
      <c r="AR222" s="10"/>
      <c r="AS222" s="13">
        <f t="shared" si="332"/>
        <v>0</v>
      </c>
      <c r="AT222" s="13">
        <f t="shared" si="332"/>
        <v>0</v>
      </c>
      <c r="AU222" s="13">
        <f t="shared" si="332"/>
        <v>0</v>
      </c>
      <c r="AV222" s="13">
        <f t="shared" si="332"/>
        <v>0</v>
      </c>
      <c r="AW222" s="13">
        <f t="shared" si="332"/>
        <v>0</v>
      </c>
      <c r="AX222" s="13">
        <f t="shared" si="332"/>
        <v>0</v>
      </c>
      <c r="AY222" s="13">
        <f t="shared" si="332"/>
        <v>0</v>
      </c>
      <c r="AZ222" s="13">
        <f t="shared" si="332"/>
        <v>0</v>
      </c>
      <c r="BA222" s="13">
        <f t="shared" si="332"/>
        <v>0</v>
      </c>
      <c r="BB222" s="54">
        <f t="shared" si="293"/>
        <v>0</v>
      </c>
    </row>
    <row r="223" spans="1:54" s="35" customFormat="1" outlineLevel="1" x14ac:dyDescent="0.3">
      <c r="A223" s="39" t="s">
        <v>412</v>
      </c>
      <c r="B223" s="39"/>
      <c r="C223" s="40"/>
      <c r="D223" s="43">
        <f>D222/C222-1</f>
        <v>0</v>
      </c>
      <c r="E223" s="43">
        <f t="shared" ref="E223" si="334">E222/D222-1</f>
        <v>-8.5808580858085515E-3</v>
      </c>
      <c r="F223" s="43">
        <f t="shared" ref="F223" si="335">F222/E222-1</f>
        <v>-8.0337328007101694E-2</v>
      </c>
      <c r="G223" s="43">
        <f t="shared" ref="G223" si="336">G222/F222-1</f>
        <v>-6.3947876447876473E-2</v>
      </c>
      <c r="H223" s="43">
        <f t="shared" ref="H223" si="337">H222/G222-1</f>
        <v>-3.3771590616138214E-2</v>
      </c>
      <c r="I223" s="43">
        <f t="shared" ref="I223" si="338">I222/H222-1</f>
        <v>-3.9487726787620026E-2</v>
      </c>
      <c r="J223" s="43">
        <f t="shared" ref="J223" si="339">J222/I222-1</f>
        <v>-7.4166666666666714E-2</v>
      </c>
      <c r="K223" s="43">
        <f t="shared" ref="K223" si="340">K222/J222-1</f>
        <v>-8.0108010801080098E-2</v>
      </c>
      <c r="L223" s="43">
        <f>MEDIAN(D223:K223)</f>
        <v>-5.1717801617748249E-2</v>
      </c>
      <c r="M223" s="43">
        <f>L223</f>
        <v>-5.1717801617748249E-2</v>
      </c>
      <c r="N223" s="43">
        <f t="shared" ref="N223:Q223" si="341">M223</f>
        <v>-5.1717801617748249E-2</v>
      </c>
      <c r="O223" s="43">
        <f t="shared" si="341"/>
        <v>-5.1717801617748249E-2</v>
      </c>
      <c r="P223" s="43">
        <f t="shared" si="341"/>
        <v>-5.1717801617748249E-2</v>
      </c>
      <c r="Q223" s="43">
        <f t="shared" si="341"/>
        <v>-5.1717801617748249E-2</v>
      </c>
      <c r="R223" s="61"/>
      <c r="S223" s="61">
        <f>AVERAGE(C223:J223)</f>
        <v>-4.2898863801601669E-2</v>
      </c>
      <c r="T223" s="61">
        <f>AVERAGE(D223:K223)</f>
        <v>-4.7550007176536471E-2</v>
      </c>
      <c r="V223" s="59"/>
      <c r="W223" s="59"/>
      <c r="X223" s="59"/>
      <c r="Y223" s="59"/>
      <c r="Z223" s="59"/>
      <c r="AA223" s="59"/>
      <c r="AD223" s="39"/>
      <c r="AE223" s="39"/>
      <c r="AF223" s="40"/>
      <c r="AG223" s="40"/>
      <c r="AH223" s="40"/>
      <c r="AI223" s="40"/>
      <c r="AJ223" s="40"/>
      <c r="AK223" s="40"/>
      <c r="AL223" s="40"/>
      <c r="AM223" s="58"/>
      <c r="AN223" s="40"/>
      <c r="AQ223" s="39"/>
      <c r="AR223" s="39"/>
      <c r="AS223" s="40"/>
      <c r="AT223" s="40"/>
      <c r="AU223" s="40"/>
      <c r="AV223" s="40"/>
      <c r="AW223" s="40"/>
      <c r="AX223" s="40"/>
      <c r="AY223" s="40"/>
      <c r="AZ223" s="40"/>
      <c r="BA223" s="40"/>
      <c r="BB223" s="60"/>
    </row>
    <row r="224" spans="1:54" outlineLevel="1" x14ac:dyDescent="0.3">
      <c r="A224" s="10" t="s">
        <v>422</v>
      </c>
      <c r="B224" s="10"/>
      <c r="C224" s="44">
        <f t="shared" ref="C224" si="342">C232-C222-C226-C228</f>
        <v>1374</v>
      </c>
      <c r="D224" s="44">
        <f t="shared" ref="D224" si="343">D232-D222-D226-D228</f>
        <v>1482</v>
      </c>
      <c r="E224" s="44">
        <f t="shared" ref="E224" si="344">E232-E222-E226-E228</f>
        <v>1436</v>
      </c>
      <c r="F224" s="44">
        <f t="shared" ref="F224" si="345">F232-F222-F226-F228</f>
        <v>1361</v>
      </c>
      <c r="G224" s="44">
        <f t="shared" ref="G224" si="346">G232-G222-G226-G228</f>
        <v>1218</v>
      </c>
      <c r="H224" s="44">
        <f t="shared" ref="H224" si="347">H232-H222-H226-H228</f>
        <v>1124</v>
      </c>
      <c r="I224" s="44">
        <f t="shared" ref="I224" si="348">I232-I222-I226-I228</f>
        <v>1073</v>
      </c>
      <c r="J224" s="44">
        <f t="shared" ref="J224" si="349">J232-J222-J226-J228</f>
        <v>1101</v>
      </c>
      <c r="K224" s="44">
        <f>K232-K222-K226-K228</f>
        <v>1057</v>
      </c>
      <c r="L224" s="44"/>
      <c r="M224" s="44"/>
      <c r="N224" s="44"/>
      <c r="O224" s="44"/>
      <c r="P224" s="44"/>
      <c r="Q224" s="44"/>
      <c r="AD224" s="10" t="s">
        <v>422</v>
      </c>
      <c r="AE224" s="10"/>
      <c r="AF224" s="44">
        <v>1374</v>
      </c>
      <c r="AG224" s="44">
        <v>1482</v>
      </c>
      <c r="AH224" s="44">
        <v>1436</v>
      </c>
      <c r="AI224" s="44">
        <v>1361</v>
      </c>
      <c r="AJ224" s="44">
        <v>1218</v>
      </c>
      <c r="AK224" s="44">
        <v>1124</v>
      </c>
      <c r="AL224" s="44">
        <v>1073</v>
      </c>
      <c r="AM224" s="44">
        <v>1101</v>
      </c>
      <c r="AN224" s="44">
        <v>1057</v>
      </c>
      <c r="AQ224" s="10" t="s">
        <v>422</v>
      </c>
      <c r="AR224" s="10"/>
      <c r="AS224" s="13">
        <f t="shared" ref="AS224:BA224" si="350">C224-AF224</f>
        <v>0</v>
      </c>
      <c r="AT224" s="13">
        <f t="shared" si="350"/>
        <v>0</v>
      </c>
      <c r="AU224" s="13">
        <f t="shared" si="350"/>
        <v>0</v>
      </c>
      <c r="AV224" s="13">
        <f t="shared" si="350"/>
        <v>0</v>
      </c>
      <c r="AW224" s="13">
        <f t="shared" si="350"/>
        <v>0</v>
      </c>
      <c r="AX224" s="13">
        <f t="shared" si="350"/>
        <v>0</v>
      </c>
      <c r="AY224" s="13">
        <f t="shared" si="350"/>
        <v>0</v>
      </c>
      <c r="AZ224" s="13">
        <f t="shared" si="350"/>
        <v>0</v>
      </c>
      <c r="BA224" s="13">
        <f t="shared" si="350"/>
        <v>0</v>
      </c>
      <c r="BB224" s="54">
        <f t="shared" si="293"/>
        <v>0</v>
      </c>
    </row>
    <row r="225" spans="1:54" s="35" customFormat="1" outlineLevel="1" x14ac:dyDescent="0.3">
      <c r="A225" s="39" t="s">
        <v>435</v>
      </c>
      <c r="B225" s="39"/>
      <c r="C225" s="43">
        <f>C224/C222</f>
        <v>0.30231023102310228</v>
      </c>
      <c r="D225" s="43">
        <f t="shared" ref="D225" si="351">D224/D222</f>
        <v>0.32607260726072607</v>
      </c>
      <c r="E225" s="43">
        <f t="shared" ref="E225" si="352">E224/E222</f>
        <v>0.31868619618286731</v>
      </c>
      <c r="F225" s="43">
        <f t="shared" ref="F225" si="353">F224/F222</f>
        <v>0.32842664092664092</v>
      </c>
      <c r="G225" s="43">
        <f t="shared" ref="G225" si="354">G224/G222</f>
        <v>0.31399845320959008</v>
      </c>
      <c r="H225" s="43">
        <f t="shared" ref="H225" si="355">H224/H222</f>
        <v>0.29989327641408753</v>
      </c>
      <c r="I225" s="43">
        <f t="shared" ref="I225" si="356">I224/I222</f>
        <v>0.29805555555555557</v>
      </c>
      <c r="J225" s="43">
        <f t="shared" ref="J225" si="357">J224/J222</f>
        <v>0.33033303330333036</v>
      </c>
      <c r="K225" s="43">
        <f t="shared" ref="K225" si="358">K224/K222</f>
        <v>0.34474885844748859</v>
      </c>
      <c r="L225" s="43"/>
      <c r="M225" s="43"/>
      <c r="N225" s="43"/>
      <c r="O225" s="43"/>
      <c r="P225" s="43"/>
      <c r="Q225" s="43"/>
      <c r="V225" s="59"/>
      <c r="W225" s="59"/>
      <c r="X225" s="59"/>
      <c r="Y225" s="59"/>
      <c r="Z225" s="59"/>
      <c r="AA225" s="59"/>
      <c r="AD225" s="39"/>
      <c r="AE225" s="39"/>
      <c r="AF225" s="40"/>
      <c r="AG225" s="40"/>
      <c r="AH225" s="40"/>
      <c r="AI225" s="40"/>
      <c r="AJ225" s="40"/>
      <c r="AK225" s="40"/>
      <c r="AL225" s="40"/>
      <c r="AM225" s="58"/>
      <c r="AN225" s="40"/>
      <c r="AQ225" s="39"/>
      <c r="AR225" s="39"/>
      <c r="AS225" s="40"/>
      <c r="AT225" s="40"/>
      <c r="AU225" s="40"/>
      <c r="AV225" s="40"/>
      <c r="AW225" s="40"/>
      <c r="AX225" s="40"/>
      <c r="AY225" s="40"/>
      <c r="AZ225" s="40"/>
      <c r="BA225" s="40"/>
      <c r="BB225" s="60"/>
    </row>
    <row r="226" spans="1:54" outlineLevel="1" x14ac:dyDescent="0.3">
      <c r="A226" s="10" t="s">
        <v>384</v>
      </c>
      <c r="B226" s="10"/>
      <c r="C226" s="44">
        <f>'By Segment'!D133</f>
        <v>6409</v>
      </c>
      <c r="D226" s="44">
        <v>6201</v>
      </c>
      <c r="E226" s="44">
        <f>'By Segment'!F133</f>
        <v>5944</v>
      </c>
      <c r="F226" s="44">
        <f>'By Segment'!G133</f>
        <v>5607</v>
      </c>
      <c r="G226" s="44">
        <f>'By Segment'!H133</f>
        <v>5379</v>
      </c>
      <c r="H226" s="44">
        <f>'By Segment'!I133</f>
        <v>5281</v>
      </c>
      <c r="I226" s="44">
        <f>'By Segment'!J133</f>
        <v>5184</v>
      </c>
      <c r="J226" s="44">
        <f>'By Segment'!K133</f>
        <v>6450</v>
      </c>
      <c r="K226" s="44">
        <v>4971</v>
      </c>
      <c r="L226" s="44"/>
      <c r="M226" s="44"/>
      <c r="N226" s="44"/>
      <c r="O226" s="44"/>
      <c r="P226" s="44"/>
      <c r="Q226" s="44"/>
      <c r="AD226" s="10" t="s">
        <v>384</v>
      </c>
      <c r="AE226" s="10"/>
      <c r="AF226" s="44">
        <v>6409</v>
      </c>
      <c r="AG226" s="44">
        <v>6201</v>
      </c>
      <c r="AH226" s="44">
        <v>5944</v>
      </c>
      <c r="AI226" s="44">
        <v>5607</v>
      </c>
      <c r="AJ226" s="44">
        <v>5379</v>
      </c>
      <c r="AK226" s="44">
        <v>5281</v>
      </c>
      <c r="AL226" s="44">
        <v>5184</v>
      </c>
      <c r="AM226" s="44">
        <v>6450</v>
      </c>
      <c r="AN226" s="44">
        <v>4971</v>
      </c>
      <c r="AQ226" s="10" t="s">
        <v>384</v>
      </c>
      <c r="AR226" s="10"/>
      <c r="AS226" s="13">
        <f t="shared" ref="AS226:BA226" si="359">C226-AF226</f>
        <v>0</v>
      </c>
      <c r="AT226" s="13">
        <f t="shared" si="359"/>
        <v>0</v>
      </c>
      <c r="AU226" s="13">
        <f t="shared" si="359"/>
        <v>0</v>
      </c>
      <c r="AV226" s="13">
        <f t="shared" si="359"/>
        <v>0</v>
      </c>
      <c r="AW226" s="13">
        <f t="shared" si="359"/>
        <v>0</v>
      </c>
      <c r="AX226" s="13">
        <f t="shared" si="359"/>
        <v>0</v>
      </c>
      <c r="AY226" s="13">
        <f t="shared" si="359"/>
        <v>0</v>
      </c>
      <c r="AZ226" s="13">
        <f t="shared" si="359"/>
        <v>0</v>
      </c>
      <c r="BA226" s="13">
        <f t="shared" si="359"/>
        <v>0</v>
      </c>
      <c r="BB226" s="54">
        <f t="shared" si="293"/>
        <v>0</v>
      </c>
    </row>
    <row r="227" spans="1:54" s="35" customFormat="1" outlineLevel="1" x14ac:dyDescent="0.3">
      <c r="A227" s="39" t="s">
        <v>435</v>
      </c>
      <c r="B227" s="39"/>
      <c r="C227" s="43">
        <f>C226/C222</f>
        <v>1.4101210121012102</v>
      </c>
      <c r="D227" s="43">
        <f t="shared" ref="D227:K227" si="360">D226/D222</f>
        <v>1.3643564356435645</v>
      </c>
      <c r="E227" s="43">
        <f t="shared" si="360"/>
        <v>1.3191300488237905</v>
      </c>
      <c r="F227" s="43">
        <f t="shared" si="360"/>
        <v>1.3530405405405406</v>
      </c>
      <c r="G227" s="43">
        <f t="shared" si="360"/>
        <v>1.3866976024748647</v>
      </c>
      <c r="H227" s="43">
        <f t="shared" si="360"/>
        <v>1.4090181430096052</v>
      </c>
      <c r="I227" s="43">
        <f t="shared" si="360"/>
        <v>1.44</v>
      </c>
      <c r="J227" s="43">
        <f t="shared" si="360"/>
        <v>1.9351935193519352</v>
      </c>
      <c r="K227" s="43">
        <f t="shared" si="360"/>
        <v>1.6213307240704502</v>
      </c>
      <c r="L227" s="43"/>
      <c r="M227" s="43"/>
      <c r="N227" s="43"/>
      <c r="O227" s="43"/>
      <c r="P227" s="43"/>
      <c r="Q227" s="43"/>
      <c r="V227" s="59"/>
      <c r="W227" s="59"/>
      <c r="X227" s="59"/>
      <c r="Y227" s="59"/>
      <c r="Z227" s="59"/>
      <c r="AA227" s="59"/>
      <c r="AD227" s="39"/>
      <c r="AE227" s="39"/>
      <c r="AF227" s="40"/>
      <c r="AG227" s="40"/>
      <c r="AH227" s="40"/>
      <c r="AI227" s="40"/>
      <c r="AJ227" s="40"/>
      <c r="AK227" s="40"/>
      <c r="AL227" s="40"/>
      <c r="AM227" s="58"/>
      <c r="AN227" s="40"/>
      <c r="AQ227" s="39"/>
      <c r="AR227" s="39"/>
      <c r="AS227" s="40"/>
      <c r="AT227" s="40"/>
      <c r="AU227" s="40"/>
      <c r="AV227" s="40"/>
      <c r="AW227" s="40"/>
      <c r="AX227" s="40"/>
      <c r="AY227" s="40"/>
      <c r="AZ227" s="40"/>
      <c r="BA227" s="40"/>
      <c r="BB227" s="60"/>
    </row>
    <row r="228" spans="1:54" outlineLevel="1" x14ac:dyDescent="0.3">
      <c r="A228" s="10" t="s">
        <v>391</v>
      </c>
      <c r="B228" s="10"/>
      <c r="C228" s="44">
        <v>1062</v>
      </c>
      <c r="D228" s="44">
        <f>'By Segment'!E141</f>
        <v>930</v>
      </c>
      <c r="E228" s="44">
        <f>'By Segment'!F141</f>
        <v>581</v>
      </c>
      <c r="F228" s="44">
        <f>'By Segment'!G141</f>
        <v>244</v>
      </c>
      <c r="G228" s="44">
        <f>'By Segment'!H141</f>
        <v>250</v>
      </c>
      <c r="H228" s="44">
        <f>'By Segment'!I141</f>
        <v>253</v>
      </c>
      <c r="I228" s="44">
        <f>'By Segment'!J141</f>
        <v>238</v>
      </c>
      <c r="J228" s="44">
        <f>'By Segment'!K141</f>
        <v>257</v>
      </c>
      <c r="K228" s="44">
        <f>'By Segment'!L141</f>
        <v>155</v>
      </c>
      <c r="L228" s="44"/>
      <c r="M228" s="44"/>
      <c r="N228" s="44"/>
      <c r="O228" s="44"/>
      <c r="P228" s="44"/>
      <c r="Q228" s="44"/>
      <c r="AD228" s="10" t="s">
        <v>391</v>
      </c>
      <c r="AE228" s="10"/>
      <c r="AF228" s="44">
        <v>1062</v>
      </c>
      <c r="AG228" s="44">
        <v>930</v>
      </c>
      <c r="AH228" s="44">
        <v>581</v>
      </c>
      <c r="AI228" s="44">
        <v>244</v>
      </c>
      <c r="AJ228" s="44">
        <v>250</v>
      </c>
      <c r="AK228" s="44">
        <v>253</v>
      </c>
      <c r="AL228" s="44">
        <v>238</v>
      </c>
      <c r="AM228" s="44">
        <v>257</v>
      </c>
      <c r="AN228" s="44">
        <v>155</v>
      </c>
      <c r="AQ228" s="10" t="s">
        <v>391</v>
      </c>
      <c r="AR228" s="10"/>
      <c r="AS228" s="13">
        <f t="shared" ref="AS228:BA228" si="361">C228-AF228</f>
        <v>0</v>
      </c>
      <c r="AT228" s="13">
        <f t="shared" si="361"/>
        <v>0</v>
      </c>
      <c r="AU228" s="13">
        <f t="shared" si="361"/>
        <v>0</v>
      </c>
      <c r="AV228" s="13">
        <f t="shared" si="361"/>
        <v>0</v>
      </c>
      <c r="AW228" s="13">
        <f t="shared" si="361"/>
        <v>0</v>
      </c>
      <c r="AX228" s="13">
        <f t="shared" si="361"/>
        <v>0</v>
      </c>
      <c r="AY228" s="13">
        <f t="shared" si="361"/>
        <v>0</v>
      </c>
      <c r="AZ228" s="13">
        <f t="shared" si="361"/>
        <v>0</v>
      </c>
      <c r="BA228" s="13">
        <f t="shared" si="361"/>
        <v>0</v>
      </c>
      <c r="BB228" s="54">
        <f t="shared" si="293"/>
        <v>0</v>
      </c>
    </row>
    <row r="229" spans="1:54" s="35" customFormat="1" outlineLevel="1" x14ac:dyDescent="0.3">
      <c r="A229" s="39" t="s">
        <v>435</v>
      </c>
      <c r="B229" s="39"/>
      <c r="C229" s="43">
        <f>C228/C222</f>
        <v>0.23366336633663368</v>
      </c>
      <c r="D229" s="43">
        <f t="shared" ref="D229:K229" si="362">D228/D222</f>
        <v>0.20462046204620463</v>
      </c>
      <c r="E229" s="43">
        <f t="shared" si="362"/>
        <v>0.12893919218819352</v>
      </c>
      <c r="F229" s="43">
        <f t="shared" si="362"/>
        <v>5.8880308880308881E-2</v>
      </c>
      <c r="G229" s="43">
        <f t="shared" si="362"/>
        <v>6.4449600412477437E-2</v>
      </c>
      <c r="H229" s="43">
        <f t="shared" si="362"/>
        <v>6.7502668089647819E-2</v>
      </c>
      <c r="I229" s="43">
        <f t="shared" si="362"/>
        <v>6.6111111111111107E-2</v>
      </c>
      <c r="J229" s="43">
        <f t="shared" si="362"/>
        <v>7.7107710771077101E-2</v>
      </c>
      <c r="K229" s="43">
        <f t="shared" si="362"/>
        <v>5.0554468362687538E-2</v>
      </c>
      <c r="L229" s="43"/>
      <c r="M229" s="43"/>
      <c r="N229" s="43"/>
      <c r="O229" s="43"/>
      <c r="P229" s="43"/>
      <c r="Q229" s="43"/>
      <c r="V229" s="59"/>
      <c r="W229" s="59"/>
      <c r="X229" s="59"/>
      <c r="Y229" s="59"/>
      <c r="Z229" s="59"/>
      <c r="AA229" s="59"/>
      <c r="AD229" s="39"/>
      <c r="AE229" s="39"/>
      <c r="AF229" s="40"/>
      <c r="AG229" s="40"/>
      <c r="AH229" s="40"/>
      <c r="AI229" s="40"/>
      <c r="AJ229" s="40"/>
      <c r="AK229" s="40"/>
      <c r="AL229" s="40"/>
      <c r="AM229" s="58"/>
      <c r="AN229" s="40"/>
      <c r="AQ229" s="39"/>
      <c r="AR229" s="39"/>
      <c r="AS229" s="40"/>
      <c r="AT229" s="40"/>
      <c r="AU229" s="40"/>
      <c r="AV229" s="40"/>
      <c r="AW229" s="40"/>
      <c r="AX229" s="40"/>
      <c r="AY229" s="40"/>
      <c r="AZ229" s="40"/>
      <c r="BA229" s="40"/>
      <c r="BB229" s="60"/>
    </row>
    <row r="230" spans="1:54" outlineLevel="1" x14ac:dyDescent="0.3">
      <c r="A230" s="10" t="s">
        <v>432</v>
      </c>
      <c r="B230" s="10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V230" s="50"/>
      <c r="W230" s="50"/>
      <c r="X230" s="50"/>
      <c r="Y230" s="50"/>
      <c r="Z230" s="50"/>
      <c r="AA230" s="50"/>
      <c r="AD230" s="10"/>
      <c r="AE230" s="10"/>
      <c r="AF230" s="13"/>
      <c r="AG230" s="13"/>
      <c r="AH230" s="13"/>
      <c r="AI230" s="13"/>
      <c r="AJ230" s="13"/>
      <c r="AK230" s="13"/>
      <c r="AL230" s="13"/>
      <c r="AM230" s="13"/>
      <c r="AN230" s="13"/>
      <c r="AQ230" s="10"/>
      <c r="AR230" s="10"/>
      <c r="AS230" s="13"/>
      <c r="AT230" s="13"/>
      <c r="AU230" s="13"/>
      <c r="AV230" s="13"/>
      <c r="AW230" s="13"/>
      <c r="AX230" s="13"/>
      <c r="AY230" s="13"/>
      <c r="AZ230" s="13"/>
      <c r="BA230" s="13"/>
      <c r="BB230" s="54"/>
    </row>
    <row r="231" spans="1:54" outlineLevel="1" x14ac:dyDescent="0.3">
      <c r="A231" s="10" t="s">
        <v>433</v>
      </c>
      <c r="B231" s="10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V231" s="50"/>
      <c r="W231" s="50"/>
      <c r="X231" s="50"/>
      <c r="Y231" s="50"/>
      <c r="Z231" s="50"/>
      <c r="AA231" s="50"/>
      <c r="AD231" s="10"/>
      <c r="AE231" s="10"/>
      <c r="AF231" s="13"/>
      <c r="AG231" s="13"/>
      <c r="AH231" s="13"/>
      <c r="AI231" s="13"/>
      <c r="AJ231" s="13"/>
      <c r="AK231" s="13"/>
      <c r="AL231" s="13"/>
      <c r="AM231" s="13"/>
      <c r="AN231" s="13"/>
      <c r="AQ231" s="10"/>
      <c r="AR231" s="10"/>
      <c r="AS231" s="13"/>
      <c r="AT231" s="13"/>
      <c r="AU231" s="13"/>
      <c r="AV231" s="13"/>
      <c r="AW231" s="13"/>
      <c r="AX231" s="13"/>
      <c r="AY231" s="13"/>
      <c r="AZ231" s="13"/>
      <c r="BA231" s="13"/>
      <c r="BB231" s="54"/>
    </row>
    <row r="232" spans="1:54" s="49" customFormat="1" outlineLevel="1" x14ac:dyDescent="0.3">
      <c r="A232" s="47" t="s">
        <v>373</v>
      </c>
      <c r="B232" s="47"/>
      <c r="C232" s="52">
        <f>'By Segment'!D122</f>
        <v>13390</v>
      </c>
      <c r="D232" s="52">
        <v>13158</v>
      </c>
      <c r="E232" s="52">
        <f>'By Segment'!F122</f>
        <v>12467</v>
      </c>
      <c r="F232" s="52">
        <f>'By Segment'!G122</f>
        <v>11356</v>
      </c>
      <c r="G232" s="52">
        <f>'By Segment'!H122</f>
        <v>10726</v>
      </c>
      <c r="H232" s="52">
        <f>'By Segment'!I122</f>
        <v>10406</v>
      </c>
      <c r="I232" s="52">
        <f>'By Segment'!J122</f>
        <v>10095</v>
      </c>
      <c r="J232" s="52">
        <f>'By Segment'!K122</f>
        <v>11141</v>
      </c>
      <c r="K232" s="52">
        <f>'By Segment'!L122</f>
        <v>9249</v>
      </c>
      <c r="L232" s="52"/>
      <c r="M232" s="52"/>
      <c r="N232" s="52"/>
      <c r="O232" s="52"/>
      <c r="P232" s="52"/>
      <c r="Q232" s="52"/>
      <c r="V232" s="55"/>
      <c r="W232" s="55"/>
      <c r="X232" s="55"/>
      <c r="Z232" s="55"/>
      <c r="AD232" s="47" t="s">
        <v>373</v>
      </c>
      <c r="AE232" s="47"/>
      <c r="AF232" s="52">
        <v>13390</v>
      </c>
      <c r="AG232" s="52">
        <v>13158</v>
      </c>
      <c r="AH232" s="52">
        <v>12467</v>
      </c>
      <c r="AI232" s="52">
        <v>11356</v>
      </c>
      <c r="AJ232" s="52">
        <v>10726</v>
      </c>
      <c r="AK232" s="52">
        <v>10406</v>
      </c>
      <c r="AL232" s="52">
        <v>10095</v>
      </c>
      <c r="AM232" s="52">
        <v>11141</v>
      </c>
      <c r="AN232" s="52">
        <v>9249</v>
      </c>
      <c r="AQ232" s="47" t="s">
        <v>373</v>
      </c>
      <c r="AR232" s="47"/>
      <c r="AS232" s="13">
        <f t="shared" ref="AS232:BA234" si="363">C232-AF232</f>
        <v>0</v>
      </c>
      <c r="AT232" s="13">
        <f t="shared" si="363"/>
        <v>0</v>
      </c>
      <c r="AU232" s="13">
        <f t="shared" si="363"/>
        <v>0</v>
      </c>
      <c r="AV232" s="13">
        <f t="shared" si="363"/>
        <v>0</v>
      </c>
      <c r="AW232" s="13">
        <f t="shared" si="363"/>
        <v>0</v>
      </c>
      <c r="AX232" s="13">
        <f t="shared" si="363"/>
        <v>0</v>
      </c>
      <c r="AY232" s="13">
        <f t="shared" si="363"/>
        <v>0</v>
      </c>
      <c r="AZ232" s="13">
        <f t="shared" si="363"/>
        <v>0</v>
      </c>
      <c r="BA232" s="13">
        <f t="shared" si="363"/>
        <v>0</v>
      </c>
      <c r="BB232" s="54">
        <f t="shared" si="293"/>
        <v>0</v>
      </c>
    </row>
    <row r="233" spans="1:54" outlineLevel="1" x14ac:dyDescent="0.3">
      <c r="A233" s="10"/>
      <c r="B233" s="10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AD233" s="10"/>
      <c r="AE233" s="10"/>
      <c r="AF233" s="44"/>
      <c r="AG233" s="44"/>
      <c r="AH233" s="44"/>
      <c r="AI233" s="44"/>
      <c r="AJ233" s="44"/>
      <c r="AK233" s="44"/>
      <c r="AL233" s="44"/>
      <c r="AM233" s="44"/>
      <c r="AN233" s="44"/>
      <c r="AQ233" s="10"/>
      <c r="AR233" s="10"/>
      <c r="AS233" s="13">
        <f t="shared" si="363"/>
        <v>0</v>
      </c>
      <c r="AT233" s="13">
        <f t="shared" si="363"/>
        <v>0</v>
      </c>
      <c r="AU233" s="13">
        <f t="shared" si="363"/>
        <v>0</v>
      </c>
      <c r="AV233" s="13">
        <f t="shared" si="363"/>
        <v>0</v>
      </c>
      <c r="AW233" s="13">
        <f t="shared" si="363"/>
        <v>0</v>
      </c>
      <c r="AX233" s="13">
        <f t="shared" si="363"/>
        <v>0</v>
      </c>
      <c r="AY233" s="13">
        <f t="shared" si="363"/>
        <v>0</v>
      </c>
      <c r="AZ233" s="13">
        <f t="shared" si="363"/>
        <v>0</v>
      </c>
      <c r="BA233" s="13">
        <f t="shared" si="363"/>
        <v>0</v>
      </c>
      <c r="BB233" s="54">
        <f t="shared" si="293"/>
        <v>0</v>
      </c>
    </row>
    <row r="234" spans="1:54" outlineLevel="1" x14ac:dyDescent="0.3">
      <c r="A234" s="10" t="s">
        <v>380</v>
      </c>
      <c r="B234" s="10"/>
      <c r="C234" s="44">
        <v>7217</v>
      </c>
      <c r="D234" s="44">
        <v>7357</v>
      </c>
      <c r="E234" s="44">
        <v>7534</v>
      </c>
      <c r="F234" s="44">
        <f>'By Segment'!G129</f>
        <v>7000</v>
      </c>
      <c r="G234" s="44">
        <f>'By Segment'!H129</f>
        <v>6833</v>
      </c>
      <c r="H234" s="44">
        <f>'By Segment'!I129</f>
        <v>6970</v>
      </c>
      <c r="I234" s="44">
        <f>'By Segment'!J129</f>
        <v>6738</v>
      </c>
      <c r="J234" s="44">
        <f>'By Segment'!K129</f>
        <v>6268</v>
      </c>
      <c r="K234" s="44">
        <f>'By Segment'!L129</f>
        <v>6056</v>
      </c>
      <c r="L234" s="44"/>
      <c r="M234" s="44"/>
      <c r="N234" s="44"/>
      <c r="O234" s="44"/>
      <c r="P234" s="44"/>
      <c r="Q234" s="44"/>
      <c r="AD234" s="10" t="s">
        <v>380</v>
      </c>
      <c r="AE234" s="10"/>
      <c r="AF234" s="44">
        <v>7217</v>
      </c>
      <c r="AG234" s="44">
        <v>7357</v>
      </c>
      <c r="AH234" s="44">
        <v>7534</v>
      </c>
      <c r="AI234" s="44">
        <v>7000</v>
      </c>
      <c r="AJ234" s="44">
        <v>6833</v>
      </c>
      <c r="AK234" s="44">
        <v>6970</v>
      </c>
      <c r="AL234" s="44">
        <v>6738</v>
      </c>
      <c r="AM234" s="44">
        <v>6268</v>
      </c>
      <c r="AN234" s="44">
        <v>6056</v>
      </c>
      <c r="AQ234" s="10" t="s">
        <v>380</v>
      </c>
      <c r="AR234" s="10"/>
      <c r="AS234" s="13">
        <f t="shared" si="363"/>
        <v>0</v>
      </c>
      <c r="AT234" s="13">
        <f t="shared" si="363"/>
        <v>0</v>
      </c>
      <c r="AU234" s="13">
        <f t="shared" si="363"/>
        <v>0</v>
      </c>
      <c r="AV234" s="13">
        <f t="shared" si="363"/>
        <v>0</v>
      </c>
      <c r="AW234" s="13">
        <f t="shared" si="363"/>
        <v>0</v>
      </c>
      <c r="AX234" s="13">
        <f t="shared" si="363"/>
        <v>0</v>
      </c>
      <c r="AY234" s="13">
        <f t="shared" si="363"/>
        <v>0</v>
      </c>
      <c r="AZ234" s="13">
        <f t="shared" si="363"/>
        <v>0</v>
      </c>
      <c r="BA234" s="13">
        <f t="shared" si="363"/>
        <v>0</v>
      </c>
      <c r="BB234" s="54">
        <f t="shared" si="293"/>
        <v>0</v>
      </c>
    </row>
    <row r="235" spans="1:54" s="35" customFormat="1" outlineLevel="1" x14ac:dyDescent="0.3">
      <c r="A235" s="39" t="s">
        <v>413</v>
      </c>
      <c r="B235" s="39"/>
      <c r="C235" s="43">
        <f>C234/C232</f>
        <v>0.53898431665421953</v>
      </c>
      <c r="D235" s="43">
        <f t="shared" ref="D235" si="364">D234/D232</f>
        <v>0.55912752697978418</v>
      </c>
      <c r="E235" s="43">
        <f t="shared" ref="E235" si="365">E234/E232</f>
        <v>0.60431539263656053</v>
      </c>
      <c r="F235" s="43">
        <f t="shared" ref="F235" si="366">F234/F232</f>
        <v>0.61641423036280385</v>
      </c>
      <c r="G235" s="43">
        <f t="shared" ref="G235" si="367">G234/G232</f>
        <v>0.63705015849338054</v>
      </c>
      <c r="H235" s="43">
        <f t="shared" ref="H235" si="368">H234/H232</f>
        <v>0.66980588122237172</v>
      </c>
      <c r="I235" s="43">
        <f t="shared" ref="I235" si="369">I234/I232</f>
        <v>0.66745913818722136</v>
      </c>
      <c r="J235" s="43">
        <f t="shared" ref="J235" si="370">J234/J232</f>
        <v>0.5626065882775334</v>
      </c>
      <c r="K235" s="43">
        <f t="shared" ref="K235" si="371">K234/K232</f>
        <v>0.65477348902584065</v>
      </c>
      <c r="L235" s="43"/>
      <c r="M235" s="43"/>
      <c r="N235" s="43"/>
      <c r="O235" s="43"/>
      <c r="P235" s="43"/>
      <c r="Q235" s="43"/>
      <c r="V235" s="59"/>
      <c r="W235" s="59"/>
      <c r="X235" s="59"/>
      <c r="Y235" s="59"/>
      <c r="Z235" s="59"/>
      <c r="AA235" s="59"/>
      <c r="AD235" s="39"/>
      <c r="AE235" s="39"/>
      <c r="AF235" s="40"/>
      <c r="AG235" s="40"/>
      <c r="AH235" s="40"/>
      <c r="AI235" s="40"/>
      <c r="AJ235" s="40"/>
      <c r="AK235" s="40"/>
      <c r="AL235" s="40"/>
      <c r="AM235" s="58"/>
      <c r="AN235" s="40"/>
      <c r="AQ235" s="39"/>
      <c r="AR235" s="39"/>
      <c r="AS235" s="40"/>
      <c r="AT235" s="40"/>
      <c r="AU235" s="40"/>
      <c r="AV235" s="40"/>
      <c r="AW235" s="40"/>
      <c r="AX235" s="40"/>
      <c r="AY235" s="40"/>
      <c r="AZ235" s="40"/>
      <c r="BA235" s="40"/>
      <c r="BB235" s="60"/>
    </row>
    <row r="236" spans="1:54" outlineLevel="1" x14ac:dyDescent="0.3">
      <c r="A236" s="10" t="s">
        <v>393</v>
      </c>
      <c r="B236" s="10"/>
      <c r="C236" s="44">
        <v>1098</v>
      </c>
      <c r="D236" s="44">
        <f>'By Segment'!E143</f>
        <v>1062</v>
      </c>
      <c r="E236" s="44">
        <f>'By Segment'!F143</f>
        <v>1042</v>
      </c>
      <c r="F236" s="44">
        <f>'By Segment'!G143</f>
        <v>1018</v>
      </c>
      <c r="G236" s="44">
        <f>'By Segment'!H143</f>
        <v>944</v>
      </c>
      <c r="H236" s="44">
        <f>'By Segment'!I143</f>
        <v>905</v>
      </c>
      <c r="I236" s="44">
        <f>'By Segment'!J143</f>
        <v>868</v>
      </c>
      <c r="J236" s="44">
        <v>840</v>
      </c>
      <c r="K236" s="44">
        <f>'By Segment'!L143</f>
        <v>813</v>
      </c>
      <c r="L236" s="44"/>
      <c r="M236" s="44"/>
      <c r="N236" s="44"/>
      <c r="O236" s="44"/>
      <c r="P236" s="44"/>
      <c r="Q236" s="44"/>
      <c r="AD236" s="10" t="s">
        <v>393</v>
      </c>
      <c r="AE236" s="10"/>
      <c r="AF236" s="44">
        <v>1098</v>
      </c>
      <c r="AG236" s="44">
        <v>1062</v>
      </c>
      <c r="AH236" s="44">
        <v>1042</v>
      </c>
      <c r="AI236" s="44">
        <v>1018</v>
      </c>
      <c r="AJ236" s="44">
        <v>944</v>
      </c>
      <c r="AK236" s="44">
        <v>905</v>
      </c>
      <c r="AL236" s="44">
        <v>868</v>
      </c>
      <c r="AM236" s="44">
        <v>840</v>
      </c>
      <c r="AN236" s="44">
        <v>813</v>
      </c>
      <c r="AQ236" s="10" t="s">
        <v>393</v>
      </c>
      <c r="AR236" s="10"/>
      <c r="AS236" s="13">
        <f t="shared" ref="AS236:BA236" si="372">C236-AF236</f>
        <v>0</v>
      </c>
      <c r="AT236" s="13">
        <f t="shared" si="372"/>
        <v>0</v>
      </c>
      <c r="AU236" s="13">
        <f t="shared" si="372"/>
        <v>0</v>
      </c>
      <c r="AV236" s="13">
        <f t="shared" si="372"/>
        <v>0</v>
      </c>
      <c r="AW236" s="13">
        <f t="shared" si="372"/>
        <v>0</v>
      </c>
      <c r="AX236" s="13">
        <f t="shared" si="372"/>
        <v>0</v>
      </c>
      <c r="AY236" s="13">
        <f t="shared" si="372"/>
        <v>0</v>
      </c>
      <c r="AZ236" s="13">
        <f t="shared" si="372"/>
        <v>0</v>
      </c>
      <c r="BA236" s="13">
        <f t="shared" si="372"/>
        <v>0</v>
      </c>
      <c r="BB236" s="54">
        <f t="shared" si="293"/>
        <v>0</v>
      </c>
    </row>
    <row r="237" spans="1:54" s="35" customFormat="1" outlineLevel="1" x14ac:dyDescent="0.3">
      <c r="A237" s="39" t="s">
        <v>413</v>
      </c>
      <c r="B237" s="39"/>
      <c r="C237" s="43">
        <f>C236/C232</f>
        <v>8.200149365197909E-2</v>
      </c>
      <c r="D237" s="43">
        <f t="shared" ref="D237:K237" si="373">D236/D232</f>
        <v>8.0711354309165526E-2</v>
      </c>
      <c r="E237" s="43">
        <f t="shared" si="373"/>
        <v>8.3580652923718621E-2</v>
      </c>
      <c r="F237" s="43">
        <f t="shared" si="373"/>
        <v>8.9644240929904889E-2</v>
      </c>
      <c r="G237" s="43">
        <f t="shared" si="373"/>
        <v>8.8010441916837587E-2</v>
      </c>
      <c r="H237" s="43">
        <f t="shared" si="373"/>
        <v>8.6969056313665194E-2</v>
      </c>
      <c r="I237" s="43">
        <f t="shared" si="373"/>
        <v>8.5983159980188212E-2</v>
      </c>
      <c r="J237" s="43">
        <f t="shared" si="373"/>
        <v>7.5397181581545639E-2</v>
      </c>
      <c r="K237" s="43">
        <f t="shared" si="373"/>
        <v>8.7901394745377878E-2</v>
      </c>
      <c r="L237" s="43"/>
      <c r="M237" s="43"/>
      <c r="N237" s="43"/>
      <c r="O237" s="43"/>
      <c r="P237" s="43"/>
      <c r="Q237" s="43"/>
      <c r="V237" s="59"/>
      <c r="W237" s="59"/>
      <c r="X237" s="59"/>
      <c r="Y237" s="59"/>
      <c r="Z237" s="59"/>
      <c r="AA237" s="59"/>
      <c r="AD237" s="39"/>
      <c r="AE237" s="39"/>
      <c r="AF237" s="40"/>
      <c r="AG237" s="40"/>
      <c r="AH237" s="40"/>
      <c r="AI237" s="40"/>
      <c r="AJ237" s="40"/>
      <c r="AK237" s="40"/>
      <c r="AL237" s="40"/>
      <c r="AM237" s="58"/>
      <c r="AN237" s="40"/>
      <c r="AQ237" s="39"/>
      <c r="AR237" s="39"/>
      <c r="AS237" s="40"/>
      <c r="AT237" s="40"/>
      <c r="AU237" s="40"/>
      <c r="AV237" s="40"/>
      <c r="AW237" s="40"/>
      <c r="AX237" s="40"/>
      <c r="AY237" s="40"/>
      <c r="AZ237" s="40"/>
      <c r="BA237" s="40"/>
      <c r="BB237" s="60"/>
    </row>
    <row r="238" spans="1:54" outlineLevel="1" x14ac:dyDescent="0.3">
      <c r="A238" s="10" t="s">
        <v>423</v>
      </c>
      <c r="B238" s="10"/>
      <c r="C238" s="44">
        <f t="shared" ref="C238" si="374">C248-C234-C236-C240-C242-C244-C246</f>
        <v>-326</v>
      </c>
      <c r="D238" s="44">
        <f t="shared" ref="D238" si="375">D248-D234-D236-D240-D242-D244-D246</f>
        <v>-410</v>
      </c>
      <c r="E238" s="44">
        <f t="shared" ref="E238" si="376">E248-E234-E236-E240-E242-E244-E246</f>
        <v>-281</v>
      </c>
      <c r="F238" s="44">
        <f t="shared" ref="F238" si="377">F248-F234-F236-F240-F242-F244-F246</f>
        <v>-82</v>
      </c>
      <c r="G238" s="44">
        <f t="shared" ref="G238" si="378">G248-G234-G236-G240-G242-G244-G246</f>
        <v>-36</v>
      </c>
      <c r="H238" s="44">
        <f t="shared" ref="H238" si="379">H248-H234-H236-H240-H242-H244-H246</f>
        <v>-28</v>
      </c>
      <c r="I238" s="44">
        <f t="shared" ref="I238" si="380">I248-I234-I236-I240-I242-I244-I246</f>
        <v>-39</v>
      </c>
      <c r="J238" s="44">
        <f t="shared" ref="J238" si="381">J248-J234-J236-J240-J242-J244-J246</f>
        <v>-33</v>
      </c>
      <c r="K238" s="44">
        <v>-28</v>
      </c>
      <c r="L238" s="44"/>
      <c r="M238" s="44"/>
      <c r="N238" s="44"/>
      <c r="O238" s="44"/>
      <c r="P238" s="44"/>
      <c r="Q238" s="44"/>
      <c r="AD238" s="10" t="s">
        <v>423</v>
      </c>
      <c r="AE238" s="10"/>
      <c r="AF238" s="44">
        <v>-326</v>
      </c>
      <c r="AG238" s="44">
        <v>-410</v>
      </c>
      <c r="AH238" s="44">
        <v>-281</v>
      </c>
      <c r="AI238" s="44">
        <v>-82</v>
      </c>
      <c r="AJ238" s="44">
        <v>-36</v>
      </c>
      <c r="AK238" s="44">
        <v>-28</v>
      </c>
      <c r="AL238" s="44">
        <v>-39</v>
      </c>
      <c r="AM238" s="44">
        <v>-33</v>
      </c>
      <c r="AN238" s="44">
        <v>-28</v>
      </c>
      <c r="AQ238" s="10" t="s">
        <v>423</v>
      </c>
      <c r="AR238" s="10"/>
      <c r="AS238" s="13">
        <f t="shared" ref="AS238:BA238" si="382">C238-AF238</f>
        <v>0</v>
      </c>
      <c r="AT238" s="13">
        <f t="shared" si="382"/>
        <v>0</v>
      </c>
      <c r="AU238" s="13">
        <f t="shared" si="382"/>
        <v>0</v>
      </c>
      <c r="AV238" s="13">
        <f t="shared" si="382"/>
        <v>0</v>
      </c>
      <c r="AW238" s="13">
        <f t="shared" si="382"/>
        <v>0</v>
      </c>
      <c r="AX238" s="13">
        <f t="shared" si="382"/>
        <v>0</v>
      </c>
      <c r="AY238" s="13">
        <f t="shared" si="382"/>
        <v>0</v>
      </c>
      <c r="AZ238" s="13">
        <f t="shared" si="382"/>
        <v>0</v>
      </c>
      <c r="BA238" s="13">
        <f t="shared" si="382"/>
        <v>0</v>
      </c>
      <c r="BB238" s="54">
        <f t="shared" si="293"/>
        <v>0</v>
      </c>
    </row>
    <row r="239" spans="1:54" s="35" customFormat="1" outlineLevel="1" x14ac:dyDescent="0.3">
      <c r="A239" s="39" t="s">
        <v>413</v>
      </c>
      <c r="B239" s="39"/>
      <c r="C239" s="43">
        <f>C238/C232</f>
        <v>-2.4346527259148619E-2</v>
      </c>
      <c r="D239" s="43">
        <f t="shared" ref="D239:K239" si="383">D238/D232</f>
        <v>-3.1159750721994225E-2</v>
      </c>
      <c r="E239" s="43">
        <f t="shared" si="383"/>
        <v>-2.2539504291329109E-2</v>
      </c>
      <c r="F239" s="43">
        <f t="shared" si="383"/>
        <v>-7.2208524128214158E-3</v>
      </c>
      <c r="G239" s="43">
        <f t="shared" si="383"/>
        <v>-3.3563304120827896E-3</v>
      </c>
      <c r="H239" s="43">
        <f t="shared" si="383"/>
        <v>-2.6907553334614646E-3</v>
      </c>
      <c r="I239" s="43">
        <f t="shared" si="383"/>
        <v>-3.8632986627043092E-3</v>
      </c>
      <c r="J239" s="43">
        <f t="shared" si="383"/>
        <v>-2.9620321335607218E-3</v>
      </c>
      <c r="K239" s="43">
        <f t="shared" si="383"/>
        <v>-3.0273543085738998E-3</v>
      </c>
      <c r="L239" s="43"/>
      <c r="M239" s="43"/>
      <c r="N239" s="43"/>
      <c r="O239" s="43"/>
      <c r="P239" s="43"/>
      <c r="Q239" s="43"/>
      <c r="V239" s="59"/>
      <c r="W239" s="59"/>
      <c r="X239" s="59"/>
      <c r="Y239" s="59"/>
      <c r="Z239" s="59"/>
      <c r="AA239" s="59"/>
      <c r="AD239" s="39"/>
      <c r="AE239" s="39"/>
      <c r="AF239" s="40"/>
      <c r="AG239" s="40"/>
      <c r="AH239" s="40"/>
      <c r="AI239" s="40"/>
      <c r="AJ239" s="40"/>
      <c r="AK239" s="40"/>
      <c r="AL239" s="40"/>
      <c r="AM239" s="58"/>
      <c r="AN239" s="40"/>
      <c r="AQ239" s="39"/>
      <c r="AR239" s="39"/>
      <c r="AS239" s="40"/>
      <c r="AT239" s="40"/>
      <c r="AU239" s="40"/>
      <c r="AV239" s="40"/>
      <c r="AW239" s="40"/>
      <c r="AX239" s="40"/>
      <c r="AY239" s="40"/>
      <c r="AZ239" s="40"/>
      <c r="BA239" s="40"/>
      <c r="BB239" s="60"/>
    </row>
    <row r="240" spans="1:54" outlineLevel="1" x14ac:dyDescent="0.3">
      <c r="A240" s="10" t="s">
        <v>392</v>
      </c>
      <c r="B240" s="10"/>
      <c r="C240" s="44">
        <f>'By Segment'!D142</f>
        <v>444</v>
      </c>
      <c r="D240" s="44">
        <f>'By Segment'!E142</f>
        <v>577</v>
      </c>
      <c r="E240" s="44">
        <f>'By Segment'!F142</f>
        <v>736</v>
      </c>
      <c r="F240" s="44">
        <f>'By Segment'!G142</f>
        <v>302</v>
      </c>
      <c r="G240" s="44">
        <f>'By Segment'!H142</f>
        <v>332</v>
      </c>
      <c r="H240" s="44">
        <f>'By Segment'!I142</f>
        <v>299</v>
      </c>
      <c r="I240" s="44">
        <f>'By Segment'!J142</f>
        <v>370</v>
      </c>
      <c r="J240" s="44">
        <f>'By Segment'!K142</f>
        <v>257</v>
      </c>
      <c r="K240" s="44">
        <f>'By Segment'!L142</f>
        <v>192</v>
      </c>
      <c r="L240" s="44"/>
      <c r="M240" s="44"/>
      <c r="N240" s="44"/>
      <c r="O240" s="44"/>
      <c r="P240" s="44"/>
      <c r="Q240" s="44"/>
      <c r="AD240" s="10" t="s">
        <v>392</v>
      </c>
      <c r="AE240" s="10"/>
      <c r="AF240" s="44">
        <v>444</v>
      </c>
      <c r="AG240" s="44">
        <v>577</v>
      </c>
      <c r="AH240" s="44">
        <v>736</v>
      </c>
      <c r="AI240" s="44">
        <v>302</v>
      </c>
      <c r="AJ240" s="44">
        <v>332</v>
      </c>
      <c r="AK240" s="44">
        <v>299</v>
      </c>
      <c r="AL240" s="44">
        <v>370</v>
      </c>
      <c r="AM240" s="44">
        <v>257</v>
      </c>
      <c r="AN240" s="44">
        <v>192</v>
      </c>
      <c r="AQ240" s="10" t="s">
        <v>392</v>
      </c>
      <c r="AR240" s="10"/>
      <c r="AS240" s="13">
        <f t="shared" ref="AS240:BA240" si="384">C240-AF240</f>
        <v>0</v>
      </c>
      <c r="AT240" s="13">
        <f t="shared" si="384"/>
        <v>0</v>
      </c>
      <c r="AU240" s="13">
        <f t="shared" si="384"/>
        <v>0</v>
      </c>
      <c r="AV240" s="13">
        <f t="shared" si="384"/>
        <v>0</v>
      </c>
      <c r="AW240" s="13">
        <f t="shared" si="384"/>
        <v>0</v>
      </c>
      <c r="AX240" s="13">
        <f t="shared" si="384"/>
        <v>0</v>
      </c>
      <c r="AY240" s="13">
        <f t="shared" si="384"/>
        <v>0</v>
      </c>
      <c r="AZ240" s="13">
        <f t="shared" si="384"/>
        <v>0</v>
      </c>
      <c r="BA240" s="13">
        <f t="shared" si="384"/>
        <v>0</v>
      </c>
      <c r="BB240" s="54">
        <f t="shared" si="293"/>
        <v>0</v>
      </c>
    </row>
    <row r="241" spans="1:54" s="35" customFormat="1" outlineLevel="1" x14ac:dyDescent="0.3">
      <c r="A241" s="39" t="s">
        <v>413</v>
      </c>
      <c r="B241" s="39"/>
      <c r="C241" s="43">
        <f>C240/C232</f>
        <v>3.3159073935772963E-2</v>
      </c>
      <c r="D241" s="43">
        <f t="shared" ref="D241:K241" si="385">D240/D232</f>
        <v>4.3851649186806507E-2</v>
      </c>
      <c r="E241" s="43">
        <f t="shared" si="385"/>
        <v>5.9035854656292609E-2</v>
      </c>
      <c r="F241" s="43">
        <f t="shared" si="385"/>
        <v>2.6593871081366679E-2</v>
      </c>
      <c r="G241" s="43">
        <f t="shared" si="385"/>
        <v>3.0952824911430171E-2</v>
      </c>
      <c r="H241" s="43">
        <f t="shared" si="385"/>
        <v>2.8733423025177781E-2</v>
      </c>
      <c r="I241" s="43">
        <f t="shared" si="385"/>
        <v>3.6651807825656267E-2</v>
      </c>
      <c r="J241" s="43">
        <f t="shared" si="385"/>
        <v>2.3067947221972893E-2</v>
      </c>
      <c r="K241" s="43">
        <f t="shared" si="385"/>
        <v>2.075900097307817E-2</v>
      </c>
      <c r="L241" s="43"/>
      <c r="M241" s="43"/>
      <c r="N241" s="43"/>
      <c r="O241" s="43"/>
      <c r="P241" s="43"/>
      <c r="Q241" s="43"/>
      <c r="V241" s="59"/>
      <c r="W241" s="59"/>
      <c r="X241" s="59"/>
      <c r="Y241" s="59"/>
      <c r="Z241" s="59"/>
      <c r="AA241" s="59"/>
      <c r="AD241" s="39"/>
      <c r="AE241" s="39"/>
      <c r="AF241" s="40"/>
      <c r="AG241" s="40"/>
      <c r="AH241" s="40"/>
      <c r="AI241" s="40"/>
      <c r="AJ241" s="40"/>
      <c r="AK241" s="40"/>
      <c r="AL241" s="40"/>
      <c r="AM241" s="58"/>
      <c r="AN241" s="40"/>
      <c r="AQ241" s="39"/>
      <c r="AR241" s="39"/>
      <c r="AS241" s="40"/>
      <c r="AT241" s="40"/>
      <c r="AU241" s="40"/>
      <c r="AV241" s="40"/>
      <c r="AW241" s="40"/>
      <c r="AX241" s="40"/>
      <c r="AY241" s="40"/>
      <c r="AZ241" s="40"/>
      <c r="BA241" s="40"/>
      <c r="BB241" s="60"/>
    </row>
    <row r="242" spans="1:54" outlineLevel="1" x14ac:dyDescent="0.3">
      <c r="A242" s="10" t="s">
        <v>424</v>
      </c>
      <c r="B242" s="10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AD242" s="10" t="s">
        <v>424</v>
      </c>
      <c r="AE242" s="10"/>
      <c r="AF242" s="53"/>
      <c r="AG242" s="53"/>
      <c r="AH242" s="53"/>
      <c r="AI242" s="53"/>
      <c r="AJ242" s="53"/>
      <c r="AK242" s="53"/>
      <c r="AL242" s="53"/>
      <c r="AM242" s="53"/>
      <c r="AN242" s="53"/>
      <c r="AQ242" s="10" t="s">
        <v>424</v>
      </c>
      <c r="AR242" s="10"/>
      <c r="AS242" s="13">
        <f t="shared" ref="AS242:BA242" si="386">C242-AF242</f>
        <v>0</v>
      </c>
      <c r="AT242" s="13">
        <f t="shared" si="386"/>
        <v>0</v>
      </c>
      <c r="AU242" s="13">
        <f t="shared" si="386"/>
        <v>0</v>
      </c>
      <c r="AV242" s="13">
        <f t="shared" si="386"/>
        <v>0</v>
      </c>
      <c r="AW242" s="13">
        <f t="shared" si="386"/>
        <v>0</v>
      </c>
      <c r="AX242" s="13">
        <f t="shared" si="386"/>
        <v>0</v>
      </c>
      <c r="AY242" s="13">
        <f t="shared" si="386"/>
        <v>0</v>
      </c>
      <c r="AZ242" s="13">
        <f t="shared" si="386"/>
        <v>0</v>
      </c>
      <c r="BA242" s="13">
        <f t="shared" si="386"/>
        <v>0</v>
      </c>
      <c r="BB242" s="54">
        <f t="shared" si="293"/>
        <v>0</v>
      </c>
    </row>
    <row r="243" spans="1:54" s="35" customFormat="1" outlineLevel="1" x14ac:dyDescent="0.3">
      <c r="A243" s="39" t="s">
        <v>413</v>
      </c>
      <c r="B243" s="39"/>
      <c r="C243" s="43">
        <f>C242/C232</f>
        <v>0</v>
      </c>
      <c r="D243" s="43">
        <f t="shared" ref="D243:K243" si="387">D242/D232</f>
        <v>0</v>
      </c>
      <c r="E243" s="43">
        <f t="shared" si="387"/>
        <v>0</v>
      </c>
      <c r="F243" s="43">
        <f t="shared" si="387"/>
        <v>0</v>
      </c>
      <c r="G243" s="43">
        <f t="shared" si="387"/>
        <v>0</v>
      </c>
      <c r="H243" s="43">
        <f t="shared" si="387"/>
        <v>0</v>
      </c>
      <c r="I243" s="43">
        <f t="shared" si="387"/>
        <v>0</v>
      </c>
      <c r="J243" s="43">
        <f t="shared" si="387"/>
        <v>0</v>
      </c>
      <c r="K243" s="43">
        <f t="shared" si="387"/>
        <v>0</v>
      </c>
      <c r="L243" s="43"/>
      <c r="M243" s="43"/>
      <c r="N243" s="43"/>
      <c r="O243" s="43"/>
      <c r="P243" s="43"/>
      <c r="Q243" s="43"/>
      <c r="V243" s="59"/>
      <c r="W243" s="59"/>
      <c r="X243" s="59"/>
      <c r="Y243" s="59"/>
      <c r="Z243" s="59"/>
      <c r="AA243" s="59"/>
      <c r="AD243" s="39"/>
      <c r="AE243" s="39"/>
      <c r="AF243" s="40"/>
      <c r="AG243" s="40"/>
      <c r="AH243" s="40"/>
      <c r="AI243" s="40"/>
      <c r="AJ243" s="40"/>
      <c r="AK243" s="40"/>
      <c r="AL243" s="40"/>
      <c r="AM243" s="58"/>
      <c r="AN243" s="40"/>
      <c r="AQ243" s="39"/>
      <c r="AR243" s="39"/>
      <c r="AS243" s="40"/>
      <c r="AT243" s="40"/>
      <c r="AU243" s="40"/>
      <c r="AV243" s="40"/>
      <c r="AW243" s="40"/>
      <c r="AX243" s="40"/>
      <c r="AY243" s="40"/>
      <c r="AZ243" s="40"/>
      <c r="BA243" s="40"/>
      <c r="BB243" s="60"/>
    </row>
    <row r="244" spans="1:54" outlineLevel="1" x14ac:dyDescent="0.3">
      <c r="A244" s="10" t="s">
        <v>381</v>
      </c>
      <c r="B244" s="10"/>
      <c r="C244" s="44">
        <v>58</v>
      </c>
      <c r="D244" s="44">
        <f>'By Segment'!E130</f>
        <v>55</v>
      </c>
      <c r="E244" s="44">
        <f>'By Segment'!F130</f>
        <v>57</v>
      </c>
      <c r="F244" s="44">
        <f>'By Segment'!G130</f>
        <v>24</v>
      </c>
      <c r="G244" s="44">
        <f>'By Segment'!H130</f>
        <v>9</v>
      </c>
      <c r="H244" s="44">
        <f>'By Segment'!I130</f>
        <v>8</v>
      </c>
      <c r="I244" s="44">
        <f>'By Segment'!J130</f>
        <v>6</v>
      </c>
      <c r="J244" s="44">
        <f>'By Segment'!K130</f>
        <v>5</v>
      </c>
      <c r="K244" s="44">
        <v>8</v>
      </c>
      <c r="L244" s="44"/>
      <c r="M244" s="44"/>
      <c r="N244" s="44"/>
      <c r="O244" s="44"/>
      <c r="P244" s="44"/>
      <c r="Q244" s="44"/>
      <c r="AD244" s="10" t="s">
        <v>381</v>
      </c>
      <c r="AE244" s="10"/>
      <c r="AF244" s="44">
        <v>58</v>
      </c>
      <c r="AG244" s="44">
        <v>55</v>
      </c>
      <c r="AH244" s="44">
        <v>57</v>
      </c>
      <c r="AI244" s="44">
        <v>24</v>
      </c>
      <c r="AJ244" s="44">
        <v>9</v>
      </c>
      <c r="AK244" s="44">
        <v>8</v>
      </c>
      <c r="AL244" s="44">
        <v>6</v>
      </c>
      <c r="AM244" s="44">
        <v>5</v>
      </c>
      <c r="AN244" s="44">
        <v>8</v>
      </c>
      <c r="AQ244" s="10" t="s">
        <v>381</v>
      </c>
      <c r="AR244" s="10"/>
      <c r="AS244" s="13">
        <f t="shared" ref="AS244:BA244" si="388">C244-AF244</f>
        <v>0</v>
      </c>
      <c r="AT244" s="13">
        <f t="shared" si="388"/>
        <v>0</v>
      </c>
      <c r="AU244" s="13">
        <f t="shared" si="388"/>
        <v>0</v>
      </c>
      <c r="AV244" s="13">
        <f t="shared" si="388"/>
        <v>0</v>
      </c>
      <c r="AW244" s="13">
        <f t="shared" si="388"/>
        <v>0</v>
      </c>
      <c r="AX244" s="13">
        <f t="shared" si="388"/>
        <v>0</v>
      </c>
      <c r="AY244" s="13">
        <f t="shared" si="388"/>
        <v>0</v>
      </c>
      <c r="AZ244" s="13">
        <f t="shared" si="388"/>
        <v>0</v>
      </c>
      <c r="BA244" s="13">
        <f t="shared" si="388"/>
        <v>0</v>
      </c>
      <c r="BB244" s="54">
        <f t="shared" si="293"/>
        <v>0</v>
      </c>
    </row>
    <row r="245" spans="1:54" s="35" customFormat="1" outlineLevel="1" x14ac:dyDescent="0.3">
      <c r="A245" s="39" t="s">
        <v>413</v>
      </c>
      <c r="B245" s="39"/>
      <c r="C245" s="43">
        <f>C244/C232</f>
        <v>4.3315907393577293E-3</v>
      </c>
      <c r="D245" s="43">
        <f t="shared" ref="D245:K245" si="389">D244/D232</f>
        <v>4.1799665602675175E-3</v>
      </c>
      <c r="E245" s="43">
        <f t="shared" si="389"/>
        <v>4.5720702655009226E-3</v>
      </c>
      <c r="F245" s="43">
        <f t="shared" si="389"/>
        <v>2.1134202183867557E-3</v>
      </c>
      <c r="G245" s="43">
        <f t="shared" si="389"/>
        <v>8.390826030206974E-4</v>
      </c>
      <c r="H245" s="43">
        <f t="shared" si="389"/>
        <v>7.6878723813184697E-4</v>
      </c>
      <c r="I245" s="43">
        <f t="shared" si="389"/>
        <v>5.943536404160475E-4</v>
      </c>
      <c r="J245" s="43">
        <f t="shared" si="389"/>
        <v>4.4879274750920026E-4</v>
      </c>
      <c r="K245" s="43">
        <f t="shared" si="389"/>
        <v>8.6495837387825711E-4</v>
      </c>
      <c r="L245" s="43"/>
      <c r="M245" s="43"/>
      <c r="N245" s="43"/>
      <c r="O245" s="43"/>
      <c r="P245" s="43"/>
      <c r="Q245" s="43"/>
      <c r="V245" s="59"/>
      <c r="W245" s="59"/>
      <c r="X245" s="59"/>
      <c r="Y245" s="59"/>
      <c r="Z245" s="59"/>
      <c r="AA245" s="59"/>
      <c r="AD245" s="39"/>
      <c r="AE245" s="39"/>
      <c r="AF245" s="40"/>
      <c r="AG245" s="40"/>
      <c r="AH245" s="40"/>
      <c r="AI245" s="40"/>
      <c r="AJ245" s="40"/>
      <c r="AK245" s="40"/>
      <c r="AL245" s="40"/>
      <c r="AM245" s="58"/>
      <c r="AN245" s="40"/>
      <c r="AQ245" s="39"/>
      <c r="AR245" s="39"/>
      <c r="AS245" s="40"/>
      <c r="AT245" s="40"/>
      <c r="AU245" s="40"/>
      <c r="AV245" s="40"/>
      <c r="AW245" s="40"/>
      <c r="AX245" s="40"/>
      <c r="AY245" s="40"/>
      <c r="AZ245" s="40"/>
      <c r="BA245" s="40"/>
      <c r="BB245" s="60"/>
    </row>
    <row r="246" spans="1:54" outlineLevel="1" x14ac:dyDescent="0.3">
      <c r="A246" s="10" t="s">
        <v>388</v>
      </c>
      <c r="B246" s="10"/>
      <c r="C246" s="44">
        <v>2670</v>
      </c>
      <c r="D246" s="44">
        <v>2694</v>
      </c>
      <c r="E246" s="44">
        <f>'By Segment'!F138</f>
        <v>2392</v>
      </c>
      <c r="F246" s="44">
        <f>'By Segment'!G138</f>
        <v>1365</v>
      </c>
      <c r="G246" s="44">
        <f>'By Segment'!H138</f>
        <v>1081</v>
      </c>
      <c r="H246" s="44">
        <f>'By Segment'!I138</f>
        <v>969</v>
      </c>
      <c r="I246" s="44">
        <f>'By Segment'!J138</f>
        <v>942</v>
      </c>
      <c r="J246" s="44">
        <f>'By Segment'!K138</f>
        <v>992</v>
      </c>
      <c r="K246" s="44">
        <f>'By Segment'!L138</f>
        <v>953</v>
      </c>
      <c r="L246" s="44"/>
      <c r="M246" s="44"/>
      <c r="N246" s="44"/>
      <c r="O246" s="44"/>
      <c r="P246" s="44"/>
      <c r="Q246" s="44"/>
      <c r="AD246" s="10" t="s">
        <v>388</v>
      </c>
      <c r="AE246" s="10"/>
      <c r="AF246" s="44">
        <v>2670</v>
      </c>
      <c r="AG246" s="44">
        <v>2694</v>
      </c>
      <c r="AH246" s="44">
        <v>2392</v>
      </c>
      <c r="AI246" s="44">
        <v>1365</v>
      </c>
      <c r="AJ246" s="44">
        <v>1081</v>
      </c>
      <c r="AK246" s="44">
        <v>969</v>
      </c>
      <c r="AL246" s="44">
        <v>942</v>
      </c>
      <c r="AM246" s="44">
        <v>992</v>
      </c>
      <c r="AN246" s="44">
        <v>953</v>
      </c>
      <c r="AQ246" s="10" t="s">
        <v>388</v>
      </c>
      <c r="AR246" s="10"/>
      <c r="AS246" s="13">
        <f t="shared" ref="AS246:BA246" si="390">C246-AF246</f>
        <v>0</v>
      </c>
      <c r="AT246" s="13">
        <f t="shared" si="390"/>
        <v>0</v>
      </c>
      <c r="AU246" s="13">
        <f t="shared" si="390"/>
        <v>0</v>
      </c>
      <c r="AV246" s="13">
        <f t="shared" si="390"/>
        <v>0</v>
      </c>
      <c r="AW246" s="13">
        <f t="shared" si="390"/>
        <v>0</v>
      </c>
      <c r="AX246" s="13">
        <f t="shared" si="390"/>
        <v>0</v>
      </c>
      <c r="AY246" s="13">
        <f t="shared" si="390"/>
        <v>0</v>
      </c>
      <c r="AZ246" s="13">
        <f t="shared" si="390"/>
        <v>0</v>
      </c>
      <c r="BA246" s="13">
        <f t="shared" si="390"/>
        <v>0</v>
      </c>
      <c r="BB246" s="54">
        <f t="shared" si="293"/>
        <v>0</v>
      </c>
    </row>
    <row r="247" spans="1:54" s="35" customFormat="1" outlineLevel="1" x14ac:dyDescent="0.3">
      <c r="A247" s="39" t="s">
        <v>413</v>
      </c>
      <c r="B247" s="39"/>
      <c r="C247" s="43">
        <f>C246/C232</f>
        <v>0.19940253920836445</v>
      </c>
      <c r="D247" s="43">
        <f t="shared" ref="D247:K247" si="391">D246/D232</f>
        <v>0.20474236206110352</v>
      </c>
      <c r="E247" s="43">
        <f t="shared" si="391"/>
        <v>0.19186652763295098</v>
      </c>
      <c r="F247" s="43">
        <f t="shared" si="391"/>
        <v>0.12020077492074674</v>
      </c>
      <c r="G247" s="43">
        <f t="shared" si="391"/>
        <v>0.10078314376281931</v>
      </c>
      <c r="H247" s="43">
        <f t="shared" si="391"/>
        <v>9.3119354218719974E-2</v>
      </c>
      <c r="I247" s="43">
        <f t="shared" si="391"/>
        <v>9.3313521545319467E-2</v>
      </c>
      <c r="J247" s="43">
        <f t="shared" si="391"/>
        <v>8.9040481105825325E-2</v>
      </c>
      <c r="K247" s="43">
        <f t="shared" si="391"/>
        <v>0.10303816628824738</v>
      </c>
      <c r="L247" s="43"/>
      <c r="M247" s="43"/>
      <c r="N247" s="43"/>
      <c r="O247" s="43"/>
      <c r="P247" s="43"/>
      <c r="Q247" s="43"/>
      <c r="V247" s="59"/>
      <c r="W247" s="59"/>
      <c r="X247" s="59"/>
      <c r="Y247" s="59"/>
      <c r="Z247" s="59"/>
      <c r="AA247" s="59"/>
      <c r="AD247" s="39"/>
      <c r="AE247" s="39"/>
      <c r="AF247" s="40"/>
      <c r="AG247" s="40"/>
      <c r="AH247" s="40"/>
      <c r="AI247" s="40"/>
      <c r="AJ247" s="40"/>
      <c r="AK247" s="40"/>
      <c r="AL247" s="40"/>
      <c r="AM247" s="58"/>
      <c r="AN247" s="40"/>
      <c r="AQ247" s="39"/>
      <c r="AR247" s="39"/>
      <c r="AS247" s="40"/>
      <c r="AT247" s="40"/>
      <c r="AU247" s="40"/>
      <c r="AV247" s="40"/>
      <c r="AW247" s="40"/>
      <c r="AX247" s="40"/>
      <c r="AY247" s="40"/>
      <c r="AZ247" s="40"/>
      <c r="BA247" s="40"/>
      <c r="BB247" s="60"/>
    </row>
    <row r="248" spans="1:54" s="49" customFormat="1" outlineLevel="1" x14ac:dyDescent="0.3">
      <c r="A248" s="47" t="s">
        <v>389</v>
      </c>
      <c r="B248" s="47"/>
      <c r="C248" s="52">
        <v>11161</v>
      </c>
      <c r="D248" s="52">
        <v>11335</v>
      </c>
      <c r="E248" s="52">
        <v>11480</v>
      </c>
      <c r="F248" s="52">
        <f>'By Segment'!G139</f>
        <v>9627</v>
      </c>
      <c r="G248" s="52">
        <f>'By Segment'!H139</f>
        <v>9163</v>
      </c>
      <c r="H248" s="52">
        <f>'By Segment'!I139</f>
        <v>9123</v>
      </c>
      <c r="I248" s="52">
        <f>'By Segment'!J139</f>
        <v>8885</v>
      </c>
      <c r="J248" s="52">
        <f>'By Segment'!K139</f>
        <v>8329</v>
      </c>
      <c r="K248" s="52">
        <f>'By Segment'!L139</f>
        <v>7994</v>
      </c>
      <c r="L248" s="52"/>
      <c r="M248" s="52"/>
      <c r="N248" s="52"/>
      <c r="O248" s="52"/>
      <c r="P248" s="52"/>
      <c r="Q248" s="52"/>
      <c r="V248" s="55"/>
      <c r="W248" s="55"/>
      <c r="X248" s="55"/>
      <c r="Z248" s="55"/>
      <c r="AD248" s="47" t="s">
        <v>389</v>
      </c>
      <c r="AE248" s="47"/>
      <c r="AF248" s="52">
        <v>11161</v>
      </c>
      <c r="AG248" s="52">
        <v>11335</v>
      </c>
      <c r="AH248" s="52">
        <v>11480</v>
      </c>
      <c r="AI248" s="52">
        <v>9627</v>
      </c>
      <c r="AJ248" s="52">
        <v>9163</v>
      </c>
      <c r="AK248" s="52">
        <v>9123</v>
      </c>
      <c r="AL248" s="52">
        <v>8885</v>
      </c>
      <c r="AM248" s="52">
        <v>8329</v>
      </c>
      <c r="AN248" s="52">
        <v>7994</v>
      </c>
      <c r="AQ248" s="47" t="s">
        <v>389</v>
      </c>
      <c r="AR248" s="47"/>
      <c r="AS248" s="13">
        <f t="shared" ref="AS248:BA248" si="392">C248-AF248</f>
        <v>0</v>
      </c>
      <c r="AT248" s="13">
        <f t="shared" si="392"/>
        <v>0</v>
      </c>
      <c r="AU248" s="13">
        <f t="shared" si="392"/>
        <v>0</v>
      </c>
      <c r="AV248" s="13">
        <f t="shared" si="392"/>
        <v>0</v>
      </c>
      <c r="AW248" s="13">
        <f t="shared" si="392"/>
        <v>0</v>
      </c>
      <c r="AX248" s="13">
        <f t="shared" si="392"/>
        <v>0</v>
      </c>
      <c r="AY248" s="13">
        <f t="shared" si="392"/>
        <v>0</v>
      </c>
      <c r="AZ248" s="13">
        <f t="shared" si="392"/>
        <v>0</v>
      </c>
      <c r="BA248" s="13">
        <f t="shared" si="392"/>
        <v>0</v>
      </c>
      <c r="BB248" s="54">
        <f t="shared" si="293"/>
        <v>0</v>
      </c>
    </row>
    <row r="249" spans="1:54" s="35" customFormat="1" outlineLevel="1" x14ac:dyDescent="0.3">
      <c r="A249" s="39" t="s">
        <v>413</v>
      </c>
      <c r="B249" s="39"/>
      <c r="C249" s="43">
        <f>C248/C232</f>
        <v>0.83353248693054516</v>
      </c>
      <c r="D249" s="43">
        <f t="shared" ref="D249:K249" si="393">D248/D232</f>
        <v>0.861453108375133</v>
      </c>
      <c r="E249" s="43">
        <f t="shared" si="393"/>
        <v>0.9208309938236946</v>
      </c>
      <c r="F249" s="43">
        <f t="shared" si="393"/>
        <v>0.8477456851003875</v>
      </c>
      <c r="G249" s="43">
        <f t="shared" si="393"/>
        <v>0.85427932127540551</v>
      </c>
      <c r="H249" s="43">
        <f t="shared" si="393"/>
        <v>0.87670574668460499</v>
      </c>
      <c r="I249" s="43">
        <f t="shared" si="393"/>
        <v>0.88013868251609706</v>
      </c>
      <c r="J249" s="43">
        <f t="shared" si="393"/>
        <v>0.74759895880082583</v>
      </c>
      <c r="K249" s="43">
        <f t="shared" si="393"/>
        <v>0.86430965509784841</v>
      </c>
      <c r="L249" s="43"/>
      <c r="M249" s="43"/>
      <c r="N249" s="43"/>
      <c r="O249" s="43"/>
      <c r="P249" s="43"/>
      <c r="Q249" s="43"/>
      <c r="V249" s="59"/>
      <c r="W249" s="59"/>
      <c r="X249" s="59"/>
      <c r="Y249" s="59"/>
      <c r="Z249" s="59"/>
      <c r="AA249" s="59"/>
      <c r="AD249" s="39"/>
      <c r="AE249" s="39"/>
      <c r="AF249" s="40"/>
      <c r="AG249" s="40"/>
      <c r="AH249" s="40"/>
      <c r="AI249" s="40"/>
      <c r="AJ249" s="40"/>
      <c r="AK249" s="40"/>
      <c r="AL249" s="40"/>
      <c r="AM249" s="58"/>
      <c r="AN249" s="40"/>
      <c r="AQ249" s="39"/>
      <c r="AR249" s="39"/>
      <c r="AS249" s="40"/>
      <c r="AT249" s="40"/>
      <c r="AU249" s="40"/>
      <c r="AV249" s="40"/>
      <c r="AW249" s="40"/>
      <c r="AX249" s="40"/>
      <c r="AY249" s="40"/>
      <c r="AZ249" s="40"/>
      <c r="BA249" s="40"/>
      <c r="BB249" s="60"/>
    </row>
    <row r="250" spans="1:54" outlineLevel="1" x14ac:dyDescent="0.3">
      <c r="A250" s="47"/>
      <c r="B250" s="10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AD250" s="47"/>
      <c r="AE250" s="10"/>
      <c r="AF250" s="44"/>
      <c r="AG250" s="44"/>
      <c r="AH250" s="44"/>
      <c r="AI250" s="44"/>
      <c r="AJ250" s="44"/>
      <c r="AK250" s="44"/>
      <c r="AL250" s="44"/>
      <c r="AM250" s="44"/>
      <c r="AN250" s="44"/>
      <c r="AQ250" s="47"/>
      <c r="AR250" s="10"/>
      <c r="AS250" s="13">
        <f t="shared" ref="AS250:BA251" si="394">C250-AF250</f>
        <v>0</v>
      </c>
      <c r="AT250" s="13">
        <f t="shared" si="394"/>
        <v>0</v>
      </c>
      <c r="AU250" s="13">
        <f t="shared" si="394"/>
        <v>0</v>
      </c>
      <c r="AV250" s="13">
        <f t="shared" si="394"/>
        <v>0</v>
      </c>
      <c r="AW250" s="13">
        <f t="shared" si="394"/>
        <v>0</v>
      </c>
      <c r="AX250" s="13">
        <f t="shared" si="394"/>
        <v>0</v>
      </c>
      <c r="AY250" s="13">
        <f t="shared" si="394"/>
        <v>0</v>
      </c>
      <c r="AZ250" s="13">
        <f t="shared" si="394"/>
        <v>0</v>
      </c>
      <c r="BA250" s="13">
        <f t="shared" si="394"/>
        <v>0</v>
      </c>
      <c r="BB250" s="54">
        <f t="shared" si="293"/>
        <v>0</v>
      </c>
    </row>
    <row r="251" spans="1:54" s="49" customFormat="1" outlineLevel="1" x14ac:dyDescent="0.3">
      <c r="A251" s="47" t="s">
        <v>379</v>
      </c>
      <c r="B251" s="47"/>
      <c r="C251" s="52">
        <f>C232-C248</f>
        <v>2229</v>
      </c>
      <c r="D251" s="52">
        <f t="shared" ref="D251:K251" si="395">D232-D248</f>
        <v>1823</v>
      </c>
      <c r="E251" s="52">
        <f t="shared" si="395"/>
        <v>987</v>
      </c>
      <c r="F251" s="52">
        <f t="shared" si="395"/>
        <v>1729</v>
      </c>
      <c r="G251" s="52">
        <f t="shared" si="395"/>
        <v>1563</v>
      </c>
      <c r="H251" s="52">
        <f t="shared" si="395"/>
        <v>1283</v>
      </c>
      <c r="I251" s="52">
        <f t="shared" si="395"/>
        <v>1210</v>
      </c>
      <c r="J251" s="52">
        <f t="shared" si="395"/>
        <v>2812</v>
      </c>
      <c r="K251" s="52">
        <f t="shared" si="395"/>
        <v>1255</v>
      </c>
      <c r="L251" s="52"/>
      <c r="M251" s="52"/>
      <c r="N251" s="52"/>
      <c r="O251" s="52"/>
      <c r="P251" s="52"/>
      <c r="Q251" s="52"/>
      <c r="V251" s="55"/>
      <c r="W251" s="55"/>
      <c r="X251" s="55"/>
      <c r="Z251" s="55"/>
      <c r="AD251" s="47" t="s">
        <v>379</v>
      </c>
      <c r="AE251" s="47"/>
      <c r="AF251" s="52">
        <v>2229</v>
      </c>
      <c r="AG251" s="52">
        <v>1823</v>
      </c>
      <c r="AH251" s="52">
        <v>987</v>
      </c>
      <c r="AI251" s="52">
        <v>1729</v>
      </c>
      <c r="AJ251" s="52">
        <v>1563</v>
      </c>
      <c r="AK251" s="52">
        <v>1283</v>
      </c>
      <c r="AL251" s="52">
        <v>1210</v>
      </c>
      <c r="AM251" s="52">
        <v>2812</v>
      </c>
      <c r="AN251" s="52">
        <v>1255</v>
      </c>
      <c r="AQ251" s="47" t="s">
        <v>379</v>
      </c>
      <c r="AR251" s="47"/>
      <c r="AS251" s="13">
        <f t="shared" si="394"/>
        <v>0</v>
      </c>
      <c r="AT251" s="13">
        <f t="shared" si="394"/>
        <v>0</v>
      </c>
      <c r="AU251" s="13">
        <f t="shared" si="394"/>
        <v>0</v>
      </c>
      <c r="AV251" s="13">
        <f t="shared" si="394"/>
        <v>0</v>
      </c>
      <c r="AW251" s="13">
        <f t="shared" si="394"/>
        <v>0</v>
      </c>
      <c r="AX251" s="13">
        <f t="shared" si="394"/>
        <v>0</v>
      </c>
      <c r="AY251" s="13">
        <f t="shared" si="394"/>
        <v>0</v>
      </c>
      <c r="AZ251" s="13">
        <f t="shared" si="394"/>
        <v>0</v>
      </c>
      <c r="BA251" s="13">
        <f t="shared" si="394"/>
        <v>0</v>
      </c>
      <c r="BB251" s="54">
        <f t="shared" si="293"/>
        <v>0</v>
      </c>
    </row>
    <row r="252" spans="1:54" s="35" customFormat="1" outlineLevel="1" x14ac:dyDescent="0.3">
      <c r="A252" s="39" t="s">
        <v>413</v>
      </c>
      <c r="B252" s="39"/>
      <c r="C252" s="43">
        <f>C251/C232</f>
        <v>0.16646751306945481</v>
      </c>
      <c r="D252" s="43">
        <f t="shared" ref="D252:K252" si="396">D251/D232</f>
        <v>0.138546891624867</v>
      </c>
      <c r="E252" s="43">
        <f t="shared" si="396"/>
        <v>7.9169006176305443E-2</v>
      </c>
      <c r="F252" s="43">
        <f t="shared" si="396"/>
        <v>0.15225431489961255</v>
      </c>
      <c r="G252" s="43">
        <f t="shared" si="396"/>
        <v>0.14572067872459443</v>
      </c>
      <c r="H252" s="43">
        <f t="shared" si="396"/>
        <v>0.12329425331539497</v>
      </c>
      <c r="I252" s="43">
        <f t="shared" si="396"/>
        <v>0.11986131748390293</v>
      </c>
      <c r="J252" s="43">
        <f t="shared" si="396"/>
        <v>0.25240104119917423</v>
      </c>
      <c r="K252" s="43">
        <f t="shared" si="396"/>
        <v>0.13569034490215159</v>
      </c>
      <c r="L252" s="43"/>
      <c r="M252" s="43"/>
      <c r="N252" s="43"/>
      <c r="O252" s="43"/>
      <c r="P252" s="43"/>
      <c r="Q252" s="43"/>
      <c r="V252" s="59"/>
      <c r="W252" s="59"/>
      <c r="X252" s="59"/>
      <c r="Y252" s="59"/>
      <c r="Z252" s="59"/>
      <c r="AA252" s="59"/>
      <c r="AD252" s="39"/>
      <c r="AE252" s="39"/>
      <c r="AF252" s="40"/>
      <c r="AG252" s="40"/>
      <c r="AH252" s="40"/>
      <c r="AI252" s="40"/>
      <c r="AJ252" s="40"/>
      <c r="AK252" s="40"/>
      <c r="AL252" s="40"/>
      <c r="AM252" s="58"/>
      <c r="AN252" s="40"/>
      <c r="AQ252" s="39"/>
      <c r="AR252" s="39"/>
      <c r="AS252" s="40"/>
      <c r="AT252" s="40"/>
      <c r="AU252" s="40"/>
      <c r="AV252" s="40"/>
      <c r="AW252" s="40"/>
      <c r="AX252" s="40"/>
      <c r="AY252" s="40"/>
      <c r="AZ252" s="40"/>
      <c r="BA252" s="40"/>
      <c r="BB252" s="60"/>
    </row>
    <row r="253" spans="1:54" outlineLevel="1" x14ac:dyDescent="0.3">
      <c r="A253" s="47"/>
      <c r="B253" s="10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AD253" s="47"/>
      <c r="AE253" s="10"/>
      <c r="AF253" s="44"/>
      <c r="AG253" s="44"/>
      <c r="AH253" s="44"/>
      <c r="AI253" s="44"/>
      <c r="AJ253" s="44"/>
      <c r="AK253" s="44"/>
      <c r="AL253" s="44"/>
      <c r="AM253" s="44"/>
      <c r="AN253" s="44"/>
      <c r="AQ253" s="47"/>
      <c r="AR253" s="10"/>
      <c r="AS253" s="13">
        <f t="shared" ref="AS253:BA254" si="397">C253-AF253</f>
        <v>0</v>
      </c>
      <c r="AT253" s="13">
        <f t="shared" si="397"/>
        <v>0</v>
      </c>
      <c r="AU253" s="13">
        <f t="shared" si="397"/>
        <v>0</v>
      </c>
      <c r="AV253" s="13">
        <f t="shared" si="397"/>
        <v>0</v>
      </c>
      <c r="AW253" s="13">
        <f t="shared" si="397"/>
        <v>0</v>
      </c>
      <c r="AX253" s="13">
        <f t="shared" si="397"/>
        <v>0</v>
      </c>
      <c r="AY253" s="13">
        <f t="shared" si="397"/>
        <v>0</v>
      </c>
      <c r="AZ253" s="13">
        <f t="shared" si="397"/>
        <v>0</v>
      </c>
      <c r="BA253" s="13">
        <f t="shared" si="397"/>
        <v>0</v>
      </c>
      <c r="BB253" s="54">
        <f t="shared" si="293"/>
        <v>0</v>
      </c>
    </row>
    <row r="254" spans="1:54" outlineLevel="1" x14ac:dyDescent="0.3">
      <c r="A254" s="10" t="s">
        <v>382</v>
      </c>
      <c r="B254" s="10"/>
      <c r="C254" s="44">
        <v>714</v>
      </c>
      <c r="D254" s="44">
        <v>581</v>
      </c>
      <c r="E254" s="44">
        <v>288</v>
      </c>
      <c r="F254" s="44">
        <f>'By Segment'!G131</f>
        <v>547</v>
      </c>
      <c r="G254" s="44">
        <f>'By Segment'!H131</f>
        <v>308</v>
      </c>
      <c r="H254" s="44">
        <f>'By Segment'!I131</f>
        <v>249</v>
      </c>
      <c r="I254" s="44">
        <f>'By Segment'!J131</f>
        <v>234</v>
      </c>
      <c r="J254" s="44">
        <f>'By Segment'!K131</f>
        <v>570</v>
      </c>
      <c r="K254" s="44">
        <f>'By Segment'!L131</f>
        <v>247</v>
      </c>
      <c r="L254" s="44"/>
      <c r="M254" s="44"/>
      <c r="N254" s="44"/>
      <c r="O254" s="44"/>
      <c r="P254" s="44"/>
      <c r="Q254" s="44"/>
      <c r="AD254" s="10" t="s">
        <v>382</v>
      </c>
      <c r="AE254" s="10"/>
      <c r="AF254" s="44">
        <v>714</v>
      </c>
      <c r="AG254" s="44">
        <v>581</v>
      </c>
      <c r="AH254" s="44">
        <v>288</v>
      </c>
      <c r="AI254" s="44">
        <v>547</v>
      </c>
      <c r="AJ254" s="44">
        <v>308</v>
      </c>
      <c r="AK254" s="44">
        <v>249</v>
      </c>
      <c r="AL254" s="44">
        <v>234</v>
      </c>
      <c r="AM254" s="44">
        <v>570</v>
      </c>
      <c r="AN254" s="44">
        <v>247</v>
      </c>
      <c r="AQ254" s="10" t="s">
        <v>382</v>
      </c>
      <c r="AR254" s="10"/>
      <c r="AS254" s="13">
        <f t="shared" si="397"/>
        <v>0</v>
      </c>
      <c r="AT254" s="13">
        <f t="shared" si="397"/>
        <v>0</v>
      </c>
      <c r="AU254" s="13">
        <f t="shared" si="397"/>
        <v>0</v>
      </c>
      <c r="AV254" s="13">
        <f t="shared" si="397"/>
        <v>0</v>
      </c>
      <c r="AW254" s="13">
        <f t="shared" si="397"/>
        <v>0</v>
      </c>
      <c r="AX254" s="13">
        <f t="shared" si="397"/>
        <v>0</v>
      </c>
      <c r="AY254" s="13">
        <f t="shared" si="397"/>
        <v>0</v>
      </c>
      <c r="AZ254" s="13">
        <f t="shared" si="397"/>
        <v>0</v>
      </c>
      <c r="BA254" s="13">
        <f t="shared" si="397"/>
        <v>0</v>
      </c>
      <c r="BB254" s="54">
        <f t="shared" si="293"/>
        <v>0</v>
      </c>
    </row>
    <row r="255" spans="1:54" s="35" customFormat="1" outlineLevel="1" x14ac:dyDescent="0.3">
      <c r="A255" s="39" t="s">
        <v>436</v>
      </c>
      <c r="B255" s="39"/>
      <c r="C255" s="43">
        <f>C254/C251</f>
        <v>0.32032301480484521</v>
      </c>
      <c r="D255" s="43">
        <f t="shared" ref="D255:K255" si="398">D254/D251</f>
        <v>0.31870543060888645</v>
      </c>
      <c r="E255" s="43">
        <f t="shared" si="398"/>
        <v>0.2917933130699088</v>
      </c>
      <c r="F255" s="43">
        <f t="shared" si="398"/>
        <v>0.31636784268363216</v>
      </c>
      <c r="G255" s="43">
        <f t="shared" si="398"/>
        <v>0.19705694177863084</v>
      </c>
      <c r="H255" s="43">
        <f t="shared" si="398"/>
        <v>0.1940763834762276</v>
      </c>
      <c r="I255" s="43">
        <f t="shared" si="398"/>
        <v>0.1933884297520661</v>
      </c>
      <c r="J255" s="43">
        <f t="shared" si="398"/>
        <v>0.20270270270270271</v>
      </c>
      <c r="K255" s="43">
        <f t="shared" si="398"/>
        <v>0.19681274900398407</v>
      </c>
      <c r="L255" s="43"/>
      <c r="M255" s="43"/>
      <c r="N255" s="43"/>
      <c r="O255" s="43"/>
      <c r="P255" s="43"/>
      <c r="Q255" s="43"/>
      <c r="V255" s="59"/>
      <c r="W255" s="59"/>
      <c r="X255" s="59"/>
      <c r="Y255" s="59"/>
      <c r="Z255" s="59"/>
      <c r="AA255" s="59"/>
      <c r="AD255" s="39"/>
      <c r="AE255" s="39"/>
      <c r="AF255" s="40"/>
      <c r="AG255" s="40"/>
      <c r="AH255" s="40"/>
      <c r="AI255" s="40"/>
      <c r="AJ255" s="40"/>
      <c r="AK255" s="40"/>
      <c r="AL255" s="40"/>
      <c r="AM255" s="58"/>
      <c r="AN255" s="40"/>
      <c r="AQ255" s="39"/>
      <c r="AR255" s="39"/>
      <c r="AS255" s="40"/>
      <c r="AT255" s="40"/>
      <c r="AU255" s="40"/>
      <c r="AV255" s="40"/>
      <c r="AW255" s="40"/>
      <c r="AX255" s="40"/>
      <c r="AY255" s="40"/>
      <c r="AZ255" s="40"/>
      <c r="BA255" s="40"/>
      <c r="BB255" s="60"/>
    </row>
    <row r="256" spans="1:54" s="49" customFormat="1" outlineLevel="1" x14ac:dyDescent="0.3">
      <c r="A256" s="47" t="s">
        <v>377</v>
      </c>
      <c r="B256" s="47"/>
      <c r="C256" s="52">
        <f>C251-C254</f>
        <v>1515</v>
      </c>
      <c r="D256" s="52">
        <f t="shared" ref="D256:K256" si="399">D251-D254</f>
        <v>1242</v>
      </c>
      <c r="E256" s="52">
        <f t="shared" si="399"/>
        <v>699</v>
      </c>
      <c r="F256" s="52">
        <f t="shared" si="399"/>
        <v>1182</v>
      </c>
      <c r="G256" s="52">
        <f t="shared" si="399"/>
        <v>1255</v>
      </c>
      <c r="H256" s="52">
        <f t="shared" si="399"/>
        <v>1034</v>
      </c>
      <c r="I256" s="52">
        <f t="shared" si="399"/>
        <v>976</v>
      </c>
      <c r="J256" s="52">
        <f t="shared" si="399"/>
        <v>2242</v>
      </c>
      <c r="K256" s="52">
        <f t="shared" si="399"/>
        <v>1008</v>
      </c>
      <c r="L256" s="52"/>
      <c r="M256" s="52"/>
      <c r="N256" s="52"/>
      <c r="O256" s="52"/>
      <c r="P256" s="52"/>
      <c r="Q256" s="52"/>
      <c r="V256" s="55"/>
      <c r="W256" s="55"/>
      <c r="X256" s="55"/>
      <c r="Z256" s="55"/>
      <c r="AD256" s="47" t="s">
        <v>377</v>
      </c>
      <c r="AE256" s="47"/>
      <c r="AF256" s="52">
        <v>1515</v>
      </c>
      <c r="AG256" s="52">
        <v>1242</v>
      </c>
      <c r="AH256" s="52">
        <v>699</v>
      </c>
      <c r="AI256" s="52">
        <v>1182</v>
      </c>
      <c r="AJ256" s="52">
        <v>1255</v>
      </c>
      <c r="AK256" s="52">
        <v>1034</v>
      </c>
      <c r="AL256" s="52">
        <v>976</v>
      </c>
      <c r="AM256" s="52">
        <v>2242</v>
      </c>
      <c r="AN256" s="52">
        <v>1008</v>
      </c>
      <c r="AQ256" s="47" t="s">
        <v>377</v>
      </c>
      <c r="AR256" s="47"/>
      <c r="AS256" s="13">
        <f t="shared" ref="AS256:BA256" si="400">C256-AF256</f>
        <v>0</v>
      </c>
      <c r="AT256" s="13">
        <f t="shared" si="400"/>
        <v>0</v>
      </c>
      <c r="AU256" s="13">
        <f t="shared" si="400"/>
        <v>0</v>
      </c>
      <c r="AV256" s="13">
        <f t="shared" si="400"/>
        <v>0</v>
      </c>
      <c r="AW256" s="13">
        <f t="shared" si="400"/>
        <v>0</v>
      </c>
      <c r="AX256" s="13">
        <f t="shared" si="400"/>
        <v>0</v>
      </c>
      <c r="AY256" s="13">
        <f t="shared" si="400"/>
        <v>0</v>
      </c>
      <c r="AZ256" s="13">
        <f t="shared" si="400"/>
        <v>0</v>
      </c>
      <c r="BA256" s="13">
        <f t="shared" si="400"/>
        <v>0</v>
      </c>
      <c r="BB256" s="54">
        <f t="shared" si="293"/>
        <v>0</v>
      </c>
    </row>
    <row r="257" spans="1:54" s="35" customFormat="1" outlineLevel="1" x14ac:dyDescent="0.3">
      <c r="A257" s="39" t="s">
        <v>413</v>
      </c>
      <c r="B257" s="39"/>
      <c r="C257" s="43">
        <f>C256/C232</f>
        <v>0.11314413741598207</v>
      </c>
      <c r="D257" s="43">
        <f t="shared" ref="D257:K257" si="401">D256/D232</f>
        <v>9.4391244870041038E-2</v>
      </c>
      <c r="E257" s="43">
        <f t="shared" si="401"/>
        <v>5.6068019571669209E-2</v>
      </c>
      <c r="F257" s="43">
        <f t="shared" si="401"/>
        <v>0.10408594575554773</v>
      </c>
      <c r="G257" s="43">
        <f t="shared" si="401"/>
        <v>0.11700540742121947</v>
      </c>
      <c r="H257" s="43">
        <f t="shared" si="401"/>
        <v>9.9365750528541227E-2</v>
      </c>
      <c r="I257" s="43">
        <f t="shared" si="401"/>
        <v>9.6681525507677071E-2</v>
      </c>
      <c r="J257" s="43">
        <f t="shared" si="401"/>
        <v>0.2012386679831254</v>
      </c>
      <c r="K257" s="43">
        <f t="shared" si="401"/>
        <v>0.10898475510866039</v>
      </c>
      <c r="L257" s="43"/>
      <c r="M257" s="43"/>
      <c r="N257" s="43"/>
      <c r="O257" s="43"/>
      <c r="P257" s="43"/>
      <c r="Q257" s="43"/>
      <c r="V257" s="59"/>
      <c r="W257" s="59"/>
      <c r="X257" s="59"/>
      <c r="Y257" s="59"/>
      <c r="Z257" s="59"/>
      <c r="AA257" s="59"/>
      <c r="AD257" s="39"/>
      <c r="AE257" s="39"/>
      <c r="AF257" s="40"/>
      <c r="AG257" s="40"/>
      <c r="AH257" s="40"/>
      <c r="AI257" s="40"/>
      <c r="AJ257" s="40"/>
      <c r="AK257" s="40"/>
      <c r="AL257" s="40"/>
      <c r="AM257" s="58"/>
      <c r="AN257" s="40"/>
      <c r="AQ257" s="39"/>
      <c r="AR257" s="39"/>
      <c r="AS257" s="40"/>
      <c r="AT257" s="40"/>
      <c r="AU257" s="40"/>
      <c r="AV257" s="40"/>
      <c r="AW257" s="40"/>
      <c r="AX257" s="40"/>
      <c r="AY257" s="40"/>
      <c r="AZ257" s="40"/>
      <c r="BA257" s="40"/>
      <c r="BB257" s="60"/>
    </row>
    <row r="258" spans="1:54" x14ac:dyDescent="0.3">
      <c r="A258" s="6" t="s">
        <v>396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AD258" s="6" t="s">
        <v>396</v>
      </c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Q258" s="6" t="s">
        <v>396</v>
      </c>
      <c r="AR258" s="17"/>
      <c r="AS258" s="13">
        <f t="shared" ref="AS258:BA259" si="402">C258-AF258</f>
        <v>0</v>
      </c>
      <c r="AT258" s="13">
        <f t="shared" si="402"/>
        <v>0</v>
      </c>
      <c r="AU258" s="13">
        <f t="shared" si="402"/>
        <v>0</v>
      </c>
      <c r="AV258" s="13">
        <f t="shared" si="402"/>
        <v>0</v>
      </c>
      <c r="AW258" s="13">
        <f t="shared" si="402"/>
        <v>0</v>
      </c>
      <c r="AX258" s="13">
        <f t="shared" si="402"/>
        <v>0</v>
      </c>
      <c r="AY258" s="13">
        <f t="shared" si="402"/>
        <v>0</v>
      </c>
      <c r="AZ258" s="13">
        <f t="shared" si="402"/>
        <v>0</v>
      </c>
      <c r="BA258" s="13">
        <f t="shared" si="402"/>
        <v>0</v>
      </c>
      <c r="BB258" s="54">
        <f t="shared" si="293"/>
        <v>0</v>
      </c>
    </row>
    <row r="259" spans="1:54" outlineLevel="1" x14ac:dyDescent="0.3">
      <c r="A259" s="10" t="s">
        <v>378</v>
      </c>
      <c r="B259" s="10"/>
      <c r="C259" s="44">
        <v>89</v>
      </c>
      <c r="D259" s="44">
        <v>-87</v>
      </c>
      <c r="E259" s="44">
        <f>'By Segment'!F58</f>
        <v>40</v>
      </c>
      <c r="F259" s="44">
        <f>'By Segment'!G58</f>
        <v>54</v>
      </c>
      <c r="G259" s="44">
        <f>'By Segment'!H58</f>
        <v>118</v>
      </c>
      <c r="H259" s="44">
        <f>'By Segment'!I58</f>
        <v>83</v>
      </c>
      <c r="I259" s="44">
        <f>'By Segment'!J58</f>
        <v>22</v>
      </c>
      <c r="J259" s="44">
        <f>'By Segment'!K58</f>
        <v>35</v>
      </c>
      <c r="K259" s="44">
        <f>'By Segment'!L58</f>
        <v>-16</v>
      </c>
      <c r="L259" s="44">
        <f>AVERAGE(F259:K259)</f>
        <v>49.333333333333336</v>
      </c>
      <c r="M259" s="44">
        <f t="shared" ref="M259:Q259" si="403">AVERAGE(G259:L259)</f>
        <v>48.55555555555555</v>
      </c>
      <c r="N259" s="44">
        <f t="shared" si="403"/>
        <v>36.981481481481481</v>
      </c>
      <c r="O259" s="44">
        <f t="shared" si="403"/>
        <v>29.311728395061731</v>
      </c>
      <c r="P259" s="44">
        <f t="shared" si="403"/>
        <v>30.530349794238685</v>
      </c>
      <c r="Q259" s="44">
        <f t="shared" si="403"/>
        <v>29.785408093278463</v>
      </c>
      <c r="AD259" s="10" t="s">
        <v>378</v>
      </c>
      <c r="AE259" s="10"/>
      <c r="AF259" s="44">
        <v>89</v>
      </c>
      <c r="AG259" s="44">
        <v>-87</v>
      </c>
      <c r="AH259" s="44">
        <v>40</v>
      </c>
      <c r="AI259" s="44">
        <v>54</v>
      </c>
      <c r="AJ259" s="44">
        <v>118</v>
      </c>
      <c r="AK259" s="44">
        <v>83</v>
      </c>
      <c r="AL259" s="44">
        <v>22</v>
      </c>
      <c r="AM259" s="44">
        <v>35</v>
      </c>
      <c r="AN259" s="44">
        <v>-16</v>
      </c>
      <c r="AQ259" s="10" t="s">
        <v>378</v>
      </c>
      <c r="AR259" s="10"/>
      <c r="AS259" s="13">
        <f t="shared" si="402"/>
        <v>0</v>
      </c>
      <c r="AT259" s="13">
        <f t="shared" si="402"/>
        <v>0</v>
      </c>
      <c r="AU259" s="13">
        <f t="shared" si="402"/>
        <v>0</v>
      </c>
      <c r="AV259" s="13">
        <f t="shared" si="402"/>
        <v>0</v>
      </c>
      <c r="AW259" s="13">
        <f t="shared" si="402"/>
        <v>0</v>
      </c>
      <c r="AX259" s="13">
        <f t="shared" si="402"/>
        <v>0</v>
      </c>
      <c r="AY259" s="13">
        <f t="shared" si="402"/>
        <v>0</v>
      </c>
      <c r="AZ259" s="13">
        <f t="shared" si="402"/>
        <v>0</v>
      </c>
      <c r="BA259" s="13">
        <f t="shared" si="402"/>
        <v>0</v>
      </c>
      <c r="BB259" s="54">
        <f t="shared" si="293"/>
        <v>0</v>
      </c>
    </row>
    <row r="260" spans="1:54" s="35" customFormat="1" outlineLevel="1" x14ac:dyDescent="0.3">
      <c r="A260" s="39" t="s">
        <v>412</v>
      </c>
      <c r="B260" s="39"/>
      <c r="C260" s="40"/>
      <c r="D260" s="43">
        <f>D259/C259-1</f>
        <v>-1.9775280898876404</v>
      </c>
      <c r="E260" s="43">
        <f t="shared" ref="E260" si="404">E259/D259-1</f>
        <v>-1.4597701149425286</v>
      </c>
      <c r="F260" s="43">
        <f t="shared" ref="F260" si="405">F259/E259-1</f>
        <v>0.35000000000000009</v>
      </c>
      <c r="G260" s="43">
        <f t="shared" ref="G260" si="406">G259/F259-1</f>
        <v>1.1851851851851851</v>
      </c>
      <c r="H260" s="43">
        <f t="shared" ref="H260" si="407">H259/G259-1</f>
        <v>-0.29661016949152541</v>
      </c>
      <c r="I260" s="43">
        <f t="shared" ref="I260" si="408">I259/H259-1</f>
        <v>-0.73493975903614461</v>
      </c>
      <c r="J260" s="43">
        <f t="shared" ref="J260" si="409">J259/I259-1</f>
        <v>0.59090909090909083</v>
      </c>
      <c r="K260" s="43">
        <f t="shared" ref="K260" si="410">K259/J259-1</f>
        <v>-1.4571428571428571</v>
      </c>
      <c r="L260" s="43"/>
      <c r="M260" s="43"/>
      <c r="N260" s="43"/>
      <c r="O260" s="43"/>
      <c r="P260" s="43"/>
      <c r="Q260" s="43"/>
      <c r="R260" s="61"/>
      <c r="S260" s="61"/>
      <c r="T260" s="61"/>
      <c r="V260" s="59"/>
      <c r="W260" s="59"/>
      <c r="X260" s="59"/>
      <c r="Y260" s="59"/>
      <c r="Z260" s="59"/>
      <c r="AA260" s="59"/>
      <c r="AD260" s="39"/>
      <c r="AE260" s="39"/>
      <c r="AF260" s="40"/>
      <c r="AG260" s="40"/>
      <c r="AH260" s="40"/>
      <c r="AI260" s="40"/>
      <c r="AJ260" s="40"/>
      <c r="AK260" s="40"/>
      <c r="AL260" s="40"/>
      <c r="AM260" s="58"/>
      <c r="AN260" s="40"/>
      <c r="AQ260" s="39"/>
      <c r="AR260" s="39"/>
      <c r="AS260" s="40"/>
      <c r="AT260" s="40"/>
      <c r="AU260" s="40"/>
      <c r="AV260" s="40"/>
      <c r="AW260" s="40"/>
      <c r="AX260" s="40"/>
      <c r="AY260" s="40"/>
      <c r="AZ260" s="40"/>
      <c r="BA260" s="40"/>
      <c r="BB260" s="60"/>
    </row>
    <row r="261" spans="1:54" outlineLevel="1" x14ac:dyDescent="0.3">
      <c r="A261" s="10" t="s">
        <v>422</v>
      </c>
      <c r="B261" s="10"/>
      <c r="C261" s="44">
        <f t="shared" ref="C261" si="411">C269-C259-C263-C265</f>
        <v>-103</v>
      </c>
      <c r="D261" s="44">
        <f t="shared" ref="D261" si="412">D269-D259-D263-D265</f>
        <v>-113</v>
      </c>
      <c r="E261" s="44">
        <f t="shared" ref="E261" si="413">E269-E259-E263-E265</f>
        <v>-119</v>
      </c>
      <c r="F261" s="44">
        <f t="shared" ref="F261" si="414">F269-F259-F263-F265</f>
        <v>1</v>
      </c>
      <c r="G261" s="44">
        <f t="shared" ref="G261" si="415">G269-G259-G263-G265</f>
        <v>0</v>
      </c>
      <c r="H261" s="44">
        <f t="shared" ref="H261" si="416">H269-H259-H263-H265</f>
        <v>2</v>
      </c>
      <c r="I261" s="44">
        <f t="shared" ref="I261" si="417">I269-I259-I263-I265</f>
        <v>3</v>
      </c>
      <c r="J261" s="44">
        <f t="shared" ref="J261" si="418">J269-J259-J263-J265</f>
        <v>2</v>
      </c>
      <c r="K261" s="44">
        <f>K269-K259-K263-K265</f>
        <v>2</v>
      </c>
      <c r="L261" s="44">
        <f>AVERAGE(F261:K261)</f>
        <v>1.6666666666666667</v>
      </c>
      <c r="M261" s="44">
        <f t="shared" ref="M261:Q261" si="419">AVERAGE(G261:L261)</f>
        <v>1.7777777777777777</v>
      </c>
      <c r="N261" s="44">
        <f t="shared" si="419"/>
        <v>2.074074074074074</v>
      </c>
      <c r="O261" s="44">
        <f t="shared" si="419"/>
        <v>2.0864197530864197</v>
      </c>
      <c r="P261" s="44">
        <f t="shared" si="419"/>
        <v>1.9341563786008231</v>
      </c>
      <c r="Q261" s="44">
        <f t="shared" si="419"/>
        <v>1.9231824417009602</v>
      </c>
      <c r="AD261" s="10" t="s">
        <v>422</v>
      </c>
      <c r="AE261" s="10"/>
      <c r="AF261" s="44">
        <v>-103</v>
      </c>
      <c r="AG261" s="44">
        <v>-113</v>
      </c>
      <c r="AH261" s="44">
        <v>-119</v>
      </c>
      <c r="AI261" s="44">
        <v>1</v>
      </c>
      <c r="AJ261" s="44">
        <v>0</v>
      </c>
      <c r="AK261" s="44">
        <v>2</v>
      </c>
      <c r="AL261" s="44">
        <v>3</v>
      </c>
      <c r="AM261" s="44">
        <v>2</v>
      </c>
      <c r="AN261" s="44">
        <v>2</v>
      </c>
      <c r="AQ261" s="10" t="s">
        <v>422</v>
      </c>
      <c r="AR261" s="10"/>
      <c r="AS261" s="13">
        <f t="shared" ref="AS261:BA261" si="420">C261-AF261</f>
        <v>0</v>
      </c>
      <c r="AT261" s="13">
        <f t="shared" si="420"/>
        <v>0</v>
      </c>
      <c r="AU261" s="13">
        <f t="shared" si="420"/>
        <v>0</v>
      </c>
      <c r="AV261" s="13">
        <f t="shared" si="420"/>
        <v>0</v>
      </c>
      <c r="AW261" s="13">
        <f t="shared" si="420"/>
        <v>0</v>
      </c>
      <c r="AX261" s="13">
        <f t="shared" si="420"/>
        <v>0</v>
      </c>
      <c r="AY261" s="13">
        <f t="shared" si="420"/>
        <v>0</v>
      </c>
      <c r="AZ261" s="13">
        <f t="shared" si="420"/>
        <v>0</v>
      </c>
      <c r="BA261" s="13">
        <f t="shared" si="420"/>
        <v>0</v>
      </c>
      <c r="BB261" s="54">
        <f t="shared" si="293"/>
        <v>0</v>
      </c>
    </row>
    <row r="262" spans="1:54" s="35" customFormat="1" outlineLevel="1" x14ac:dyDescent="0.3">
      <c r="A262" s="39" t="s">
        <v>435</v>
      </c>
      <c r="B262" s="39"/>
      <c r="C262" s="43">
        <f>C261/C259</f>
        <v>-1.1573033707865168</v>
      </c>
      <c r="D262" s="43">
        <f t="shared" ref="D262" si="421">D261/D259</f>
        <v>1.2988505747126438</v>
      </c>
      <c r="E262" s="43">
        <f t="shared" ref="E262" si="422">E261/E259</f>
        <v>-2.9750000000000001</v>
      </c>
      <c r="F262" s="43">
        <f t="shared" ref="F262" si="423">F261/F259</f>
        <v>1.8518518518518517E-2</v>
      </c>
      <c r="G262" s="43">
        <f t="shared" ref="G262" si="424">G261/G259</f>
        <v>0</v>
      </c>
      <c r="H262" s="43">
        <f t="shared" ref="H262" si="425">H261/H259</f>
        <v>2.4096385542168676E-2</v>
      </c>
      <c r="I262" s="43">
        <f t="shared" ref="I262" si="426">I261/I259</f>
        <v>0.13636363636363635</v>
      </c>
      <c r="J262" s="43">
        <f t="shared" ref="J262" si="427">J261/J259</f>
        <v>5.7142857142857141E-2</v>
      </c>
      <c r="K262" s="43">
        <f t="shared" ref="K262" si="428">K261/K259</f>
        <v>-0.125</v>
      </c>
      <c r="L262" s="43"/>
      <c r="M262" s="43"/>
      <c r="N262" s="43"/>
      <c r="O262" s="43"/>
      <c r="P262" s="43"/>
      <c r="Q262" s="43"/>
      <c r="V262" s="59"/>
      <c r="W262" s="59"/>
      <c r="X262" s="59"/>
      <c r="Y262" s="59"/>
      <c r="Z262" s="59"/>
      <c r="AA262" s="59"/>
      <c r="AD262" s="39"/>
      <c r="AE262" s="39"/>
      <c r="AF262" s="40"/>
      <c r="AG262" s="40"/>
      <c r="AH262" s="40"/>
      <c r="AI262" s="40"/>
      <c r="AJ262" s="40"/>
      <c r="AK262" s="40"/>
      <c r="AL262" s="40"/>
      <c r="AM262" s="58"/>
      <c r="AN262" s="40"/>
      <c r="AQ262" s="39"/>
      <c r="AR262" s="39"/>
      <c r="AS262" s="40"/>
      <c r="AT262" s="40"/>
      <c r="AU262" s="40"/>
      <c r="AV262" s="40"/>
      <c r="AW262" s="40"/>
      <c r="AX262" s="40"/>
      <c r="AY262" s="40"/>
      <c r="AZ262" s="40"/>
      <c r="BA262" s="40"/>
      <c r="BB262" s="60"/>
    </row>
    <row r="263" spans="1:54" outlineLevel="1" x14ac:dyDescent="0.3">
      <c r="A263" s="10" t="s">
        <v>384</v>
      </c>
      <c r="B263" s="10"/>
      <c r="C263" s="44">
        <f>'By Segment'!D63</f>
        <v>275</v>
      </c>
      <c r="D263" s="44">
        <v>13</v>
      </c>
      <c r="E263" s="44">
        <v>-62</v>
      </c>
      <c r="F263" s="44">
        <f>'By Segment'!G63</f>
        <v>28</v>
      </c>
      <c r="G263" s="44">
        <f>'By Segment'!H63</f>
        <v>178</v>
      </c>
      <c r="H263" s="44">
        <f>'By Segment'!I63</f>
        <v>275</v>
      </c>
      <c r="I263" s="44">
        <f>'By Segment'!J63</f>
        <v>42</v>
      </c>
      <c r="J263" s="44">
        <f>'By Segment'!K63</f>
        <v>244</v>
      </c>
      <c r="K263" s="44">
        <f>'By Segment'!L63</f>
        <v>216</v>
      </c>
      <c r="L263" s="44"/>
      <c r="M263" s="44"/>
      <c r="N263" s="44"/>
      <c r="O263" s="44"/>
      <c r="P263" s="44"/>
      <c r="Q263" s="44"/>
      <c r="AD263" s="10" t="s">
        <v>384</v>
      </c>
      <c r="AE263" s="10"/>
      <c r="AF263" s="44">
        <v>275</v>
      </c>
      <c r="AG263" s="44">
        <v>13</v>
      </c>
      <c r="AH263" s="44">
        <v>-62</v>
      </c>
      <c r="AI263" s="44">
        <v>28</v>
      </c>
      <c r="AJ263" s="44">
        <v>178</v>
      </c>
      <c r="AK263" s="44">
        <v>275</v>
      </c>
      <c r="AL263" s="44">
        <v>42</v>
      </c>
      <c r="AM263" s="44">
        <v>244</v>
      </c>
      <c r="AN263" s="44">
        <v>216</v>
      </c>
      <c r="AQ263" s="10" t="s">
        <v>384</v>
      </c>
      <c r="AR263" s="10"/>
      <c r="AS263" s="13">
        <f t="shared" ref="AS263:BA263" si="429">C263-AF263</f>
        <v>0</v>
      </c>
      <c r="AT263" s="13">
        <f t="shared" si="429"/>
        <v>0</v>
      </c>
      <c r="AU263" s="13">
        <f t="shared" si="429"/>
        <v>0</v>
      </c>
      <c r="AV263" s="13">
        <f t="shared" si="429"/>
        <v>0</v>
      </c>
      <c r="AW263" s="13">
        <f t="shared" si="429"/>
        <v>0</v>
      </c>
      <c r="AX263" s="13">
        <f t="shared" si="429"/>
        <v>0</v>
      </c>
      <c r="AY263" s="13">
        <f t="shared" si="429"/>
        <v>0</v>
      </c>
      <c r="AZ263" s="13">
        <f t="shared" si="429"/>
        <v>0</v>
      </c>
      <c r="BA263" s="13">
        <f t="shared" si="429"/>
        <v>0</v>
      </c>
      <c r="BB263" s="54">
        <f t="shared" si="293"/>
        <v>0</v>
      </c>
    </row>
    <row r="264" spans="1:54" s="35" customFormat="1" outlineLevel="1" x14ac:dyDescent="0.3">
      <c r="A264" s="39" t="s">
        <v>435</v>
      </c>
      <c r="B264" s="39"/>
      <c r="C264" s="43">
        <f>C263/C259</f>
        <v>3.0898876404494384</v>
      </c>
      <c r="D264" s="43">
        <f t="shared" ref="D264:K264" si="430">D263/D259</f>
        <v>-0.14942528735632185</v>
      </c>
      <c r="E264" s="43">
        <f t="shared" si="430"/>
        <v>-1.55</v>
      </c>
      <c r="F264" s="43">
        <f t="shared" si="430"/>
        <v>0.51851851851851849</v>
      </c>
      <c r="G264" s="43">
        <f t="shared" si="430"/>
        <v>1.5084745762711864</v>
      </c>
      <c r="H264" s="43">
        <f t="shared" si="430"/>
        <v>3.3132530120481927</v>
      </c>
      <c r="I264" s="43">
        <f t="shared" si="430"/>
        <v>1.9090909090909092</v>
      </c>
      <c r="J264" s="43">
        <f t="shared" si="430"/>
        <v>6.9714285714285715</v>
      </c>
      <c r="K264" s="43">
        <f t="shared" si="430"/>
        <v>-13.5</v>
      </c>
      <c r="L264" s="43"/>
      <c r="M264" s="43"/>
      <c r="N264" s="43"/>
      <c r="O264" s="43"/>
      <c r="P264" s="43"/>
      <c r="Q264" s="43"/>
      <c r="V264" s="59"/>
      <c r="W264" s="59"/>
      <c r="X264" s="59"/>
      <c r="Y264" s="59"/>
      <c r="Z264" s="59"/>
      <c r="AA264" s="59"/>
      <c r="AD264" s="39"/>
      <c r="AE264" s="39"/>
      <c r="AF264" s="40"/>
      <c r="AG264" s="40"/>
      <c r="AH264" s="40"/>
      <c r="AI264" s="40"/>
      <c r="AJ264" s="40"/>
      <c r="AK264" s="40"/>
      <c r="AL264" s="40"/>
      <c r="AM264" s="58"/>
      <c r="AN264" s="40"/>
      <c r="AQ264" s="39"/>
      <c r="AR264" s="39"/>
      <c r="AS264" s="40"/>
      <c r="AT264" s="40"/>
      <c r="AU264" s="40"/>
      <c r="AV264" s="40"/>
      <c r="AW264" s="40"/>
      <c r="AX264" s="40"/>
      <c r="AY264" s="40"/>
      <c r="AZ264" s="40"/>
      <c r="BA264" s="40"/>
      <c r="BB264" s="60"/>
    </row>
    <row r="265" spans="1:54" outlineLevel="1" x14ac:dyDescent="0.3">
      <c r="A265" s="10" t="s">
        <v>391</v>
      </c>
      <c r="B265" s="10"/>
      <c r="C265" s="44">
        <v>-483</v>
      </c>
      <c r="D265" s="44">
        <f>'By Segment'!E70</f>
        <v>-290</v>
      </c>
      <c r="E265" s="44">
        <v>-517</v>
      </c>
      <c r="F265" s="44">
        <f>'By Segment'!G70</f>
        <v>271</v>
      </c>
      <c r="G265" s="44">
        <f>'By Segment'!H70</f>
        <v>333</v>
      </c>
      <c r="H265" s="44">
        <f>'By Segment'!I70</f>
        <v>291</v>
      </c>
      <c r="I265" s="44">
        <f>'By Segment'!J70</f>
        <v>344</v>
      </c>
      <c r="J265" s="44">
        <f>'By Segment'!K70</f>
        <v>420</v>
      </c>
      <c r="K265" s="44">
        <f>'By Segment'!L70</f>
        <v>396</v>
      </c>
      <c r="L265" s="44"/>
      <c r="M265" s="44"/>
      <c r="N265" s="44"/>
      <c r="O265" s="44"/>
      <c r="P265" s="44"/>
      <c r="Q265" s="44"/>
      <c r="AD265" s="10" t="s">
        <v>391</v>
      </c>
      <c r="AE265" s="10"/>
      <c r="AF265" s="44">
        <v>-483</v>
      </c>
      <c r="AG265" s="44">
        <v>-290</v>
      </c>
      <c r="AH265" s="44">
        <v>-517</v>
      </c>
      <c r="AI265" s="44">
        <v>271</v>
      </c>
      <c r="AJ265" s="44">
        <v>333</v>
      </c>
      <c r="AK265" s="44">
        <v>291</v>
      </c>
      <c r="AL265" s="44">
        <v>344</v>
      </c>
      <c r="AM265" s="44">
        <v>420</v>
      </c>
      <c r="AN265" s="44">
        <v>396</v>
      </c>
      <c r="AQ265" s="10" t="s">
        <v>391</v>
      </c>
      <c r="AR265" s="10"/>
      <c r="AS265" s="13">
        <f t="shared" ref="AS265:BA265" si="431">C265-AF265</f>
        <v>0</v>
      </c>
      <c r="AT265" s="13">
        <f t="shared" si="431"/>
        <v>0</v>
      </c>
      <c r="AU265" s="13">
        <f t="shared" si="431"/>
        <v>0</v>
      </c>
      <c r="AV265" s="13">
        <f t="shared" si="431"/>
        <v>0</v>
      </c>
      <c r="AW265" s="13">
        <f t="shared" si="431"/>
        <v>0</v>
      </c>
      <c r="AX265" s="13">
        <f t="shared" si="431"/>
        <v>0</v>
      </c>
      <c r="AY265" s="13">
        <f t="shared" si="431"/>
        <v>0</v>
      </c>
      <c r="AZ265" s="13">
        <f t="shared" si="431"/>
        <v>0</v>
      </c>
      <c r="BA265" s="13">
        <f t="shared" si="431"/>
        <v>0</v>
      </c>
      <c r="BB265" s="54">
        <f t="shared" si="293"/>
        <v>0</v>
      </c>
    </row>
    <row r="266" spans="1:54" s="35" customFormat="1" outlineLevel="1" x14ac:dyDescent="0.3">
      <c r="A266" s="39" t="s">
        <v>435</v>
      </c>
      <c r="B266" s="39"/>
      <c r="C266" s="43">
        <f>C265/C259</f>
        <v>-5.4269662921348312</v>
      </c>
      <c r="D266" s="43">
        <f t="shared" ref="D266:K266" si="432">D265/D259</f>
        <v>3.3333333333333335</v>
      </c>
      <c r="E266" s="43">
        <f t="shared" si="432"/>
        <v>-12.925000000000001</v>
      </c>
      <c r="F266" s="43">
        <f t="shared" si="432"/>
        <v>5.0185185185185182</v>
      </c>
      <c r="G266" s="43">
        <f t="shared" si="432"/>
        <v>2.8220338983050848</v>
      </c>
      <c r="H266" s="43">
        <f t="shared" si="432"/>
        <v>3.5060240963855422</v>
      </c>
      <c r="I266" s="43">
        <f t="shared" si="432"/>
        <v>15.636363636363637</v>
      </c>
      <c r="J266" s="43">
        <f t="shared" si="432"/>
        <v>12</v>
      </c>
      <c r="K266" s="43">
        <f t="shared" si="432"/>
        <v>-24.75</v>
      </c>
      <c r="L266" s="43"/>
      <c r="M266" s="43"/>
      <c r="N266" s="43"/>
      <c r="O266" s="43"/>
      <c r="P266" s="43"/>
      <c r="Q266" s="43"/>
      <c r="V266" s="59"/>
      <c r="W266" s="59"/>
      <c r="X266" s="59"/>
      <c r="Y266" s="59"/>
      <c r="Z266" s="59"/>
      <c r="AA266" s="59"/>
      <c r="AD266" s="39"/>
      <c r="AE266" s="39"/>
      <c r="AF266" s="40"/>
      <c r="AG266" s="40"/>
      <c r="AH266" s="40"/>
      <c r="AI266" s="40"/>
      <c r="AJ266" s="40"/>
      <c r="AK266" s="40"/>
      <c r="AL266" s="40"/>
      <c r="AM266" s="58"/>
      <c r="AN266" s="40"/>
      <c r="AQ266" s="39"/>
      <c r="AR266" s="39"/>
      <c r="AS266" s="40"/>
      <c r="AT266" s="40"/>
      <c r="AU266" s="40"/>
      <c r="AV266" s="40"/>
      <c r="AW266" s="40"/>
      <c r="AX266" s="40"/>
      <c r="AY266" s="40"/>
      <c r="AZ266" s="40"/>
      <c r="BA266" s="40"/>
      <c r="BB266" s="60"/>
    </row>
    <row r="267" spans="1:54" outlineLevel="1" x14ac:dyDescent="0.3">
      <c r="A267" s="10" t="s">
        <v>432</v>
      </c>
      <c r="B267" s="10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V267" s="50"/>
      <c r="W267" s="50"/>
      <c r="X267" s="50"/>
      <c r="Y267" s="50"/>
      <c r="Z267" s="50"/>
      <c r="AA267" s="50"/>
      <c r="AD267" s="10"/>
      <c r="AE267" s="10"/>
      <c r="AF267" s="13"/>
      <c r="AG267" s="13"/>
      <c r="AH267" s="13"/>
      <c r="AI267" s="13"/>
      <c r="AJ267" s="13"/>
      <c r="AK267" s="13"/>
      <c r="AL267" s="13"/>
      <c r="AM267" s="13"/>
      <c r="AN267" s="13"/>
      <c r="AQ267" s="10"/>
      <c r="AR267" s="10"/>
      <c r="AS267" s="13"/>
      <c r="AT267" s="13"/>
      <c r="AU267" s="13"/>
      <c r="AV267" s="13"/>
      <c r="AW267" s="13"/>
      <c r="AX267" s="13"/>
      <c r="AY267" s="13"/>
      <c r="AZ267" s="13"/>
      <c r="BA267" s="13"/>
      <c r="BB267" s="54"/>
    </row>
    <row r="268" spans="1:54" outlineLevel="1" x14ac:dyDescent="0.3">
      <c r="A268" s="10" t="s">
        <v>433</v>
      </c>
      <c r="B268" s="10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V268" s="50"/>
      <c r="W268" s="50"/>
      <c r="X268" s="50"/>
      <c r="Y268" s="50"/>
      <c r="Z268" s="50"/>
      <c r="AA268" s="50"/>
      <c r="AD268" s="10"/>
      <c r="AE268" s="10"/>
      <c r="AF268" s="13"/>
      <c r="AG268" s="13"/>
      <c r="AH268" s="13"/>
      <c r="AI268" s="13"/>
      <c r="AJ268" s="13"/>
      <c r="AK268" s="13"/>
      <c r="AL268" s="13"/>
      <c r="AM268" s="13"/>
      <c r="AN268" s="13"/>
      <c r="AQ268" s="10"/>
      <c r="AR268" s="10"/>
      <c r="AS268" s="13"/>
      <c r="AT268" s="13"/>
      <c r="AU268" s="13"/>
      <c r="AV268" s="13"/>
      <c r="AW268" s="13"/>
      <c r="AX268" s="13"/>
      <c r="AY268" s="13"/>
      <c r="AZ268" s="13"/>
      <c r="BA268" s="13"/>
      <c r="BB268" s="54"/>
    </row>
    <row r="269" spans="1:54" s="49" customFormat="1" outlineLevel="1" x14ac:dyDescent="0.3">
      <c r="A269" s="47" t="s">
        <v>373</v>
      </c>
      <c r="B269" s="47"/>
      <c r="C269" s="52">
        <f>'By Segment'!D53</f>
        <v>-222</v>
      </c>
      <c r="D269" s="52">
        <v>-477</v>
      </c>
      <c r="E269" s="52">
        <v>-658</v>
      </c>
      <c r="F269" s="52">
        <f>'By Segment'!G53</f>
        <v>354</v>
      </c>
      <c r="G269" s="52">
        <f>'By Segment'!H53</f>
        <v>629</v>
      </c>
      <c r="H269" s="52">
        <f>'By Segment'!I53</f>
        <v>651</v>
      </c>
      <c r="I269" s="52">
        <f>'By Segment'!J53</f>
        <v>411</v>
      </c>
      <c r="J269" s="52">
        <f>'By Segment'!K53</f>
        <v>701</v>
      </c>
      <c r="K269" s="52">
        <f>'By Segment'!L53</f>
        <v>598</v>
      </c>
      <c r="L269" s="52"/>
      <c r="M269" s="52"/>
      <c r="N269" s="52"/>
      <c r="O269" s="52"/>
      <c r="P269" s="52"/>
      <c r="Q269" s="52"/>
      <c r="V269" s="55"/>
      <c r="W269" s="55"/>
      <c r="X269" s="55"/>
      <c r="Z269" s="55"/>
      <c r="AD269" s="47" t="s">
        <v>373</v>
      </c>
      <c r="AE269" s="47"/>
      <c r="AF269" s="52">
        <v>-222</v>
      </c>
      <c r="AG269" s="52">
        <v>-477</v>
      </c>
      <c r="AH269" s="52">
        <v>-658</v>
      </c>
      <c r="AI269" s="52">
        <v>354</v>
      </c>
      <c r="AJ269" s="52">
        <v>629</v>
      </c>
      <c r="AK269" s="52">
        <v>651</v>
      </c>
      <c r="AL269" s="52">
        <v>411</v>
      </c>
      <c r="AM269" s="52">
        <v>701</v>
      </c>
      <c r="AN269" s="52">
        <v>598</v>
      </c>
      <c r="AQ269" s="47" t="s">
        <v>373</v>
      </c>
      <c r="AR269" s="47"/>
      <c r="AS269" s="13">
        <f t="shared" ref="AS269:BA271" si="433">C269-AF269</f>
        <v>0</v>
      </c>
      <c r="AT269" s="13">
        <f t="shared" si="433"/>
        <v>0</v>
      </c>
      <c r="AU269" s="13">
        <f t="shared" si="433"/>
        <v>0</v>
      </c>
      <c r="AV269" s="13">
        <f t="shared" si="433"/>
        <v>0</v>
      </c>
      <c r="AW269" s="13">
        <f t="shared" si="433"/>
        <v>0</v>
      </c>
      <c r="AX269" s="13">
        <f t="shared" si="433"/>
        <v>0</v>
      </c>
      <c r="AY269" s="13">
        <f t="shared" si="433"/>
        <v>0</v>
      </c>
      <c r="AZ269" s="13">
        <f t="shared" si="433"/>
        <v>0</v>
      </c>
      <c r="BA269" s="13">
        <f t="shared" si="433"/>
        <v>0</v>
      </c>
      <c r="BB269" s="54">
        <f t="shared" si="293"/>
        <v>0</v>
      </c>
    </row>
    <row r="270" spans="1:54" outlineLevel="1" x14ac:dyDescent="0.3">
      <c r="A270" s="10"/>
      <c r="B270" s="10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AD270" s="10"/>
      <c r="AE270" s="10"/>
      <c r="AF270" s="44"/>
      <c r="AG270" s="44"/>
      <c r="AH270" s="44"/>
      <c r="AI270" s="44"/>
      <c r="AJ270" s="44"/>
      <c r="AK270" s="44"/>
      <c r="AL270" s="44"/>
      <c r="AM270" s="44"/>
      <c r="AN270" s="44"/>
      <c r="AQ270" s="10"/>
      <c r="AR270" s="10"/>
      <c r="AS270" s="13">
        <f t="shared" si="433"/>
        <v>0</v>
      </c>
      <c r="AT270" s="13">
        <f t="shared" si="433"/>
        <v>0</v>
      </c>
      <c r="AU270" s="13">
        <f t="shared" si="433"/>
        <v>0</v>
      </c>
      <c r="AV270" s="13">
        <f t="shared" si="433"/>
        <v>0</v>
      </c>
      <c r="AW270" s="13">
        <f t="shared" si="433"/>
        <v>0</v>
      </c>
      <c r="AX270" s="13">
        <f t="shared" si="433"/>
        <v>0</v>
      </c>
      <c r="AY270" s="13">
        <f t="shared" si="433"/>
        <v>0</v>
      </c>
      <c r="AZ270" s="13">
        <f t="shared" si="433"/>
        <v>0</v>
      </c>
      <c r="BA270" s="13">
        <f t="shared" si="433"/>
        <v>0</v>
      </c>
      <c r="BB270" s="54">
        <f t="shared" si="293"/>
        <v>0</v>
      </c>
    </row>
    <row r="271" spans="1:54" outlineLevel="1" x14ac:dyDescent="0.3">
      <c r="A271" s="10" t="s">
        <v>380</v>
      </c>
      <c r="B271" s="10"/>
      <c r="C271" s="44">
        <v>48</v>
      </c>
      <c r="D271" s="44">
        <v>-175</v>
      </c>
      <c r="E271" s="44">
        <v>-23</v>
      </c>
      <c r="F271" s="44">
        <f>'By Segment'!G60</f>
        <v>26</v>
      </c>
      <c r="G271" s="44">
        <f>'By Segment'!H60</f>
        <v>80</v>
      </c>
      <c r="H271" s="44">
        <f>'By Segment'!I60</f>
        <v>73</v>
      </c>
      <c r="I271" s="44">
        <f>'By Segment'!J60</f>
        <v>-3</v>
      </c>
      <c r="J271" s="44">
        <f>'By Segment'!K60</f>
        <v>34</v>
      </c>
      <c r="K271" s="44">
        <f>'By Segment'!L60</f>
        <v>-6</v>
      </c>
      <c r="L271" s="44"/>
      <c r="M271" s="44"/>
      <c r="N271" s="44"/>
      <c r="O271" s="44"/>
      <c r="P271" s="44"/>
      <c r="Q271" s="44"/>
      <c r="AD271" s="10" t="s">
        <v>380</v>
      </c>
      <c r="AE271" s="10"/>
      <c r="AF271" s="44">
        <v>48</v>
      </c>
      <c r="AG271" s="44">
        <v>-175</v>
      </c>
      <c r="AH271" s="44">
        <v>-23</v>
      </c>
      <c r="AI271" s="44">
        <v>26</v>
      </c>
      <c r="AJ271" s="44">
        <v>80</v>
      </c>
      <c r="AK271" s="44">
        <v>73</v>
      </c>
      <c r="AL271" s="44">
        <v>-3</v>
      </c>
      <c r="AM271" s="44">
        <v>34</v>
      </c>
      <c r="AN271" s="44">
        <v>-6</v>
      </c>
      <c r="AQ271" s="10" t="s">
        <v>380</v>
      </c>
      <c r="AR271" s="10"/>
      <c r="AS271" s="13">
        <f t="shared" si="433"/>
        <v>0</v>
      </c>
      <c r="AT271" s="13">
        <f t="shared" si="433"/>
        <v>0</v>
      </c>
      <c r="AU271" s="13">
        <f t="shared" si="433"/>
        <v>0</v>
      </c>
      <c r="AV271" s="13">
        <f t="shared" si="433"/>
        <v>0</v>
      </c>
      <c r="AW271" s="13">
        <f t="shared" si="433"/>
        <v>0</v>
      </c>
      <c r="AX271" s="13">
        <f t="shared" si="433"/>
        <v>0</v>
      </c>
      <c r="AY271" s="13">
        <f t="shared" si="433"/>
        <v>0</v>
      </c>
      <c r="AZ271" s="13">
        <f t="shared" si="433"/>
        <v>0</v>
      </c>
      <c r="BA271" s="13">
        <f t="shared" si="433"/>
        <v>0</v>
      </c>
      <c r="BB271" s="54">
        <f t="shared" si="293"/>
        <v>0</v>
      </c>
    </row>
    <row r="272" spans="1:54" s="35" customFormat="1" outlineLevel="1" x14ac:dyDescent="0.3">
      <c r="A272" s="39" t="s">
        <v>413</v>
      </c>
      <c r="B272" s="39"/>
      <c r="C272" s="43">
        <f>C271/C269</f>
        <v>-0.21621621621621623</v>
      </c>
      <c r="D272" s="43">
        <f t="shared" ref="D272" si="434">D271/D269</f>
        <v>0.3668763102725367</v>
      </c>
      <c r="E272" s="43">
        <f t="shared" ref="E272" si="435">E271/E269</f>
        <v>3.4954407294832825E-2</v>
      </c>
      <c r="F272" s="43">
        <f t="shared" ref="F272" si="436">F271/F269</f>
        <v>7.3446327683615822E-2</v>
      </c>
      <c r="G272" s="43">
        <f t="shared" ref="G272" si="437">G271/G269</f>
        <v>0.12718600953895071</v>
      </c>
      <c r="H272" s="43">
        <f t="shared" ref="H272" si="438">H271/H269</f>
        <v>0.11213517665130568</v>
      </c>
      <c r="I272" s="43">
        <f t="shared" ref="I272" si="439">I271/I269</f>
        <v>-7.2992700729927005E-3</v>
      </c>
      <c r="J272" s="43">
        <f t="shared" ref="J272" si="440">J271/J269</f>
        <v>4.850213980028531E-2</v>
      </c>
      <c r="K272" s="43">
        <f t="shared" ref="K272" si="441">K271/K269</f>
        <v>-1.0033444816053512E-2</v>
      </c>
      <c r="L272" s="43"/>
      <c r="M272" s="43"/>
      <c r="N272" s="43"/>
      <c r="O272" s="43"/>
      <c r="P272" s="43"/>
      <c r="Q272" s="43"/>
      <c r="V272" s="59"/>
      <c r="W272" s="59"/>
      <c r="X272" s="59"/>
      <c r="Y272" s="59"/>
      <c r="Z272" s="59"/>
      <c r="AA272" s="59"/>
      <c r="AD272" s="39"/>
      <c r="AE272" s="39"/>
      <c r="AF272" s="40"/>
      <c r="AG272" s="40"/>
      <c r="AH272" s="40"/>
      <c r="AI272" s="40"/>
      <c r="AJ272" s="40"/>
      <c r="AK272" s="40"/>
      <c r="AL272" s="40"/>
      <c r="AM272" s="58"/>
      <c r="AN272" s="40"/>
      <c r="AQ272" s="39"/>
      <c r="AR272" s="39"/>
      <c r="AS272" s="40"/>
      <c r="AT272" s="40"/>
      <c r="AU272" s="40"/>
      <c r="AV272" s="40"/>
      <c r="AW272" s="40"/>
      <c r="AX272" s="40"/>
      <c r="AY272" s="40"/>
      <c r="AZ272" s="40"/>
      <c r="BA272" s="40"/>
      <c r="BB272" s="60"/>
    </row>
    <row r="273" spans="1:54" outlineLevel="1" x14ac:dyDescent="0.3">
      <c r="A273" s="10" t="s">
        <v>393</v>
      </c>
      <c r="B273" s="10"/>
      <c r="C273" s="44">
        <f>'By Segment'!D72</f>
        <v>34</v>
      </c>
      <c r="D273" s="44">
        <f>'By Segment'!E72</f>
        <v>23</v>
      </c>
      <c r="E273" s="44">
        <v>5</v>
      </c>
      <c r="F273" s="44">
        <f>'By Segment'!G72</f>
        <v>1</v>
      </c>
      <c r="G273" s="44">
        <f>'By Segment'!H72</f>
        <v>0</v>
      </c>
      <c r="H273" s="44">
        <f>'By Segment'!I72</f>
        <v>0</v>
      </c>
      <c r="I273" s="44">
        <f>'By Segment'!J72</f>
        <v>0</v>
      </c>
      <c r="J273" s="44">
        <f>'By Segment'!K72</f>
        <v>0</v>
      </c>
      <c r="K273" s="44">
        <f>'By Segment'!L72</f>
        <v>0</v>
      </c>
      <c r="L273" s="44"/>
      <c r="M273" s="44"/>
      <c r="N273" s="44"/>
      <c r="O273" s="44"/>
      <c r="P273" s="44"/>
      <c r="Q273" s="44"/>
      <c r="AD273" s="10" t="s">
        <v>393</v>
      </c>
      <c r="AE273" s="10"/>
      <c r="AF273" s="44">
        <v>34</v>
      </c>
      <c r="AG273" s="44">
        <v>23</v>
      </c>
      <c r="AH273" s="44">
        <v>5</v>
      </c>
      <c r="AI273" s="44">
        <v>1</v>
      </c>
      <c r="AJ273" s="44">
        <v>0</v>
      </c>
      <c r="AK273" s="44">
        <v>0</v>
      </c>
      <c r="AL273" s="44">
        <v>0</v>
      </c>
      <c r="AM273" s="44">
        <v>0</v>
      </c>
      <c r="AN273" s="44">
        <v>0</v>
      </c>
      <c r="AQ273" s="10" t="s">
        <v>393</v>
      </c>
      <c r="AR273" s="10"/>
      <c r="AS273" s="13">
        <f t="shared" ref="AS273:BA273" si="442">C273-AF273</f>
        <v>0</v>
      </c>
      <c r="AT273" s="13">
        <f t="shared" si="442"/>
        <v>0</v>
      </c>
      <c r="AU273" s="13">
        <f t="shared" si="442"/>
        <v>0</v>
      </c>
      <c r="AV273" s="13">
        <f t="shared" si="442"/>
        <v>0</v>
      </c>
      <c r="AW273" s="13">
        <f t="shared" si="442"/>
        <v>0</v>
      </c>
      <c r="AX273" s="13">
        <f t="shared" si="442"/>
        <v>0</v>
      </c>
      <c r="AY273" s="13">
        <f t="shared" si="442"/>
        <v>0</v>
      </c>
      <c r="AZ273" s="13">
        <f t="shared" si="442"/>
        <v>0</v>
      </c>
      <c r="BA273" s="13">
        <f t="shared" si="442"/>
        <v>0</v>
      </c>
      <c r="BB273" s="54">
        <f t="shared" si="293"/>
        <v>0</v>
      </c>
    </row>
    <row r="274" spans="1:54" s="35" customFormat="1" outlineLevel="1" x14ac:dyDescent="0.3">
      <c r="A274" s="39" t="s">
        <v>413</v>
      </c>
      <c r="B274" s="39"/>
      <c r="C274" s="43">
        <f>C273/C269</f>
        <v>-0.15315315315315314</v>
      </c>
      <c r="D274" s="43">
        <f t="shared" ref="D274:K274" si="443">D273/D269</f>
        <v>-4.8218029350104823E-2</v>
      </c>
      <c r="E274" s="43">
        <f t="shared" si="443"/>
        <v>-7.5987841945288756E-3</v>
      </c>
      <c r="F274" s="43">
        <f t="shared" si="443"/>
        <v>2.8248587570621469E-3</v>
      </c>
      <c r="G274" s="43">
        <f t="shared" si="443"/>
        <v>0</v>
      </c>
      <c r="H274" s="43">
        <f t="shared" si="443"/>
        <v>0</v>
      </c>
      <c r="I274" s="43">
        <f t="shared" si="443"/>
        <v>0</v>
      </c>
      <c r="J274" s="43">
        <f t="shared" si="443"/>
        <v>0</v>
      </c>
      <c r="K274" s="43">
        <f t="shared" si="443"/>
        <v>0</v>
      </c>
      <c r="L274" s="43"/>
      <c r="M274" s="43"/>
      <c r="N274" s="43"/>
      <c r="O274" s="43"/>
      <c r="P274" s="43"/>
      <c r="Q274" s="43"/>
      <c r="V274" s="59"/>
      <c r="W274" s="59"/>
      <c r="X274" s="59"/>
      <c r="Y274" s="59"/>
      <c r="Z274" s="59"/>
      <c r="AA274" s="59"/>
      <c r="AD274" s="39"/>
      <c r="AE274" s="39"/>
      <c r="AF274" s="40"/>
      <c r="AG274" s="40"/>
      <c r="AH274" s="40"/>
      <c r="AI274" s="40"/>
      <c r="AJ274" s="40"/>
      <c r="AK274" s="40"/>
      <c r="AL274" s="40"/>
      <c r="AM274" s="58"/>
      <c r="AN274" s="40"/>
      <c r="AQ274" s="39"/>
      <c r="AR274" s="39"/>
      <c r="AS274" s="40"/>
      <c r="AT274" s="40"/>
      <c r="AU274" s="40"/>
      <c r="AV274" s="40"/>
      <c r="AW274" s="40"/>
      <c r="AX274" s="40"/>
      <c r="AY274" s="40"/>
      <c r="AZ274" s="40"/>
      <c r="BA274" s="40"/>
      <c r="BB274" s="60"/>
    </row>
    <row r="275" spans="1:54" outlineLevel="1" x14ac:dyDescent="0.3">
      <c r="A275" s="10" t="s">
        <v>423</v>
      </c>
      <c r="B275" s="10"/>
      <c r="C275" s="44">
        <f t="shared" ref="C275" si="444">C285-C271-C273-C277-C279-C281-C283</f>
        <v>0</v>
      </c>
      <c r="D275" s="44">
        <f t="shared" ref="D275" si="445">D285-D271-D273-D277-D279-D281-D283</f>
        <v>-2</v>
      </c>
      <c r="E275" s="44">
        <f t="shared" ref="E275" si="446">E285-E271-E273-E277-E279-E281-E283</f>
        <v>-7</v>
      </c>
      <c r="F275" s="44">
        <f t="shared" ref="F275" si="447">F285-F271-F273-F277-F279-F281-F283</f>
        <v>-8</v>
      </c>
      <c r="G275" s="44">
        <f t="shared" ref="G275" si="448">G285-G271-G273-G277-G279-G281-G283</f>
        <v>-8</v>
      </c>
      <c r="H275" s="44">
        <f t="shared" ref="H275" si="449">H285-H271-H273-H277-H279-H281-H283</f>
        <v>-12</v>
      </c>
      <c r="I275" s="44">
        <f t="shared" ref="I275" si="450">I285-I271-I273-I277-I279-I281-I283</f>
        <v>-11</v>
      </c>
      <c r="J275" s="44">
        <f t="shared" ref="J275" si="451">J285-J271-J273-J277-J279-J281-J283</f>
        <v>-11</v>
      </c>
      <c r="K275" s="44">
        <f>K285-K271-K273-K277-K279-K281-K283</f>
        <v>-8</v>
      </c>
      <c r="L275" s="44"/>
      <c r="M275" s="44"/>
      <c r="N275" s="44"/>
      <c r="O275" s="44"/>
      <c r="P275" s="44"/>
      <c r="Q275" s="44"/>
      <c r="AD275" s="10" t="s">
        <v>423</v>
      </c>
      <c r="AE275" s="10"/>
      <c r="AF275" s="44">
        <v>0</v>
      </c>
      <c r="AG275" s="44">
        <v>-2</v>
      </c>
      <c r="AH275" s="44">
        <v>-7</v>
      </c>
      <c r="AI275" s="44">
        <v>-8</v>
      </c>
      <c r="AJ275" s="44">
        <v>-8</v>
      </c>
      <c r="AK275" s="44">
        <v>-12</v>
      </c>
      <c r="AL275" s="44">
        <v>-11</v>
      </c>
      <c r="AM275" s="44">
        <v>-11</v>
      </c>
      <c r="AN275" s="44">
        <v>-8</v>
      </c>
      <c r="AQ275" s="10" t="s">
        <v>423</v>
      </c>
      <c r="AR275" s="10"/>
      <c r="AS275" s="13">
        <f t="shared" ref="AS275:BA275" si="452">C275-AF275</f>
        <v>0</v>
      </c>
      <c r="AT275" s="13">
        <f t="shared" si="452"/>
        <v>0</v>
      </c>
      <c r="AU275" s="13">
        <f t="shared" si="452"/>
        <v>0</v>
      </c>
      <c r="AV275" s="13">
        <f t="shared" si="452"/>
        <v>0</v>
      </c>
      <c r="AW275" s="13">
        <f t="shared" si="452"/>
        <v>0</v>
      </c>
      <c r="AX275" s="13">
        <f t="shared" si="452"/>
        <v>0</v>
      </c>
      <c r="AY275" s="13">
        <f t="shared" si="452"/>
        <v>0</v>
      </c>
      <c r="AZ275" s="13">
        <f t="shared" si="452"/>
        <v>0</v>
      </c>
      <c r="BA275" s="13">
        <f t="shared" si="452"/>
        <v>0</v>
      </c>
      <c r="BB275" s="54">
        <f t="shared" si="293"/>
        <v>0</v>
      </c>
    </row>
    <row r="276" spans="1:54" s="35" customFormat="1" outlineLevel="1" x14ac:dyDescent="0.3">
      <c r="A276" s="39" t="s">
        <v>413</v>
      </c>
      <c r="B276" s="39"/>
      <c r="C276" s="43">
        <f>C275/C269</f>
        <v>0</v>
      </c>
      <c r="D276" s="43">
        <f t="shared" ref="D276:K276" si="453">D275/D269</f>
        <v>4.1928721174004195E-3</v>
      </c>
      <c r="E276" s="43">
        <f t="shared" si="453"/>
        <v>1.0638297872340425E-2</v>
      </c>
      <c r="F276" s="43">
        <f t="shared" si="453"/>
        <v>-2.2598870056497175E-2</v>
      </c>
      <c r="G276" s="43">
        <f t="shared" si="453"/>
        <v>-1.2718600953895072E-2</v>
      </c>
      <c r="H276" s="43">
        <f t="shared" si="453"/>
        <v>-1.8433179723502304E-2</v>
      </c>
      <c r="I276" s="43">
        <f t="shared" si="453"/>
        <v>-2.6763990267639901E-2</v>
      </c>
      <c r="J276" s="43">
        <f t="shared" si="453"/>
        <v>-1.5691868758915834E-2</v>
      </c>
      <c r="K276" s="43">
        <f t="shared" si="453"/>
        <v>-1.3377926421404682E-2</v>
      </c>
      <c r="L276" s="43"/>
      <c r="M276" s="43"/>
      <c r="N276" s="43"/>
      <c r="O276" s="43"/>
      <c r="P276" s="43"/>
      <c r="Q276" s="43"/>
      <c r="V276" s="59"/>
      <c r="W276" s="59"/>
      <c r="X276" s="59"/>
      <c r="Y276" s="59"/>
      <c r="Z276" s="59"/>
      <c r="AA276" s="59"/>
      <c r="AD276" s="39"/>
      <c r="AE276" s="39"/>
      <c r="AF276" s="40"/>
      <c r="AG276" s="40"/>
      <c r="AH276" s="40"/>
      <c r="AI276" s="40"/>
      <c r="AJ276" s="40"/>
      <c r="AK276" s="40"/>
      <c r="AL276" s="40"/>
      <c r="AM276" s="58"/>
      <c r="AN276" s="40"/>
      <c r="AQ276" s="39"/>
      <c r="AR276" s="39"/>
      <c r="AS276" s="40"/>
      <c r="AT276" s="40"/>
      <c r="AU276" s="40"/>
      <c r="AV276" s="40"/>
      <c r="AW276" s="40"/>
      <c r="AX276" s="40"/>
      <c r="AY276" s="40"/>
      <c r="AZ276" s="40"/>
      <c r="BA276" s="40"/>
      <c r="BB276" s="60"/>
    </row>
    <row r="277" spans="1:54" outlineLevel="1" x14ac:dyDescent="0.3">
      <c r="A277" s="10" t="s">
        <v>392</v>
      </c>
      <c r="B277" s="10"/>
      <c r="C277" s="44">
        <f>'By Segment'!D71</f>
        <v>-8</v>
      </c>
      <c r="D277" s="44">
        <f>'By Segment'!E71</f>
        <v>-1</v>
      </c>
      <c r="E277" s="44">
        <f>'By Segment'!F71</f>
        <v>8</v>
      </c>
      <c r="F277" s="44">
        <f>'By Segment'!G71</f>
        <v>6</v>
      </c>
      <c r="G277" s="44">
        <f>'By Segment'!H71</f>
        <v>6</v>
      </c>
      <c r="H277" s="44">
        <f>'By Segment'!I71</f>
        <v>6</v>
      </c>
      <c r="I277" s="44">
        <f>'By Segment'!J71</f>
        <v>8</v>
      </c>
      <c r="J277" s="44">
        <f>'By Segment'!K71</f>
        <v>9</v>
      </c>
      <c r="K277" s="44">
        <f>'By Segment'!L71</f>
        <v>9</v>
      </c>
      <c r="L277" s="44"/>
      <c r="M277" s="44"/>
      <c r="N277" s="44"/>
      <c r="O277" s="44"/>
      <c r="P277" s="44"/>
      <c r="Q277" s="44"/>
      <c r="AD277" s="10" t="s">
        <v>392</v>
      </c>
      <c r="AE277" s="10"/>
      <c r="AF277" s="44">
        <v>-8</v>
      </c>
      <c r="AG277" s="44">
        <v>-1</v>
      </c>
      <c r="AH277" s="44">
        <v>8</v>
      </c>
      <c r="AI277" s="44">
        <v>6</v>
      </c>
      <c r="AJ277" s="44">
        <v>6</v>
      </c>
      <c r="AK277" s="44">
        <v>6</v>
      </c>
      <c r="AL277" s="44">
        <v>8</v>
      </c>
      <c r="AM277" s="44">
        <v>9</v>
      </c>
      <c r="AN277" s="44">
        <v>9</v>
      </c>
      <c r="AQ277" s="10" t="s">
        <v>392</v>
      </c>
      <c r="AR277" s="10"/>
      <c r="AS277" s="13">
        <f t="shared" ref="AS277:BA277" si="454">C277-AF277</f>
        <v>0</v>
      </c>
      <c r="AT277" s="13">
        <f t="shared" si="454"/>
        <v>0</v>
      </c>
      <c r="AU277" s="13">
        <f t="shared" si="454"/>
        <v>0</v>
      </c>
      <c r="AV277" s="13">
        <f t="shared" si="454"/>
        <v>0</v>
      </c>
      <c r="AW277" s="13">
        <f t="shared" si="454"/>
        <v>0</v>
      </c>
      <c r="AX277" s="13">
        <f t="shared" si="454"/>
        <v>0</v>
      </c>
      <c r="AY277" s="13">
        <f t="shared" si="454"/>
        <v>0</v>
      </c>
      <c r="AZ277" s="13">
        <f t="shared" si="454"/>
        <v>0</v>
      </c>
      <c r="BA277" s="13">
        <f t="shared" si="454"/>
        <v>0</v>
      </c>
      <c r="BB277" s="54">
        <f t="shared" si="293"/>
        <v>0</v>
      </c>
    </row>
    <row r="278" spans="1:54" s="35" customFormat="1" outlineLevel="1" x14ac:dyDescent="0.3">
      <c r="A278" s="39" t="s">
        <v>413</v>
      </c>
      <c r="B278" s="39"/>
      <c r="C278" s="43">
        <f>C277/C269</f>
        <v>3.6036036036036036E-2</v>
      </c>
      <c r="D278" s="43">
        <f t="shared" ref="D278:K278" si="455">D277/D269</f>
        <v>2.0964360587002098E-3</v>
      </c>
      <c r="E278" s="43">
        <f t="shared" si="455"/>
        <v>-1.2158054711246201E-2</v>
      </c>
      <c r="F278" s="43">
        <f t="shared" si="455"/>
        <v>1.6949152542372881E-2</v>
      </c>
      <c r="G278" s="43">
        <f t="shared" si="455"/>
        <v>9.538950715421303E-3</v>
      </c>
      <c r="H278" s="43">
        <f t="shared" si="455"/>
        <v>9.2165898617511521E-3</v>
      </c>
      <c r="I278" s="43">
        <f t="shared" si="455"/>
        <v>1.9464720194647202E-2</v>
      </c>
      <c r="J278" s="43">
        <f t="shared" si="455"/>
        <v>1.2838801711840228E-2</v>
      </c>
      <c r="K278" s="43">
        <f t="shared" si="455"/>
        <v>1.5050167224080268E-2</v>
      </c>
      <c r="L278" s="43"/>
      <c r="M278" s="43"/>
      <c r="N278" s="43"/>
      <c r="O278" s="43"/>
      <c r="P278" s="43"/>
      <c r="Q278" s="43"/>
      <c r="V278" s="59"/>
      <c r="W278" s="59"/>
      <c r="X278" s="59"/>
      <c r="Y278" s="59"/>
      <c r="Z278" s="59"/>
      <c r="AA278" s="59"/>
      <c r="AD278" s="39"/>
      <c r="AE278" s="39"/>
      <c r="AF278" s="40"/>
      <c r="AG278" s="40"/>
      <c r="AH278" s="40"/>
      <c r="AI278" s="40"/>
      <c r="AJ278" s="40"/>
      <c r="AK278" s="40"/>
      <c r="AL278" s="40"/>
      <c r="AM278" s="58"/>
      <c r="AN278" s="40"/>
      <c r="AQ278" s="39"/>
      <c r="AR278" s="39"/>
      <c r="AS278" s="40"/>
      <c r="AT278" s="40"/>
      <c r="AU278" s="40"/>
      <c r="AV278" s="40"/>
      <c r="AW278" s="40"/>
      <c r="AX278" s="40"/>
      <c r="AY278" s="40"/>
      <c r="AZ278" s="40"/>
      <c r="BA278" s="40"/>
      <c r="BB278" s="60"/>
    </row>
    <row r="279" spans="1:54" outlineLevel="1" x14ac:dyDescent="0.3">
      <c r="A279" s="10" t="s">
        <v>424</v>
      </c>
      <c r="B279" s="10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AD279" s="10" t="s">
        <v>424</v>
      </c>
      <c r="AE279" s="10"/>
      <c r="AF279" s="53"/>
      <c r="AG279" s="53"/>
      <c r="AH279" s="53"/>
      <c r="AI279" s="53"/>
      <c r="AJ279" s="53"/>
      <c r="AK279" s="53"/>
      <c r="AL279" s="53"/>
      <c r="AM279" s="53"/>
      <c r="AN279" s="53"/>
      <c r="AQ279" s="10" t="s">
        <v>424</v>
      </c>
      <c r="AR279" s="10"/>
      <c r="AS279" s="13">
        <f t="shared" ref="AS279:BA279" si="456">C279-AF279</f>
        <v>0</v>
      </c>
      <c r="AT279" s="13">
        <f t="shared" si="456"/>
        <v>0</v>
      </c>
      <c r="AU279" s="13">
        <f t="shared" si="456"/>
        <v>0</v>
      </c>
      <c r="AV279" s="13">
        <f t="shared" si="456"/>
        <v>0</v>
      </c>
      <c r="AW279" s="13">
        <f t="shared" si="456"/>
        <v>0</v>
      </c>
      <c r="AX279" s="13">
        <f t="shared" si="456"/>
        <v>0</v>
      </c>
      <c r="AY279" s="13">
        <f t="shared" si="456"/>
        <v>0</v>
      </c>
      <c r="AZ279" s="13">
        <f t="shared" si="456"/>
        <v>0</v>
      </c>
      <c r="BA279" s="13">
        <f t="shared" si="456"/>
        <v>0</v>
      </c>
      <c r="BB279" s="54">
        <f t="shared" si="293"/>
        <v>0</v>
      </c>
    </row>
    <row r="280" spans="1:54" s="35" customFormat="1" outlineLevel="1" x14ac:dyDescent="0.3">
      <c r="A280" s="39" t="s">
        <v>413</v>
      </c>
      <c r="B280" s="39"/>
      <c r="C280" s="43">
        <f>C279/C269</f>
        <v>0</v>
      </c>
      <c r="D280" s="43">
        <f t="shared" ref="D280:K280" si="457">D279/D269</f>
        <v>0</v>
      </c>
      <c r="E280" s="43">
        <f t="shared" si="457"/>
        <v>0</v>
      </c>
      <c r="F280" s="43">
        <f t="shared" si="457"/>
        <v>0</v>
      </c>
      <c r="G280" s="43">
        <f t="shared" si="457"/>
        <v>0</v>
      </c>
      <c r="H280" s="43">
        <f t="shared" si="457"/>
        <v>0</v>
      </c>
      <c r="I280" s="43">
        <f t="shared" si="457"/>
        <v>0</v>
      </c>
      <c r="J280" s="43">
        <f t="shared" si="457"/>
        <v>0</v>
      </c>
      <c r="K280" s="43">
        <f t="shared" si="457"/>
        <v>0</v>
      </c>
      <c r="L280" s="43"/>
      <c r="M280" s="43"/>
      <c r="N280" s="43"/>
      <c r="O280" s="43"/>
      <c r="P280" s="43"/>
      <c r="Q280" s="43"/>
      <c r="V280" s="59"/>
      <c r="W280" s="59"/>
      <c r="X280" s="59"/>
      <c r="Y280" s="59"/>
      <c r="Z280" s="59"/>
      <c r="AA280" s="59"/>
      <c r="AD280" s="39"/>
      <c r="AE280" s="39"/>
      <c r="AF280" s="40"/>
      <c r="AG280" s="40"/>
      <c r="AH280" s="40"/>
      <c r="AI280" s="40"/>
      <c r="AJ280" s="40"/>
      <c r="AK280" s="40"/>
      <c r="AL280" s="40"/>
      <c r="AM280" s="58"/>
      <c r="AN280" s="40"/>
      <c r="AQ280" s="39"/>
      <c r="AR280" s="39"/>
      <c r="AS280" s="40"/>
      <c r="AT280" s="40"/>
      <c r="AU280" s="40"/>
      <c r="AV280" s="40"/>
      <c r="AW280" s="40"/>
      <c r="AX280" s="40"/>
      <c r="AY280" s="40"/>
      <c r="AZ280" s="40"/>
      <c r="BA280" s="40"/>
      <c r="BB280" s="60"/>
    </row>
    <row r="281" spans="1:54" outlineLevel="1" x14ac:dyDescent="0.3">
      <c r="A281" s="10" t="s">
        <v>381</v>
      </c>
      <c r="B281" s="10"/>
      <c r="C281" s="44">
        <v>975</v>
      </c>
      <c r="D281" s="44">
        <v>1013</v>
      </c>
      <c r="E281" s="44">
        <v>1002</v>
      </c>
      <c r="F281" s="44">
        <f>'By Segment'!G61</f>
        <v>1105</v>
      </c>
      <c r="G281" s="44">
        <f>'By Segment'!H61</f>
        <v>1032</v>
      </c>
      <c r="H281" s="44">
        <f>'By Segment'!I61</f>
        <v>934</v>
      </c>
      <c r="I281" s="44">
        <f>'By Segment'!J61</f>
        <v>895</v>
      </c>
      <c r="J281" s="44">
        <f>'By Segment'!K61</f>
        <v>902</v>
      </c>
      <c r="K281" s="44">
        <f>'By Segment'!L61</f>
        <v>909</v>
      </c>
      <c r="L281" s="44"/>
      <c r="M281" s="44"/>
      <c r="N281" s="44"/>
      <c r="O281" s="44"/>
      <c r="P281" s="44"/>
      <c r="Q281" s="44"/>
      <c r="AD281" s="10" t="s">
        <v>381</v>
      </c>
      <c r="AE281" s="10"/>
      <c r="AF281" s="44">
        <v>975</v>
      </c>
      <c r="AG281" s="44">
        <v>1013</v>
      </c>
      <c r="AH281" s="44">
        <v>1002</v>
      </c>
      <c r="AI281" s="44">
        <v>1105</v>
      </c>
      <c r="AJ281" s="44">
        <v>1032</v>
      </c>
      <c r="AK281" s="44">
        <v>934</v>
      </c>
      <c r="AL281" s="44">
        <v>895</v>
      </c>
      <c r="AM281" s="44">
        <v>902</v>
      </c>
      <c r="AN281" s="44">
        <v>909</v>
      </c>
      <c r="AQ281" s="10" t="s">
        <v>381</v>
      </c>
      <c r="AR281" s="10"/>
      <c r="AS281" s="13">
        <f t="shared" ref="AS281:BA281" si="458">C281-AF281</f>
        <v>0</v>
      </c>
      <c r="AT281" s="13">
        <f t="shared" si="458"/>
        <v>0</v>
      </c>
      <c r="AU281" s="13">
        <f t="shared" si="458"/>
        <v>0</v>
      </c>
      <c r="AV281" s="13">
        <f t="shared" si="458"/>
        <v>0</v>
      </c>
      <c r="AW281" s="13">
        <f t="shared" si="458"/>
        <v>0</v>
      </c>
      <c r="AX281" s="13">
        <f t="shared" si="458"/>
        <v>0</v>
      </c>
      <c r="AY281" s="13">
        <f t="shared" si="458"/>
        <v>0</v>
      </c>
      <c r="AZ281" s="13">
        <f t="shared" si="458"/>
        <v>0</v>
      </c>
      <c r="BA281" s="13">
        <f t="shared" si="458"/>
        <v>0</v>
      </c>
      <c r="BB281" s="54">
        <f t="shared" si="293"/>
        <v>0</v>
      </c>
    </row>
    <row r="282" spans="1:54" s="35" customFormat="1" outlineLevel="1" x14ac:dyDescent="0.3">
      <c r="A282" s="39" t="s">
        <v>413</v>
      </c>
      <c r="B282" s="39"/>
      <c r="C282" s="43">
        <f>C281/C269</f>
        <v>-4.3918918918918921</v>
      </c>
      <c r="D282" s="43">
        <f t="shared" ref="D282:K282" si="459">D281/D269</f>
        <v>-2.1236897274633124</v>
      </c>
      <c r="E282" s="43">
        <f t="shared" si="459"/>
        <v>-1.5227963525835866</v>
      </c>
      <c r="F282" s="43">
        <f t="shared" si="459"/>
        <v>3.1214689265536721</v>
      </c>
      <c r="G282" s="43">
        <f t="shared" si="459"/>
        <v>1.6406995230524641</v>
      </c>
      <c r="H282" s="43">
        <f t="shared" si="459"/>
        <v>1.4347158218125959</v>
      </c>
      <c r="I282" s="43">
        <f t="shared" si="459"/>
        <v>2.1776155717761556</v>
      </c>
      <c r="J282" s="43">
        <f t="shared" si="459"/>
        <v>1.2867332382310985</v>
      </c>
      <c r="K282" s="43">
        <f t="shared" si="459"/>
        <v>1.520066889632107</v>
      </c>
      <c r="L282" s="43"/>
      <c r="M282" s="43"/>
      <c r="N282" s="43"/>
      <c r="O282" s="43"/>
      <c r="P282" s="43"/>
      <c r="Q282" s="43"/>
      <c r="V282" s="59"/>
      <c r="W282" s="59"/>
      <c r="X282" s="59"/>
      <c r="Y282" s="59"/>
      <c r="Z282" s="59"/>
      <c r="AA282" s="59"/>
      <c r="AD282" s="39"/>
      <c r="AE282" s="39"/>
      <c r="AF282" s="40"/>
      <c r="AG282" s="40"/>
      <c r="AH282" s="40"/>
      <c r="AI282" s="40"/>
      <c r="AJ282" s="40"/>
      <c r="AK282" s="40"/>
      <c r="AL282" s="40"/>
      <c r="AM282" s="58"/>
      <c r="AN282" s="40"/>
      <c r="AQ282" s="39"/>
      <c r="AR282" s="39"/>
      <c r="AS282" s="40"/>
      <c r="AT282" s="40"/>
      <c r="AU282" s="40"/>
      <c r="AV282" s="40"/>
      <c r="AW282" s="40"/>
      <c r="AX282" s="40"/>
      <c r="AY282" s="40"/>
      <c r="AZ282" s="40"/>
      <c r="BA282" s="40"/>
      <c r="BB282" s="60"/>
    </row>
    <row r="283" spans="1:54" outlineLevel="1" x14ac:dyDescent="0.3">
      <c r="A283" s="10" t="s">
        <v>388</v>
      </c>
      <c r="B283" s="10"/>
      <c r="C283" s="44">
        <v>153</v>
      </c>
      <c r="D283" s="44">
        <v>434</v>
      </c>
      <c r="E283" s="44">
        <v>-192</v>
      </c>
      <c r="F283" s="44">
        <f>'By Segment'!G67</f>
        <v>894</v>
      </c>
      <c r="G283" s="44">
        <f>'By Segment'!H67</f>
        <v>907</v>
      </c>
      <c r="H283" s="44">
        <f>'By Segment'!I67</f>
        <v>1074</v>
      </c>
      <c r="I283" s="44">
        <f>'By Segment'!J67</f>
        <v>625</v>
      </c>
      <c r="J283" s="44">
        <f>'By Segment'!K67</f>
        <v>562</v>
      </c>
      <c r="K283" s="44">
        <f>'By Segment'!L67</f>
        <v>709</v>
      </c>
      <c r="L283" s="44"/>
      <c r="M283" s="44"/>
      <c r="N283" s="44"/>
      <c r="O283" s="44"/>
      <c r="P283" s="44"/>
      <c r="Q283" s="44"/>
      <c r="AD283" s="10" t="s">
        <v>388</v>
      </c>
      <c r="AE283" s="10"/>
      <c r="AF283" s="44">
        <v>153</v>
      </c>
      <c r="AG283" s="44">
        <v>434</v>
      </c>
      <c r="AH283" s="44">
        <v>-192</v>
      </c>
      <c r="AI283" s="44">
        <v>894</v>
      </c>
      <c r="AJ283" s="44">
        <v>907</v>
      </c>
      <c r="AK283" s="44">
        <v>1074</v>
      </c>
      <c r="AL283" s="44">
        <v>625</v>
      </c>
      <c r="AM283" s="44">
        <v>562</v>
      </c>
      <c r="AN283" s="44">
        <v>709</v>
      </c>
      <c r="AQ283" s="10" t="s">
        <v>388</v>
      </c>
      <c r="AR283" s="10"/>
      <c r="AS283" s="13">
        <f t="shared" ref="AS283:BA283" si="460">C283-AF283</f>
        <v>0</v>
      </c>
      <c r="AT283" s="13">
        <f t="shared" si="460"/>
        <v>0</v>
      </c>
      <c r="AU283" s="13">
        <f t="shared" si="460"/>
        <v>0</v>
      </c>
      <c r="AV283" s="13">
        <f t="shared" si="460"/>
        <v>0</v>
      </c>
      <c r="AW283" s="13">
        <f t="shared" si="460"/>
        <v>0</v>
      </c>
      <c r="AX283" s="13">
        <f t="shared" si="460"/>
        <v>0</v>
      </c>
      <c r="AY283" s="13">
        <f t="shared" si="460"/>
        <v>0</v>
      </c>
      <c r="AZ283" s="13">
        <f t="shared" si="460"/>
        <v>0</v>
      </c>
      <c r="BA283" s="13">
        <f t="shared" si="460"/>
        <v>0</v>
      </c>
      <c r="BB283" s="54">
        <f t="shared" si="293"/>
        <v>0</v>
      </c>
    </row>
    <row r="284" spans="1:54" s="35" customFormat="1" outlineLevel="1" x14ac:dyDescent="0.3">
      <c r="A284" s="39" t="s">
        <v>413</v>
      </c>
      <c r="B284" s="39"/>
      <c r="C284" s="43">
        <f>C283/C269</f>
        <v>-0.68918918918918914</v>
      </c>
      <c r="D284" s="43">
        <f t="shared" ref="D284:K284" si="461">D283/D269</f>
        <v>-0.90985324947589097</v>
      </c>
      <c r="E284" s="43">
        <f t="shared" si="461"/>
        <v>0.2917933130699088</v>
      </c>
      <c r="F284" s="43">
        <f t="shared" si="461"/>
        <v>2.5254237288135593</v>
      </c>
      <c r="G284" s="43">
        <f t="shared" si="461"/>
        <v>1.4419713831478538</v>
      </c>
      <c r="H284" s="43">
        <f t="shared" si="461"/>
        <v>1.6497695852534562</v>
      </c>
      <c r="I284" s="43">
        <f t="shared" si="461"/>
        <v>1.5206812652068127</v>
      </c>
      <c r="J284" s="43">
        <f t="shared" si="461"/>
        <v>0.80171184022824538</v>
      </c>
      <c r="K284" s="43">
        <f t="shared" si="461"/>
        <v>1.18561872909699</v>
      </c>
      <c r="L284" s="43"/>
      <c r="M284" s="43"/>
      <c r="N284" s="43"/>
      <c r="O284" s="43"/>
      <c r="P284" s="43"/>
      <c r="Q284" s="43"/>
      <c r="V284" s="59"/>
      <c r="W284" s="59"/>
      <c r="X284" s="59"/>
      <c r="Y284" s="59"/>
      <c r="Z284" s="59"/>
      <c r="AA284" s="59"/>
      <c r="AD284" s="39"/>
      <c r="AE284" s="39"/>
      <c r="AF284" s="40"/>
      <c r="AG284" s="40"/>
      <c r="AH284" s="40"/>
      <c r="AI284" s="40"/>
      <c r="AJ284" s="40"/>
      <c r="AK284" s="40"/>
      <c r="AL284" s="40"/>
      <c r="AM284" s="58"/>
      <c r="AN284" s="40"/>
      <c r="AQ284" s="39"/>
      <c r="AR284" s="39"/>
      <c r="AS284" s="40"/>
      <c r="AT284" s="40"/>
      <c r="AU284" s="40"/>
      <c r="AV284" s="40"/>
      <c r="AW284" s="40"/>
      <c r="AX284" s="40"/>
      <c r="AY284" s="40"/>
      <c r="AZ284" s="40"/>
      <c r="BA284" s="40"/>
      <c r="BB284" s="60"/>
    </row>
    <row r="285" spans="1:54" s="49" customFormat="1" outlineLevel="1" x14ac:dyDescent="0.3">
      <c r="A285" s="47" t="s">
        <v>389</v>
      </c>
      <c r="B285" s="47"/>
      <c r="C285" s="52">
        <v>1202</v>
      </c>
      <c r="D285" s="52">
        <v>1292</v>
      </c>
      <c r="E285" s="52">
        <v>793</v>
      </c>
      <c r="F285" s="52">
        <f>'By Segment'!G68</f>
        <v>2024</v>
      </c>
      <c r="G285" s="52">
        <f>'By Segment'!H68</f>
        <v>2017</v>
      </c>
      <c r="H285" s="52">
        <f>'By Segment'!I68</f>
        <v>2075</v>
      </c>
      <c r="I285" s="52">
        <f>'By Segment'!J68</f>
        <v>1514</v>
      </c>
      <c r="J285" s="52">
        <f>'By Segment'!K68</f>
        <v>1496</v>
      </c>
      <c r="K285" s="52">
        <f>'By Segment'!L68</f>
        <v>1613</v>
      </c>
      <c r="L285" s="52"/>
      <c r="M285" s="52"/>
      <c r="N285" s="52"/>
      <c r="O285" s="52"/>
      <c r="P285" s="52"/>
      <c r="Q285" s="52"/>
      <c r="V285" s="55"/>
      <c r="W285" s="55"/>
      <c r="X285" s="55"/>
      <c r="Z285" s="55"/>
      <c r="AD285" s="47" t="s">
        <v>389</v>
      </c>
      <c r="AE285" s="47"/>
      <c r="AF285" s="52">
        <v>1202</v>
      </c>
      <c r="AG285" s="52">
        <v>1292</v>
      </c>
      <c r="AH285" s="52">
        <v>793</v>
      </c>
      <c r="AI285" s="52">
        <v>2024</v>
      </c>
      <c r="AJ285" s="52">
        <v>2017</v>
      </c>
      <c r="AK285" s="52">
        <v>2075</v>
      </c>
      <c r="AL285" s="52">
        <v>1514</v>
      </c>
      <c r="AM285" s="52">
        <v>1496</v>
      </c>
      <c r="AN285" s="52">
        <v>1613</v>
      </c>
      <c r="AQ285" s="47" t="s">
        <v>389</v>
      </c>
      <c r="AR285" s="47"/>
      <c r="AS285" s="13">
        <f t="shared" ref="AS285:BA285" si="462">C285-AF285</f>
        <v>0</v>
      </c>
      <c r="AT285" s="13">
        <f t="shared" si="462"/>
        <v>0</v>
      </c>
      <c r="AU285" s="13">
        <f t="shared" si="462"/>
        <v>0</v>
      </c>
      <c r="AV285" s="13">
        <f t="shared" si="462"/>
        <v>0</v>
      </c>
      <c r="AW285" s="13">
        <f t="shared" si="462"/>
        <v>0</v>
      </c>
      <c r="AX285" s="13">
        <f t="shared" si="462"/>
        <v>0</v>
      </c>
      <c r="AY285" s="13">
        <f t="shared" si="462"/>
        <v>0</v>
      </c>
      <c r="AZ285" s="13">
        <f t="shared" si="462"/>
        <v>0</v>
      </c>
      <c r="BA285" s="13">
        <f t="shared" si="462"/>
        <v>0</v>
      </c>
      <c r="BB285" s="54">
        <f t="shared" si="293"/>
        <v>0</v>
      </c>
    </row>
    <row r="286" spans="1:54" s="35" customFormat="1" outlineLevel="1" x14ac:dyDescent="0.3">
      <c r="A286" s="39" t="s">
        <v>413</v>
      </c>
      <c r="B286" s="39"/>
      <c r="C286" s="43">
        <f>C285/C269</f>
        <v>-5.4144144144144146</v>
      </c>
      <c r="D286" s="43">
        <f t="shared" ref="D286:K286" si="463">D285/D269</f>
        <v>-2.708595387840671</v>
      </c>
      <c r="E286" s="43">
        <f t="shared" si="463"/>
        <v>-1.2051671732522797</v>
      </c>
      <c r="F286" s="43">
        <f t="shared" si="463"/>
        <v>5.7175141242937855</v>
      </c>
      <c r="G286" s="43">
        <f t="shared" si="463"/>
        <v>3.2066772655007951</v>
      </c>
      <c r="H286" s="43">
        <f t="shared" si="463"/>
        <v>3.1874039938556069</v>
      </c>
      <c r="I286" s="43">
        <f t="shared" si="463"/>
        <v>3.6836982968369831</v>
      </c>
      <c r="J286" s="43">
        <f t="shared" si="463"/>
        <v>2.1340941512125533</v>
      </c>
      <c r="K286" s="43">
        <f t="shared" si="463"/>
        <v>2.6973244147157192</v>
      </c>
      <c r="L286" s="43"/>
      <c r="M286" s="43"/>
      <c r="N286" s="43"/>
      <c r="O286" s="43"/>
      <c r="P286" s="43"/>
      <c r="Q286" s="43"/>
      <c r="V286" s="59"/>
      <c r="W286" s="59"/>
      <c r="X286" s="59"/>
      <c r="Y286" s="59"/>
      <c r="Z286" s="59"/>
      <c r="AA286" s="59"/>
      <c r="AD286" s="39"/>
      <c r="AE286" s="39"/>
      <c r="AF286" s="40"/>
      <c r="AG286" s="40"/>
      <c r="AH286" s="40"/>
      <c r="AI286" s="40"/>
      <c r="AJ286" s="40"/>
      <c r="AK286" s="40"/>
      <c r="AL286" s="40"/>
      <c r="AM286" s="58"/>
      <c r="AN286" s="40"/>
      <c r="AQ286" s="39"/>
      <c r="AR286" s="39"/>
      <c r="AS286" s="40"/>
      <c r="AT286" s="40"/>
      <c r="AU286" s="40"/>
      <c r="AV286" s="40"/>
      <c r="AW286" s="40"/>
      <c r="AX286" s="40"/>
      <c r="AY286" s="40"/>
      <c r="AZ286" s="40"/>
      <c r="BA286" s="40"/>
      <c r="BB286" s="60"/>
    </row>
    <row r="287" spans="1:54" outlineLevel="1" x14ac:dyDescent="0.3">
      <c r="A287" s="47"/>
      <c r="B287" s="10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AD287" s="47"/>
      <c r="AE287" s="10"/>
      <c r="AF287" s="44"/>
      <c r="AG287" s="44"/>
      <c r="AH287" s="44"/>
      <c r="AI287" s="44"/>
      <c r="AJ287" s="44"/>
      <c r="AK287" s="44"/>
      <c r="AL287" s="44"/>
      <c r="AM287" s="44"/>
      <c r="AN287" s="44"/>
      <c r="AQ287" s="47"/>
      <c r="AR287" s="10"/>
      <c r="AS287" s="13">
        <f t="shared" ref="AS287:BA288" si="464">C287-AF287</f>
        <v>0</v>
      </c>
      <c r="AT287" s="13">
        <f t="shared" si="464"/>
        <v>0</v>
      </c>
      <c r="AU287" s="13">
        <f t="shared" si="464"/>
        <v>0</v>
      </c>
      <c r="AV287" s="13">
        <f t="shared" si="464"/>
        <v>0</v>
      </c>
      <c r="AW287" s="13">
        <f t="shared" si="464"/>
        <v>0</v>
      </c>
      <c r="AX287" s="13">
        <f t="shared" si="464"/>
        <v>0</v>
      </c>
      <c r="AY287" s="13">
        <f t="shared" si="464"/>
        <v>0</v>
      </c>
      <c r="AZ287" s="13">
        <f t="shared" si="464"/>
        <v>0</v>
      </c>
      <c r="BA287" s="13">
        <f t="shared" si="464"/>
        <v>0</v>
      </c>
      <c r="BB287" s="54">
        <f t="shared" si="293"/>
        <v>0</v>
      </c>
    </row>
    <row r="288" spans="1:54" s="49" customFormat="1" outlineLevel="1" x14ac:dyDescent="0.3">
      <c r="A288" s="47" t="s">
        <v>379</v>
      </c>
      <c r="B288" s="47"/>
      <c r="C288" s="52">
        <f>C269-C285</f>
        <v>-1424</v>
      </c>
      <c r="D288" s="52">
        <f t="shared" ref="D288:K288" si="465">D269-D285</f>
        <v>-1769</v>
      </c>
      <c r="E288" s="52">
        <f t="shared" si="465"/>
        <v>-1451</v>
      </c>
      <c r="F288" s="52">
        <f t="shared" si="465"/>
        <v>-1670</v>
      </c>
      <c r="G288" s="52">
        <f t="shared" si="465"/>
        <v>-1388</v>
      </c>
      <c r="H288" s="52">
        <f t="shared" si="465"/>
        <v>-1424</v>
      </c>
      <c r="I288" s="52">
        <f t="shared" si="465"/>
        <v>-1103</v>
      </c>
      <c r="J288" s="52">
        <f t="shared" si="465"/>
        <v>-795</v>
      </c>
      <c r="K288" s="52">
        <f t="shared" si="465"/>
        <v>-1015</v>
      </c>
      <c r="L288" s="52"/>
      <c r="M288" s="52"/>
      <c r="N288" s="52"/>
      <c r="O288" s="52"/>
      <c r="P288" s="52"/>
      <c r="Q288" s="52"/>
      <c r="V288" s="55"/>
      <c r="W288" s="55"/>
      <c r="X288" s="55"/>
      <c r="Z288" s="55"/>
      <c r="AD288" s="47" t="s">
        <v>379</v>
      </c>
      <c r="AE288" s="47"/>
      <c r="AF288" s="52">
        <v>-1424</v>
      </c>
      <c r="AG288" s="52">
        <v>-1769</v>
      </c>
      <c r="AH288" s="52">
        <v>-1451</v>
      </c>
      <c r="AI288" s="52">
        <v>-1670</v>
      </c>
      <c r="AJ288" s="52">
        <v>-1388</v>
      </c>
      <c r="AK288" s="52">
        <v>-1424</v>
      </c>
      <c r="AL288" s="52">
        <v>-1103</v>
      </c>
      <c r="AM288" s="52">
        <v>-795</v>
      </c>
      <c r="AN288" s="52">
        <v>-1015</v>
      </c>
      <c r="AQ288" s="47" t="s">
        <v>379</v>
      </c>
      <c r="AR288" s="47"/>
      <c r="AS288" s="13">
        <f t="shared" si="464"/>
        <v>0</v>
      </c>
      <c r="AT288" s="13">
        <f t="shared" si="464"/>
        <v>0</v>
      </c>
      <c r="AU288" s="13">
        <f t="shared" si="464"/>
        <v>0</v>
      </c>
      <c r="AV288" s="13">
        <f t="shared" si="464"/>
        <v>0</v>
      </c>
      <c r="AW288" s="13">
        <f t="shared" si="464"/>
        <v>0</v>
      </c>
      <c r="AX288" s="13">
        <f t="shared" si="464"/>
        <v>0</v>
      </c>
      <c r="AY288" s="13">
        <f t="shared" si="464"/>
        <v>0</v>
      </c>
      <c r="AZ288" s="13">
        <f t="shared" si="464"/>
        <v>0</v>
      </c>
      <c r="BA288" s="13">
        <f t="shared" si="464"/>
        <v>0</v>
      </c>
      <c r="BB288" s="54">
        <f t="shared" si="293"/>
        <v>0</v>
      </c>
    </row>
    <row r="289" spans="1:54" s="35" customFormat="1" outlineLevel="1" x14ac:dyDescent="0.3">
      <c r="A289" s="39" t="s">
        <v>413</v>
      </c>
      <c r="B289" s="39"/>
      <c r="C289" s="43">
        <f>C288/C269</f>
        <v>6.4144144144144146</v>
      </c>
      <c r="D289" s="43">
        <f t="shared" ref="D289:K289" si="466">D288/D269</f>
        <v>3.708595387840671</v>
      </c>
      <c r="E289" s="43">
        <f t="shared" si="466"/>
        <v>2.2051671732522795</v>
      </c>
      <c r="F289" s="43">
        <f t="shared" si="466"/>
        <v>-4.7175141242937855</v>
      </c>
      <c r="G289" s="43">
        <f t="shared" si="466"/>
        <v>-2.2066772655007951</v>
      </c>
      <c r="H289" s="43">
        <f t="shared" si="466"/>
        <v>-2.1874039938556069</v>
      </c>
      <c r="I289" s="43">
        <f t="shared" si="466"/>
        <v>-2.6836982968369831</v>
      </c>
      <c r="J289" s="43">
        <f t="shared" si="466"/>
        <v>-1.1340941512125535</v>
      </c>
      <c r="K289" s="43">
        <f t="shared" si="466"/>
        <v>-1.6973244147157192</v>
      </c>
      <c r="L289" s="43"/>
      <c r="M289" s="43"/>
      <c r="N289" s="43"/>
      <c r="O289" s="43"/>
      <c r="P289" s="43"/>
      <c r="Q289" s="43"/>
      <c r="V289" s="59"/>
      <c r="W289" s="59"/>
      <c r="X289" s="59"/>
      <c r="Y289" s="59"/>
      <c r="Z289" s="59"/>
      <c r="AA289" s="59"/>
      <c r="AD289" s="39"/>
      <c r="AE289" s="39"/>
      <c r="AF289" s="40"/>
      <c r="AG289" s="40"/>
      <c r="AH289" s="40"/>
      <c r="AI289" s="40"/>
      <c r="AJ289" s="40"/>
      <c r="AK289" s="40"/>
      <c r="AL289" s="40"/>
      <c r="AM289" s="58"/>
      <c r="AN289" s="40"/>
      <c r="AQ289" s="39"/>
      <c r="AR289" s="39"/>
      <c r="AS289" s="40"/>
      <c r="AT289" s="40"/>
      <c r="AU289" s="40"/>
      <c r="AV289" s="40"/>
      <c r="AW289" s="40"/>
      <c r="AX289" s="40"/>
      <c r="AY289" s="40"/>
      <c r="AZ289" s="40"/>
      <c r="BA289" s="40"/>
      <c r="BB289" s="60"/>
    </row>
    <row r="290" spans="1:54" outlineLevel="1" x14ac:dyDescent="0.3">
      <c r="A290" s="47"/>
      <c r="B290" s="10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AD290" s="47"/>
      <c r="AE290" s="10"/>
      <c r="AF290" s="44"/>
      <c r="AG290" s="44"/>
      <c r="AH290" s="44"/>
      <c r="AI290" s="44"/>
      <c r="AJ290" s="44"/>
      <c r="AK290" s="44"/>
      <c r="AL290" s="44"/>
      <c r="AM290" s="44"/>
      <c r="AN290" s="44"/>
      <c r="AQ290" s="47"/>
      <c r="AR290" s="10"/>
      <c r="AS290" s="13">
        <f t="shared" ref="AS290:BA292" si="467">C290-AF290</f>
        <v>0</v>
      </c>
      <c r="AT290" s="13">
        <f t="shared" si="467"/>
        <v>0</v>
      </c>
      <c r="AU290" s="13">
        <f t="shared" si="467"/>
        <v>0</v>
      </c>
      <c r="AV290" s="13">
        <f t="shared" si="467"/>
        <v>0</v>
      </c>
      <c r="AW290" s="13">
        <f t="shared" si="467"/>
        <v>0</v>
      </c>
      <c r="AX290" s="13">
        <f t="shared" si="467"/>
        <v>0</v>
      </c>
      <c r="AY290" s="13">
        <f t="shared" si="467"/>
        <v>0</v>
      </c>
      <c r="AZ290" s="13">
        <f t="shared" si="467"/>
        <v>0</v>
      </c>
      <c r="BA290" s="13">
        <f t="shared" si="467"/>
        <v>0</v>
      </c>
      <c r="BB290" s="54">
        <f t="shared" si="293"/>
        <v>0</v>
      </c>
    </row>
    <row r="291" spans="1:54" outlineLevel="1" x14ac:dyDescent="0.3">
      <c r="A291" s="10" t="s">
        <v>382</v>
      </c>
      <c r="B291" s="10"/>
      <c r="C291" s="44">
        <v>-719</v>
      </c>
      <c r="D291" s="44">
        <v>-365</v>
      </c>
      <c r="E291" s="44">
        <v>-947</v>
      </c>
      <c r="F291" s="44">
        <f>'By Segment'!G62</f>
        <v>-688</v>
      </c>
      <c r="G291" s="44">
        <f>'By Segment'!H62</f>
        <v>-825</v>
      </c>
      <c r="H291" s="44">
        <f>'By Segment'!I62</f>
        <v>-1201</v>
      </c>
      <c r="I291" s="44">
        <f>'By Segment'!J62</f>
        <v>-556</v>
      </c>
      <c r="J291" s="44">
        <f>'By Segment'!K62</f>
        <v>-591</v>
      </c>
      <c r="K291" s="44">
        <f>'By Segment'!L62</f>
        <v>-356</v>
      </c>
      <c r="L291" s="44"/>
      <c r="M291" s="44"/>
      <c r="N291" s="44"/>
      <c r="O291" s="44"/>
      <c r="P291" s="44"/>
      <c r="Q291" s="44"/>
      <c r="AD291" s="10" t="s">
        <v>382</v>
      </c>
      <c r="AE291" s="10"/>
      <c r="AF291" s="44">
        <v>-719</v>
      </c>
      <c r="AG291" s="44">
        <v>-365</v>
      </c>
      <c r="AH291" s="44">
        <v>-947</v>
      </c>
      <c r="AI291" s="44">
        <v>-688</v>
      </c>
      <c r="AJ291" s="44">
        <v>-825</v>
      </c>
      <c r="AK291" s="44">
        <v>-1201</v>
      </c>
      <c r="AL291" s="44">
        <v>-556</v>
      </c>
      <c r="AM291" s="44">
        <v>-591</v>
      </c>
      <c r="AN291" s="44">
        <v>-356</v>
      </c>
      <c r="AQ291" s="10" t="s">
        <v>382</v>
      </c>
      <c r="AR291" s="10"/>
      <c r="AS291" s="13">
        <f t="shared" si="467"/>
        <v>0</v>
      </c>
      <c r="AT291" s="13">
        <f t="shared" si="467"/>
        <v>0</v>
      </c>
      <c r="AU291" s="13">
        <f t="shared" si="467"/>
        <v>0</v>
      </c>
      <c r="AV291" s="13">
        <f t="shared" si="467"/>
        <v>0</v>
      </c>
      <c r="AW291" s="13">
        <f t="shared" si="467"/>
        <v>0</v>
      </c>
      <c r="AX291" s="13">
        <f t="shared" si="467"/>
        <v>0</v>
      </c>
      <c r="AY291" s="13">
        <f t="shared" si="467"/>
        <v>0</v>
      </c>
      <c r="AZ291" s="13">
        <f t="shared" si="467"/>
        <v>0</v>
      </c>
      <c r="BA291" s="13">
        <f t="shared" si="467"/>
        <v>0</v>
      </c>
      <c r="BB291" s="54">
        <f t="shared" si="293"/>
        <v>0</v>
      </c>
    </row>
    <row r="292" spans="1:54" s="49" customFormat="1" outlineLevel="1" x14ac:dyDescent="0.3">
      <c r="A292" s="47" t="s">
        <v>377</v>
      </c>
      <c r="B292" s="47"/>
      <c r="C292" s="52">
        <f t="shared" ref="C292:K292" si="468">C288-C291</f>
        <v>-705</v>
      </c>
      <c r="D292" s="52">
        <f t="shared" si="468"/>
        <v>-1404</v>
      </c>
      <c r="E292" s="52">
        <f t="shared" si="468"/>
        <v>-504</v>
      </c>
      <c r="F292" s="52">
        <f t="shared" si="468"/>
        <v>-982</v>
      </c>
      <c r="G292" s="52">
        <f t="shared" si="468"/>
        <v>-563</v>
      </c>
      <c r="H292" s="52">
        <f t="shared" si="468"/>
        <v>-223</v>
      </c>
      <c r="I292" s="52">
        <f t="shared" si="468"/>
        <v>-547</v>
      </c>
      <c r="J292" s="52">
        <f t="shared" si="468"/>
        <v>-204</v>
      </c>
      <c r="K292" s="52">
        <f t="shared" si="468"/>
        <v>-659</v>
      </c>
      <c r="L292" s="52"/>
      <c r="M292" s="52"/>
      <c r="N292" s="52"/>
      <c r="O292" s="52"/>
      <c r="P292" s="52"/>
      <c r="Q292" s="52"/>
      <c r="V292" s="55"/>
      <c r="W292" s="55"/>
      <c r="X292" s="55"/>
      <c r="Z292" s="55"/>
      <c r="AD292" s="47" t="s">
        <v>377</v>
      </c>
      <c r="AE292" s="47"/>
      <c r="AF292" s="52">
        <v>-705</v>
      </c>
      <c r="AG292" s="52">
        <v>-1404</v>
      </c>
      <c r="AH292" s="52">
        <v>-504</v>
      </c>
      <c r="AI292" s="52">
        <v>-982</v>
      </c>
      <c r="AJ292" s="52">
        <v>-563</v>
      </c>
      <c r="AK292" s="52">
        <v>-223</v>
      </c>
      <c r="AL292" s="52">
        <v>-547</v>
      </c>
      <c r="AM292" s="52">
        <v>-204</v>
      </c>
      <c r="AN292" s="52">
        <v>-659</v>
      </c>
      <c r="AQ292" s="47" t="s">
        <v>377</v>
      </c>
      <c r="AR292" s="47"/>
      <c r="AS292" s="13">
        <f t="shared" si="467"/>
        <v>0</v>
      </c>
      <c r="AT292" s="13">
        <f t="shared" si="467"/>
        <v>0</v>
      </c>
      <c r="AU292" s="13">
        <f t="shared" si="467"/>
        <v>0</v>
      </c>
      <c r="AV292" s="13">
        <f t="shared" si="467"/>
        <v>0</v>
      </c>
      <c r="AW292" s="13">
        <f t="shared" si="467"/>
        <v>0</v>
      </c>
      <c r="AX292" s="13">
        <f t="shared" si="467"/>
        <v>0</v>
      </c>
      <c r="AY292" s="13">
        <f t="shared" si="467"/>
        <v>0</v>
      </c>
      <c r="AZ292" s="13">
        <f t="shared" si="467"/>
        <v>0</v>
      </c>
      <c r="BA292" s="13">
        <f t="shared" si="467"/>
        <v>0</v>
      </c>
      <c r="BB292" s="54">
        <f t="shared" si="293"/>
        <v>0</v>
      </c>
    </row>
    <row r="293" spans="1:54" s="35" customFormat="1" outlineLevel="1" x14ac:dyDescent="0.3">
      <c r="A293" s="39" t="s">
        <v>413</v>
      </c>
      <c r="B293" s="39"/>
      <c r="C293" s="43">
        <f>C292/C269</f>
        <v>3.1756756756756759</v>
      </c>
      <c r="D293" s="43">
        <f t="shared" ref="D293:K293" si="469">D292/D269</f>
        <v>2.9433962264150941</v>
      </c>
      <c r="E293" s="43">
        <f t="shared" si="469"/>
        <v>0.76595744680851063</v>
      </c>
      <c r="F293" s="43">
        <f t="shared" si="469"/>
        <v>-2.7740112994350281</v>
      </c>
      <c r="G293" s="43">
        <f t="shared" si="469"/>
        <v>-0.89507154213036566</v>
      </c>
      <c r="H293" s="43">
        <f t="shared" si="469"/>
        <v>-0.34254992319508448</v>
      </c>
      <c r="I293" s="43">
        <f t="shared" si="469"/>
        <v>-1.3309002433090025</v>
      </c>
      <c r="J293" s="43">
        <f t="shared" si="469"/>
        <v>-0.29101283880171186</v>
      </c>
      <c r="K293" s="43">
        <f t="shared" si="469"/>
        <v>-1.1020066889632107</v>
      </c>
      <c r="L293" s="43"/>
      <c r="M293" s="43"/>
      <c r="N293" s="43"/>
      <c r="O293" s="43"/>
      <c r="P293" s="43"/>
      <c r="Q293" s="43"/>
      <c r="V293" s="59"/>
      <c r="W293" s="59"/>
      <c r="X293" s="59"/>
      <c r="Y293" s="59"/>
      <c r="Z293" s="59"/>
      <c r="AA293" s="59"/>
      <c r="AD293" s="39"/>
      <c r="AE293" s="39"/>
      <c r="AF293" s="40"/>
      <c r="AG293" s="40"/>
      <c r="AH293" s="40"/>
      <c r="AI293" s="40"/>
      <c r="AJ293" s="40"/>
      <c r="AK293" s="40"/>
      <c r="AL293" s="40"/>
      <c r="AM293" s="58"/>
      <c r="AN293" s="40"/>
      <c r="AQ293" s="39"/>
      <c r="AR293" s="39"/>
      <c r="AS293" s="40"/>
      <c r="AT293" s="40"/>
      <c r="AU293" s="40"/>
      <c r="AV293" s="40"/>
      <c r="AW293" s="40"/>
      <c r="AX293" s="40"/>
      <c r="AY293" s="40"/>
      <c r="AZ293" s="40"/>
      <c r="BA293" s="40"/>
      <c r="BB293" s="60"/>
    </row>
  </sheetData>
  <pageMargins left="0.7" right="0.7" top="0.75" bottom="0.75" header="0.3" footer="0.3"/>
  <pageSetup scale="58" orientation="portrait" verticalDpi="0" r:id="rId1"/>
  <rowBreaks count="1" manualBreakCount="1">
    <brk id="146" max="16383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3"/>
  <sheetViews>
    <sheetView zoomScaleNormal="100" zoomScaleSheetLayoutView="100" workbookViewId="0">
      <pane xSplit="2" ySplit="5" topLeftCell="C60" activePane="bottomRight" state="frozen"/>
      <selection pane="topRight" activeCell="C1" sqref="C1"/>
      <selection pane="bottomLeft" activeCell="A6" sqref="A6"/>
      <selection pane="bottomRight" activeCell="L65" sqref="L65"/>
    </sheetView>
  </sheetViews>
  <sheetFormatPr defaultRowHeight="14.4" outlineLevelCol="1" x14ac:dyDescent="0.3"/>
  <cols>
    <col min="1" max="1" width="35.109375" customWidth="1"/>
    <col min="2" max="2" width="0" hidden="1" customWidth="1"/>
    <col min="3" max="5" width="11.88671875" hidden="1" customWidth="1" outlineLevel="1"/>
    <col min="6" max="6" width="11.88671875" customWidth="1" collapsed="1"/>
    <col min="7" max="10" width="11.88671875" customWidth="1"/>
    <col min="11" max="12" width="11.88671875" customWidth="1" outlineLevel="1"/>
    <col min="13" max="13" width="11.88671875" customWidth="1" outlineLevel="1" collapsed="1"/>
    <col min="14" max="18" width="11.88671875" customWidth="1" outlineLevel="1"/>
    <col min="21" max="21" width="8.5546875" style="65" bestFit="1" customWidth="1"/>
    <col min="22" max="23" width="8.5546875" style="66" bestFit="1" customWidth="1"/>
    <col min="24" max="24" width="7.5546875" style="66" bestFit="1" customWidth="1"/>
    <col min="25" max="26" width="7.5546875" style="66" customWidth="1"/>
    <col min="27" max="27" width="8.5546875" style="65" bestFit="1" customWidth="1"/>
    <col min="28" max="28" width="8.5546875" style="66" bestFit="1" customWidth="1"/>
    <col min="29" max="30" width="7.5546875" style="66" bestFit="1" customWidth="1"/>
  </cols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21" x14ac:dyDescent="0.3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x14ac:dyDescent="0.3">
      <c r="A4" s="3" t="s">
        <v>1</v>
      </c>
      <c r="B4" s="3"/>
      <c r="C4" s="4" t="s">
        <v>139</v>
      </c>
      <c r="D4" s="4" t="s">
        <v>140</v>
      </c>
      <c r="E4" s="4" t="s">
        <v>141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459</v>
      </c>
      <c r="N4" s="41">
        <v>2024</v>
      </c>
      <c r="O4" s="41">
        <v>2025</v>
      </c>
      <c r="P4" s="41">
        <v>2026</v>
      </c>
      <c r="Q4" s="41">
        <v>2027</v>
      </c>
      <c r="R4" s="41">
        <v>2028</v>
      </c>
    </row>
    <row r="5" spans="1:30" x14ac:dyDescent="0.3">
      <c r="A5" s="9" t="s">
        <v>10</v>
      </c>
      <c r="B5" s="9"/>
      <c r="C5" s="5" t="s">
        <v>142</v>
      </c>
      <c r="D5" s="5" t="s">
        <v>143</v>
      </c>
      <c r="E5" s="5" t="s">
        <v>144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64">
        <v>45199</v>
      </c>
      <c r="N5" s="42"/>
      <c r="O5" s="42"/>
      <c r="P5" s="42"/>
      <c r="Q5" s="42"/>
      <c r="R5" s="42"/>
    </row>
    <row r="6" spans="1:30" x14ac:dyDescent="0.3">
      <c r="A6" s="6" t="s">
        <v>149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30" x14ac:dyDescent="0.3">
      <c r="A7" s="10" t="s">
        <v>150</v>
      </c>
      <c r="B7" s="10" t="s">
        <v>151</v>
      </c>
      <c r="C7" s="13">
        <v>488779</v>
      </c>
      <c r="D7" s="13">
        <v>505995</v>
      </c>
      <c r="E7" s="13">
        <v>495459</v>
      </c>
      <c r="F7" s="13">
        <v>420911</v>
      </c>
      <c r="G7" s="13">
        <v>444067</v>
      </c>
      <c r="H7" s="13">
        <v>436210</v>
      </c>
      <c r="I7" s="13">
        <v>473795</v>
      </c>
      <c r="J7" s="44">
        <v>508519</v>
      </c>
      <c r="K7" s="13">
        <v>494821</v>
      </c>
      <c r="L7" s="13">
        <v>433293</v>
      </c>
      <c r="M7" s="13">
        <v>435662</v>
      </c>
      <c r="N7" s="13">
        <f>M7*(1+N9)</f>
        <v>444096.79590998561</v>
      </c>
      <c r="O7" s="13">
        <f t="shared" ref="O7:R7" si="0">N7*(1+O9)</f>
        <v>452388.54757355427</v>
      </c>
      <c r="P7" s="13">
        <f t="shared" si="0"/>
        <v>460609.6252710165</v>
      </c>
      <c r="Q7" s="13">
        <f t="shared" si="0"/>
        <v>468756.31512421696</v>
      </c>
      <c r="R7" s="13">
        <f t="shared" si="0"/>
        <v>476662.12592121516</v>
      </c>
    </row>
    <row r="8" spans="1:30" s="35" customFormat="1" x14ac:dyDescent="0.3">
      <c r="A8" s="39" t="s">
        <v>412</v>
      </c>
      <c r="B8" s="39"/>
      <c r="C8" s="40"/>
      <c r="D8" s="43">
        <f>D7/C7-1</f>
        <v>3.5222462503503582E-2</v>
      </c>
      <c r="E8" s="43">
        <f t="shared" ref="E8:L8" si="1">E7/D7-1</f>
        <v>-2.0822340141701035E-2</v>
      </c>
      <c r="F8" s="43">
        <f t="shared" si="1"/>
        <v>-0.1504625004288952</v>
      </c>
      <c r="G8" s="43">
        <f t="shared" si="1"/>
        <v>5.5014005336044836E-2</v>
      </c>
      <c r="H8" s="43">
        <f t="shared" si="1"/>
        <v>-1.7693276014655424E-2</v>
      </c>
      <c r="I8" s="43">
        <f t="shared" si="1"/>
        <v>8.6162628091974058E-2</v>
      </c>
      <c r="J8" s="43">
        <f t="shared" si="1"/>
        <v>7.3289080720564836E-2</v>
      </c>
      <c r="K8" s="43">
        <f t="shared" si="1"/>
        <v>-2.6937046600028713E-2</v>
      </c>
      <c r="L8" s="43">
        <f t="shared" si="1"/>
        <v>-0.1243439546826024</v>
      </c>
      <c r="M8" s="43">
        <f>MEDIAN(G8:L8)</f>
        <v>1.8660364660694706E-2</v>
      </c>
      <c r="N8" s="43">
        <f>M8</f>
        <v>1.8660364660694706E-2</v>
      </c>
      <c r="O8" s="43">
        <f t="shared" ref="O8:R8" si="2">N8</f>
        <v>1.8660364660694706E-2</v>
      </c>
      <c r="P8" s="43">
        <f t="shared" si="2"/>
        <v>1.8660364660694706E-2</v>
      </c>
      <c r="Q8" s="43">
        <f t="shared" si="2"/>
        <v>1.8660364660694706E-2</v>
      </c>
      <c r="R8" s="43">
        <f t="shared" si="2"/>
        <v>1.8660364660694706E-2</v>
      </c>
      <c r="U8" s="67"/>
      <c r="V8" s="68"/>
      <c r="W8" s="68"/>
      <c r="X8" s="68"/>
      <c r="Y8" s="68"/>
      <c r="Z8" s="68"/>
      <c r="AA8" s="67"/>
      <c r="AB8" s="68"/>
      <c r="AC8" s="68"/>
      <c r="AD8" s="68"/>
    </row>
    <row r="9" spans="1:30" s="35" customFormat="1" x14ac:dyDescent="0.3">
      <c r="A9" s="39" t="s">
        <v>466</v>
      </c>
      <c r="B9" s="39"/>
      <c r="C9" s="40"/>
      <c r="D9" s="43"/>
      <c r="E9" s="43"/>
      <c r="F9" s="43"/>
      <c r="G9" s="43">
        <f>'Income - Adjusted'!D10</f>
        <v>4.8115692704693291E-2</v>
      </c>
      <c r="H9" s="43">
        <f>'Income - Adjusted'!E10</f>
        <v>0.12433319655313912</v>
      </c>
      <c r="I9" s="43">
        <f>'Income - Adjusted'!F10</f>
        <v>-3.6610401459854058E-2</v>
      </c>
      <c r="J9" s="43">
        <f>'Income - Adjusted'!G10</f>
        <v>-4.7590860660589041E-3</v>
      </c>
      <c r="K9" s="43">
        <f>'Income - Adjusted'!H10</f>
        <v>-5.9475662558883258E-4</v>
      </c>
      <c r="L9" s="43">
        <f>'Income - Adjusted'!I10</f>
        <v>0.17586707610273988</v>
      </c>
      <c r="M9" s="43">
        <f>'Income - Adjusted'!J10</f>
        <v>-0.1228347200572234</v>
      </c>
      <c r="N9" s="43">
        <f>'Income - Adjusted'!K10</f>
        <v>1.9360871294686222E-2</v>
      </c>
      <c r="O9" s="43">
        <f>'Income - Adjusted'!L10</f>
        <v>1.8671045906958783E-2</v>
      </c>
      <c r="P9" s="43">
        <f>'Income - Adjusted'!M10</f>
        <v>1.8172603487769612E-2</v>
      </c>
      <c r="Q9" s="43">
        <f>'Income - Adjusted'!N10</f>
        <v>1.7686755565316403E-2</v>
      </c>
      <c r="R9" s="43">
        <f>'Income - Adjusted'!O10</f>
        <v>1.6865502483744077E-2</v>
      </c>
      <c r="U9" s="67"/>
      <c r="V9" s="68"/>
      <c r="W9" s="68"/>
      <c r="X9" s="68"/>
      <c r="Y9" s="68"/>
      <c r="Z9" s="68"/>
      <c r="AA9" s="67"/>
      <c r="AB9" s="68"/>
      <c r="AC9" s="68"/>
      <c r="AD9" s="68"/>
    </row>
    <row r="10" spans="1:30" x14ac:dyDescent="0.3">
      <c r="A10" s="11" t="s">
        <v>152</v>
      </c>
      <c r="B10" s="11" t="s">
        <v>153</v>
      </c>
      <c r="C10" s="22">
        <v>381565</v>
      </c>
      <c r="D10" s="22">
        <v>390735</v>
      </c>
      <c r="E10" s="22">
        <v>375725</v>
      </c>
      <c r="F10" s="22">
        <v>310009</v>
      </c>
      <c r="G10" s="22">
        <v>330546</v>
      </c>
      <c r="H10" s="22">
        <v>314818</v>
      </c>
      <c r="I10" s="22">
        <v>344772</v>
      </c>
      <c r="J10" s="22">
        <v>372032</v>
      </c>
      <c r="K10" s="22">
        <v>359592</v>
      </c>
      <c r="L10" s="22">
        <v>291383</v>
      </c>
      <c r="M10" s="22">
        <f>270982+9680+6497</f>
        <v>287159</v>
      </c>
      <c r="N10" s="22"/>
      <c r="O10" s="22"/>
      <c r="P10" s="22"/>
      <c r="Q10" s="22"/>
      <c r="R10" s="22"/>
      <c r="T10" t="s">
        <v>441</v>
      </c>
      <c r="U10" s="65">
        <f>V10+W10+X10</f>
        <v>372032</v>
      </c>
      <c r="V10" s="66">
        <v>354809</v>
      </c>
      <c r="W10" s="66">
        <v>13319</v>
      </c>
      <c r="X10" s="66">
        <v>3904</v>
      </c>
      <c r="AA10" s="65">
        <f>AB10+AC10+AD10</f>
        <v>291383</v>
      </c>
      <c r="AB10" s="66">
        <v>276780</v>
      </c>
      <c r="AC10" s="66">
        <v>9668</v>
      </c>
      <c r="AD10" s="66">
        <v>4935</v>
      </c>
    </row>
    <row r="11" spans="1:30" x14ac:dyDescent="0.3">
      <c r="A11" s="11" t="s">
        <v>154</v>
      </c>
      <c r="B11" s="11" t="s">
        <v>155</v>
      </c>
      <c r="C11" s="22">
        <v>69470</v>
      </c>
      <c r="D11" s="22">
        <v>71736</v>
      </c>
      <c r="E11" s="22">
        <v>78360</v>
      </c>
      <c r="F11" s="22">
        <v>74678</v>
      </c>
      <c r="G11" s="22">
        <v>78400</v>
      </c>
      <c r="H11" s="22">
        <v>85451</v>
      </c>
      <c r="I11" s="22">
        <v>90209</v>
      </c>
      <c r="J11" s="22">
        <v>93412</v>
      </c>
      <c r="K11" s="22">
        <v>88464</v>
      </c>
      <c r="L11" s="22">
        <v>92637</v>
      </c>
      <c r="M11" s="22">
        <f>92230+8725</f>
        <v>100955</v>
      </c>
      <c r="N11" s="22"/>
      <c r="O11" s="22"/>
      <c r="P11" s="22"/>
      <c r="Q11" s="22"/>
      <c r="R11" s="22"/>
      <c r="T11" t="s">
        <v>440</v>
      </c>
      <c r="U11" s="65">
        <f>W11+V11</f>
        <v>93412</v>
      </c>
      <c r="V11" s="66">
        <v>83919</v>
      </c>
      <c r="W11" s="66">
        <v>9493</v>
      </c>
      <c r="AA11" s="65">
        <f>AB11+AC11</f>
        <v>92637</v>
      </c>
      <c r="AB11" s="66">
        <v>83763</v>
      </c>
      <c r="AC11" s="66">
        <v>8874</v>
      </c>
    </row>
    <row r="12" spans="1:30" x14ac:dyDescent="0.3">
      <c r="A12" s="11" t="s">
        <v>156</v>
      </c>
      <c r="B12" s="11" t="s">
        <v>157</v>
      </c>
      <c r="C12" s="22" t="s">
        <v>294</v>
      </c>
      <c r="D12" s="22" t="s">
        <v>294</v>
      </c>
      <c r="E12" s="22">
        <v>0</v>
      </c>
      <c r="F12" s="22">
        <v>0</v>
      </c>
      <c r="G12" s="22">
        <v>0</v>
      </c>
      <c r="H12" s="22">
        <v>0</v>
      </c>
      <c r="I12" s="22" t="s">
        <v>294</v>
      </c>
      <c r="J12" s="22" t="s">
        <v>294</v>
      </c>
      <c r="K12" s="22" t="s">
        <v>294</v>
      </c>
      <c r="L12" s="22">
        <v>0</v>
      </c>
      <c r="M12" s="22"/>
      <c r="N12" s="22"/>
      <c r="O12" s="22"/>
      <c r="P12" s="22"/>
      <c r="Q12" s="22"/>
      <c r="R12" s="22"/>
    </row>
    <row r="13" spans="1:30" x14ac:dyDescent="0.3">
      <c r="A13" s="11" t="s">
        <v>158</v>
      </c>
      <c r="B13" s="11" t="s">
        <v>159</v>
      </c>
      <c r="C13" s="22">
        <v>3402</v>
      </c>
      <c r="D13" s="22">
        <v>3631</v>
      </c>
      <c r="E13" s="22">
        <v>3321</v>
      </c>
      <c r="F13" s="22">
        <v>2894</v>
      </c>
      <c r="G13" s="22">
        <v>2513</v>
      </c>
      <c r="H13" s="22">
        <v>1440</v>
      </c>
      <c r="I13" s="22">
        <v>1342</v>
      </c>
      <c r="J13" s="22">
        <v>1079</v>
      </c>
      <c r="K13" s="22">
        <v>1269</v>
      </c>
      <c r="L13" s="22">
        <v>1684</v>
      </c>
      <c r="M13" s="22">
        <v>742</v>
      </c>
      <c r="N13" s="22"/>
      <c r="O13" s="22"/>
      <c r="P13" s="22"/>
      <c r="Q13" s="22"/>
      <c r="R13" s="22"/>
      <c r="AA13" s="65">
        <v>1684</v>
      </c>
      <c r="AB13" s="66">
        <v>1684</v>
      </c>
    </row>
    <row r="14" spans="1:30" x14ac:dyDescent="0.3">
      <c r="A14" s="11" t="s">
        <v>160</v>
      </c>
      <c r="B14" s="11" t="s">
        <v>161</v>
      </c>
      <c r="C14" s="22">
        <v>10712</v>
      </c>
      <c r="D14" s="22">
        <v>10525</v>
      </c>
      <c r="E14" s="22">
        <v>8433</v>
      </c>
      <c r="F14" s="22">
        <v>8891</v>
      </c>
      <c r="G14" s="22">
        <v>9637</v>
      </c>
      <c r="H14" s="22">
        <v>9698</v>
      </c>
      <c r="I14" s="22">
        <v>10741</v>
      </c>
      <c r="J14" s="22">
        <v>11933</v>
      </c>
      <c r="K14" s="22">
        <v>12216</v>
      </c>
      <c r="L14" s="22">
        <v>13137</v>
      </c>
      <c r="M14" s="22">
        <v>13133</v>
      </c>
      <c r="N14" s="22"/>
      <c r="O14" s="22"/>
      <c r="P14" s="22"/>
      <c r="Q14" s="22"/>
      <c r="R14" s="22"/>
      <c r="AA14" s="65">
        <v>13137</v>
      </c>
      <c r="AB14" s="66">
        <v>13137</v>
      </c>
    </row>
    <row r="15" spans="1:30" x14ac:dyDescent="0.3">
      <c r="A15" s="11" t="s">
        <v>162</v>
      </c>
      <c r="B15" s="11" t="s">
        <v>163</v>
      </c>
      <c r="C15" s="22">
        <v>23630</v>
      </c>
      <c r="D15" s="22">
        <v>29368</v>
      </c>
      <c r="E15" s="22">
        <v>29620</v>
      </c>
      <c r="F15" s="22">
        <v>24439</v>
      </c>
      <c r="G15" s="22">
        <v>22971</v>
      </c>
      <c r="H15" s="22">
        <v>24803</v>
      </c>
      <c r="I15" s="22">
        <v>26731</v>
      </c>
      <c r="J15" s="22">
        <v>30063</v>
      </c>
      <c r="K15" s="22">
        <v>33280</v>
      </c>
      <c r="L15" s="22">
        <v>34452</v>
      </c>
      <c r="M15" s="22">
        <f>14918+18755</f>
        <v>33673</v>
      </c>
      <c r="N15" s="22"/>
      <c r="O15" s="22"/>
      <c r="P15" s="22"/>
      <c r="Q15" s="22"/>
      <c r="R15" s="22"/>
      <c r="T15" t="s">
        <v>442</v>
      </c>
      <c r="U15" s="65">
        <f>V15+W15</f>
        <v>30063</v>
      </c>
      <c r="V15" s="66">
        <v>9470</v>
      </c>
      <c r="W15" s="66">
        <v>20593</v>
      </c>
      <c r="AA15" s="65">
        <f>AB15+AC15</f>
        <v>34452</v>
      </c>
      <c r="AB15" s="66">
        <v>14414</v>
      </c>
      <c r="AC15" s="66">
        <v>20038</v>
      </c>
    </row>
    <row r="16" spans="1:30" x14ac:dyDescent="0.3">
      <c r="A16" s="10" t="s">
        <v>164</v>
      </c>
      <c r="B16" s="10" t="s">
        <v>165</v>
      </c>
      <c r="C16" s="13">
        <v>7585</v>
      </c>
      <c r="D16" s="13">
        <v>10808</v>
      </c>
      <c r="E16" s="13">
        <v>12752</v>
      </c>
      <c r="F16" s="13">
        <v>12651</v>
      </c>
      <c r="G16" s="13">
        <v>12701</v>
      </c>
      <c r="H16" s="13">
        <v>15821</v>
      </c>
      <c r="I16" s="13">
        <v>16598</v>
      </c>
      <c r="J16" s="13">
        <v>19795</v>
      </c>
      <c r="K16" s="13">
        <v>20047</v>
      </c>
      <c r="L16" s="13">
        <v>20195</v>
      </c>
      <c r="M16" s="13">
        <v>14912</v>
      </c>
      <c r="N16" s="13"/>
      <c r="O16" s="13"/>
      <c r="P16" s="13"/>
      <c r="Q16" s="13"/>
      <c r="R16" s="13"/>
      <c r="AA16" s="65">
        <v>20195</v>
      </c>
      <c r="AB16" s="66">
        <v>20195</v>
      </c>
    </row>
    <row r="17" spans="1:30" x14ac:dyDescent="0.3">
      <c r="A17" s="10" t="s">
        <v>166</v>
      </c>
      <c r="B17" s="10" t="s">
        <v>167</v>
      </c>
      <c r="C17" s="13">
        <v>26114</v>
      </c>
      <c r="D17" s="13">
        <v>26364</v>
      </c>
      <c r="E17" s="13">
        <v>26851</v>
      </c>
      <c r="F17" s="13">
        <v>18773</v>
      </c>
      <c r="G17" s="13">
        <v>21947</v>
      </c>
      <c r="H17" s="13">
        <v>23226</v>
      </c>
      <c r="I17" s="13">
        <v>23966</v>
      </c>
      <c r="J17" s="13">
        <v>21258</v>
      </c>
      <c r="K17" s="13">
        <v>20334</v>
      </c>
      <c r="L17" s="13">
        <v>20907</v>
      </c>
      <c r="M17" s="13">
        <f>3704+19002</f>
        <v>22706</v>
      </c>
      <c r="N17" s="13"/>
      <c r="O17" s="13"/>
      <c r="P17" s="13"/>
      <c r="Q17" s="13"/>
      <c r="R17" s="13"/>
      <c r="T17" t="s">
        <v>443</v>
      </c>
      <c r="U17" s="65">
        <f>V17+W17</f>
        <v>21258</v>
      </c>
      <c r="V17" s="66">
        <v>17870</v>
      </c>
      <c r="W17" s="66">
        <v>3388</v>
      </c>
      <c r="AA17" s="65">
        <f>AB17+AC17</f>
        <v>20907</v>
      </c>
      <c r="AB17" s="66">
        <v>3446</v>
      </c>
      <c r="AC17" s="66">
        <v>17461</v>
      </c>
    </row>
    <row r="18" spans="1:30" x14ac:dyDescent="0.3">
      <c r="A18" s="10" t="s">
        <v>168</v>
      </c>
      <c r="B18" s="10" t="s">
        <v>169</v>
      </c>
      <c r="C18" s="13" t="s">
        <v>294</v>
      </c>
      <c r="D18" s="13" t="s">
        <v>294</v>
      </c>
      <c r="E18" s="13" t="s">
        <v>294</v>
      </c>
      <c r="F18" s="13" t="s">
        <v>294</v>
      </c>
      <c r="G18" s="13" t="s">
        <v>294</v>
      </c>
      <c r="H18" s="13" t="s">
        <v>294</v>
      </c>
      <c r="I18" s="13">
        <v>1488</v>
      </c>
      <c r="J18" s="13">
        <v>1314</v>
      </c>
      <c r="K18" s="13">
        <v>1110</v>
      </c>
      <c r="L18" s="13">
        <v>961</v>
      </c>
      <c r="M18" s="57"/>
      <c r="N18" s="13"/>
      <c r="O18" s="13"/>
      <c r="P18" s="13"/>
      <c r="Q18" s="13"/>
      <c r="R18" s="13"/>
      <c r="AA18" s="65">
        <v>961</v>
      </c>
      <c r="AB18" s="66">
        <v>961</v>
      </c>
    </row>
    <row r="19" spans="1:30" s="35" customFormat="1" x14ac:dyDescent="0.3">
      <c r="A19" s="39"/>
      <c r="B19" s="39"/>
      <c r="C19" s="40"/>
      <c r="D19" s="43"/>
      <c r="E19" s="43"/>
      <c r="F19" s="43"/>
      <c r="G19" s="43"/>
      <c r="H19" s="43"/>
      <c r="I19" s="43"/>
      <c r="J19" s="43"/>
      <c r="K19" s="43"/>
      <c r="L19" s="43"/>
      <c r="M19" s="40"/>
      <c r="N19" s="40"/>
      <c r="O19" s="40"/>
      <c r="P19" s="40"/>
      <c r="Q19" s="40"/>
      <c r="R19" s="40"/>
      <c r="U19" s="67"/>
      <c r="V19" s="68"/>
      <c r="W19" s="68"/>
      <c r="X19" s="68"/>
      <c r="Y19" s="68"/>
      <c r="Z19" s="68"/>
      <c r="AA19" s="67"/>
      <c r="AB19" s="68"/>
      <c r="AC19" s="68"/>
      <c r="AD19" s="68"/>
    </row>
    <row r="20" spans="1:30" x14ac:dyDescent="0.3">
      <c r="A20" s="10" t="s">
        <v>170</v>
      </c>
      <c r="B20" s="10" t="s">
        <v>171</v>
      </c>
      <c r="C20" s="13">
        <v>26706</v>
      </c>
      <c r="D20" s="13">
        <v>24442</v>
      </c>
      <c r="E20" s="13">
        <v>24130</v>
      </c>
      <c r="F20" s="13">
        <v>17590</v>
      </c>
      <c r="G20" s="13">
        <v>18419</v>
      </c>
      <c r="H20" s="13">
        <v>18895</v>
      </c>
      <c r="I20" s="13">
        <v>17833</v>
      </c>
      <c r="J20" s="13">
        <v>16389</v>
      </c>
      <c r="K20" s="13">
        <v>16061</v>
      </c>
      <c r="L20" s="13">
        <v>22983</v>
      </c>
      <c r="M20" s="13">
        <v>19737</v>
      </c>
      <c r="N20" s="13"/>
      <c r="O20" s="13"/>
      <c r="P20" s="13"/>
      <c r="Q20" s="13"/>
      <c r="R20" s="13"/>
      <c r="AA20" s="65">
        <v>22983</v>
      </c>
      <c r="AB20" s="66">
        <v>22983</v>
      </c>
    </row>
    <row r="21" spans="1:30" x14ac:dyDescent="0.3">
      <c r="A21" s="10" t="s">
        <v>172</v>
      </c>
      <c r="B21" s="10" t="s">
        <v>173</v>
      </c>
      <c r="C21" s="13">
        <v>336112</v>
      </c>
      <c r="D21" s="13">
        <v>334728</v>
      </c>
      <c r="E21" s="13">
        <v>318741</v>
      </c>
      <c r="F21" s="13">
        <v>428839</v>
      </c>
      <c r="G21" s="13">
        <v>222758</v>
      </c>
      <c r="H21" s="13">
        <v>193386</v>
      </c>
      <c r="I21" s="13">
        <v>206783</v>
      </c>
      <c r="J21" s="13">
        <v>227871</v>
      </c>
      <c r="K21" s="13">
        <v>207335</v>
      </c>
      <c r="L21" s="13">
        <v>168272</v>
      </c>
      <c r="M21" s="13">
        <f>334+3174+9109+10862+135624</f>
        <v>159103</v>
      </c>
      <c r="N21" s="13"/>
      <c r="O21" s="13"/>
      <c r="P21" s="13"/>
      <c r="Q21" s="13"/>
      <c r="R21" s="13"/>
      <c r="T21" t="s">
        <v>444</v>
      </c>
      <c r="U21" s="65">
        <f>V21+W21+X21+Y21-Z21</f>
        <v>227871</v>
      </c>
      <c r="V21" s="66">
        <v>199970</v>
      </c>
      <c r="W21" s="66">
        <v>11685</v>
      </c>
      <c r="X21" s="66">
        <v>7418</v>
      </c>
      <c r="Y21" s="65">
        <v>10112</v>
      </c>
      <c r="Z21" s="66">
        <v>1314</v>
      </c>
    </row>
    <row r="22" spans="1:30" x14ac:dyDescent="0.3">
      <c r="A22" s="6" t="s">
        <v>174</v>
      </c>
      <c r="B22" s="6" t="s">
        <v>175</v>
      </c>
      <c r="C22" s="18">
        <v>885296</v>
      </c>
      <c r="D22" s="18">
        <v>902337</v>
      </c>
      <c r="E22" s="18">
        <v>877933</v>
      </c>
      <c r="F22" s="18">
        <v>898764</v>
      </c>
      <c r="G22" s="18">
        <v>719892</v>
      </c>
      <c r="H22" s="18">
        <v>687538</v>
      </c>
      <c r="I22" s="18">
        <v>740463</v>
      </c>
      <c r="J22" s="18">
        <v>795146</v>
      </c>
      <c r="K22" s="18">
        <v>759708</v>
      </c>
      <c r="L22" s="18">
        <v>666611</v>
      </c>
      <c r="M22" s="18">
        <f>M21+M20+M17+M16+M7</f>
        <v>652120</v>
      </c>
      <c r="N22" s="18"/>
      <c r="O22" s="18"/>
      <c r="P22" s="18"/>
      <c r="Q22" s="18"/>
      <c r="R22" s="18"/>
      <c r="AA22" s="65">
        <f>SUM(AA10:AA21)</f>
        <v>498339</v>
      </c>
    </row>
    <row r="23" spans="1:30" x14ac:dyDescent="0.3">
      <c r="A23" s="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30" x14ac:dyDescent="0.3">
      <c r="A24" s="6" t="s">
        <v>176</v>
      </c>
      <c r="B24" s="17"/>
      <c r="C24" s="17"/>
      <c r="D24" s="17"/>
      <c r="E24" s="17"/>
      <c r="F24" s="17"/>
      <c r="G24" s="89"/>
      <c r="H24" s="89"/>
      <c r="I24" s="89"/>
      <c r="J24" s="89"/>
      <c r="K24" s="89"/>
      <c r="L24" s="89"/>
      <c r="M24" s="89"/>
      <c r="N24" s="17"/>
      <c r="O24" s="17"/>
      <c r="P24" s="17"/>
      <c r="Q24" s="17"/>
      <c r="R24" s="17"/>
    </row>
    <row r="25" spans="1:30" x14ac:dyDescent="0.3">
      <c r="A25" s="10" t="s">
        <v>177</v>
      </c>
      <c r="B25" s="10" t="s">
        <v>178</v>
      </c>
      <c r="C25" s="13">
        <v>400827</v>
      </c>
      <c r="D25" s="13">
        <v>398880</v>
      </c>
      <c r="E25" s="13">
        <v>394601</v>
      </c>
      <c r="F25" s="13">
        <v>339122</v>
      </c>
      <c r="G25" s="13">
        <v>360492</v>
      </c>
      <c r="H25" s="13">
        <v>370473</v>
      </c>
      <c r="I25" s="13">
        <v>387536</v>
      </c>
      <c r="J25" s="44">
        <v>411832</v>
      </c>
      <c r="K25" s="13">
        <v>403194</v>
      </c>
      <c r="L25" s="13">
        <v>407310</v>
      </c>
      <c r="M25" s="13">
        <f>M26+M28</f>
        <v>395688</v>
      </c>
      <c r="N25" s="13"/>
      <c r="O25" s="13"/>
      <c r="P25" s="13"/>
      <c r="Q25" s="13"/>
      <c r="R25" s="13"/>
      <c r="T25" t="s">
        <v>445</v>
      </c>
      <c r="U25" s="65">
        <f>V25+W25</f>
        <v>411832</v>
      </c>
      <c r="V25" s="66">
        <v>206656</v>
      </c>
      <c r="W25" s="66">
        <v>205176</v>
      </c>
    </row>
    <row r="26" spans="1:30" x14ac:dyDescent="0.3">
      <c r="A26" s="63" t="s">
        <v>349</v>
      </c>
      <c r="B26" s="10" t="s">
        <v>454</v>
      </c>
      <c r="C26" s="13">
        <v>187942</v>
      </c>
      <c r="D26" s="13">
        <v>189586</v>
      </c>
      <c r="E26" s="13">
        <v>191879</v>
      </c>
      <c r="F26" s="13">
        <v>166636</v>
      </c>
      <c r="G26" s="13">
        <v>177974</v>
      </c>
      <c r="H26" s="13">
        <v>186780</v>
      </c>
      <c r="I26" s="13">
        <v>194909</v>
      </c>
      <c r="J26" s="13">
        <v>206656</v>
      </c>
      <c r="K26" s="13">
        <v>199721</v>
      </c>
      <c r="L26" s="13">
        <v>204228</v>
      </c>
      <c r="M26" s="13">
        <v>181755</v>
      </c>
      <c r="N26" s="13">
        <f>M26*(1+N27)</f>
        <v>185273.9351621657</v>
      </c>
      <c r="O26" s="13">
        <f t="shared" ref="O26:R26" si="3">N26*(1+O27)</f>
        <v>188733.19331094139</v>
      </c>
      <c r="P26" s="13">
        <f t="shared" si="3"/>
        <v>192162.96679796171</v>
      </c>
      <c r="Q26" s="13">
        <f t="shared" si="3"/>
        <v>195561.70622042328</v>
      </c>
      <c r="R26" s="13">
        <f t="shared" si="3"/>
        <v>198859.95266240905</v>
      </c>
    </row>
    <row r="27" spans="1:30" s="35" customFormat="1" x14ac:dyDescent="0.3">
      <c r="A27" s="39" t="s">
        <v>466</v>
      </c>
      <c r="B27" s="39"/>
      <c r="C27" s="40"/>
      <c r="D27" s="43"/>
      <c r="E27" s="43"/>
      <c r="F27" s="43"/>
      <c r="G27" s="43">
        <f>'Income - Adjusted'!D10</f>
        <v>4.8115692704693291E-2</v>
      </c>
      <c r="H27" s="43">
        <f>'Income - Adjusted'!E10</f>
        <v>0.12433319655313912</v>
      </c>
      <c r="I27" s="43">
        <f>'Income - Adjusted'!F10</f>
        <v>-3.6610401459854058E-2</v>
      </c>
      <c r="J27" s="43">
        <f>'Income - Adjusted'!G10</f>
        <v>-4.7590860660589041E-3</v>
      </c>
      <c r="K27" s="43">
        <f>'Income - Adjusted'!H10</f>
        <v>-5.9475662558883258E-4</v>
      </c>
      <c r="L27" s="43">
        <f>'Income - Adjusted'!I10</f>
        <v>0.17586707610273988</v>
      </c>
      <c r="M27" s="43">
        <f>'Income - Adjusted'!J10</f>
        <v>-0.1228347200572234</v>
      </c>
      <c r="N27" s="43">
        <f>'Income - Adjusted'!K10</f>
        <v>1.9360871294686222E-2</v>
      </c>
      <c r="O27" s="43">
        <f>'Income - Adjusted'!L10</f>
        <v>1.8671045906958783E-2</v>
      </c>
      <c r="P27" s="43">
        <f>'Income - Adjusted'!M10</f>
        <v>1.8172603487769612E-2</v>
      </c>
      <c r="Q27" s="43">
        <f>'Income - Adjusted'!N10</f>
        <v>1.7686755565316403E-2</v>
      </c>
      <c r="R27" s="43">
        <f>'Income - Adjusted'!O10</f>
        <v>1.6865502483744077E-2</v>
      </c>
      <c r="U27" s="67"/>
      <c r="V27" s="68"/>
      <c r="W27" s="68"/>
      <c r="X27" s="68"/>
      <c r="Y27" s="68"/>
      <c r="Z27" s="68"/>
      <c r="AA27" s="67"/>
      <c r="AB27" s="68"/>
      <c r="AC27" s="68"/>
      <c r="AD27" s="68"/>
    </row>
    <row r="28" spans="1:30" x14ac:dyDescent="0.3">
      <c r="A28" s="63" t="s">
        <v>455</v>
      </c>
      <c r="B28" s="10" t="s">
        <v>456</v>
      </c>
      <c r="C28" s="13">
        <v>212885</v>
      </c>
      <c r="D28" s="13">
        <v>209294</v>
      </c>
      <c r="E28" s="13">
        <v>202722</v>
      </c>
      <c r="F28" s="13">
        <v>172486</v>
      </c>
      <c r="G28" s="13">
        <v>182518</v>
      </c>
      <c r="H28" s="13">
        <v>183693</v>
      </c>
      <c r="I28" s="13">
        <v>192627</v>
      </c>
      <c r="J28" s="13">
        <v>205176</v>
      </c>
      <c r="K28" s="13">
        <v>203473</v>
      </c>
      <c r="L28" s="13">
        <v>203082</v>
      </c>
      <c r="M28" s="13">
        <v>213933</v>
      </c>
      <c r="N28" s="13">
        <f>M28*(1+N31)</f>
        <v>218074.92927868612</v>
      </c>
      <c r="O28" s="13">
        <f t="shared" ref="O28:R28" si="4">N28*(1+O31)</f>
        <v>222146.61629440525</v>
      </c>
      <c r="P28" s="13">
        <f t="shared" si="4"/>
        <v>226183.59866847316</v>
      </c>
      <c r="Q28" s="13">
        <f t="shared" si="4"/>
        <v>230184.05269100607</v>
      </c>
      <c r="R28" s="13">
        <f t="shared" si="4"/>
        <v>234066.22240338451</v>
      </c>
    </row>
    <row r="29" spans="1:30" s="35" customFormat="1" x14ac:dyDescent="0.3">
      <c r="A29" s="39" t="s">
        <v>435</v>
      </c>
      <c r="B29" s="39"/>
      <c r="C29" s="40"/>
      <c r="D29" s="43"/>
      <c r="E29" s="43"/>
      <c r="F29" s="43">
        <f>F28/'Income - Adjusted'!C9</f>
        <v>4.6364711574646522</v>
      </c>
      <c r="G29" s="43">
        <f>G28/'Income - Adjusted'!D9</f>
        <v>4.6809089043906447</v>
      </c>
      <c r="H29" s="43">
        <f>H28/'Income - Adjusted'!E9</f>
        <v>4.1900775547445255</v>
      </c>
      <c r="I29" s="43">
        <f>I28/'Income - Adjusted'!F9</f>
        <v>4.5608381673967093</v>
      </c>
      <c r="J29" s="43">
        <f>J28/'Income - Adjusted'!G9</f>
        <v>4.8811914164723795</v>
      </c>
      <c r="K29" s="43">
        <f>K28/'Income - Adjusted'!H9</f>
        <v>4.8435573329524626</v>
      </c>
      <c r="L29" s="43">
        <f>L28/'Income - Adjusted'!I9</f>
        <v>4.1112213292305197</v>
      </c>
      <c r="M29" s="43">
        <f>M28/'Income - Adjusted'!J9</f>
        <v>4.9373711419515649</v>
      </c>
      <c r="N29" s="43">
        <f t="shared" ref="N29" si="5">AVERAGE(I29:M29)</f>
        <v>4.666835877600727</v>
      </c>
      <c r="O29" s="43">
        <f>N29</f>
        <v>4.666835877600727</v>
      </c>
      <c r="P29" s="43">
        <f t="shared" ref="P29:R30" si="6">O29</f>
        <v>4.666835877600727</v>
      </c>
      <c r="Q29" s="43">
        <f t="shared" si="6"/>
        <v>4.666835877600727</v>
      </c>
      <c r="R29" s="43">
        <f t="shared" si="6"/>
        <v>4.666835877600727</v>
      </c>
      <c r="U29" s="67"/>
      <c r="V29" s="68"/>
      <c r="W29" s="68"/>
      <c r="X29" s="68"/>
      <c r="Y29" s="68"/>
      <c r="Z29" s="68"/>
      <c r="AA29" s="67"/>
      <c r="AB29" s="68"/>
      <c r="AC29" s="68"/>
      <c r="AD29" s="68"/>
    </row>
    <row r="30" spans="1:30" s="35" customFormat="1" x14ac:dyDescent="0.3">
      <c r="A30" s="39" t="s">
        <v>412</v>
      </c>
      <c r="B30" s="39"/>
      <c r="C30" s="40"/>
      <c r="D30" s="43"/>
      <c r="E30" s="43"/>
      <c r="F30" s="43"/>
      <c r="G30" s="43">
        <f t="shared" ref="G30:M30" si="7">G28/F28-1</f>
        <v>5.8161242071820274E-2</v>
      </c>
      <c r="H30" s="43">
        <f t="shared" si="7"/>
        <v>6.4377212110586779E-3</v>
      </c>
      <c r="I30" s="43">
        <f t="shared" si="7"/>
        <v>4.8635495092355097E-2</v>
      </c>
      <c r="J30" s="88">
        <f t="shared" si="7"/>
        <v>6.5146630534660188E-2</v>
      </c>
      <c r="K30" s="43">
        <f t="shared" si="7"/>
        <v>-8.3001910554840741E-3</v>
      </c>
      <c r="L30" s="43">
        <f t="shared" si="7"/>
        <v>-1.9216308797727066E-3</v>
      </c>
      <c r="M30" s="43">
        <f t="shared" si="7"/>
        <v>5.3431618754985699E-2</v>
      </c>
      <c r="N30" s="43">
        <f>AVERAGE(G30:M30)</f>
        <v>3.1655840818517592E-2</v>
      </c>
      <c r="O30" s="43">
        <f>N30</f>
        <v>3.1655840818517592E-2</v>
      </c>
      <c r="P30" s="43">
        <f t="shared" si="6"/>
        <v>3.1655840818517592E-2</v>
      </c>
      <c r="Q30" s="43">
        <f t="shared" si="6"/>
        <v>3.1655840818517592E-2</v>
      </c>
      <c r="R30" s="43">
        <f t="shared" si="6"/>
        <v>3.1655840818517592E-2</v>
      </c>
      <c r="U30" s="67"/>
      <c r="V30" s="68"/>
      <c r="W30" s="68"/>
      <c r="X30" s="68"/>
      <c r="Y30" s="68"/>
      <c r="Z30" s="68"/>
      <c r="AA30" s="67"/>
      <c r="AB30" s="68"/>
      <c r="AC30" s="68"/>
      <c r="AD30" s="68"/>
    </row>
    <row r="31" spans="1:30" s="35" customFormat="1" x14ac:dyDescent="0.3">
      <c r="A31" s="39" t="s">
        <v>466</v>
      </c>
      <c r="B31" s="39"/>
      <c r="C31" s="40"/>
      <c r="D31" s="43"/>
      <c r="E31" s="43"/>
      <c r="F31" s="43"/>
      <c r="G31" s="43">
        <f>'Income - Adjusted'!D10</f>
        <v>4.8115692704693291E-2</v>
      </c>
      <c r="H31" s="43">
        <f>'Income - Adjusted'!E10</f>
        <v>0.12433319655313912</v>
      </c>
      <c r="I31" s="43">
        <f>'Income - Adjusted'!F10</f>
        <v>-3.6610401459854058E-2</v>
      </c>
      <c r="J31" s="43">
        <f>'Income - Adjusted'!G10</f>
        <v>-4.7590860660589041E-3</v>
      </c>
      <c r="K31" s="43">
        <f>'Income - Adjusted'!H10</f>
        <v>-5.9475662558883258E-4</v>
      </c>
      <c r="L31" s="43">
        <f>'Income - Adjusted'!I10</f>
        <v>0.17586707610273988</v>
      </c>
      <c r="M31" s="43">
        <f>'Income - Adjusted'!J10</f>
        <v>-0.1228347200572234</v>
      </c>
      <c r="N31" s="43">
        <f>'Income - Adjusted'!K10</f>
        <v>1.9360871294686222E-2</v>
      </c>
      <c r="O31" s="43">
        <f>'Income - Adjusted'!L10</f>
        <v>1.8671045906958783E-2</v>
      </c>
      <c r="P31" s="43">
        <f>'Income - Adjusted'!M10</f>
        <v>1.8172603487769612E-2</v>
      </c>
      <c r="Q31" s="43">
        <f>'Income - Adjusted'!N10</f>
        <v>1.7686755565316403E-2</v>
      </c>
      <c r="R31" s="43">
        <f>'Income - Adjusted'!O10</f>
        <v>1.6865502483744077E-2</v>
      </c>
      <c r="U31" s="67"/>
      <c r="V31" s="68"/>
      <c r="W31" s="68"/>
      <c r="X31" s="68"/>
      <c r="Y31" s="68"/>
      <c r="Z31" s="68"/>
      <c r="AA31" s="67"/>
      <c r="AB31" s="68"/>
      <c r="AC31" s="68"/>
      <c r="AD31" s="68"/>
    </row>
    <row r="32" spans="1:30" x14ac:dyDescent="0.3">
      <c r="A32" s="10" t="s">
        <v>179</v>
      </c>
      <c r="B32" s="10" t="s">
        <v>180</v>
      </c>
      <c r="C32" s="13">
        <v>334861</v>
      </c>
      <c r="D32" s="13">
        <v>335255</v>
      </c>
      <c r="E32" s="13">
        <v>318356</v>
      </c>
      <c r="F32" s="13">
        <v>211607</v>
      </c>
      <c r="G32" s="13">
        <v>223319</v>
      </c>
      <c r="H32" s="13">
        <v>193190</v>
      </c>
      <c r="I32" s="13">
        <v>208317</v>
      </c>
      <c r="J32" s="44">
        <v>220627</v>
      </c>
      <c r="K32" s="13">
        <v>199784</v>
      </c>
      <c r="L32" s="13">
        <v>166076</v>
      </c>
      <c r="M32" s="13" t="s">
        <v>505</v>
      </c>
      <c r="N32" s="13"/>
      <c r="O32" s="13"/>
      <c r="P32" s="13"/>
      <c r="Q32" s="13"/>
      <c r="R32" s="13"/>
      <c r="T32" t="s">
        <v>446</v>
      </c>
      <c r="U32" s="65">
        <f>V32+W32+X32+AA32</f>
        <v>220627</v>
      </c>
      <c r="V32" s="66">
        <v>199970</v>
      </c>
      <c r="W32" s="66">
        <v>17101</v>
      </c>
      <c r="X32" s="66">
        <v>587</v>
      </c>
      <c r="AA32" s="65">
        <v>2969</v>
      </c>
    </row>
    <row r="33" spans="1:35" x14ac:dyDescent="0.3">
      <c r="A33" s="10" t="s">
        <v>181</v>
      </c>
      <c r="B33" s="10" t="s">
        <v>182</v>
      </c>
      <c r="C33" s="13">
        <v>735688</v>
      </c>
      <c r="D33" s="13">
        <v>734135</v>
      </c>
      <c r="E33" s="13">
        <v>712957</v>
      </c>
      <c r="F33" s="13">
        <v>550729</v>
      </c>
      <c r="G33" s="13">
        <v>583811</v>
      </c>
      <c r="H33" s="13">
        <v>563663</v>
      </c>
      <c r="I33" s="13">
        <v>595853</v>
      </c>
      <c r="J33" s="44">
        <v>632459</v>
      </c>
      <c r="K33" s="13">
        <v>602978</v>
      </c>
      <c r="L33" s="13">
        <v>573386</v>
      </c>
      <c r="M33" s="13"/>
      <c r="N33" s="13"/>
      <c r="O33" s="13"/>
      <c r="P33" s="13"/>
      <c r="Q33" s="13"/>
      <c r="R33" s="13"/>
      <c r="AD33" s="66">
        <v>14603</v>
      </c>
      <c r="AE33" t="s">
        <v>448</v>
      </c>
      <c r="AI33" s="54" t="e">
        <f>#REF!-J37</f>
        <v>#REF!</v>
      </c>
    </row>
    <row r="34" spans="1:35" x14ac:dyDescent="0.3">
      <c r="A34" s="10" t="s">
        <v>183</v>
      </c>
      <c r="B34" s="10" t="s">
        <v>184</v>
      </c>
      <c r="C34" s="13">
        <v>5771</v>
      </c>
      <c r="D34" s="13">
        <v>5496</v>
      </c>
      <c r="E34" s="13">
        <v>5939</v>
      </c>
      <c r="F34" s="13">
        <v>1516</v>
      </c>
      <c r="G34" s="13">
        <v>1598</v>
      </c>
      <c r="H34" s="13">
        <v>1328</v>
      </c>
      <c r="I34" s="13">
        <v>1513</v>
      </c>
      <c r="J34" s="44">
        <v>1527</v>
      </c>
      <c r="K34" s="13">
        <v>1380</v>
      </c>
      <c r="L34" s="13">
        <v>1140</v>
      </c>
      <c r="M34" s="57">
        <f>M35*'Income - Adjusted'!J6</f>
        <v>1270.4773015189828</v>
      </c>
      <c r="N34" s="13">
        <f>N35*'Income - Adjusted'!K6</f>
        <v>1353.3430519058991</v>
      </c>
      <c r="O34" s="13">
        <f>O35*'Income - Adjusted'!L6</f>
        <v>1418.4314466542737</v>
      </c>
      <c r="P34" s="13">
        <f>P35*'Income - Adjusted'!M6</f>
        <v>1390.2690959267252</v>
      </c>
      <c r="Q34" s="13">
        <f>Q35*'Income - Adjusted'!N6</f>
        <v>1397.7500249105078</v>
      </c>
      <c r="R34" s="13">
        <f>R35*'Income - Adjusted'!O6</f>
        <v>1449.0634578064821</v>
      </c>
      <c r="AC34" s="66">
        <v>1527</v>
      </c>
      <c r="AD34" s="66">
        <v>845</v>
      </c>
      <c r="AE34" t="s">
        <v>449</v>
      </c>
      <c r="AI34" s="54" t="e">
        <f>J37+J34-#REF!</f>
        <v>#REF!</v>
      </c>
    </row>
    <row r="35" spans="1:35" s="35" customFormat="1" x14ac:dyDescent="0.3">
      <c r="A35" s="39" t="s">
        <v>413</v>
      </c>
      <c r="B35" s="39"/>
      <c r="C35" s="40"/>
      <c r="D35" s="40"/>
      <c r="E35" s="40"/>
      <c r="F35" s="43">
        <f>F34/'Income - Adjusted'!C6</f>
        <v>2.4939542994390249E-2</v>
      </c>
      <c r="G35" s="43">
        <f>G34/'Income - Adjusted'!D6</f>
        <v>2.5646786929447263E-2</v>
      </c>
      <c r="H35" s="43">
        <f>H34/'Income - Adjusted'!E6</f>
        <v>1.9546371116115454E-2</v>
      </c>
      <c r="I35" s="43">
        <f>I34/'Income - Adjusted'!F6</f>
        <v>2.1732260844584888E-2</v>
      </c>
      <c r="J35" s="88">
        <f>J34/'Income - Adjusted'!G6</f>
        <v>2.2508180772972494E-2</v>
      </c>
      <c r="K35" s="43">
        <f>K34/'Income - Adjusted'!H6</f>
        <v>1.9414743950478333E-2</v>
      </c>
      <c r="L35" s="43">
        <f>L34/'Income - Adjusted'!I6</f>
        <v>1.6309479527311224E-2</v>
      </c>
      <c r="M35" s="43">
        <f>AVERAGE(H35:L35)</f>
        <v>1.9902207242292479E-2</v>
      </c>
      <c r="N35" s="43">
        <f t="shared" ref="N35:R35" si="8">AVERAGE(I35:M35)</f>
        <v>1.9973374467527887E-2</v>
      </c>
      <c r="O35" s="43">
        <f t="shared" si="8"/>
        <v>1.9621597192116487E-2</v>
      </c>
      <c r="P35" s="43">
        <f t="shared" si="8"/>
        <v>1.904428047594528E-2</v>
      </c>
      <c r="Q35" s="43">
        <f t="shared" si="8"/>
        <v>1.8970187781038671E-2</v>
      </c>
      <c r="R35" s="43">
        <f t="shared" si="8"/>
        <v>1.9502329431784159E-2</v>
      </c>
      <c r="U35" s="67"/>
      <c r="V35" s="68"/>
      <c r="W35" s="68"/>
      <c r="X35" s="68"/>
      <c r="Y35" s="68"/>
      <c r="Z35" s="68"/>
      <c r="AA35" s="67"/>
      <c r="AB35" s="68"/>
      <c r="AC35" s="68"/>
      <c r="AD35" s="68">
        <v>3153</v>
      </c>
      <c r="AE35" s="35" t="s">
        <v>450</v>
      </c>
    </row>
    <row r="36" spans="1:35" x14ac:dyDescent="0.3">
      <c r="A36" s="10" t="s">
        <v>185</v>
      </c>
      <c r="B36" s="10" t="s">
        <v>186</v>
      </c>
      <c r="C36" s="13">
        <v>30597</v>
      </c>
      <c r="D36" s="13">
        <v>35510</v>
      </c>
      <c r="E36" s="13">
        <v>36871</v>
      </c>
      <c r="F36" s="13">
        <v>25873</v>
      </c>
      <c r="G36" s="13">
        <v>26034</v>
      </c>
      <c r="H36" s="13">
        <v>25235</v>
      </c>
      <c r="I36" s="13">
        <v>27108</v>
      </c>
      <c r="J36" s="44">
        <v>29604</v>
      </c>
      <c r="K36" s="13">
        <v>31920</v>
      </c>
      <c r="L36" s="13">
        <v>20937</v>
      </c>
      <c r="M36" s="13"/>
      <c r="N36" s="13"/>
      <c r="O36" s="13"/>
      <c r="P36" s="13"/>
      <c r="Q36" s="13"/>
      <c r="R36" s="13"/>
      <c r="T36" t="s">
        <v>447</v>
      </c>
      <c r="U36" s="65">
        <f>V36+W36</f>
        <v>29604</v>
      </c>
      <c r="V36" s="66">
        <v>29475</v>
      </c>
      <c r="W36" s="66">
        <v>129</v>
      </c>
      <c r="AD36" s="66">
        <v>11008</v>
      </c>
      <c r="AE36" t="s">
        <v>451</v>
      </c>
    </row>
    <row r="37" spans="1:35" x14ac:dyDescent="0.3">
      <c r="A37" s="10" t="s">
        <v>187</v>
      </c>
      <c r="B37" s="10" t="s">
        <v>188</v>
      </c>
      <c r="C37" s="13">
        <v>20446</v>
      </c>
      <c r="D37" s="13">
        <v>18279</v>
      </c>
      <c r="E37" s="13">
        <v>19517</v>
      </c>
      <c r="F37" s="13">
        <v>19610</v>
      </c>
      <c r="G37" s="13">
        <v>18830</v>
      </c>
      <c r="H37" s="13">
        <v>15976</v>
      </c>
      <c r="I37" s="13">
        <v>17985</v>
      </c>
      <c r="J37" s="44">
        <v>18937</v>
      </c>
      <c r="K37" s="13">
        <v>18111</v>
      </c>
      <c r="L37" s="13">
        <v>18703</v>
      </c>
      <c r="M37" s="57">
        <f>M38*'Income - Adjusted'!J6</f>
        <v>16533.307344612051</v>
      </c>
      <c r="N37" s="13">
        <f>N38*'Income - Adjusted'!K6</f>
        <v>17548.925338173471</v>
      </c>
      <c r="O37" s="13">
        <f>O38*'Income - Adjusted'!L6</f>
        <v>18722.682308630789</v>
      </c>
      <c r="P37" s="13">
        <f>P38*'Income - Adjusted'!M6</f>
        <v>18907.250279870004</v>
      </c>
      <c r="Q37" s="13">
        <f>Q38*'Income - Adjusted'!N6</f>
        <v>19083.232952368438</v>
      </c>
      <c r="R37" s="13">
        <f>R38*'Income - Adjusted'!O6</f>
        <v>19243.984102204668</v>
      </c>
      <c r="AC37" s="66">
        <v>18937</v>
      </c>
      <c r="AD37" s="66">
        <v>4650</v>
      </c>
      <c r="AE37" t="s">
        <v>452</v>
      </c>
    </row>
    <row r="38" spans="1:35" s="35" customFormat="1" x14ac:dyDescent="0.3">
      <c r="A38" s="39" t="s">
        <v>413</v>
      </c>
      <c r="B38" s="39"/>
      <c r="C38" s="40"/>
      <c r="D38" s="40"/>
      <c r="E38" s="40"/>
      <c r="F38" s="43">
        <f>F37/'Income - Adjusted'!C6</f>
        <v>0.32260187211081315</v>
      </c>
      <c r="G38" s="43">
        <f>G37/'Income - Adjusted'!D6</f>
        <v>0.30220838415612761</v>
      </c>
      <c r="H38" s="43">
        <f>H37/'Income - Adjusted'!E6</f>
        <v>0.23514519951134072</v>
      </c>
      <c r="I38" s="43">
        <f>I37/'Income - Adjusted'!F6</f>
        <v>0.2583309393852341</v>
      </c>
      <c r="J38" s="43">
        <f>J37/'Income - Adjusted'!G6</f>
        <v>0.27913386987411926</v>
      </c>
      <c r="K38" s="43">
        <f>K37/'Income - Adjusted'!H6</f>
        <v>0.25479741136747325</v>
      </c>
      <c r="L38" s="43">
        <f>L37/'Income - Adjusted'!I6</f>
        <v>0.26757561017482617</v>
      </c>
      <c r="M38" s="43">
        <f>AVERAGE(H38:L38)</f>
        <v>0.25899660606259867</v>
      </c>
      <c r="N38" s="43">
        <f>M38</f>
        <v>0.25899660606259867</v>
      </c>
      <c r="O38" s="43">
        <f t="shared" ref="O38:R38" si="9">N38</f>
        <v>0.25899660606259867</v>
      </c>
      <c r="P38" s="43">
        <f t="shared" si="9"/>
        <v>0.25899660606259867</v>
      </c>
      <c r="Q38" s="43">
        <f t="shared" si="9"/>
        <v>0.25899660606259867</v>
      </c>
      <c r="R38" s="43">
        <f t="shared" si="9"/>
        <v>0.25899660606259867</v>
      </c>
      <c r="U38" s="67"/>
      <c r="V38" s="68"/>
      <c r="W38" s="68"/>
      <c r="X38" s="68"/>
      <c r="Y38" s="68"/>
      <c r="Z38" s="68"/>
      <c r="AA38" s="67"/>
      <c r="AB38" s="68"/>
      <c r="AC38" s="68"/>
      <c r="AD38" s="68">
        <v>23614</v>
      </c>
      <c r="AE38" s="35" t="s">
        <v>453</v>
      </c>
    </row>
    <row r="39" spans="1:35" x14ac:dyDescent="0.3">
      <c r="A39" s="10" t="s">
        <v>189</v>
      </c>
      <c r="B39" s="10" t="s">
        <v>190</v>
      </c>
      <c r="C39" s="13">
        <v>29811</v>
      </c>
      <c r="D39" s="13">
        <v>36258</v>
      </c>
      <c r="E39" s="13">
        <v>34153</v>
      </c>
      <c r="F39" s="13">
        <v>233334</v>
      </c>
      <c r="G39" s="13">
        <v>30749</v>
      </c>
      <c r="H39" s="13">
        <v>28378</v>
      </c>
      <c r="I39" s="13">
        <v>31622</v>
      </c>
      <c r="J39" s="13">
        <v>37802</v>
      </c>
      <c r="K39" s="13">
        <v>37570</v>
      </c>
      <c r="L39" s="13">
        <v>25158</v>
      </c>
      <c r="M39" s="13"/>
      <c r="N39" s="13"/>
      <c r="O39" s="13"/>
      <c r="P39" s="13"/>
      <c r="Q39" s="13"/>
      <c r="R39" s="13"/>
      <c r="U39" s="65">
        <f>V39+W39+X39</f>
        <v>39272</v>
      </c>
      <c r="V39" s="66">
        <v>11008</v>
      </c>
      <c r="W39" s="66">
        <v>4650</v>
      </c>
      <c r="X39" s="66">
        <v>23614</v>
      </c>
      <c r="AC39" s="66">
        <v>37802</v>
      </c>
    </row>
    <row r="40" spans="1:35" x14ac:dyDescent="0.3">
      <c r="A40" s="6" t="s">
        <v>191</v>
      </c>
      <c r="B40" s="6" t="s">
        <v>192</v>
      </c>
      <c r="C40" s="18">
        <v>822313</v>
      </c>
      <c r="D40" s="18">
        <v>829678</v>
      </c>
      <c r="E40" s="18">
        <v>809437</v>
      </c>
      <c r="F40" s="18">
        <v>831062</v>
      </c>
      <c r="G40" s="18">
        <v>661022</v>
      </c>
      <c r="H40" s="18">
        <v>634580</v>
      </c>
      <c r="I40" s="18">
        <v>674081</v>
      </c>
      <c r="J40" s="18">
        <v>720329</v>
      </c>
      <c r="K40" s="18">
        <v>691959</v>
      </c>
      <c r="L40" s="18">
        <v>639324</v>
      </c>
      <c r="M40" s="18"/>
      <c r="N40" s="18"/>
      <c r="O40" s="18"/>
      <c r="P40" s="18"/>
      <c r="Q40" s="18"/>
      <c r="R40" s="18"/>
      <c r="U40" s="65">
        <f>U39-J39</f>
        <v>1470</v>
      </c>
      <c r="AC40" s="66">
        <f>SUM(AC34:AC39)</f>
        <v>58266</v>
      </c>
      <c r="AD40" s="66">
        <f>SUM(AD33:AD38)</f>
        <v>57873</v>
      </c>
    </row>
    <row r="41" spans="1:35" x14ac:dyDescent="0.3">
      <c r="A41" s="10" t="s">
        <v>193</v>
      </c>
      <c r="B41" s="10" t="s">
        <v>194</v>
      </c>
      <c r="C41" s="13">
        <v>2100</v>
      </c>
      <c r="D41" s="13">
        <v>2100</v>
      </c>
      <c r="E41" s="13">
        <v>2100</v>
      </c>
      <c r="F41" s="13">
        <v>2100</v>
      </c>
      <c r="G41" s="13">
        <v>2100</v>
      </c>
      <c r="H41" s="13">
        <v>3405</v>
      </c>
      <c r="I41" s="13">
        <v>3405</v>
      </c>
      <c r="J41" s="13">
        <v>4405</v>
      </c>
      <c r="K41" s="13">
        <v>4405</v>
      </c>
      <c r="L41" s="13">
        <v>3905</v>
      </c>
      <c r="M41" s="13"/>
      <c r="N41" s="13"/>
      <c r="O41" s="13"/>
      <c r="P41" s="13"/>
      <c r="Q41" s="13"/>
      <c r="R41" s="13"/>
    </row>
    <row r="42" spans="1:35" x14ac:dyDescent="0.3">
      <c r="A42" s="10" t="s">
        <v>195</v>
      </c>
      <c r="B42" s="10" t="s">
        <v>196</v>
      </c>
      <c r="C42" s="13">
        <v>1430</v>
      </c>
      <c r="D42" s="13">
        <v>606</v>
      </c>
      <c r="E42" s="13">
        <v>547</v>
      </c>
      <c r="F42" s="13">
        <v>171</v>
      </c>
      <c r="G42" s="13">
        <v>194</v>
      </c>
      <c r="H42" s="13">
        <v>217</v>
      </c>
      <c r="I42" s="13">
        <v>238</v>
      </c>
      <c r="J42" s="13">
        <v>259</v>
      </c>
      <c r="K42" s="13">
        <v>267</v>
      </c>
      <c r="L42" s="13">
        <v>247</v>
      </c>
      <c r="M42" s="13"/>
      <c r="N42" s="13"/>
      <c r="O42" s="13"/>
      <c r="P42" s="13"/>
      <c r="Q42" s="13"/>
      <c r="R42" s="13"/>
    </row>
    <row r="43" spans="1:35" x14ac:dyDescent="0.3">
      <c r="A43" s="10" t="s">
        <v>197</v>
      </c>
      <c r="B43" s="10" t="s">
        <v>198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294</v>
      </c>
      <c r="L43" s="13">
        <v>0</v>
      </c>
      <c r="M43" s="13"/>
      <c r="N43" s="13"/>
      <c r="O43" s="13"/>
      <c r="P43" s="13"/>
      <c r="Q43" s="13"/>
      <c r="R43" s="13"/>
    </row>
    <row r="44" spans="1:35" x14ac:dyDescent="0.3">
      <c r="A44" s="10" t="s">
        <v>199</v>
      </c>
      <c r="B44" s="10" t="s">
        <v>200</v>
      </c>
      <c r="C44" s="13">
        <v>27189</v>
      </c>
      <c r="D44" s="13">
        <v>28456</v>
      </c>
      <c r="E44" s="13">
        <v>28661</v>
      </c>
      <c r="F44" s="13">
        <v>28856</v>
      </c>
      <c r="G44" s="13">
        <v>29023</v>
      </c>
      <c r="H44" s="13">
        <v>29081</v>
      </c>
      <c r="I44" s="13">
        <v>29287</v>
      </c>
      <c r="J44" s="13">
        <v>29419</v>
      </c>
      <c r="K44" s="13">
        <v>29118</v>
      </c>
      <c r="L44" s="13">
        <v>29723</v>
      </c>
      <c r="M44" s="13"/>
      <c r="N44" s="13"/>
      <c r="O44" s="13"/>
      <c r="P44" s="13"/>
      <c r="Q44" s="13"/>
      <c r="R44" s="13"/>
    </row>
    <row r="45" spans="1:35" x14ac:dyDescent="0.3">
      <c r="A45" s="10" t="s">
        <v>201</v>
      </c>
      <c r="B45" s="10" t="s">
        <v>202</v>
      </c>
      <c r="C45" s="13">
        <v>32264</v>
      </c>
      <c r="D45" s="13">
        <v>41497</v>
      </c>
      <c r="E45" s="13">
        <v>37188</v>
      </c>
      <c r="F45" s="13">
        <v>36575</v>
      </c>
      <c r="G45" s="13">
        <v>27553</v>
      </c>
      <c r="H45" s="13">
        <v>20255</v>
      </c>
      <c r="I45" s="13">
        <v>33452</v>
      </c>
      <c r="J45" s="13">
        <v>40734</v>
      </c>
      <c r="K45" s="13">
        <v>33959</v>
      </c>
      <c r="L45" s="13">
        <v>-6588</v>
      </c>
      <c r="M45" s="13"/>
      <c r="N45" s="13"/>
      <c r="O45" s="13"/>
      <c r="P45" s="13"/>
      <c r="Q45" s="13"/>
      <c r="R45" s="13"/>
    </row>
    <row r="46" spans="1:35" x14ac:dyDescent="0.3">
      <c r="A46" s="6" t="s">
        <v>203</v>
      </c>
      <c r="B46" s="6" t="s">
        <v>204</v>
      </c>
      <c r="C46" s="18">
        <v>62983</v>
      </c>
      <c r="D46" s="18">
        <v>72659</v>
      </c>
      <c r="E46" s="18">
        <v>68496</v>
      </c>
      <c r="F46" s="18">
        <v>67702</v>
      </c>
      <c r="G46" s="18">
        <v>58870</v>
      </c>
      <c r="H46" s="18">
        <v>52958</v>
      </c>
      <c r="I46" s="18">
        <v>66382</v>
      </c>
      <c r="J46" s="18">
        <v>74817</v>
      </c>
      <c r="K46" s="18">
        <v>67749</v>
      </c>
      <c r="L46" s="18">
        <v>27287</v>
      </c>
      <c r="M46" s="18">
        <v>25895</v>
      </c>
      <c r="N46" s="18"/>
      <c r="O46" s="18"/>
      <c r="P46" s="18"/>
      <c r="Q46" s="18"/>
      <c r="R46" s="18"/>
    </row>
    <row r="47" spans="1:35" x14ac:dyDescent="0.3">
      <c r="A47" s="133" t="s">
        <v>552</v>
      </c>
      <c r="B47" s="133"/>
      <c r="C47" s="134"/>
      <c r="D47" s="134">
        <v>10649</v>
      </c>
      <c r="E47" s="134">
        <v>4771</v>
      </c>
      <c r="F47" s="134">
        <v>5347</v>
      </c>
      <c r="G47" s="134">
        <v>7427</v>
      </c>
      <c r="H47" s="134">
        <v>1722</v>
      </c>
      <c r="I47" s="134">
        <v>13052</v>
      </c>
      <c r="J47" s="134">
        <v>18072</v>
      </c>
      <c r="K47" s="134">
        <v>10919</v>
      </c>
      <c r="L47" s="134">
        <v>-27083</v>
      </c>
      <c r="M47" s="134">
        <v>-24254</v>
      </c>
      <c r="N47" s="134"/>
      <c r="O47" s="134"/>
      <c r="P47" s="134"/>
      <c r="Q47" s="134"/>
      <c r="R47" s="134"/>
      <c r="U47" s="135"/>
      <c r="V47" s="136"/>
      <c r="W47" s="136"/>
      <c r="X47" s="136"/>
      <c r="Y47" s="136"/>
      <c r="Z47" s="136"/>
      <c r="AA47" s="135"/>
      <c r="AB47" s="136"/>
      <c r="AC47" s="136"/>
      <c r="AD47" s="136"/>
    </row>
    <row r="48" spans="1:35" x14ac:dyDescent="0.3">
      <c r="A48" s="6" t="s">
        <v>551</v>
      </c>
      <c r="B48" s="6"/>
      <c r="C48" s="18"/>
      <c r="D48" s="18">
        <f t="shared" ref="D48:L48" si="10">D46-D47</f>
        <v>62010</v>
      </c>
      <c r="E48" s="18">
        <f t="shared" si="10"/>
        <v>63725</v>
      </c>
      <c r="F48" s="18">
        <f t="shared" si="10"/>
        <v>62355</v>
      </c>
      <c r="G48" s="18">
        <f t="shared" si="10"/>
        <v>51443</v>
      </c>
      <c r="H48" s="18">
        <f t="shared" si="10"/>
        <v>51236</v>
      </c>
      <c r="I48" s="18">
        <f t="shared" si="10"/>
        <v>53330</v>
      </c>
      <c r="J48" s="18">
        <f t="shared" si="10"/>
        <v>56745</v>
      </c>
      <c r="K48" s="18">
        <f t="shared" si="10"/>
        <v>56830</v>
      </c>
      <c r="L48" s="18">
        <f t="shared" si="10"/>
        <v>54370</v>
      </c>
      <c r="M48" s="18">
        <f>M46-M47</f>
        <v>50149</v>
      </c>
      <c r="N48" s="18"/>
      <c r="O48" s="18"/>
      <c r="P48" s="18"/>
      <c r="Q48" s="18"/>
      <c r="R48" s="18"/>
    </row>
    <row r="49" spans="1:18" x14ac:dyDescent="0.3">
      <c r="A49" s="6" t="s">
        <v>205</v>
      </c>
      <c r="B49" s="6" t="s">
        <v>206</v>
      </c>
      <c r="C49" s="18">
        <v>885296</v>
      </c>
      <c r="D49" s="18">
        <v>902337</v>
      </c>
      <c r="E49" s="18">
        <v>877933</v>
      </c>
      <c r="F49" s="18">
        <v>898764</v>
      </c>
      <c r="G49" s="18">
        <v>719892</v>
      </c>
      <c r="H49" s="18">
        <v>687538</v>
      </c>
      <c r="I49" s="18">
        <v>740463</v>
      </c>
      <c r="J49" s="18">
        <v>795146</v>
      </c>
      <c r="K49" s="18">
        <v>759708</v>
      </c>
      <c r="L49" s="18">
        <v>666611</v>
      </c>
      <c r="M49" s="18"/>
      <c r="N49" s="18"/>
      <c r="O49" s="18"/>
      <c r="P49" s="18"/>
      <c r="Q49" s="18"/>
      <c r="R49" s="18"/>
    </row>
    <row r="50" spans="1:18" x14ac:dyDescent="0.3">
      <c r="A50" s="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3">
      <c r="A51" s="6" t="s">
        <v>113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3">
      <c r="A52" s="10" t="s">
        <v>114</v>
      </c>
      <c r="B52" s="10" t="s">
        <v>115</v>
      </c>
      <c r="C52" s="12" t="s">
        <v>116</v>
      </c>
      <c r="D52" s="12" t="s">
        <v>116</v>
      </c>
      <c r="E52" s="12" t="s">
        <v>116</v>
      </c>
      <c r="F52" s="12" t="s">
        <v>116</v>
      </c>
      <c r="G52" s="12" t="s">
        <v>116</v>
      </c>
      <c r="H52" s="12" t="s">
        <v>116</v>
      </c>
      <c r="I52" s="12" t="s">
        <v>116</v>
      </c>
      <c r="J52" s="12" t="s">
        <v>116</v>
      </c>
      <c r="K52" s="12" t="s">
        <v>116</v>
      </c>
      <c r="L52" s="12" t="s">
        <v>116</v>
      </c>
      <c r="M52" s="12"/>
      <c r="N52" s="12"/>
      <c r="O52" s="12"/>
      <c r="P52" s="12"/>
      <c r="Q52" s="12"/>
      <c r="R52" s="12"/>
    </row>
    <row r="53" spans="1:18" x14ac:dyDescent="0.3">
      <c r="A53" s="10" t="s">
        <v>207</v>
      </c>
      <c r="B53" s="10" t="s">
        <v>208</v>
      </c>
      <c r="C53" s="13">
        <v>1122.0300999999999</v>
      </c>
      <c r="D53" s="13">
        <v>1131.9278999999999</v>
      </c>
      <c r="E53" s="13">
        <v>1098.0284999999999</v>
      </c>
      <c r="F53" s="13">
        <v>1095.519</v>
      </c>
      <c r="G53" s="13">
        <v>1043.5884000000001</v>
      </c>
      <c r="H53" s="13">
        <v>958.61350000000004</v>
      </c>
      <c r="I53" s="13">
        <v>915.33810000000005</v>
      </c>
      <c r="J53" s="13">
        <v>892.91060000000004</v>
      </c>
      <c r="K53" s="13">
        <v>825.5403</v>
      </c>
      <c r="L53" s="13">
        <v>779.09839999999997</v>
      </c>
      <c r="M53" s="13"/>
      <c r="N53" s="13"/>
      <c r="O53" s="13"/>
      <c r="P53" s="13"/>
      <c r="Q53" s="13"/>
      <c r="R53" s="13"/>
    </row>
    <row r="54" spans="1:18" x14ac:dyDescent="0.3">
      <c r="A54" s="10" t="s">
        <v>209</v>
      </c>
      <c r="B54" s="10" t="s">
        <v>210</v>
      </c>
      <c r="C54" s="13">
        <v>3.1939000000000002</v>
      </c>
      <c r="D54" s="13">
        <v>22.0703</v>
      </c>
      <c r="E54" s="13">
        <v>61.562199999999997</v>
      </c>
      <c r="F54" s="13">
        <v>68.510999999999996</v>
      </c>
      <c r="G54" s="13">
        <v>125.1217</v>
      </c>
      <c r="H54" s="13">
        <v>213.2107</v>
      </c>
      <c r="I54" s="13">
        <v>262.34219999999999</v>
      </c>
      <c r="J54" s="13">
        <v>288.70370000000003</v>
      </c>
      <c r="K54" s="13">
        <v>361.00020000000001</v>
      </c>
      <c r="L54" s="13">
        <v>410.73309999999998</v>
      </c>
      <c r="M54" s="13"/>
      <c r="N54" s="13"/>
      <c r="O54" s="13"/>
      <c r="P54" s="13"/>
      <c r="Q54" s="13"/>
      <c r="R54" s="13"/>
    </row>
    <row r="55" spans="1:18" x14ac:dyDescent="0.3">
      <c r="A55" s="10" t="s">
        <v>211</v>
      </c>
      <c r="B55" s="10" t="s">
        <v>212</v>
      </c>
      <c r="C55" s="13">
        <v>172</v>
      </c>
      <c r="D55" s="13">
        <v>1172</v>
      </c>
      <c r="E55" s="13">
        <v>3102</v>
      </c>
      <c r="F55" s="13">
        <v>3474</v>
      </c>
      <c r="G55" s="13">
        <v>6401</v>
      </c>
      <c r="H55" s="13">
        <v>10393</v>
      </c>
      <c r="I55" s="13">
        <v>12678</v>
      </c>
      <c r="J55" s="13">
        <v>13829</v>
      </c>
      <c r="K55" s="13">
        <v>18157</v>
      </c>
      <c r="L55" s="13">
        <v>21458</v>
      </c>
      <c r="M55" s="13"/>
      <c r="N55" s="13"/>
      <c r="O55" s="13"/>
      <c r="P55" s="13"/>
      <c r="Q55" s="13"/>
      <c r="R55" s="13"/>
    </row>
    <row r="56" spans="1:18" x14ac:dyDescent="0.3">
      <c r="A56" s="10" t="s">
        <v>213</v>
      </c>
      <c r="B56" s="10" t="s">
        <v>214</v>
      </c>
      <c r="C56" s="13">
        <v>1748</v>
      </c>
      <c r="D56" s="13">
        <v>1659</v>
      </c>
      <c r="E56" s="13">
        <v>1930</v>
      </c>
      <c r="F56" s="13">
        <v>1784</v>
      </c>
      <c r="G56" s="13">
        <v>1690</v>
      </c>
      <c r="H56" s="13">
        <v>1481</v>
      </c>
      <c r="I56" s="13">
        <v>1902</v>
      </c>
      <c r="J56" s="13">
        <v>1675</v>
      </c>
      <c r="K56" s="13">
        <v>1443</v>
      </c>
      <c r="L56" s="13">
        <v>1243</v>
      </c>
      <c r="M56" s="13"/>
      <c r="N56" s="13"/>
      <c r="O56" s="13"/>
      <c r="P56" s="13"/>
      <c r="Q56" s="13"/>
      <c r="R56" s="13"/>
    </row>
    <row r="57" spans="1:18" x14ac:dyDescent="0.3">
      <c r="A57" s="10" t="s">
        <v>215</v>
      </c>
      <c r="B57" s="10" t="s">
        <v>216</v>
      </c>
      <c r="C57" s="13" t="s">
        <v>294</v>
      </c>
      <c r="D57" s="13" t="s">
        <v>294</v>
      </c>
      <c r="E57" s="13" t="s">
        <v>294</v>
      </c>
      <c r="F57" s="13" t="s">
        <v>294</v>
      </c>
      <c r="G57" s="13" t="s">
        <v>294</v>
      </c>
      <c r="H57" s="13" t="s">
        <v>294</v>
      </c>
      <c r="I57" s="13" t="s">
        <v>294</v>
      </c>
      <c r="J57" s="13" t="s">
        <v>294</v>
      </c>
      <c r="K57" s="13" t="s">
        <v>294</v>
      </c>
      <c r="L57" s="13">
        <v>56</v>
      </c>
      <c r="M57" s="13"/>
      <c r="N57" s="13"/>
      <c r="O57" s="13"/>
      <c r="P57" s="13"/>
      <c r="Q57" s="13"/>
      <c r="R57" s="13"/>
    </row>
    <row r="58" spans="1:18" x14ac:dyDescent="0.3">
      <c r="A58" s="10" t="s">
        <v>217</v>
      </c>
      <c r="B58" s="10" t="s">
        <v>218</v>
      </c>
      <c r="C58" s="13">
        <v>28</v>
      </c>
      <c r="D58" s="13">
        <v>7</v>
      </c>
      <c r="E58" s="13">
        <v>9</v>
      </c>
      <c r="F58" s="13">
        <v>8</v>
      </c>
      <c r="G58" s="13">
        <v>5</v>
      </c>
      <c r="H58" s="13">
        <v>4</v>
      </c>
      <c r="I58" s="13">
        <v>125</v>
      </c>
      <c r="J58" s="13">
        <v>106</v>
      </c>
      <c r="K58" s="13">
        <v>81</v>
      </c>
      <c r="L58" s="13">
        <v>56</v>
      </c>
      <c r="M58" s="13"/>
      <c r="N58" s="13"/>
      <c r="O58" s="13"/>
      <c r="P58" s="13"/>
      <c r="Q58" s="13"/>
      <c r="R58" s="13"/>
    </row>
    <row r="59" spans="1:18" x14ac:dyDescent="0.3">
      <c r="A59" s="10" t="s">
        <v>219</v>
      </c>
      <c r="B59" s="10" t="s">
        <v>220</v>
      </c>
      <c r="C59" s="13">
        <v>1.31</v>
      </c>
      <c r="D59" s="13">
        <v>0.82430000000000003</v>
      </c>
      <c r="E59" s="13">
        <v>0.66990000000000005</v>
      </c>
      <c r="F59" s="13">
        <v>0.90080000000000005</v>
      </c>
      <c r="G59" s="13" t="s">
        <v>294</v>
      </c>
      <c r="H59" s="13" t="s">
        <v>294</v>
      </c>
      <c r="I59" s="13">
        <v>0.65720000000000001</v>
      </c>
      <c r="J59" s="13">
        <v>0.48759999999999998</v>
      </c>
      <c r="K59" s="13">
        <v>0.47739999999999999</v>
      </c>
      <c r="L59" s="13">
        <v>0.40300000000000002</v>
      </c>
      <c r="M59" s="13"/>
      <c r="N59" s="13"/>
      <c r="O59" s="13"/>
      <c r="P59" s="13"/>
      <c r="Q59" s="13"/>
      <c r="R59" s="13"/>
    </row>
    <row r="60" spans="1:18" x14ac:dyDescent="0.3">
      <c r="A60" s="10" t="s">
        <v>221</v>
      </c>
      <c r="B60" s="10" t="s">
        <v>222</v>
      </c>
      <c r="C60" s="13">
        <v>29.7514</v>
      </c>
      <c r="D60" s="13">
        <v>26.078900000000001</v>
      </c>
      <c r="E60" s="13">
        <v>23.506799999999998</v>
      </c>
      <c r="F60" s="13">
        <v>19.482399999999998</v>
      </c>
      <c r="G60" s="13" t="s">
        <v>294</v>
      </c>
      <c r="H60" s="13" t="s">
        <v>294</v>
      </c>
      <c r="I60" s="13">
        <v>9.0113000000000003</v>
      </c>
      <c r="J60" s="13">
        <v>7.0423999999999998</v>
      </c>
      <c r="K60" s="13">
        <v>4.2680999999999996</v>
      </c>
      <c r="L60" s="13">
        <v>3.3860000000000001</v>
      </c>
      <c r="M60" s="13"/>
      <c r="N60" s="13"/>
      <c r="O60" s="13"/>
      <c r="P60" s="13"/>
      <c r="Q60" s="13"/>
      <c r="R60" s="13"/>
    </row>
    <row r="61" spans="1:18" x14ac:dyDescent="0.3">
      <c r="A61" s="10" t="s">
        <v>223</v>
      </c>
      <c r="B61" s="10" t="s">
        <v>224</v>
      </c>
      <c r="C61" s="14">
        <v>52.987000000000002</v>
      </c>
      <c r="D61" s="14">
        <v>61.799900000000001</v>
      </c>
      <c r="E61" s="14">
        <v>59.970199999999998</v>
      </c>
      <c r="F61" s="14">
        <v>59.725999999999999</v>
      </c>
      <c r="G61" s="14">
        <v>54.212899999999998</v>
      </c>
      <c r="H61" s="14">
        <v>51.466000000000001</v>
      </c>
      <c r="I61" s="14">
        <v>68.541899999999998</v>
      </c>
      <c r="J61" s="14">
        <v>78.566699999999997</v>
      </c>
      <c r="K61" s="14">
        <v>76.406899999999993</v>
      </c>
      <c r="L61" s="14">
        <v>29.694600000000001</v>
      </c>
      <c r="M61" s="14"/>
      <c r="N61" s="14"/>
      <c r="O61" s="14"/>
      <c r="P61" s="14"/>
      <c r="Q61" s="14"/>
      <c r="R61" s="14"/>
    </row>
    <row r="62" spans="1:18" x14ac:dyDescent="0.3">
      <c r="A62" s="10" t="s">
        <v>225</v>
      </c>
      <c r="B62" s="10" t="s">
        <v>226</v>
      </c>
      <c r="C62" s="13">
        <v>18632</v>
      </c>
      <c r="D62" s="13">
        <v>12967</v>
      </c>
      <c r="E62" s="13">
        <v>12704</v>
      </c>
      <c r="F62" s="13">
        <v>8475</v>
      </c>
      <c r="G62" s="13">
        <v>7727</v>
      </c>
      <c r="H62" s="13">
        <v>1483</v>
      </c>
      <c r="I62" s="13">
        <v>2900</v>
      </c>
      <c r="J62" s="13">
        <v>669</v>
      </c>
      <c r="K62" s="13">
        <v>-556</v>
      </c>
      <c r="L62" s="13">
        <v>-352</v>
      </c>
      <c r="M62" s="13"/>
      <c r="N62" s="13"/>
      <c r="O62" s="13"/>
      <c r="P62" s="13"/>
      <c r="Q62" s="13"/>
      <c r="R62" s="13"/>
    </row>
    <row r="63" spans="1:18" x14ac:dyDescent="0.3">
      <c r="A63" s="10" t="s">
        <v>227</v>
      </c>
      <c r="B63" s="10" t="s">
        <v>228</v>
      </c>
      <c r="C63" s="14">
        <v>5.5914000000000001</v>
      </c>
      <c r="D63" s="14">
        <v>6.7320000000000002</v>
      </c>
      <c r="E63" s="14">
        <v>6.4911000000000003</v>
      </c>
      <c r="F63" s="14">
        <v>6.3190999999999997</v>
      </c>
      <c r="G63" s="14">
        <v>6.6148999999999996</v>
      </c>
      <c r="H63" s="14">
        <v>5.8860000000000001</v>
      </c>
      <c r="I63" s="14">
        <v>7.3078000000000003</v>
      </c>
      <c r="J63" s="14">
        <v>7.6482000000000001</v>
      </c>
      <c r="K63" s="14">
        <v>7.1372999999999998</v>
      </c>
      <c r="L63" s="14">
        <v>2.1052</v>
      </c>
      <c r="M63" s="14"/>
      <c r="N63" s="14"/>
      <c r="O63" s="14"/>
      <c r="P63" s="14"/>
      <c r="Q63" s="14"/>
      <c r="R63" s="14"/>
    </row>
    <row r="64" spans="1:18" x14ac:dyDescent="0.3">
      <c r="A64" s="10" t="s">
        <v>229</v>
      </c>
      <c r="B64" s="10" t="s">
        <v>230</v>
      </c>
      <c r="C64" s="13">
        <v>22894</v>
      </c>
      <c r="D64" s="13">
        <v>24567</v>
      </c>
      <c r="E64" s="13">
        <v>29587</v>
      </c>
      <c r="F64" s="13">
        <v>20953</v>
      </c>
      <c r="G64" s="13" t="s">
        <v>294</v>
      </c>
      <c r="H64" s="13" t="s">
        <v>294</v>
      </c>
      <c r="I64" s="13">
        <v>19546</v>
      </c>
      <c r="J64" s="13">
        <v>19367</v>
      </c>
      <c r="K64" s="13">
        <v>19219</v>
      </c>
      <c r="L64" s="13">
        <v>18014</v>
      </c>
      <c r="M64" s="13"/>
      <c r="N64" s="13"/>
      <c r="O64" s="13"/>
      <c r="P64" s="13"/>
      <c r="Q64" s="13"/>
      <c r="R64" s="13"/>
    </row>
    <row r="65" spans="1:30" x14ac:dyDescent="0.3">
      <c r="A65" s="10" t="s">
        <v>231</v>
      </c>
      <c r="B65" s="10" t="s">
        <v>232</v>
      </c>
      <c r="C65" s="14">
        <v>65000</v>
      </c>
      <c r="D65" s="14">
        <v>68000</v>
      </c>
      <c r="E65" s="14">
        <v>69000</v>
      </c>
      <c r="F65" s="14">
        <v>58000</v>
      </c>
      <c r="G65" s="14">
        <v>49000</v>
      </c>
      <c r="H65" s="14">
        <v>48000</v>
      </c>
      <c r="I65" s="14">
        <v>49000</v>
      </c>
      <c r="J65" s="14">
        <v>46500</v>
      </c>
      <c r="K65" s="14">
        <v>43000</v>
      </c>
      <c r="L65" s="14">
        <v>45000</v>
      </c>
      <c r="M65" s="14"/>
      <c r="N65" s="14"/>
      <c r="O65" s="14"/>
      <c r="P65" s="14"/>
      <c r="Q65" s="14"/>
      <c r="R65" s="14"/>
    </row>
    <row r="66" spans="1:30" x14ac:dyDescent="0.3">
      <c r="A66" s="7" t="s">
        <v>137</v>
      </c>
      <c r="B66" s="7"/>
      <c r="C66" s="7" t="s">
        <v>138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30" x14ac:dyDescent="0.3">
      <c r="M67" s="228"/>
    </row>
    <row r="68" spans="1:30" s="218" customFormat="1" x14ac:dyDescent="0.3">
      <c r="A68" s="231" t="s">
        <v>229</v>
      </c>
      <c r="F68" s="218">
        <f>F82</f>
        <v>25425</v>
      </c>
      <c r="G68" s="218">
        <f t="shared" ref="G68:L68" si="11">G82</f>
        <v>21049</v>
      </c>
      <c r="H68" s="218">
        <f t="shared" si="11"/>
        <v>19996</v>
      </c>
      <c r="I68" s="218">
        <f t="shared" si="11"/>
        <v>19651</v>
      </c>
      <c r="J68" s="218">
        <f t="shared" si="11"/>
        <v>19553</v>
      </c>
      <c r="K68" s="218">
        <f t="shared" si="11"/>
        <v>19219</v>
      </c>
      <c r="L68" s="218">
        <f t="shared" si="11"/>
        <v>18014</v>
      </c>
      <c r="M68" s="218">
        <f>$M$83*M26</f>
        <v>17700.341235000757</v>
      </c>
      <c r="N68" s="218">
        <f t="shared" ref="N68:R68" si="12">$M$83*N26</f>
        <v>18043.035263523634</v>
      </c>
      <c r="O68" s="218">
        <f t="shared" si="12"/>
        <v>18379.917603229758</v>
      </c>
      <c r="P68" s="218">
        <f t="shared" si="12"/>
        <v>18713.928557971129</v>
      </c>
      <c r="Q68" s="218">
        <f t="shared" si="12"/>
        <v>19044.917238042759</v>
      </c>
      <c r="R68" s="218">
        <f t="shared" si="12"/>
        <v>19366.119337023669</v>
      </c>
      <c r="U68" s="232"/>
      <c r="AA68" s="232"/>
    </row>
    <row r="69" spans="1:30" x14ac:dyDescent="0.3">
      <c r="A69" t="s">
        <v>639</v>
      </c>
      <c r="G69" s="233">
        <f>G68-F68</f>
        <v>-4376</v>
      </c>
      <c r="H69" s="233">
        <f t="shared" ref="H69:R69" si="13">H68-G68</f>
        <v>-1053</v>
      </c>
      <c r="I69" s="233">
        <f t="shared" si="13"/>
        <v>-345</v>
      </c>
      <c r="J69" s="233">
        <f t="shared" si="13"/>
        <v>-98</v>
      </c>
      <c r="K69" s="233">
        <f t="shared" si="13"/>
        <v>-334</v>
      </c>
      <c r="L69" s="233">
        <f t="shared" si="13"/>
        <v>-1205</v>
      </c>
      <c r="M69" s="233">
        <f t="shared" si="13"/>
        <v>-313.65876499924343</v>
      </c>
      <c r="N69" s="233">
        <f t="shared" si="13"/>
        <v>342.69402852287749</v>
      </c>
      <c r="O69" s="233">
        <f t="shared" si="13"/>
        <v>336.88233970612418</v>
      </c>
      <c r="P69" s="233">
        <f t="shared" si="13"/>
        <v>334.01095474137037</v>
      </c>
      <c r="Q69" s="233">
        <f t="shared" si="13"/>
        <v>330.98868007163037</v>
      </c>
      <c r="R69" s="233">
        <f t="shared" si="13"/>
        <v>321.2020989809098</v>
      </c>
    </row>
    <row r="70" spans="1:30" x14ac:dyDescent="0.3">
      <c r="I70" s="233"/>
      <c r="J70" s="233"/>
    </row>
    <row r="72" spans="1:30" x14ac:dyDescent="0.3">
      <c r="A72" s="274" t="s">
        <v>642</v>
      </c>
      <c r="B72" s="274"/>
      <c r="C72" s="274"/>
      <c r="D72" s="274"/>
      <c r="E72" s="274"/>
      <c r="F72" s="274"/>
      <c r="G72" s="274"/>
      <c r="H72" s="274"/>
      <c r="I72" s="274"/>
      <c r="J72" s="274"/>
      <c r="K72" s="274"/>
      <c r="L72" s="274"/>
    </row>
    <row r="73" spans="1:30" s="49" customFormat="1" x14ac:dyDescent="0.3">
      <c r="A73" s="235"/>
      <c r="B73" s="235"/>
      <c r="C73" s="235"/>
      <c r="D73" s="235"/>
      <c r="E73" s="235"/>
      <c r="F73" s="235">
        <v>2016</v>
      </c>
      <c r="G73" s="235">
        <v>2017</v>
      </c>
      <c r="H73" s="235">
        <v>2018</v>
      </c>
      <c r="I73" s="235">
        <v>2019</v>
      </c>
      <c r="J73" s="235">
        <v>2020</v>
      </c>
      <c r="K73" s="235">
        <v>2021</v>
      </c>
      <c r="L73" s="235">
        <v>2022</v>
      </c>
      <c r="U73" s="236"/>
      <c r="V73" s="237"/>
      <c r="W73" s="237"/>
      <c r="X73" s="237"/>
      <c r="Y73" s="237"/>
      <c r="Z73" s="237"/>
      <c r="AA73" s="236"/>
      <c r="AB73" s="237"/>
      <c r="AC73" s="237"/>
      <c r="AD73" s="237"/>
    </row>
    <row r="74" spans="1:30" x14ac:dyDescent="0.3">
      <c r="A74" s="208" t="s">
        <v>631</v>
      </c>
      <c r="B74" s="208"/>
      <c r="C74" s="208"/>
      <c r="D74" s="208"/>
      <c r="E74" s="208"/>
      <c r="F74" s="208">
        <v>11195</v>
      </c>
      <c r="G74" s="208">
        <v>10384</v>
      </c>
      <c r="H74" s="208">
        <v>11098</v>
      </c>
      <c r="I74" s="208">
        <v>10915</v>
      </c>
      <c r="J74" s="208">
        <v>11312</v>
      </c>
      <c r="K74" s="208">
        <v>11804</v>
      </c>
      <c r="L74" s="208">
        <v>10869</v>
      </c>
    </row>
    <row r="75" spans="1:30" x14ac:dyDescent="0.3">
      <c r="A75" s="208" t="s">
        <v>632</v>
      </c>
      <c r="B75" s="208"/>
      <c r="C75" s="208"/>
      <c r="D75" s="208"/>
      <c r="E75" s="208"/>
      <c r="F75" s="208">
        <v>5235</v>
      </c>
      <c r="G75" s="208">
        <v>6548</v>
      </c>
      <c r="H75" s="208">
        <v>4921</v>
      </c>
      <c r="I75" s="208">
        <v>4970</v>
      </c>
      <c r="J75" s="208">
        <v>4419</v>
      </c>
      <c r="K75" s="208">
        <v>5584</v>
      </c>
      <c r="L75" s="208">
        <v>5040</v>
      </c>
    </row>
    <row r="76" spans="1:30" x14ac:dyDescent="0.3">
      <c r="A76" s="208" t="s">
        <v>636</v>
      </c>
      <c r="B76" s="208"/>
      <c r="C76" s="208"/>
      <c r="D76" s="208"/>
      <c r="E76" s="208"/>
      <c r="F76" s="208">
        <v>4374</v>
      </c>
      <c r="G76" s="208"/>
      <c r="H76" s="208"/>
      <c r="I76" s="208"/>
      <c r="J76" s="208"/>
      <c r="K76" s="208"/>
      <c r="L76" s="208"/>
    </row>
    <row r="77" spans="1:30" x14ac:dyDescent="0.3">
      <c r="A77" s="208" t="s">
        <v>635</v>
      </c>
      <c r="B77" s="208"/>
      <c r="C77" s="208"/>
      <c r="D77" s="208"/>
      <c r="E77" s="208"/>
      <c r="F77" s="208">
        <v>2271</v>
      </c>
      <c r="G77" s="208">
        <v>2266</v>
      </c>
      <c r="H77" s="208">
        <v>2322</v>
      </c>
      <c r="I77" s="208">
        <v>2159</v>
      </c>
      <c r="J77" s="208">
        <v>2249</v>
      </c>
      <c r="K77" s="208"/>
      <c r="L77" s="208"/>
    </row>
    <row r="78" spans="1:30" x14ac:dyDescent="0.3">
      <c r="A78" s="208" t="s">
        <v>633</v>
      </c>
      <c r="B78" s="208"/>
      <c r="C78" s="208"/>
      <c r="D78" s="208"/>
      <c r="E78" s="208"/>
      <c r="F78" s="208">
        <v>669</v>
      </c>
      <c r="G78" s="208">
        <v>1751</v>
      </c>
      <c r="H78" s="208">
        <v>1549</v>
      </c>
      <c r="I78" s="208">
        <v>1502</v>
      </c>
      <c r="J78" s="208">
        <v>1387</v>
      </c>
      <c r="K78" s="208">
        <v>1638</v>
      </c>
      <c r="L78" s="208">
        <v>1896</v>
      </c>
    </row>
    <row r="79" spans="1:30" x14ac:dyDescent="0.3">
      <c r="A79" s="208" t="s">
        <v>637</v>
      </c>
      <c r="B79" s="208"/>
      <c r="C79" s="208"/>
      <c r="D79" s="208"/>
      <c r="E79" s="208"/>
      <c r="F79" s="208">
        <v>455</v>
      </c>
      <c r="G79" s="208"/>
      <c r="H79" s="208"/>
      <c r="I79" s="208"/>
      <c r="J79" s="208"/>
      <c r="K79" s="208"/>
      <c r="L79" s="208"/>
    </row>
    <row r="80" spans="1:30" x14ac:dyDescent="0.3">
      <c r="A80" s="208" t="s">
        <v>638</v>
      </c>
      <c r="B80" s="208"/>
      <c r="C80" s="208"/>
      <c r="D80" s="208"/>
      <c r="E80" s="208"/>
      <c r="F80" s="208">
        <v>923</v>
      </c>
      <c r="G80" s="208"/>
      <c r="H80" s="208"/>
      <c r="I80" s="208"/>
      <c r="J80" s="208"/>
      <c r="K80" s="208"/>
      <c r="L80" s="208"/>
    </row>
    <row r="81" spans="1:30" x14ac:dyDescent="0.3">
      <c r="A81" s="208" t="s">
        <v>634</v>
      </c>
      <c r="B81" s="208"/>
      <c r="C81" s="208"/>
      <c r="D81" s="208"/>
      <c r="E81" s="208"/>
      <c r="F81" s="208">
        <v>303</v>
      </c>
      <c r="G81" s="208">
        <v>100</v>
      </c>
      <c r="H81" s="208">
        <v>106</v>
      </c>
      <c r="I81" s="208">
        <v>105</v>
      </c>
      <c r="J81" s="208">
        <v>186</v>
      </c>
      <c r="K81" s="208">
        <v>193</v>
      </c>
      <c r="L81" s="208">
        <v>209</v>
      </c>
    </row>
    <row r="82" spans="1:30" s="49" customFormat="1" x14ac:dyDescent="0.3">
      <c r="A82" s="235" t="s">
        <v>640</v>
      </c>
      <c r="B82" s="235"/>
      <c r="C82" s="235"/>
      <c r="D82" s="235"/>
      <c r="E82" s="235"/>
      <c r="F82" s="235">
        <f t="shared" ref="F82:G82" si="14">SUM(F74:F81)</f>
        <v>25425</v>
      </c>
      <c r="G82" s="235">
        <f t="shared" si="14"/>
        <v>21049</v>
      </c>
      <c r="H82" s="235">
        <f t="shared" ref="H82" si="15">SUM(H74:H81)</f>
        <v>19996</v>
      </c>
      <c r="I82" s="235">
        <f t="shared" ref="I82" si="16">SUM(I74:I81)</f>
        <v>19651</v>
      </c>
      <c r="J82" s="235">
        <f t="shared" ref="J82" si="17">SUM(J74:J81)</f>
        <v>19553</v>
      </c>
      <c r="K82" s="235">
        <f t="shared" ref="K82" si="18">SUM(K74:K81)</f>
        <v>19219</v>
      </c>
      <c r="L82" s="235">
        <f t="shared" ref="L82" si="19">SUM(L74:L81)</f>
        <v>18014</v>
      </c>
      <c r="U82" s="236"/>
      <c r="V82" s="237"/>
      <c r="W82" s="237"/>
      <c r="X82" s="237"/>
      <c r="Y82" s="237"/>
      <c r="Z82" s="237"/>
      <c r="AA82" s="236"/>
      <c r="AB82" s="237"/>
      <c r="AC82" s="237"/>
      <c r="AD82" s="237"/>
    </row>
    <row r="83" spans="1:30" s="35" customFormat="1" x14ac:dyDescent="0.3">
      <c r="A83" s="35" t="s">
        <v>641</v>
      </c>
      <c r="F83" s="62">
        <f>F82/F26</f>
        <v>0.1525780743656833</v>
      </c>
      <c r="G83" s="62">
        <f t="shared" ref="G83:L83" si="20">G82/G26</f>
        <v>0.11827008439434973</v>
      </c>
      <c r="H83" s="62">
        <f t="shared" si="20"/>
        <v>0.1070564300246279</v>
      </c>
      <c r="I83" s="62">
        <f t="shared" si="20"/>
        <v>0.1008214089652094</v>
      </c>
      <c r="J83" s="62">
        <f t="shared" si="20"/>
        <v>9.4616173737999382E-2</v>
      </c>
      <c r="K83" s="62">
        <f t="shared" si="20"/>
        <v>9.6229239789506357E-2</v>
      </c>
      <c r="L83" s="62">
        <f t="shared" si="20"/>
        <v>8.8205339130775412E-2</v>
      </c>
      <c r="M83" s="62">
        <f>AVERAGE(H83:L83)</f>
        <v>9.7385718329623699E-2</v>
      </c>
      <c r="U83" s="67"/>
      <c r="V83" s="68"/>
      <c r="W83" s="68"/>
      <c r="X83" s="68"/>
      <c r="Y83" s="68"/>
      <c r="Z83" s="68"/>
      <c r="AA83" s="67"/>
      <c r="AB83" s="68"/>
      <c r="AC83" s="68"/>
      <c r="AD83" s="68"/>
    </row>
  </sheetData>
  <mergeCells count="1">
    <mergeCell ref="A72:L72"/>
  </mergeCells>
  <pageMargins left="0.7" right="0.7" top="0.75" bottom="0.75" header="0.3" footer="0.3"/>
  <pageSetup scale="58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5"/>
  <sheetViews>
    <sheetView view="pageBreakPreview" zoomScaleNormal="100" zoomScaleSheetLayoutView="100" workbookViewId="0">
      <pane xSplit="2" ySplit="5" topLeftCell="C63" activePane="bottomRight" state="frozen"/>
      <selection pane="topRight" activeCell="C1" sqref="C1"/>
      <selection pane="bottomLeft" activeCell="A6" sqref="A6"/>
      <selection pane="bottomRight" activeCell="A12" sqref="A12:XFD1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371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1</v>
      </c>
      <c r="B4" s="3"/>
      <c r="C4" s="4" t="s">
        <v>139</v>
      </c>
      <c r="D4" s="4" t="s">
        <v>140</v>
      </c>
      <c r="E4" s="4" t="s">
        <v>141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</row>
    <row r="5" spans="1:12" x14ac:dyDescent="0.3">
      <c r="A5" s="9" t="s">
        <v>10</v>
      </c>
      <c r="B5" s="9"/>
      <c r="C5" s="5" t="s">
        <v>142</v>
      </c>
      <c r="D5" s="5" t="s">
        <v>143</v>
      </c>
      <c r="E5" s="5" t="s">
        <v>144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</row>
    <row r="6" spans="1:12" x14ac:dyDescent="0.3">
      <c r="A6" s="6" t="s">
        <v>372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A7" s="10" t="s">
        <v>373</v>
      </c>
      <c r="B7" s="10"/>
      <c r="C7" s="13">
        <v>12530</v>
      </c>
      <c r="D7" s="13">
        <v>12251</v>
      </c>
      <c r="E7" s="13">
        <v>11259</v>
      </c>
      <c r="F7" s="13">
        <v>11158</v>
      </c>
      <c r="G7" s="13">
        <v>11367</v>
      </c>
      <c r="H7" s="13">
        <v>11764</v>
      </c>
      <c r="I7" s="13">
        <v>12053</v>
      </c>
      <c r="J7" s="13">
        <v>12462</v>
      </c>
      <c r="K7" s="13">
        <v>13360</v>
      </c>
      <c r="L7" s="13">
        <v>11407</v>
      </c>
    </row>
    <row r="8" spans="1:12" x14ac:dyDescent="0.3">
      <c r="A8" s="10" t="s">
        <v>374</v>
      </c>
      <c r="B8" s="10"/>
      <c r="C8" s="13">
        <v>1259</v>
      </c>
      <c r="D8" s="13">
        <v>1307</v>
      </c>
      <c r="E8" s="13">
        <v>1388</v>
      </c>
      <c r="F8" s="13">
        <v>1224</v>
      </c>
      <c r="G8" s="13">
        <v>1229</v>
      </c>
      <c r="H8" s="13">
        <v>1237</v>
      </c>
      <c r="I8" s="13">
        <v>1405</v>
      </c>
      <c r="J8" s="13">
        <v>1565</v>
      </c>
      <c r="K8" s="13">
        <v>2298</v>
      </c>
      <c r="L8" s="13">
        <v>1378</v>
      </c>
    </row>
    <row r="9" spans="1:12" x14ac:dyDescent="0.3">
      <c r="A9" s="10" t="s">
        <v>375</v>
      </c>
      <c r="B9" s="10"/>
      <c r="C9" s="13">
        <v>119717</v>
      </c>
      <c r="D9" s="13">
        <v>116915</v>
      </c>
      <c r="E9" s="13">
        <v>113895</v>
      </c>
      <c r="F9" s="13">
        <v>120656</v>
      </c>
      <c r="G9" s="13">
        <v>136928</v>
      </c>
      <c r="H9" s="13">
        <v>146278</v>
      </c>
      <c r="I9" s="13">
        <v>161018</v>
      </c>
      <c r="J9" s="13">
        <v>173884</v>
      </c>
      <c r="K9" s="13">
        <v>169291</v>
      </c>
      <c r="L9" s="13">
        <v>150134</v>
      </c>
    </row>
    <row r="10" spans="1:12" x14ac:dyDescent="0.3">
      <c r="A10" s="10" t="s">
        <v>376</v>
      </c>
      <c r="B10" s="10"/>
      <c r="C10" s="13">
        <v>4898</v>
      </c>
      <c r="D10" s="13">
        <v>4615</v>
      </c>
      <c r="E10" s="13">
        <v>4508</v>
      </c>
      <c r="F10" s="13">
        <v>4596</v>
      </c>
      <c r="G10" s="13">
        <v>4673</v>
      </c>
      <c r="H10" s="13">
        <v>4690</v>
      </c>
      <c r="I10" s="13">
        <v>4636</v>
      </c>
      <c r="J10" s="13">
        <v>4763</v>
      </c>
      <c r="K10" s="13">
        <v>4552</v>
      </c>
      <c r="L10" s="13">
        <v>4309</v>
      </c>
    </row>
    <row r="11" spans="1:12" x14ac:dyDescent="0.3">
      <c r="A11" s="10" t="s">
        <v>377</v>
      </c>
      <c r="B11" s="10"/>
      <c r="C11" s="13">
        <v>597</v>
      </c>
      <c r="D11" s="13">
        <v>1181</v>
      </c>
      <c r="E11" s="13">
        <v>1813</v>
      </c>
      <c r="F11" s="13">
        <v>1420</v>
      </c>
      <c r="G11" s="13">
        <v>1298</v>
      </c>
      <c r="H11" s="13">
        <v>1547</v>
      </c>
      <c r="I11" s="13">
        <v>1405</v>
      </c>
      <c r="J11" s="13">
        <v>1565</v>
      </c>
      <c r="K11" s="13">
        <v>2298</v>
      </c>
      <c r="L11" s="13">
        <v>1378</v>
      </c>
    </row>
    <row r="12" spans="1:12" x14ac:dyDescent="0.3">
      <c r="A12" s="10" t="s">
        <v>378</v>
      </c>
      <c r="B12" s="10"/>
      <c r="C12" s="13">
        <v>7801</v>
      </c>
      <c r="D12" s="13">
        <v>7566</v>
      </c>
      <c r="E12" s="13" t="s">
        <v>294</v>
      </c>
      <c r="F12" s="13">
        <v>6902</v>
      </c>
      <c r="G12" s="13">
        <v>6755</v>
      </c>
      <c r="H12" s="13">
        <v>6766</v>
      </c>
      <c r="I12" s="13">
        <v>6632</v>
      </c>
      <c r="J12" s="13">
        <v>6571</v>
      </c>
      <c r="K12" s="13">
        <v>6421</v>
      </c>
      <c r="L12" s="13">
        <v>5568</v>
      </c>
    </row>
    <row r="13" spans="1:12" x14ac:dyDescent="0.3">
      <c r="A13" s="10" t="s">
        <v>379</v>
      </c>
      <c r="B13" s="10"/>
      <c r="C13" s="13">
        <v>1801</v>
      </c>
      <c r="D13" s="13">
        <v>1889</v>
      </c>
      <c r="E13" s="13">
        <v>1837</v>
      </c>
      <c r="F13" s="13">
        <v>1703</v>
      </c>
      <c r="G13" s="13">
        <v>1849</v>
      </c>
      <c r="H13" s="13">
        <v>1785</v>
      </c>
      <c r="I13" s="13">
        <v>1990</v>
      </c>
      <c r="J13" s="13">
        <v>2208</v>
      </c>
      <c r="K13" s="13">
        <v>3234</v>
      </c>
      <c r="L13" s="13">
        <v>1954</v>
      </c>
    </row>
    <row r="14" spans="1:12" x14ac:dyDescent="0.3">
      <c r="A14" s="10" t="s">
        <v>380</v>
      </c>
      <c r="B14" s="10"/>
      <c r="C14" s="13">
        <v>5755</v>
      </c>
      <c r="D14" s="13">
        <v>5724</v>
      </c>
      <c r="E14" s="13">
        <v>5266</v>
      </c>
      <c r="F14" s="13">
        <v>5211</v>
      </c>
      <c r="G14" s="13">
        <v>5075</v>
      </c>
      <c r="H14" s="13">
        <v>5326</v>
      </c>
      <c r="I14" s="13">
        <v>5185</v>
      </c>
      <c r="J14" s="13">
        <v>5213</v>
      </c>
      <c r="K14" s="13">
        <v>5008</v>
      </c>
      <c r="L14" s="13">
        <v>4752</v>
      </c>
    </row>
    <row r="15" spans="1:12" x14ac:dyDescent="0.3">
      <c r="A15" s="10" t="s">
        <v>381</v>
      </c>
      <c r="B15" s="10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">
      <c r="A16" s="10" t="s">
        <v>382</v>
      </c>
      <c r="B16" s="10"/>
      <c r="C16" s="13">
        <v>565</v>
      </c>
      <c r="D16" s="13">
        <v>582</v>
      </c>
      <c r="E16" s="13">
        <v>461</v>
      </c>
      <c r="F16" s="13">
        <v>479</v>
      </c>
      <c r="G16" s="13">
        <v>620</v>
      </c>
      <c r="H16" s="13">
        <v>548</v>
      </c>
      <c r="I16" s="13">
        <v>585</v>
      </c>
      <c r="J16" s="13">
        <v>643</v>
      </c>
      <c r="K16" s="13">
        <v>936</v>
      </c>
      <c r="L16" s="13">
        <v>576</v>
      </c>
    </row>
    <row r="17" spans="1:12" x14ac:dyDescent="0.3">
      <c r="A17" s="10" t="s">
        <v>383</v>
      </c>
      <c r="B17" s="10"/>
      <c r="C17" s="14" t="s">
        <v>294</v>
      </c>
      <c r="D17" s="14">
        <v>11.6</v>
      </c>
      <c r="E17" s="14">
        <v>8.1</v>
      </c>
      <c r="F17" s="14">
        <v>-21.7</v>
      </c>
      <c r="G17" s="14">
        <v>11.8</v>
      </c>
      <c r="H17" s="14">
        <v>21.7</v>
      </c>
      <c r="I17" s="14">
        <v>9.6</v>
      </c>
      <c r="J17" s="14">
        <v>13.8</v>
      </c>
      <c r="K17" s="14">
        <v>16</v>
      </c>
      <c r="L17" s="14">
        <v>6</v>
      </c>
    </row>
    <row r="18" spans="1:12" x14ac:dyDescent="0.3">
      <c r="A18" s="10" t="s">
        <v>384</v>
      </c>
      <c r="B18" s="10"/>
      <c r="C18" s="13">
        <v>2943</v>
      </c>
      <c r="D18" s="13">
        <v>2886</v>
      </c>
      <c r="E18" s="13">
        <v>2675</v>
      </c>
      <c r="F18" s="13">
        <v>2707</v>
      </c>
      <c r="G18" s="13">
        <v>2985</v>
      </c>
      <c r="H18" s="13">
        <v>3317</v>
      </c>
      <c r="I18" s="13">
        <v>3691</v>
      </c>
      <c r="J18" s="13">
        <v>3938</v>
      </c>
      <c r="K18" s="13">
        <v>5052</v>
      </c>
      <c r="L18" s="13">
        <v>3909</v>
      </c>
    </row>
    <row r="19" spans="1:12" x14ac:dyDescent="0.3">
      <c r="A19" s="10" t="s">
        <v>385</v>
      </c>
      <c r="B19" s="10"/>
      <c r="C19" s="13" t="s">
        <v>294</v>
      </c>
      <c r="D19" s="13" t="s">
        <v>294</v>
      </c>
      <c r="E19" s="13">
        <v>11259</v>
      </c>
      <c r="F19" s="13">
        <v>11158</v>
      </c>
      <c r="G19" s="13">
        <v>11367</v>
      </c>
      <c r="H19" s="13">
        <v>11764</v>
      </c>
      <c r="I19" s="13">
        <v>12053</v>
      </c>
      <c r="J19" s="13">
        <v>12462</v>
      </c>
      <c r="K19" s="13">
        <v>13360</v>
      </c>
      <c r="L19" s="13">
        <v>11407</v>
      </c>
    </row>
    <row r="20" spans="1:12" x14ac:dyDescent="0.3">
      <c r="A20" s="10" t="s">
        <v>386</v>
      </c>
      <c r="B20" s="10"/>
      <c r="C20" s="13">
        <v>57203</v>
      </c>
      <c r="D20" s="13">
        <v>52772</v>
      </c>
      <c r="E20" s="13">
        <v>49094</v>
      </c>
      <c r="F20" s="13">
        <v>53114</v>
      </c>
      <c r="G20" s="13">
        <v>59702</v>
      </c>
      <c r="H20" s="13">
        <v>66610</v>
      </c>
      <c r="I20" s="13">
        <v>75699</v>
      </c>
      <c r="J20" s="13">
        <v>81710</v>
      </c>
      <c r="K20" s="13">
        <v>83736</v>
      </c>
      <c r="L20" s="13">
        <v>84215</v>
      </c>
    </row>
    <row r="21" spans="1:12" x14ac:dyDescent="0.3">
      <c r="A21" s="10" t="s">
        <v>387</v>
      </c>
      <c r="B21" s="10"/>
      <c r="C21" s="13" t="s">
        <v>294</v>
      </c>
      <c r="D21" s="13" t="s">
        <v>294</v>
      </c>
      <c r="E21" s="13">
        <v>1388</v>
      </c>
      <c r="F21" s="13">
        <v>1224</v>
      </c>
      <c r="G21" s="13">
        <v>1229</v>
      </c>
      <c r="H21" s="13">
        <v>1237</v>
      </c>
      <c r="I21" s="13">
        <v>1405</v>
      </c>
      <c r="J21" s="13">
        <v>1565</v>
      </c>
      <c r="K21" s="13">
        <v>2298</v>
      </c>
      <c r="L21" s="13">
        <v>1378</v>
      </c>
    </row>
    <row r="22" spans="1:12" x14ac:dyDescent="0.3">
      <c r="A22" s="10" t="s">
        <v>388</v>
      </c>
      <c r="B22" s="10"/>
      <c r="C22" s="13">
        <v>1830</v>
      </c>
      <c r="D22" s="13">
        <v>1724</v>
      </c>
      <c r="E22" s="13">
        <v>1619</v>
      </c>
      <c r="F22" s="13">
        <v>3586</v>
      </c>
      <c r="G22" s="13">
        <v>3613</v>
      </c>
      <c r="H22" s="13">
        <v>3840</v>
      </c>
      <c r="I22" s="13">
        <v>3818</v>
      </c>
      <c r="J22" s="13">
        <v>3481</v>
      </c>
      <c r="K22" s="13">
        <v>3388</v>
      </c>
      <c r="L22" s="13">
        <v>3153</v>
      </c>
    </row>
    <row r="23" spans="1:12" x14ac:dyDescent="0.3">
      <c r="A23" s="10" t="s">
        <v>389</v>
      </c>
      <c r="B23" s="10"/>
      <c r="C23" s="13">
        <v>12557</v>
      </c>
      <c r="D23" s="13">
        <v>10866</v>
      </c>
      <c r="E23" s="13">
        <v>9689</v>
      </c>
      <c r="F23" s="13">
        <v>10061</v>
      </c>
      <c r="G23" s="13">
        <v>9518</v>
      </c>
      <c r="H23" s="13">
        <v>9979</v>
      </c>
      <c r="I23" s="13">
        <v>10063</v>
      </c>
      <c r="J23" s="13">
        <v>10254</v>
      </c>
      <c r="K23" s="13">
        <v>10126</v>
      </c>
      <c r="L23" s="13">
        <v>9453</v>
      </c>
    </row>
    <row r="24" spans="1:12" x14ac:dyDescent="0.3">
      <c r="A24" s="10" t="s">
        <v>390</v>
      </c>
      <c r="B24" s="10"/>
      <c r="C24" s="13">
        <v>579</v>
      </c>
      <c r="D24" s="13">
        <v>1200</v>
      </c>
      <c r="E24" s="13">
        <v>1813</v>
      </c>
      <c r="F24" s="13">
        <v>1420</v>
      </c>
      <c r="G24" s="13">
        <v>1298</v>
      </c>
      <c r="H24" s="13">
        <v>1547</v>
      </c>
      <c r="I24" s="13">
        <v>1755</v>
      </c>
      <c r="J24" s="13">
        <v>1684</v>
      </c>
      <c r="K24" s="13">
        <v>1597</v>
      </c>
      <c r="L24" s="13">
        <v>-750</v>
      </c>
    </row>
    <row r="25" spans="1:12" x14ac:dyDescent="0.3">
      <c r="A25" s="10" t="s">
        <v>391</v>
      </c>
      <c r="B25" s="10"/>
      <c r="C25" s="13">
        <v>92</v>
      </c>
      <c r="D25" s="13">
        <v>106</v>
      </c>
      <c r="E25" s="13">
        <v>105</v>
      </c>
      <c r="F25" s="13">
        <v>61</v>
      </c>
      <c r="G25" s="13">
        <v>43</v>
      </c>
      <c r="H25" s="13">
        <v>51</v>
      </c>
      <c r="I25" s="13">
        <v>56</v>
      </c>
      <c r="J25" s="13">
        <v>61</v>
      </c>
      <c r="K25" s="13">
        <v>73</v>
      </c>
      <c r="L25" s="13">
        <v>90</v>
      </c>
    </row>
    <row r="26" spans="1:12" x14ac:dyDescent="0.3">
      <c r="A26" s="10" t="s">
        <v>392</v>
      </c>
      <c r="B26" s="10"/>
      <c r="C26" s="13">
        <v>1542</v>
      </c>
      <c r="D26" s="13">
        <v>1397</v>
      </c>
      <c r="E26" s="13">
        <v>1253</v>
      </c>
      <c r="F26" s="13">
        <v>1236</v>
      </c>
      <c r="G26" s="13">
        <v>1300</v>
      </c>
      <c r="H26" s="13">
        <v>1302</v>
      </c>
      <c r="I26" s="13">
        <v>1288</v>
      </c>
      <c r="J26" s="13">
        <v>1415</v>
      </c>
      <c r="K26" s="13">
        <v>1369</v>
      </c>
      <c r="L26" s="13">
        <v>1105</v>
      </c>
    </row>
    <row r="27" spans="1:12" x14ac:dyDescent="0.3">
      <c r="A27" s="10" t="s">
        <v>393</v>
      </c>
      <c r="B27" s="10"/>
      <c r="C27" s="13">
        <v>1690</v>
      </c>
      <c r="D27" s="13">
        <v>1544</v>
      </c>
      <c r="E27" s="13">
        <v>1309</v>
      </c>
      <c r="F27" s="13">
        <v>1298</v>
      </c>
      <c r="G27" s="13">
        <v>1351</v>
      </c>
      <c r="H27" s="13">
        <v>1465</v>
      </c>
      <c r="I27" s="13">
        <v>1710</v>
      </c>
      <c r="J27" s="13">
        <v>1834</v>
      </c>
      <c r="K27" s="13">
        <v>1995</v>
      </c>
      <c r="L27" s="13">
        <v>2003</v>
      </c>
    </row>
    <row r="28" spans="1:12" x14ac:dyDescent="0.3">
      <c r="A28" s="10" t="s">
        <v>394</v>
      </c>
      <c r="B28" s="10"/>
      <c r="C28" s="13">
        <v>35863</v>
      </c>
      <c r="D28" s="13">
        <v>33711</v>
      </c>
      <c r="E28" s="13">
        <v>34397</v>
      </c>
      <c r="F28" s="13">
        <v>36308</v>
      </c>
      <c r="G28" s="13">
        <v>39702</v>
      </c>
      <c r="H28" s="13">
        <v>41846</v>
      </c>
      <c r="I28" s="13">
        <v>42328</v>
      </c>
      <c r="J28" s="13">
        <v>45202</v>
      </c>
      <c r="K28" s="13" t="s">
        <v>294</v>
      </c>
      <c r="L28" s="13" t="s">
        <v>294</v>
      </c>
    </row>
    <row r="29" spans="1:12" x14ac:dyDescent="0.3">
      <c r="A29" s="6" t="s">
        <v>395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3">
      <c r="A30" s="10" t="s">
        <v>373</v>
      </c>
      <c r="B30" s="10"/>
      <c r="C30" s="13">
        <v>3278</v>
      </c>
      <c r="D30" s="13">
        <v>3263</v>
      </c>
      <c r="E30" s="13">
        <v>2847</v>
      </c>
      <c r="F30" s="13">
        <v>2809</v>
      </c>
      <c r="G30" s="13">
        <v>2833</v>
      </c>
      <c r="H30" s="13">
        <v>2921</v>
      </c>
      <c r="I30" s="13">
        <v>2945</v>
      </c>
      <c r="J30" s="13">
        <v>3013</v>
      </c>
      <c r="K30" s="13">
        <v>2928</v>
      </c>
      <c r="L30" s="13">
        <v>2459</v>
      </c>
    </row>
    <row r="31" spans="1:12" x14ac:dyDescent="0.3">
      <c r="A31" s="10" t="s">
        <v>374</v>
      </c>
      <c r="B31" s="10"/>
      <c r="C31" s="13">
        <v>281</v>
      </c>
      <c r="D31" s="13">
        <v>285</v>
      </c>
      <c r="E31" s="13">
        <v>240</v>
      </c>
      <c r="F31" s="13">
        <v>273</v>
      </c>
      <c r="G31" s="13">
        <v>297</v>
      </c>
      <c r="H31" s="13">
        <v>277</v>
      </c>
      <c r="I31" s="13">
        <v>282</v>
      </c>
      <c r="J31" s="13">
        <v>327</v>
      </c>
      <c r="K31" s="13">
        <v>301</v>
      </c>
      <c r="L31" s="13">
        <v>246</v>
      </c>
    </row>
    <row r="32" spans="1:12" x14ac:dyDescent="0.3">
      <c r="A32" s="10" t="s">
        <v>375</v>
      </c>
      <c r="B32" s="10"/>
      <c r="C32" s="13">
        <v>33382</v>
      </c>
      <c r="D32" s="13">
        <v>27698</v>
      </c>
      <c r="E32" s="13">
        <v>26767</v>
      </c>
      <c r="F32" s="13">
        <v>25596</v>
      </c>
      <c r="G32" s="13">
        <v>30500</v>
      </c>
      <c r="H32" s="13">
        <v>27829</v>
      </c>
      <c r="I32" s="13">
        <v>27281</v>
      </c>
      <c r="J32" s="13">
        <v>28372</v>
      </c>
      <c r="K32" s="13">
        <v>27038</v>
      </c>
      <c r="L32" s="13">
        <v>16765</v>
      </c>
    </row>
    <row r="33" spans="1:12" x14ac:dyDescent="0.3">
      <c r="A33" s="10" t="s">
        <v>376</v>
      </c>
      <c r="B33" s="10"/>
      <c r="C33" s="13">
        <v>1356</v>
      </c>
      <c r="D33" s="13">
        <v>1232</v>
      </c>
      <c r="E33" s="13">
        <v>1143</v>
      </c>
      <c r="F33" s="13">
        <v>1060</v>
      </c>
      <c r="G33" s="13">
        <v>1170</v>
      </c>
      <c r="H33" s="13">
        <v>1119</v>
      </c>
      <c r="I33" s="13">
        <v>1117</v>
      </c>
      <c r="J33" s="13">
        <v>1146</v>
      </c>
      <c r="K33" s="13">
        <v>946</v>
      </c>
      <c r="L33" s="13">
        <v>908</v>
      </c>
    </row>
    <row r="34" spans="1:12" x14ac:dyDescent="0.3">
      <c r="A34" s="10" t="s">
        <v>377</v>
      </c>
      <c r="B34" s="10"/>
      <c r="C34" s="13">
        <v>301</v>
      </c>
      <c r="D34" s="13">
        <v>329</v>
      </c>
      <c r="E34" s="13">
        <v>288</v>
      </c>
      <c r="F34" s="13">
        <v>311</v>
      </c>
      <c r="G34" s="13">
        <v>301</v>
      </c>
      <c r="H34" s="13">
        <v>296</v>
      </c>
      <c r="I34" s="13">
        <v>282</v>
      </c>
      <c r="J34" s="13">
        <v>327</v>
      </c>
      <c r="K34" s="13">
        <v>301</v>
      </c>
      <c r="L34" s="13">
        <v>246</v>
      </c>
    </row>
    <row r="35" spans="1:12" x14ac:dyDescent="0.3">
      <c r="A35" s="10" t="s">
        <v>378</v>
      </c>
      <c r="B35" s="10"/>
      <c r="C35" s="13">
        <v>2297</v>
      </c>
      <c r="D35" s="13">
        <v>2309</v>
      </c>
      <c r="E35" s="13" t="s">
        <v>294</v>
      </c>
      <c r="F35" s="13">
        <v>2027</v>
      </c>
      <c r="G35" s="13">
        <v>1714</v>
      </c>
      <c r="H35" s="13">
        <v>2131</v>
      </c>
      <c r="I35" s="13">
        <v>2177</v>
      </c>
      <c r="J35" s="13">
        <v>2259</v>
      </c>
      <c r="K35" s="13">
        <v>2271</v>
      </c>
      <c r="L35" s="13">
        <v>1964</v>
      </c>
    </row>
    <row r="36" spans="1:12" x14ac:dyDescent="0.3">
      <c r="A36" s="10" t="s">
        <v>379</v>
      </c>
      <c r="B36" s="10"/>
      <c r="C36" s="13">
        <v>407</v>
      </c>
      <c r="D36" s="13">
        <v>314</v>
      </c>
      <c r="E36" s="13">
        <v>261</v>
      </c>
      <c r="F36" s="13">
        <v>315</v>
      </c>
      <c r="G36" s="13">
        <v>356</v>
      </c>
      <c r="H36" s="13">
        <v>365</v>
      </c>
      <c r="I36" s="13">
        <v>357</v>
      </c>
      <c r="J36" s="13">
        <v>408</v>
      </c>
      <c r="K36" s="13">
        <v>397</v>
      </c>
      <c r="L36" s="13">
        <v>310</v>
      </c>
    </row>
    <row r="37" spans="1:12" x14ac:dyDescent="0.3">
      <c r="A37" s="10" t="s">
        <v>380</v>
      </c>
      <c r="B37" s="10"/>
      <c r="C37" s="13">
        <v>1039</v>
      </c>
      <c r="D37" s="13">
        <v>269</v>
      </c>
      <c r="E37" s="13">
        <v>988</v>
      </c>
      <c r="F37" s="13">
        <v>1067</v>
      </c>
      <c r="G37" s="13">
        <v>1077</v>
      </c>
      <c r="H37" s="13">
        <v>1127</v>
      </c>
      <c r="I37" s="13">
        <v>1176</v>
      </c>
      <c r="J37" s="13">
        <v>1196</v>
      </c>
      <c r="K37" s="13">
        <v>1241</v>
      </c>
      <c r="L37" s="13">
        <v>990</v>
      </c>
    </row>
    <row r="38" spans="1:12" x14ac:dyDescent="0.3">
      <c r="A38" s="10" t="s">
        <v>381</v>
      </c>
      <c r="B38" s="10"/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</row>
    <row r="39" spans="1:12" x14ac:dyDescent="0.3">
      <c r="A39" s="10" t="s">
        <v>382</v>
      </c>
      <c r="B39" s="10"/>
      <c r="C39" s="13">
        <v>51</v>
      </c>
      <c r="D39" s="13">
        <v>29</v>
      </c>
      <c r="E39" s="13">
        <v>21</v>
      </c>
      <c r="F39" s="13">
        <v>42</v>
      </c>
      <c r="G39" s="13">
        <v>59</v>
      </c>
      <c r="H39" s="13">
        <v>88</v>
      </c>
      <c r="I39" s="13">
        <v>75</v>
      </c>
      <c r="J39" s="13">
        <v>81</v>
      </c>
      <c r="K39" s="13">
        <v>96</v>
      </c>
      <c r="L39" s="13">
        <v>64</v>
      </c>
    </row>
    <row r="40" spans="1:12" x14ac:dyDescent="0.3">
      <c r="A40" s="10" t="s">
        <v>383</v>
      </c>
      <c r="B40" s="10"/>
      <c r="C40" s="14" t="s">
        <v>294</v>
      </c>
      <c r="D40" s="14">
        <v>7.4</v>
      </c>
      <c r="E40" s="14">
        <v>8.8000000000000007</v>
      </c>
      <c r="F40" s="14">
        <v>3.2</v>
      </c>
      <c r="G40" s="14">
        <v>11.3</v>
      </c>
      <c r="H40" s="14">
        <v>92</v>
      </c>
      <c r="I40" s="14">
        <v>9.4</v>
      </c>
      <c r="J40" s="14">
        <v>11.3</v>
      </c>
      <c r="K40" s="14">
        <v>5.9</v>
      </c>
      <c r="L40" s="14">
        <v>12.4</v>
      </c>
    </row>
    <row r="41" spans="1:12" x14ac:dyDescent="0.3">
      <c r="A41" s="10" t="s">
        <v>384</v>
      </c>
      <c r="B41" s="10"/>
      <c r="C41" s="13">
        <v>425</v>
      </c>
      <c r="D41" s="13">
        <v>428</v>
      </c>
      <c r="E41" s="13">
        <v>326</v>
      </c>
      <c r="F41" s="13">
        <v>318</v>
      </c>
      <c r="G41" s="13">
        <v>309</v>
      </c>
      <c r="H41" s="13">
        <v>293</v>
      </c>
      <c r="I41" s="13">
        <v>291</v>
      </c>
      <c r="J41" s="13">
        <v>269</v>
      </c>
      <c r="K41" s="13">
        <v>215</v>
      </c>
      <c r="L41" s="13">
        <v>160</v>
      </c>
    </row>
    <row r="42" spans="1:12" x14ac:dyDescent="0.3">
      <c r="A42" s="10" t="s">
        <v>385</v>
      </c>
      <c r="B42" s="10"/>
      <c r="C42" s="13" t="s">
        <v>294</v>
      </c>
      <c r="D42" s="13" t="s">
        <v>294</v>
      </c>
      <c r="E42" s="13">
        <v>2847</v>
      </c>
      <c r="F42" s="13">
        <v>2809</v>
      </c>
      <c r="G42" s="13">
        <v>2833</v>
      </c>
      <c r="H42" s="13">
        <v>2921</v>
      </c>
      <c r="I42" s="13">
        <v>2945</v>
      </c>
      <c r="J42" s="13">
        <v>3013</v>
      </c>
      <c r="K42" s="13">
        <v>2928</v>
      </c>
      <c r="L42" s="13">
        <v>2459</v>
      </c>
    </row>
    <row r="43" spans="1:12" x14ac:dyDescent="0.3">
      <c r="A43" s="10" t="s">
        <v>386</v>
      </c>
      <c r="B43" s="10"/>
      <c r="C43" s="13">
        <v>13953</v>
      </c>
      <c r="D43" s="13">
        <v>14006</v>
      </c>
      <c r="E43" s="13">
        <v>13172</v>
      </c>
      <c r="F43" s="13">
        <v>12636</v>
      </c>
      <c r="G43" s="13">
        <v>13811</v>
      </c>
      <c r="H43" s="13">
        <v>11712</v>
      </c>
      <c r="I43" s="13">
        <v>11730</v>
      </c>
      <c r="J43" s="13">
        <v>12037</v>
      </c>
      <c r="K43" s="13">
        <v>9392</v>
      </c>
      <c r="L43" s="13">
        <v>7244</v>
      </c>
    </row>
    <row r="44" spans="1:12" x14ac:dyDescent="0.3">
      <c r="A44" s="10" t="s">
        <v>387</v>
      </c>
      <c r="B44" s="10"/>
      <c r="C44" s="13" t="s">
        <v>294</v>
      </c>
      <c r="D44" s="13" t="s">
        <v>294</v>
      </c>
      <c r="E44" s="13">
        <v>240</v>
      </c>
      <c r="F44" s="13">
        <v>273</v>
      </c>
      <c r="G44" s="13">
        <v>297</v>
      </c>
      <c r="H44" s="13">
        <v>277</v>
      </c>
      <c r="I44" s="13">
        <v>282</v>
      </c>
      <c r="J44" s="13">
        <v>327</v>
      </c>
      <c r="K44" s="13">
        <v>301</v>
      </c>
      <c r="L44" s="13">
        <v>246</v>
      </c>
    </row>
    <row r="45" spans="1:12" x14ac:dyDescent="0.3">
      <c r="A45" s="10" t="s">
        <v>388</v>
      </c>
      <c r="B45" s="10"/>
      <c r="C45" s="13">
        <v>1037</v>
      </c>
      <c r="D45" s="13">
        <v>1176</v>
      </c>
      <c r="E45" s="13">
        <v>998</v>
      </c>
      <c r="F45" s="13">
        <v>1323</v>
      </c>
      <c r="G45" s="13">
        <v>1376</v>
      </c>
      <c r="H45" s="13">
        <v>1378</v>
      </c>
      <c r="I45" s="13">
        <v>1399</v>
      </c>
      <c r="J45" s="13">
        <v>1344</v>
      </c>
      <c r="K45" s="13">
        <v>1324</v>
      </c>
      <c r="L45" s="13">
        <v>1171</v>
      </c>
    </row>
    <row r="46" spans="1:12" x14ac:dyDescent="0.3">
      <c r="A46" s="10" t="s">
        <v>389</v>
      </c>
      <c r="B46" s="10"/>
      <c r="C46" s="13">
        <v>3479</v>
      </c>
      <c r="D46" s="13">
        <v>3780</v>
      </c>
      <c r="E46" s="13">
        <v>2599</v>
      </c>
      <c r="F46" s="13">
        <v>3396</v>
      </c>
      <c r="G46" s="13">
        <v>2477</v>
      </c>
      <c r="H46" s="13">
        <v>2556</v>
      </c>
      <c r="I46" s="13">
        <v>2588</v>
      </c>
      <c r="J46" s="13">
        <v>2605</v>
      </c>
      <c r="K46" s="13">
        <v>2531</v>
      </c>
      <c r="L46" s="13">
        <v>2149</v>
      </c>
    </row>
    <row r="47" spans="1:12" x14ac:dyDescent="0.3">
      <c r="A47" s="10" t="s">
        <v>390</v>
      </c>
      <c r="B47" s="10"/>
      <c r="C47" s="13">
        <v>349</v>
      </c>
      <c r="D47" s="13">
        <v>330</v>
      </c>
      <c r="E47" s="13">
        <v>288</v>
      </c>
      <c r="F47" s="13">
        <v>311</v>
      </c>
      <c r="G47" s="13">
        <v>301</v>
      </c>
      <c r="H47" s="13">
        <v>294</v>
      </c>
      <c r="I47" s="13">
        <v>272</v>
      </c>
      <c r="J47" s="13">
        <v>280</v>
      </c>
      <c r="K47" s="13">
        <v>58</v>
      </c>
      <c r="L47" s="13">
        <v>115</v>
      </c>
    </row>
    <row r="48" spans="1:12" x14ac:dyDescent="0.3">
      <c r="A48" s="10" t="s">
        <v>391</v>
      </c>
      <c r="B48" s="10"/>
      <c r="C48" s="13">
        <v>97</v>
      </c>
      <c r="D48" s="13">
        <v>60</v>
      </c>
      <c r="E48" s="13">
        <v>61</v>
      </c>
      <c r="F48" s="13">
        <v>73</v>
      </c>
      <c r="G48" s="13">
        <v>58</v>
      </c>
      <c r="H48" s="13">
        <v>66</v>
      </c>
      <c r="I48" s="13">
        <v>54</v>
      </c>
      <c r="J48" s="13">
        <v>52</v>
      </c>
      <c r="K48" s="13">
        <v>47</v>
      </c>
      <c r="L48" s="13">
        <v>35</v>
      </c>
    </row>
    <row r="49" spans="1:12" x14ac:dyDescent="0.3">
      <c r="A49" s="10" t="s">
        <v>392</v>
      </c>
      <c r="B49" s="10"/>
      <c r="C49" s="13">
        <v>683</v>
      </c>
      <c r="D49" s="13">
        <v>613</v>
      </c>
      <c r="E49" s="13">
        <v>497</v>
      </c>
      <c r="F49" s="13">
        <v>408</v>
      </c>
      <c r="G49" s="13">
        <v>357</v>
      </c>
      <c r="H49" s="13">
        <v>434</v>
      </c>
      <c r="I49" s="13">
        <v>428</v>
      </c>
      <c r="J49" s="13">
        <v>454</v>
      </c>
      <c r="K49" s="13">
        <v>356</v>
      </c>
      <c r="L49" s="13">
        <v>333</v>
      </c>
    </row>
    <row r="50" spans="1:12" x14ac:dyDescent="0.3">
      <c r="A50" s="10" t="s">
        <v>393</v>
      </c>
      <c r="B50" s="10"/>
      <c r="C50" s="13">
        <v>147</v>
      </c>
      <c r="D50" s="13">
        <v>148</v>
      </c>
      <c r="E50" s="13">
        <v>120</v>
      </c>
      <c r="F50" s="13">
        <v>112</v>
      </c>
      <c r="G50" s="13">
        <v>100</v>
      </c>
      <c r="H50" s="13">
        <v>100</v>
      </c>
      <c r="I50" s="13">
        <v>98</v>
      </c>
      <c r="J50" s="13">
        <v>109</v>
      </c>
      <c r="K50" s="13">
        <v>86</v>
      </c>
      <c r="L50" s="13">
        <v>71</v>
      </c>
    </row>
    <row r="51" spans="1:12" x14ac:dyDescent="0.3">
      <c r="A51" s="10" t="s">
        <v>394</v>
      </c>
      <c r="B51" s="10"/>
      <c r="C51" s="13">
        <v>7704</v>
      </c>
      <c r="D51" s="13">
        <v>6514</v>
      </c>
      <c r="E51" s="13">
        <v>5837</v>
      </c>
      <c r="F51" s="13">
        <v>5439</v>
      </c>
      <c r="G51" s="13">
        <v>5768</v>
      </c>
      <c r="H51" s="13">
        <v>5357</v>
      </c>
      <c r="I51" s="13">
        <v>5221</v>
      </c>
      <c r="J51" s="13">
        <v>5215</v>
      </c>
      <c r="K51" s="13" t="s">
        <v>294</v>
      </c>
      <c r="L51" s="13" t="s">
        <v>294</v>
      </c>
    </row>
    <row r="52" spans="1:12" x14ac:dyDescent="0.3">
      <c r="A52" s="6" t="s">
        <v>396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3">
      <c r="A53" s="10" t="s">
        <v>373</v>
      </c>
      <c r="B53" s="10"/>
      <c r="C53" s="13">
        <v>983</v>
      </c>
      <c r="D53" s="13">
        <v>-222</v>
      </c>
      <c r="E53" s="13">
        <v>233</v>
      </c>
      <c r="F53" s="13">
        <v>330</v>
      </c>
      <c r="G53" s="13">
        <v>354</v>
      </c>
      <c r="H53" s="13">
        <v>629</v>
      </c>
      <c r="I53" s="13">
        <v>651</v>
      </c>
      <c r="J53" s="13">
        <v>411</v>
      </c>
      <c r="K53" s="13">
        <v>701</v>
      </c>
      <c r="L53" s="13">
        <v>598</v>
      </c>
    </row>
    <row r="54" spans="1:12" x14ac:dyDescent="0.3">
      <c r="A54" s="10" t="s">
        <v>374</v>
      </c>
      <c r="B54" s="10"/>
      <c r="C54" s="13">
        <v>-412</v>
      </c>
      <c r="D54" s="13">
        <v>-752</v>
      </c>
      <c r="E54" s="13">
        <v>-1410</v>
      </c>
      <c r="F54" s="13">
        <v>-506</v>
      </c>
      <c r="G54" s="13">
        <v>-982</v>
      </c>
      <c r="H54" s="13">
        <v>-563</v>
      </c>
      <c r="I54" s="13">
        <v>-223</v>
      </c>
      <c r="J54" s="13">
        <v>-547</v>
      </c>
      <c r="K54" s="13">
        <v>-204</v>
      </c>
      <c r="L54" s="13">
        <v>-659</v>
      </c>
    </row>
    <row r="55" spans="1:12" x14ac:dyDescent="0.3">
      <c r="A55" s="10" t="s">
        <v>375</v>
      </c>
      <c r="B55" s="10"/>
      <c r="C55" s="13">
        <v>48791</v>
      </c>
      <c r="D55" s="13">
        <v>51574</v>
      </c>
      <c r="E55" s="13">
        <v>20136</v>
      </c>
      <c r="F55" s="13">
        <v>247521</v>
      </c>
      <c r="G55" s="13">
        <v>34206</v>
      </c>
      <c r="H55" s="13">
        <v>27968</v>
      </c>
      <c r="I55" s="13">
        <v>35722</v>
      </c>
      <c r="J55" s="13">
        <v>41794</v>
      </c>
      <c r="K55" s="13">
        <v>41324</v>
      </c>
      <c r="L55" s="13">
        <v>33604</v>
      </c>
    </row>
    <row r="56" spans="1:12" x14ac:dyDescent="0.3">
      <c r="A56" s="10" t="s">
        <v>376</v>
      </c>
      <c r="B56" s="10"/>
      <c r="C56" s="13">
        <v>229</v>
      </c>
      <c r="D56" s="13">
        <v>42</v>
      </c>
      <c r="E56" s="13">
        <v>42</v>
      </c>
      <c r="F56" s="13">
        <v>0</v>
      </c>
      <c r="G56" s="13">
        <v>103</v>
      </c>
      <c r="H56" s="13">
        <v>103</v>
      </c>
      <c r="I56" s="13">
        <v>103</v>
      </c>
      <c r="J56" s="13">
        <v>103</v>
      </c>
      <c r="K56" s="13">
        <v>103</v>
      </c>
      <c r="L56" s="13">
        <v>143</v>
      </c>
    </row>
    <row r="57" spans="1:12" x14ac:dyDescent="0.3">
      <c r="A57" s="10" t="s">
        <v>377</v>
      </c>
      <c r="B57" s="10"/>
      <c r="C57" s="13">
        <v>-1160</v>
      </c>
      <c r="D57" s="13">
        <v>-677</v>
      </c>
      <c r="E57" s="13">
        <v>-474</v>
      </c>
      <c r="F57" s="13">
        <v>-3562</v>
      </c>
      <c r="G57" s="13">
        <v>-1107</v>
      </c>
      <c r="H57" s="13">
        <v>-963</v>
      </c>
      <c r="I57" s="13">
        <v>-401</v>
      </c>
      <c r="J57" s="13">
        <v>-749</v>
      </c>
      <c r="K57" s="13">
        <v>-204</v>
      </c>
      <c r="L57" s="13">
        <v>-659</v>
      </c>
    </row>
    <row r="58" spans="1:12" x14ac:dyDescent="0.3">
      <c r="A58" s="10" t="s">
        <v>378</v>
      </c>
      <c r="B58" s="10"/>
      <c r="C58" s="13">
        <v>70</v>
      </c>
      <c r="D58" s="13">
        <v>81</v>
      </c>
      <c r="E58" s="13" t="s">
        <v>294</v>
      </c>
      <c r="F58" s="13">
        <v>40</v>
      </c>
      <c r="G58" s="13">
        <v>54</v>
      </c>
      <c r="H58" s="13">
        <v>118</v>
      </c>
      <c r="I58" s="13">
        <v>83</v>
      </c>
      <c r="J58" s="13">
        <v>22</v>
      </c>
      <c r="K58" s="13">
        <v>35</v>
      </c>
      <c r="L58" s="13">
        <v>-16</v>
      </c>
    </row>
    <row r="59" spans="1:12" x14ac:dyDescent="0.3">
      <c r="A59" s="10" t="s">
        <v>379</v>
      </c>
      <c r="B59" s="10"/>
      <c r="C59" s="13">
        <v>-1477</v>
      </c>
      <c r="D59" s="13">
        <v>-1327</v>
      </c>
      <c r="E59" s="13">
        <v>-1769</v>
      </c>
      <c r="F59" s="13">
        <v>-1454</v>
      </c>
      <c r="G59" s="13">
        <v>-1670</v>
      </c>
      <c r="H59" s="13">
        <v>-1388</v>
      </c>
      <c r="I59" s="13">
        <v>-1424</v>
      </c>
      <c r="J59" s="13">
        <v>-1103</v>
      </c>
      <c r="K59" s="13">
        <v>-795</v>
      </c>
      <c r="L59" s="13">
        <v>-1015</v>
      </c>
    </row>
    <row r="60" spans="1:12" x14ac:dyDescent="0.3">
      <c r="A60" s="10" t="s">
        <v>380</v>
      </c>
      <c r="B60" s="10"/>
      <c r="C60" s="13">
        <v>30</v>
      </c>
      <c r="D60" s="13">
        <v>61</v>
      </c>
      <c r="E60" s="13">
        <v>-114</v>
      </c>
      <c r="F60" s="13">
        <v>41</v>
      </c>
      <c r="G60" s="13">
        <v>26</v>
      </c>
      <c r="H60" s="13">
        <v>80</v>
      </c>
      <c r="I60" s="13">
        <v>73</v>
      </c>
      <c r="J60" s="13">
        <v>-3</v>
      </c>
      <c r="K60" s="13">
        <v>34</v>
      </c>
      <c r="L60" s="13">
        <v>-6</v>
      </c>
    </row>
    <row r="61" spans="1:12" x14ac:dyDescent="0.3">
      <c r="A61" s="10" t="s">
        <v>381</v>
      </c>
      <c r="B61" s="10"/>
      <c r="C61" s="13">
        <v>1148</v>
      </c>
      <c r="D61" s="13">
        <v>1167</v>
      </c>
      <c r="E61" s="13">
        <v>1169</v>
      </c>
      <c r="F61" s="13">
        <v>1139</v>
      </c>
      <c r="G61" s="13">
        <v>1105</v>
      </c>
      <c r="H61" s="13">
        <v>1032</v>
      </c>
      <c r="I61" s="13">
        <v>934</v>
      </c>
      <c r="J61" s="13">
        <v>895</v>
      </c>
      <c r="K61" s="13">
        <v>902</v>
      </c>
      <c r="L61" s="13">
        <v>909</v>
      </c>
    </row>
    <row r="62" spans="1:12" x14ac:dyDescent="0.3">
      <c r="A62" s="10" t="s">
        <v>382</v>
      </c>
      <c r="B62" s="10"/>
      <c r="C62" s="13">
        <v>-609</v>
      </c>
      <c r="D62" s="13">
        <v>-697</v>
      </c>
      <c r="E62" s="13">
        <v>-366</v>
      </c>
      <c r="F62" s="13">
        <v>-948</v>
      </c>
      <c r="G62" s="13">
        <v>-688</v>
      </c>
      <c r="H62" s="13">
        <v>-825</v>
      </c>
      <c r="I62" s="13">
        <v>-1201</v>
      </c>
      <c r="J62" s="13">
        <v>-556</v>
      </c>
      <c r="K62" s="13">
        <v>-591</v>
      </c>
      <c r="L62" s="13">
        <v>-356</v>
      </c>
    </row>
    <row r="63" spans="1:12" x14ac:dyDescent="0.3">
      <c r="A63" s="10" t="s">
        <v>384</v>
      </c>
      <c r="B63" s="10"/>
      <c r="C63" s="13">
        <v>746</v>
      </c>
      <c r="D63" s="13">
        <v>275</v>
      </c>
      <c r="E63" s="13">
        <v>260</v>
      </c>
      <c r="F63" s="13">
        <v>178</v>
      </c>
      <c r="G63" s="13">
        <v>28</v>
      </c>
      <c r="H63" s="13">
        <v>178</v>
      </c>
      <c r="I63" s="13">
        <v>275</v>
      </c>
      <c r="J63" s="13">
        <v>42</v>
      </c>
      <c r="K63" s="13">
        <v>244</v>
      </c>
      <c r="L63" s="13">
        <v>216</v>
      </c>
    </row>
    <row r="64" spans="1:12" x14ac:dyDescent="0.3">
      <c r="A64" s="10" t="s">
        <v>385</v>
      </c>
      <c r="B64" s="10"/>
      <c r="C64" s="13" t="s">
        <v>294</v>
      </c>
      <c r="D64" s="13" t="s">
        <v>294</v>
      </c>
      <c r="E64" s="13">
        <v>233</v>
      </c>
      <c r="F64" s="13">
        <v>330</v>
      </c>
      <c r="G64" s="13">
        <v>354</v>
      </c>
      <c r="H64" s="13">
        <v>629</v>
      </c>
      <c r="I64" s="13">
        <v>651</v>
      </c>
      <c r="J64" s="13">
        <v>411</v>
      </c>
      <c r="K64" s="13">
        <v>701</v>
      </c>
      <c r="L64" s="13">
        <v>598</v>
      </c>
    </row>
    <row r="65" spans="1:12" x14ac:dyDescent="0.3">
      <c r="A65" s="10" t="s">
        <v>386</v>
      </c>
      <c r="B65" s="10"/>
      <c r="C65" s="13">
        <v>1201</v>
      </c>
      <c r="D65" s="13">
        <v>-629</v>
      </c>
      <c r="E65" s="13">
        <v>-322</v>
      </c>
      <c r="F65" s="13">
        <v>-382</v>
      </c>
      <c r="G65" s="13">
        <v>13</v>
      </c>
      <c r="H65" s="13">
        <v>14</v>
      </c>
      <c r="I65" s="13">
        <v>-19</v>
      </c>
      <c r="J65" s="13">
        <v>-16</v>
      </c>
      <c r="K65" s="13">
        <v>-19</v>
      </c>
      <c r="L65" s="13">
        <v>-22</v>
      </c>
    </row>
    <row r="66" spans="1:12" x14ac:dyDescent="0.3">
      <c r="A66" s="10" t="s">
        <v>387</v>
      </c>
      <c r="B66" s="10"/>
      <c r="C66" s="13" t="s">
        <v>294</v>
      </c>
      <c r="D66" s="13" t="s">
        <v>294</v>
      </c>
      <c r="E66" s="13">
        <v>-1410</v>
      </c>
      <c r="F66" s="13">
        <v>-609</v>
      </c>
      <c r="G66" s="13">
        <v>-1085</v>
      </c>
      <c r="H66" s="13">
        <v>-704</v>
      </c>
      <c r="I66" s="13">
        <v>-401</v>
      </c>
      <c r="J66" s="13">
        <v>-749</v>
      </c>
      <c r="K66" s="13">
        <v>-399</v>
      </c>
      <c r="L66" s="13">
        <v>-844</v>
      </c>
    </row>
    <row r="67" spans="1:12" x14ac:dyDescent="0.3">
      <c r="A67" s="10" t="s">
        <v>388</v>
      </c>
      <c r="B67" s="10"/>
      <c r="C67" s="13">
        <v>2435</v>
      </c>
      <c r="D67" s="13">
        <v>2166</v>
      </c>
      <c r="E67" s="13">
        <v>2463</v>
      </c>
      <c r="F67" s="13">
        <v>597</v>
      </c>
      <c r="G67" s="13">
        <v>894</v>
      </c>
      <c r="H67" s="13">
        <v>907</v>
      </c>
      <c r="I67" s="13">
        <v>1074</v>
      </c>
      <c r="J67" s="13">
        <v>625</v>
      </c>
      <c r="K67" s="13">
        <v>562</v>
      </c>
      <c r="L67" s="13">
        <v>709</v>
      </c>
    </row>
    <row r="68" spans="1:12" x14ac:dyDescent="0.3">
      <c r="A68" s="10" t="s">
        <v>389</v>
      </c>
      <c r="B68" s="10"/>
      <c r="C68" s="13">
        <v>2507</v>
      </c>
      <c r="D68" s="13">
        <v>2264</v>
      </c>
      <c r="E68" s="13">
        <v>1903</v>
      </c>
      <c r="F68" s="13">
        <v>1144</v>
      </c>
      <c r="G68" s="13">
        <v>2024</v>
      </c>
      <c r="H68" s="13">
        <v>2017</v>
      </c>
      <c r="I68" s="13">
        <v>2075</v>
      </c>
      <c r="J68" s="13">
        <v>1514</v>
      </c>
      <c r="K68" s="13">
        <v>1496</v>
      </c>
      <c r="L68" s="13">
        <v>1613</v>
      </c>
    </row>
    <row r="69" spans="1:12" x14ac:dyDescent="0.3">
      <c r="A69" s="10" t="s">
        <v>390</v>
      </c>
      <c r="B69" s="10"/>
      <c r="C69" s="13">
        <v>-1289</v>
      </c>
      <c r="D69" s="13">
        <v>-934</v>
      </c>
      <c r="E69" s="13">
        <v>-474</v>
      </c>
      <c r="F69" s="13">
        <v>-3562</v>
      </c>
      <c r="G69" s="13">
        <v>-1107</v>
      </c>
      <c r="H69" s="13">
        <v>-960</v>
      </c>
      <c r="I69" s="13">
        <v>-637</v>
      </c>
      <c r="J69" s="13">
        <v>-1213</v>
      </c>
      <c r="K69" s="13">
        <v>542</v>
      </c>
      <c r="L69" s="13">
        <v>-598</v>
      </c>
    </row>
    <row r="70" spans="1:12" x14ac:dyDescent="0.3">
      <c r="A70" s="10" t="s">
        <v>391</v>
      </c>
      <c r="B70" s="10"/>
      <c r="C70" s="13">
        <v>28</v>
      </c>
      <c r="D70" s="13">
        <v>67</v>
      </c>
      <c r="E70" s="13">
        <v>-290</v>
      </c>
      <c r="F70" s="13">
        <v>110</v>
      </c>
      <c r="G70" s="13">
        <v>271</v>
      </c>
      <c r="H70" s="13">
        <v>333</v>
      </c>
      <c r="I70" s="13">
        <v>291</v>
      </c>
      <c r="J70" s="13">
        <v>344</v>
      </c>
      <c r="K70" s="13">
        <v>420</v>
      </c>
      <c r="L70" s="13">
        <v>396</v>
      </c>
    </row>
    <row r="71" spans="1:12" x14ac:dyDescent="0.3">
      <c r="A71" s="10" t="s">
        <v>392</v>
      </c>
      <c r="B71" s="10"/>
      <c r="C71" s="13">
        <v>0</v>
      </c>
      <c r="D71" s="13">
        <v>-8</v>
      </c>
      <c r="E71" s="13">
        <v>-1</v>
      </c>
      <c r="F71" s="13">
        <v>8</v>
      </c>
      <c r="G71" s="13">
        <v>6</v>
      </c>
      <c r="H71" s="13">
        <v>6</v>
      </c>
      <c r="I71" s="13">
        <v>6</v>
      </c>
      <c r="J71" s="13">
        <v>8</v>
      </c>
      <c r="K71" s="13">
        <v>9</v>
      </c>
      <c r="L71" s="13">
        <v>9</v>
      </c>
    </row>
    <row r="72" spans="1:12" x14ac:dyDescent="0.3">
      <c r="A72" s="10" t="s">
        <v>393</v>
      </c>
      <c r="B72" s="10"/>
      <c r="C72" s="13">
        <v>42</v>
      </c>
      <c r="D72" s="13">
        <v>34</v>
      </c>
      <c r="E72" s="13">
        <v>23</v>
      </c>
      <c r="F72" s="13">
        <v>6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3">
      <c r="A73" s="10" t="s">
        <v>394</v>
      </c>
      <c r="B73" s="10"/>
      <c r="C73" s="13">
        <v>6874</v>
      </c>
      <c r="D73" s="13">
        <v>-3212</v>
      </c>
      <c r="E73" s="13">
        <v>-2345</v>
      </c>
      <c r="F73" s="13">
        <v>-2739</v>
      </c>
      <c r="G73" s="13">
        <v>816</v>
      </c>
      <c r="H73" s="13">
        <v>1320</v>
      </c>
      <c r="I73" s="13">
        <v>1565</v>
      </c>
      <c r="J73" s="13">
        <v>1475</v>
      </c>
      <c r="K73" s="13" t="s">
        <v>294</v>
      </c>
      <c r="L73" s="13" t="s">
        <v>294</v>
      </c>
    </row>
    <row r="74" spans="1:12" x14ac:dyDescent="0.3">
      <c r="A74" s="6" t="s">
        <v>397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3">
      <c r="A75" s="10" t="s">
        <v>373</v>
      </c>
      <c r="B75" s="10"/>
      <c r="C75" s="13" t="s">
        <v>294</v>
      </c>
      <c r="D75" s="13">
        <v>5287</v>
      </c>
      <c r="E75" s="13">
        <v>4777</v>
      </c>
      <c r="F75" s="13">
        <v>4672</v>
      </c>
      <c r="G75" s="13">
        <v>4988</v>
      </c>
      <c r="H75" s="13">
        <v>5084</v>
      </c>
      <c r="I75" s="13">
        <v>5132</v>
      </c>
      <c r="J75" s="13">
        <v>4289</v>
      </c>
      <c r="K75" s="13">
        <v>5030</v>
      </c>
      <c r="L75" s="13">
        <v>6033</v>
      </c>
    </row>
    <row r="76" spans="1:12" x14ac:dyDescent="0.3">
      <c r="A76" s="10" t="s">
        <v>374</v>
      </c>
      <c r="B76" s="10"/>
      <c r="C76" s="13" t="s">
        <v>294</v>
      </c>
      <c r="D76" s="13" t="s">
        <v>294</v>
      </c>
      <c r="E76" s="13">
        <v>625</v>
      </c>
      <c r="F76" s="13">
        <v>543</v>
      </c>
      <c r="G76" s="13">
        <v>585</v>
      </c>
      <c r="H76" s="13">
        <v>592</v>
      </c>
      <c r="I76" s="13">
        <v>609</v>
      </c>
      <c r="J76" s="13">
        <v>280</v>
      </c>
      <c r="K76" s="13">
        <v>291</v>
      </c>
      <c r="L76" s="13">
        <v>761</v>
      </c>
    </row>
    <row r="77" spans="1:12" x14ac:dyDescent="0.3">
      <c r="A77" s="10" t="s">
        <v>375</v>
      </c>
      <c r="B77" s="10"/>
      <c r="C77" s="13" t="s">
        <v>294</v>
      </c>
      <c r="D77" s="13" t="s">
        <v>294</v>
      </c>
      <c r="E77" s="13">
        <v>64808</v>
      </c>
      <c r="F77" s="13">
        <v>67233</v>
      </c>
      <c r="G77" s="13">
        <v>79670</v>
      </c>
      <c r="H77" s="13">
        <v>70417</v>
      </c>
      <c r="I77" s="13">
        <v>75069</v>
      </c>
      <c r="J77" s="13">
        <v>75047</v>
      </c>
      <c r="K77" s="13">
        <v>59763</v>
      </c>
      <c r="L77" s="13">
        <v>63810</v>
      </c>
    </row>
    <row r="78" spans="1:12" x14ac:dyDescent="0.3">
      <c r="A78" s="10" t="s">
        <v>376</v>
      </c>
      <c r="B78" s="10"/>
      <c r="C78" s="13" t="s">
        <v>294</v>
      </c>
      <c r="D78" s="13">
        <v>1385</v>
      </c>
      <c r="E78" s="13">
        <v>1186</v>
      </c>
      <c r="F78" s="13">
        <v>1226</v>
      </c>
      <c r="G78" s="13">
        <v>1306</v>
      </c>
      <c r="H78" s="13">
        <v>1172</v>
      </c>
      <c r="I78" s="13">
        <v>1099</v>
      </c>
      <c r="J78" s="13">
        <v>1143</v>
      </c>
      <c r="K78" s="13">
        <v>977</v>
      </c>
      <c r="L78" s="13">
        <v>980</v>
      </c>
    </row>
    <row r="79" spans="1:12" x14ac:dyDescent="0.3">
      <c r="A79" s="10" t="s">
        <v>377</v>
      </c>
      <c r="B79" s="10"/>
      <c r="C79" s="13" t="s">
        <v>294</v>
      </c>
      <c r="D79" s="13" t="s">
        <v>294</v>
      </c>
      <c r="E79" s="13">
        <v>503</v>
      </c>
      <c r="F79" s="13">
        <v>629</v>
      </c>
      <c r="G79" s="13">
        <v>613</v>
      </c>
      <c r="H79" s="13">
        <v>477</v>
      </c>
      <c r="I79" s="13">
        <v>609</v>
      </c>
      <c r="J79" s="13">
        <v>280</v>
      </c>
      <c r="K79" s="13">
        <v>291</v>
      </c>
      <c r="L79" s="13">
        <v>761</v>
      </c>
    </row>
    <row r="80" spans="1:12" x14ac:dyDescent="0.3">
      <c r="A80" s="10" t="s">
        <v>378</v>
      </c>
      <c r="B80" s="10"/>
      <c r="C80" s="13" t="s">
        <v>294</v>
      </c>
      <c r="D80" s="13" t="s">
        <v>294</v>
      </c>
      <c r="E80" s="13" t="s">
        <v>294</v>
      </c>
      <c r="F80" s="13">
        <v>2529</v>
      </c>
      <c r="G80" s="13">
        <v>2693</v>
      </c>
      <c r="H80" s="13">
        <v>2760</v>
      </c>
      <c r="I80" s="13">
        <v>2723</v>
      </c>
      <c r="J80" s="13">
        <v>2265</v>
      </c>
      <c r="K80" s="13">
        <v>2609</v>
      </c>
      <c r="L80" s="13">
        <v>3226</v>
      </c>
    </row>
    <row r="81" spans="1:12" x14ac:dyDescent="0.3">
      <c r="A81" s="10" t="s">
        <v>379</v>
      </c>
      <c r="B81" s="10"/>
      <c r="C81" s="13" t="s">
        <v>294</v>
      </c>
      <c r="D81" s="13" t="s">
        <v>294</v>
      </c>
      <c r="E81" s="13">
        <v>662</v>
      </c>
      <c r="F81" s="13">
        <v>701</v>
      </c>
      <c r="G81" s="13">
        <v>741</v>
      </c>
      <c r="H81" s="13">
        <v>830</v>
      </c>
      <c r="I81" s="13">
        <v>836</v>
      </c>
      <c r="J81" s="13">
        <v>407</v>
      </c>
      <c r="K81" s="13">
        <v>361</v>
      </c>
      <c r="L81" s="13">
        <v>992</v>
      </c>
    </row>
    <row r="82" spans="1:12" x14ac:dyDescent="0.3">
      <c r="A82" s="10" t="s">
        <v>380</v>
      </c>
      <c r="B82" s="10"/>
      <c r="C82" s="13" t="s">
        <v>294</v>
      </c>
      <c r="D82" s="13" t="s">
        <v>294</v>
      </c>
      <c r="E82" s="13">
        <v>2408</v>
      </c>
      <c r="F82" s="13">
        <v>2443</v>
      </c>
      <c r="G82" s="13">
        <v>2535</v>
      </c>
      <c r="H82" s="13">
        <v>2602</v>
      </c>
      <c r="I82" s="13">
        <v>2623</v>
      </c>
      <c r="J82" s="13">
        <v>2406</v>
      </c>
      <c r="K82" s="13">
        <v>3143</v>
      </c>
      <c r="L82" s="13">
        <v>3301</v>
      </c>
    </row>
    <row r="83" spans="1:12" x14ac:dyDescent="0.3">
      <c r="A83" s="10" t="s">
        <v>381</v>
      </c>
      <c r="B83" s="10"/>
      <c r="C83" s="13" t="s">
        <v>294</v>
      </c>
      <c r="D83" s="13" t="s">
        <v>294</v>
      </c>
      <c r="E83" s="13">
        <v>0</v>
      </c>
      <c r="F83" s="13">
        <v>2</v>
      </c>
      <c r="G83" s="13">
        <v>5</v>
      </c>
      <c r="H83" s="13">
        <v>6</v>
      </c>
      <c r="I83" s="13">
        <v>3</v>
      </c>
      <c r="J83" s="13">
        <v>4</v>
      </c>
      <c r="K83" s="13">
        <v>5</v>
      </c>
      <c r="L83" s="13">
        <v>12</v>
      </c>
    </row>
    <row r="84" spans="1:12" x14ac:dyDescent="0.3">
      <c r="A84" s="10" t="s">
        <v>382</v>
      </c>
      <c r="B84" s="10"/>
      <c r="C84" s="13" t="s">
        <v>294</v>
      </c>
      <c r="D84" s="13" t="s">
        <v>294</v>
      </c>
      <c r="E84" s="13">
        <v>37</v>
      </c>
      <c r="F84" s="13">
        <v>158</v>
      </c>
      <c r="G84" s="13">
        <v>156</v>
      </c>
      <c r="H84" s="13">
        <v>238</v>
      </c>
      <c r="I84" s="13">
        <v>227</v>
      </c>
      <c r="J84" s="13">
        <v>127</v>
      </c>
      <c r="K84" s="13">
        <v>70</v>
      </c>
      <c r="L84" s="13">
        <v>231</v>
      </c>
    </row>
    <row r="85" spans="1:12" x14ac:dyDescent="0.3">
      <c r="A85" s="10" t="s">
        <v>383</v>
      </c>
      <c r="B85" s="10"/>
      <c r="C85" s="14" t="s">
        <v>294</v>
      </c>
      <c r="D85" s="14" t="s">
        <v>294</v>
      </c>
      <c r="E85" s="14">
        <v>12.9</v>
      </c>
      <c r="F85" s="14">
        <v>32.700000000000003</v>
      </c>
      <c r="G85" s="14">
        <v>8</v>
      </c>
      <c r="H85" s="14">
        <v>4.7</v>
      </c>
      <c r="I85" s="14">
        <v>21.7</v>
      </c>
      <c r="J85" s="14">
        <v>1.8</v>
      </c>
      <c r="K85" s="14">
        <v>18.100000000000001</v>
      </c>
      <c r="L85" s="14">
        <v>26.5</v>
      </c>
    </row>
    <row r="86" spans="1:12" x14ac:dyDescent="0.3">
      <c r="A86" s="10" t="s">
        <v>384</v>
      </c>
      <c r="B86" s="10"/>
      <c r="C86" s="13" t="s">
        <v>294</v>
      </c>
      <c r="D86" s="13">
        <v>1219</v>
      </c>
      <c r="E86" s="13">
        <v>1038</v>
      </c>
      <c r="F86" s="13">
        <v>1084</v>
      </c>
      <c r="G86" s="13">
        <v>1219</v>
      </c>
      <c r="H86" s="13">
        <v>1239</v>
      </c>
      <c r="I86" s="13">
        <v>1271</v>
      </c>
      <c r="J86" s="13">
        <v>992</v>
      </c>
      <c r="K86" s="13">
        <v>1271</v>
      </c>
      <c r="L86" s="13">
        <v>1593</v>
      </c>
    </row>
    <row r="87" spans="1:12" x14ac:dyDescent="0.3">
      <c r="A87" s="10" t="s">
        <v>385</v>
      </c>
      <c r="B87" s="10"/>
      <c r="C87" s="13" t="s">
        <v>294</v>
      </c>
      <c r="D87" s="13" t="s">
        <v>294</v>
      </c>
      <c r="E87" s="13">
        <v>4777</v>
      </c>
      <c r="F87" s="13">
        <v>4672</v>
      </c>
      <c r="G87" s="13">
        <v>4988</v>
      </c>
      <c r="H87" s="13">
        <v>5084</v>
      </c>
      <c r="I87" s="13">
        <v>5132</v>
      </c>
      <c r="J87" s="13">
        <v>4289</v>
      </c>
      <c r="K87" s="13">
        <v>5030</v>
      </c>
      <c r="L87" s="13">
        <v>6033</v>
      </c>
    </row>
    <row r="88" spans="1:12" x14ac:dyDescent="0.3">
      <c r="A88" s="10" t="s">
        <v>386</v>
      </c>
      <c r="B88" s="10"/>
      <c r="C88" s="13" t="s">
        <v>294</v>
      </c>
      <c r="D88" s="13">
        <v>6425</v>
      </c>
      <c r="E88" s="13">
        <v>5880</v>
      </c>
      <c r="F88" s="13">
        <v>5597</v>
      </c>
      <c r="G88" s="13">
        <v>6361</v>
      </c>
      <c r="H88" s="13">
        <v>5961</v>
      </c>
      <c r="I88" s="13">
        <v>5071</v>
      </c>
      <c r="J88" s="13">
        <v>5100</v>
      </c>
      <c r="K88" s="13">
        <v>5023</v>
      </c>
      <c r="L88" s="13">
        <v>5493</v>
      </c>
    </row>
    <row r="89" spans="1:12" x14ac:dyDescent="0.3">
      <c r="A89" s="10" t="s">
        <v>387</v>
      </c>
      <c r="B89" s="10"/>
      <c r="C89" s="13" t="s">
        <v>294</v>
      </c>
      <c r="D89" s="13" t="s">
        <v>294</v>
      </c>
      <c r="E89" s="13">
        <v>625</v>
      </c>
      <c r="F89" s="13">
        <v>543</v>
      </c>
      <c r="G89" s="13">
        <v>585</v>
      </c>
      <c r="H89" s="13">
        <v>592</v>
      </c>
      <c r="I89" s="13">
        <v>609</v>
      </c>
      <c r="J89" s="13">
        <v>280</v>
      </c>
      <c r="K89" s="13">
        <v>291</v>
      </c>
      <c r="L89" s="13">
        <v>761</v>
      </c>
    </row>
    <row r="90" spans="1:12" x14ac:dyDescent="0.3">
      <c r="A90" s="10" t="s">
        <v>388</v>
      </c>
      <c r="B90" s="10"/>
      <c r="C90" s="13" t="s">
        <v>294</v>
      </c>
      <c r="D90" s="13" t="s">
        <v>294</v>
      </c>
      <c r="E90" s="13">
        <v>1075</v>
      </c>
      <c r="F90" s="13">
        <v>1336</v>
      </c>
      <c r="G90" s="13">
        <v>1479</v>
      </c>
      <c r="H90" s="13">
        <v>1421</v>
      </c>
      <c r="I90" s="13">
        <v>1443</v>
      </c>
      <c r="J90" s="13">
        <v>1318</v>
      </c>
      <c r="K90" s="13">
        <v>1401</v>
      </c>
      <c r="L90" s="13">
        <v>1553</v>
      </c>
    </row>
    <row r="91" spans="1:12" x14ac:dyDescent="0.3">
      <c r="A91" s="10" t="s">
        <v>389</v>
      </c>
      <c r="B91" s="10"/>
      <c r="C91" s="13" t="s">
        <v>294</v>
      </c>
      <c r="D91" s="13" t="s">
        <v>294</v>
      </c>
      <c r="E91" s="13">
        <v>4199</v>
      </c>
      <c r="F91" s="13">
        <v>3961</v>
      </c>
      <c r="G91" s="13">
        <v>4247</v>
      </c>
      <c r="H91" s="13">
        <v>4254</v>
      </c>
      <c r="I91" s="13">
        <v>4296</v>
      </c>
      <c r="J91" s="13">
        <v>3882</v>
      </c>
      <c r="K91" s="13">
        <v>4669</v>
      </c>
      <c r="L91" s="13">
        <v>5041</v>
      </c>
    </row>
    <row r="92" spans="1:12" x14ac:dyDescent="0.3">
      <c r="A92" s="10" t="s">
        <v>390</v>
      </c>
      <c r="B92" s="10"/>
      <c r="C92" s="13" t="s">
        <v>294</v>
      </c>
      <c r="D92" s="13">
        <v>401</v>
      </c>
      <c r="E92" s="13">
        <v>503</v>
      </c>
      <c r="F92" s="13">
        <v>629</v>
      </c>
      <c r="G92" s="13">
        <v>613</v>
      </c>
      <c r="H92" s="13">
        <v>471</v>
      </c>
      <c r="I92" s="13">
        <v>403</v>
      </c>
      <c r="J92" s="13">
        <v>27</v>
      </c>
      <c r="K92" s="13">
        <v>-258</v>
      </c>
      <c r="L92" s="13">
        <v>613</v>
      </c>
    </row>
    <row r="93" spans="1:12" x14ac:dyDescent="0.3">
      <c r="A93" s="10" t="s">
        <v>391</v>
      </c>
      <c r="B93" s="10"/>
      <c r="C93" s="13" t="s">
        <v>294</v>
      </c>
      <c r="D93" s="13" t="s">
        <v>294</v>
      </c>
      <c r="E93" s="13">
        <v>41</v>
      </c>
      <c r="F93" s="13">
        <v>34</v>
      </c>
      <c r="G93" s="13">
        <v>32</v>
      </c>
      <c r="H93" s="13">
        <v>35</v>
      </c>
      <c r="I93" s="13">
        <v>44</v>
      </c>
      <c r="J93" s="13">
        <v>38</v>
      </c>
      <c r="K93" s="13">
        <v>41</v>
      </c>
      <c r="L93" s="13">
        <v>39</v>
      </c>
    </row>
    <row r="94" spans="1:12" x14ac:dyDescent="0.3">
      <c r="A94" s="10" t="s">
        <v>392</v>
      </c>
      <c r="B94" s="10"/>
      <c r="C94" s="13" t="s">
        <v>294</v>
      </c>
      <c r="D94" s="13">
        <v>313</v>
      </c>
      <c r="E94" s="13">
        <v>271</v>
      </c>
      <c r="F94" s="13">
        <v>184</v>
      </c>
      <c r="G94" s="13">
        <v>224</v>
      </c>
      <c r="H94" s="13">
        <v>209</v>
      </c>
      <c r="I94" s="13">
        <v>291</v>
      </c>
      <c r="J94" s="13">
        <v>276</v>
      </c>
      <c r="K94" s="13">
        <v>285</v>
      </c>
      <c r="L94" s="13">
        <v>339</v>
      </c>
    </row>
    <row r="95" spans="1:12" x14ac:dyDescent="0.3">
      <c r="A95" s="10" t="s">
        <v>393</v>
      </c>
      <c r="B95" s="10"/>
      <c r="C95" s="13" t="s">
        <v>294</v>
      </c>
      <c r="D95" s="13" t="s">
        <v>294</v>
      </c>
      <c r="E95" s="13">
        <v>349</v>
      </c>
      <c r="F95" s="13">
        <v>328</v>
      </c>
      <c r="G95" s="13">
        <v>369</v>
      </c>
      <c r="H95" s="13">
        <v>394</v>
      </c>
      <c r="I95" s="13">
        <v>332</v>
      </c>
      <c r="J95" s="13">
        <v>240</v>
      </c>
      <c r="K95" s="13">
        <v>249</v>
      </c>
      <c r="L95" s="13">
        <v>335</v>
      </c>
    </row>
    <row r="96" spans="1:12" x14ac:dyDescent="0.3">
      <c r="A96" s="10" t="s">
        <v>394</v>
      </c>
      <c r="B96" s="10"/>
      <c r="C96" s="13" t="s">
        <v>294</v>
      </c>
      <c r="D96" s="13">
        <v>8914</v>
      </c>
      <c r="E96" s="13">
        <v>8142</v>
      </c>
      <c r="F96" s="13">
        <v>9163</v>
      </c>
      <c r="G96" s="13">
        <v>10397</v>
      </c>
      <c r="H96" s="13">
        <v>10170</v>
      </c>
      <c r="I96" s="13">
        <v>10840</v>
      </c>
      <c r="J96" s="13">
        <v>11749</v>
      </c>
      <c r="K96" s="13" t="s">
        <v>294</v>
      </c>
      <c r="L96" s="13" t="s">
        <v>294</v>
      </c>
    </row>
    <row r="97" spans="1:12" x14ac:dyDescent="0.3">
      <c r="A97" s="6" t="s">
        <v>398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3">
      <c r="A98" s="10" t="s">
        <v>373</v>
      </c>
      <c r="B98" s="10"/>
      <c r="C98" s="13" t="s">
        <v>294</v>
      </c>
      <c r="D98" s="13">
        <v>27984</v>
      </c>
      <c r="E98" s="13">
        <v>28738</v>
      </c>
      <c r="F98" s="13">
        <v>29480</v>
      </c>
      <c r="G98" s="13">
        <v>31846</v>
      </c>
      <c r="H98" s="13">
        <v>37037</v>
      </c>
      <c r="I98" s="13">
        <v>35787</v>
      </c>
      <c r="J98" s="13">
        <v>36195</v>
      </c>
      <c r="K98" s="13">
        <v>37084</v>
      </c>
      <c r="L98" s="13">
        <v>45802</v>
      </c>
    </row>
    <row r="99" spans="1:12" x14ac:dyDescent="0.3">
      <c r="A99" s="10" t="s">
        <v>374</v>
      </c>
      <c r="B99" s="10"/>
      <c r="C99" s="13" t="s">
        <v>294</v>
      </c>
      <c r="D99" s="13" t="s">
        <v>294</v>
      </c>
      <c r="E99" s="13">
        <v>1947</v>
      </c>
      <c r="F99" s="13">
        <v>1896</v>
      </c>
      <c r="G99" s="13">
        <v>2027</v>
      </c>
      <c r="H99" s="13">
        <v>2804</v>
      </c>
      <c r="I99" s="13">
        <v>2838</v>
      </c>
      <c r="J99" s="13">
        <v>3224</v>
      </c>
      <c r="K99" s="13">
        <v>3221</v>
      </c>
      <c r="L99" s="13">
        <v>2996</v>
      </c>
    </row>
    <row r="100" spans="1:12" x14ac:dyDescent="0.3">
      <c r="A100" s="10" t="s">
        <v>375</v>
      </c>
      <c r="B100" s="10"/>
      <c r="C100" s="13" t="s">
        <v>294</v>
      </c>
      <c r="D100" s="13" t="s">
        <v>294</v>
      </c>
      <c r="E100" s="13">
        <v>237858</v>
      </c>
      <c r="F100" s="13">
        <v>253926</v>
      </c>
      <c r="G100" s="13">
        <v>255428</v>
      </c>
      <c r="H100" s="13">
        <v>248174</v>
      </c>
      <c r="I100" s="13">
        <v>266174</v>
      </c>
      <c r="J100" s="13">
        <v>291483</v>
      </c>
      <c r="K100" s="13">
        <v>282741</v>
      </c>
      <c r="L100" s="13">
        <v>252559</v>
      </c>
    </row>
    <row r="101" spans="1:12" x14ac:dyDescent="0.3">
      <c r="A101" s="10" t="s">
        <v>376</v>
      </c>
      <c r="B101" s="10"/>
      <c r="C101" s="13" t="s">
        <v>294</v>
      </c>
      <c r="D101" s="13">
        <v>1451</v>
      </c>
      <c r="E101" s="13">
        <v>1451</v>
      </c>
      <c r="F101" s="13">
        <v>1451</v>
      </c>
      <c r="G101" s="13">
        <v>1451</v>
      </c>
      <c r="H101" s="13">
        <v>1451</v>
      </c>
      <c r="I101" s="13">
        <v>1466</v>
      </c>
      <c r="J101" s="13">
        <v>2070</v>
      </c>
      <c r="K101" s="13">
        <v>2070</v>
      </c>
      <c r="L101" s="13">
        <v>2070</v>
      </c>
    </row>
    <row r="102" spans="1:12" x14ac:dyDescent="0.3">
      <c r="A102" s="10" t="s">
        <v>377</v>
      </c>
      <c r="B102" s="10"/>
      <c r="C102" s="13" t="s">
        <v>294</v>
      </c>
      <c r="D102" s="13" t="s">
        <v>294</v>
      </c>
      <c r="E102" s="13">
        <v>2080</v>
      </c>
      <c r="F102" s="13">
        <v>1756</v>
      </c>
      <c r="G102" s="13">
        <v>2001</v>
      </c>
      <c r="H102" s="13">
        <v>2755</v>
      </c>
      <c r="I102" s="13">
        <v>2838</v>
      </c>
      <c r="J102" s="13">
        <v>3224</v>
      </c>
      <c r="K102" s="13">
        <v>3221</v>
      </c>
      <c r="L102" s="13">
        <v>2996</v>
      </c>
    </row>
    <row r="103" spans="1:12" x14ac:dyDescent="0.3">
      <c r="A103" s="10" t="s">
        <v>378</v>
      </c>
      <c r="B103" s="10"/>
      <c r="C103" s="13" t="s">
        <v>294</v>
      </c>
      <c r="D103" s="13" t="s">
        <v>294</v>
      </c>
      <c r="E103" s="13" t="s">
        <v>294</v>
      </c>
      <c r="F103" s="13">
        <v>21198</v>
      </c>
      <c r="G103" s="13">
        <v>23632</v>
      </c>
      <c r="H103" s="13">
        <v>28186</v>
      </c>
      <c r="I103" s="13">
        <v>26872</v>
      </c>
      <c r="J103" s="13">
        <v>27265</v>
      </c>
      <c r="K103" s="13">
        <v>27340</v>
      </c>
      <c r="L103" s="13">
        <v>35548</v>
      </c>
    </row>
    <row r="104" spans="1:12" x14ac:dyDescent="0.3">
      <c r="A104" s="10" t="s">
        <v>379</v>
      </c>
      <c r="B104" s="10"/>
      <c r="C104" s="13" t="s">
        <v>294</v>
      </c>
      <c r="D104" s="13" t="s">
        <v>294</v>
      </c>
      <c r="E104" s="13">
        <v>3044</v>
      </c>
      <c r="F104" s="13">
        <v>2872</v>
      </c>
      <c r="G104" s="13">
        <v>3051</v>
      </c>
      <c r="H104" s="13">
        <v>3540</v>
      </c>
      <c r="I104" s="13">
        <v>3562</v>
      </c>
      <c r="J104" s="13">
        <v>4077</v>
      </c>
      <c r="K104" s="13">
        <v>4071</v>
      </c>
      <c r="L104" s="13">
        <v>3787</v>
      </c>
    </row>
    <row r="105" spans="1:12" x14ac:dyDescent="0.3">
      <c r="A105" s="10"/>
      <c r="B105" s="10"/>
      <c r="C105" s="13"/>
      <c r="D105" s="13"/>
      <c r="E105" s="13"/>
      <c r="F105" s="13"/>
      <c r="G105" s="13"/>
      <c r="H105" s="13"/>
      <c r="I105" s="13"/>
      <c r="J105" s="13">
        <f>J98-J116</f>
        <v>4077</v>
      </c>
      <c r="K105" s="13">
        <f>K104-K108</f>
        <v>3221</v>
      </c>
      <c r="L105" s="13"/>
    </row>
    <row r="106" spans="1:12" x14ac:dyDescent="0.3">
      <c r="A106" s="10" t="s">
        <v>380</v>
      </c>
      <c r="B106" s="10"/>
      <c r="C106" s="13" t="s">
        <v>294</v>
      </c>
      <c r="D106" s="13" t="s">
        <v>294</v>
      </c>
      <c r="E106" s="13">
        <v>20775</v>
      </c>
      <c r="F106" s="13">
        <v>21591</v>
      </c>
      <c r="G106" s="13">
        <v>23627</v>
      </c>
      <c r="H106" s="13">
        <v>27765</v>
      </c>
      <c r="I106" s="13">
        <v>26165</v>
      </c>
      <c r="J106" s="13">
        <v>26309</v>
      </c>
      <c r="K106" s="13">
        <v>27957</v>
      </c>
      <c r="L106" s="13">
        <v>36273</v>
      </c>
    </row>
    <row r="107" spans="1:12" x14ac:dyDescent="0.3">
      <c r="A107" s="10" t="s">
        <v>381</v>
      </c>
      <c r="B107" s="10"/>
      <c r="C107" s="13" t="s">
        <v>294</v>
      </c>
      <c r="D107" s="13" t="s">
        <v>294</v>
      </c>
      <c r="E107" s="13">
        <v>4</v>
      </c>
      <c r="F107" s="13">
        <v>9</v>
      </c>
      <c r="G107" s="13">
        <v>11</v>
      </c>
      <c r="H107" s="13">
        <v>12</v>
      </c>
      <c r="I107" s="13">
        <v>10</v>
      </c>
      <c r="J107" s="13">
        <v>7</v>
      </c>
      <c r="K107" s="13">
        <v>7</v>
      </c>
      <c r="L107" s="13">
        <v>9</v>
      </c>
    </row>
    <row r="108" spans="1:12" x14ac:dyDescent="0.3">
      <c r="A108" s="10" t="s">
        <v>382</v>
      </c>
      <c r="B108" s="10"/>
      <c r="C108" s="13" t="s">
        <v>294</v>
      </c>
      <c r="D108" s="13" t="s">
        <v>294</v>
      </c>
      <c r="E108" s="13">
        <v>1009</v>
      </c>
      <c r="F108" s="13">
        <v>976</v>
      </c>
      <c r="G108" s="13">
        <v>1024</v>
      </c>
      <c r="H108" s="13">
        <v>736</v>
      </c>
      <c r="I108" s="13">
        <v>724</v>
      </c>
      <c r="J108" s="13">
        <v>853</v>
      </c>
      <c r="K108" s="13">
        <v>850</v>
      </c>
      <c r="L108" s="13">
        <v>791</v>
      </c>
    </row>
    <row r="109" spans="1:12" x14ac:dyDescent="0.3">
      <c r="A109" s="10" t="s">
        <v>383</v>
      </c>
      <c r="B109" s="10"/>
      <c r="C109" s="14" t="s">
        <v>294</v>
      </c>
      <c r="D109" s="14" t="s">
        <v>294</v>
      </c>
      <c r="E109" s="14">
        <v>12</v>
      </c>
      <c r="F109" s="14">
        <v>6</v>
      </c>
      <c r="G109" s="14">
        <v>21.5</v>
      </c>
      <c r="H109" s="14">
        <v>25.8</v>
      </c>
      <c r="I109" s="14">
        <v>25.2</v>
      </c>
      <c r="J109" s="14">
        <v>36.9</v>
      </c>
      <c r="K109" s="14">
        <v>27.5</v>
      </c>
      <c r="L109" s="14">
        <v>27</v>
      </c>
    </row>
    <row r="110" spans="1:12" x14ac:dyDescent="0.3">
      <c r="A110" s="10" t="s">
        <v>384</v>
      </c>
      <c r="B110" s="10"/>
      <c r="C110" s="13" t="s">
        <v>294</v>
      </c>
      <c r="D110" s="13">
        <v>6111</v>
      </c>
      <c r="E110" s="13">
        <v>6183</v>
      </c>
      <c r="F110" s="13">
        <v>6206</v>
      </c>
      <c r="G110" s="13">
        <v>6396</v>
      </c>
      <c r="H110" s="13">
        <v>6977</v>
      </c>
      <c r="I110" s="13">
        <v>7021</v>
      </c>
      <c r="J110" s="13">
        <v>6903</v>
      </c>
      <c r="K110" s="13">
        <v>8048</v>
      </c>
      <c r="L110" s="13">
        <v>7340</v>
      </c>
    </row>
    <row r="111" spans="1:12" x14ac:dyDescent="0.3">
      <c r="A111" s="10" t="s">
        <v>385</v>
      </c>
      <c r="B111" s="10"/>
      <c r="C111" s="13" t="s">
        <v>294</v>
      </c>
      <c r="D111" s="13" t="s">
        <v>294</v>
      </c>
      <c r="E111" s="13">
        <v>27738</v>
      </c>
      <c r="F111" s="13">
        <v>29480</v>
      </c>
      <c r="G111" s="13">
        <v>31846</v>
      </c>
      <c r="H111" s="13">
        <v>37037</v>
      </c>
      <c r="I111" s="13">
        <v>35787</v>
      </c>
      <c r="J111" s="13">
        <v>36195</v>
      </c>
      <c r="K111" s="13">
        <v>37084</v>
      </c>
      <c r="L111" s="13">
        <v>45802</v>
      </c>
    </row>
    <row r="112" spans="1:12" x14ac:dyDescent="0.3">
      <c r="A112" s="10" t="s">
        <v>394</v>
      </c>
      <c r="B112" s="10"/>
      <c r="C112" s="13" t="s">
        <v>294</v>
      </c>
      <c r="D112" s="13">
        <v>57521</v>
      </c>
      <c r="E112" s="13">
        <v>59413</v>
      </c>
      <c r="F112" s="13">
        <v>61578</v>
      </c>
      <c r="G112" s="13">
        <v>65610</v>
      </c>
      <c r="H112" s="13">
        <v>72639</v>
      </c>
      <c r="I112" s="13">
        <v>79147</v>
      </c>
      <c r="J112" s="13">
        <v>85037</v>
      </c>
      <c r="K112" s="13">
        <v>156156</v>
      </c>
      <c r="L112" s="13">
        <v>165153</v>
      </c>
    </row>
    <row r="113" spans="1:12" x14ac:dyDescent="0.3">
      <c r="A113" s="10" t="s">
        <v>386</v>
      </c>
      <c r="B113" s="10"/>
      <c r="C113" s="13" t="s">
        <v>294</v>
      </c>
      <c r="D113" s="13">
        <v>65615</v>
      </c>
      <c r="E113" s="13">
        <v>63986</v>
      </c>
      <c r="F113" s="13">
        <v>67539</v>
      </c>
      <c r="G113" s="13">
        <v>70455</v>
      </c>
      <c r="H113" s="13">
        <v>69002</v>
      </c>
      <c r="I113" s="13">
        <v>71180</v>
      </c>
      <c r="J113" s="13">
        <v>77487</v>
      </c>
      <c r="K113" s="13">
        <v>77891</v>
      </c>
      <c r="L113" s="13">
        <v>79926</v>
      </c>
    </row>
    <row r="114" spans="1:12" x14ac:dyDescent="0.3">
      <c r="A114" s="10" t="s">
        <v>387</v>
      </c>
      <c r="B114" s="10"/>
      <c r="C114" s="13" t="s">
        <v>294</v>
      </c>
      <c r="D114" s="13" t="s">
        <v>294</v>
      </c>
      <c r="E114" s="13">
        <v>1947</v>
      </c>
      <c r="F114" s="13">
        <v>1896</v>
      </c>
      <c r="G114" s="13">
        <v>2027</v>
      </c>
      <c r="H114" s="13">
        <v>2804</v>
      </c>
      <c r="I114" s="13">
        <v>2838</v>
      </c>
      <c r="J114" s="13">
        <v>3224</v>
      </c>
      <c r="K114" s="13">
        <v>3221</v>
      </c>
      <c r="L114" s="13">
        <v>2996</v>
      </c>
    </row>
    <row r="115" spans="1:12" x14ac:dyDescent="0.3">
      <c r="A115" s="10" t="s">
        <v>388</v>
      </c>
      <c r="B115" s="10"/>
      <c r="C115" s="13" t="s">
        <v>294</v>
      </c>
      <c r="D115" s="13" t="s">
        <v>294</v>
      </c>
      <c r="E115" s="13">
        <v>3685</v>
      </c>
      <c r="F115" s="13">
        <v>3706</v>
      </c>
      <c r="G115" s="13">
        <v>3682</v>
      </c>
      <c r="H115" s="13">
        <v>3902</v>
      </c>
      <c r="I115" s="13">
        <v>4075</v>
      </c>
      <c r="J115" s="13">
        <v>4162</v>
      </c>
      <c r="K115" s="13">
        <v>3632</v>
      </c>
      <c r="L115" s="13">
        <v>3962</v>
      </c>
    </row>
    <row r="116" spans="1:12" x14ac:dyDescent="0.3">
      <c r="A116" s="10" t="s">
        <v>389</v>
      </c>
      <c r="B116" s="10"/>
      <c r="C116" s="13" t="s">
        <v>294</v>
      </c>
      <c r="D116" s="13" t="s">
        <v>294</v>
      </c>
      <c r="E116" s="13">
        <v>25720</v>
      </c>
      <c r="F116" s="13">
        <v>26608</v>
      </c>
      <c r="G116" s="13">
        <v>28795</v>
      </c>
      <c r="H116" s="13">
        <v>33497</v>
      </c>
      <c r="I116" s="13">
        <v>32225</v>
      </c>
      <c r="J116" s="13">
        <v>32118</v>
      </c>
      <c r="K116" s="13">
        <v>33013</v>
      </c>
      <c r="L116" s="13">
        <v>42015</v>
      </c>
    </row>
    <row r="117" spans="1:12" x14ac:dyDescent="0.3">
      <c r="A117" s="10" t="s">
        <v>390</v>
      </c>
      <c r="B117" s="10"/>
      <c r="C117" s="13" t="s">
        <v>294</v>
      </c>
      <c r="D117" s="13">
        <v>2430</v>
      </c>
      <c r="E117" s="13">
        <v>2080</v>
      </c>
      <c r="F117" s="13">
        <v>1756</v>
      </c>
      <c r="G117" s="13">
        <v>2001</v>
      </c>
      <c r="H117" s="13">
        <v>2755</v>
      </c>
      <c r="I117" s="13">
        <v>3148</v>
      </c>
      <c r="J117" s="13">
        <v>3136</v>
      </c>
      <c r="K117" s="13">
        <v>3509</v>
      </c>
      <c r="L117" s="13">
        <v>2698</v>
      </c>
    </row>
    <row r="118" spans="1:12" x14ac:dyDescent="0.3">
      <c r="A118" s="10" t="s">
        <v>391</v>
      </c>
      <c r="B118" s="10"/>
      <c r="C118" s="13" t="s">
        <v>294</v>
      </c>
      <c r="D118" s="13" t="s">
        <v>294</v>
      </c>
      <c r="E118" s="13">
        <v>751</v>
      </c>
      <c r="F118" s="13">
        <v>784</v>
      </c>
      <c r="G118" s="13">
        <v>806</v>
      </c>
      <c r="H118" s="13">
        <v>821</v>
      </c>
      <c r="I118" s="13">
        <v>887</v>
      </c>
      <c r="J118" s="13">
        <v>957</v>
      </c>
      <c r="K118" s="13">
        <v>1538</v>
      </c>
      <c r="L118" s="13">
        <v>1756</v>
      </c>
    </row>
    <row r="119" spans="1:12" x14ac:dyDescent="0.3">
      <c r="A119" s="10" t="s">
        <v>392</v>
      </c>
      <c r="B119" s="10"/>
      <c r="C119" s="13" t="s">
        <v>294</v>
      </c>
      <c r="D119" s="13">
        <v>458</v>
      </c>
      <c r="E119" s="13">
        <v>471</v>
      </c>
      <c r="F119" s="13">
        <v>471</v>
      </c>
      <c r="G119" s="13">
        <v>459</v>
      </c>
      <c r="H119" s="13">
        <v>477</v>
      </c>
      <c r="I119" s="13">
        <v>475</v>
      </c>
      <c r="J119" s="13">
        <v>471</v>
      </c>
      <c r="K119" s="13">
        <v>60</v>
      </c>
      <c r="L119" s="13">
        <v>59</v>
      </c>
    </row>
    <row r="120" spans="1:12" x14ac:dyDescent="0.3">
      <c r="A120" s="10" t="s">
        <v>393</v>
      </c>
      <c r="B120" s="10"/>
      <c r="C120" s="13" t="s">
        <v>294</v>
      </c>
      <c r="D120" s="13" t="s">
        <v>294</v>
      </c>
      <c r="E120" s="13">
        <v>1216</v>
      </c>
      <c r="F120" s="13">
        <v>1302</v>
      </c>
      <c r="G120" s="13">
        <v>1474</v>
      </c>
      <c r="H120" s="13">
        <v>1790</v>
      </c>
      <c r="I120" s="13">
        <v>1984</v>
      </c>
      <c r="J120" s="13">
        <v>1622</v>
      </c>
      <c r="K120" s="13">
        <v>1422</v>
      </c>
      <c r="L120" s="13">
        <v>1789</v>
      </c>
    </row>
    <row r="121" spans="1:12" x14ac:dyDescent="0.3">
      <c r="A121" s="6" t="s">
        <v>399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x14ac:dyDescent="0.3">
      <c r="A122" s="10" t="s">
        <v>373</v>
      </c>
      <c r="B122" s="10"/>
      <c r="C122" s="13" t="s">
        <v>294</v>
      </c>
      <c r="D122" s="13">
        <v>13390</v>
      </c>
      <c r="E122" s="13">
        <v>13146</v>
      </c>
      <c r="F122" s="13">
        <v>12467</v>
      </c>
      <c r="G122" s="13">
        <v>11356</v>
      </c>
      <c r="H122" s="13">
        <v>10726</v>
      </c>
      <c r="I122" s="13">
        <v>10406</v>
      </c>
      <c r="J122" s="13">
        <v>10095</v>
      </c>
      <c r="K122" s="13">
        <v>11141</v>
      </c>
      <c r="L122" s="13">
        <v>9249</v>
      </c>
    </row>
    <row r="123" spans="1:12" x14ac:dyDescent="0.3">
      <c r="A123" s="10" t="s">
        <v>374</v>
      </c>
      <c r="B123" s="10"/>
      <c r="C123" s="13" t="s">
        <v>294</v>
      </c>
      <c r="D123" s="13" t="s">
        <v>294</v>
      </c>
      <c r="E123" s="13">
        <v>1240</v>
      </c>
      <c r="F123" s="13">
        <v>706</v>
      </c>
      <c r="G123" s="13">
        <v>1182</v>
      </c>
      <c r="H123" s="13">
        <v>1255</v>
      </c>
      <c r="I123" s="13">
        <v>1034</v>
      </c>
      <c r="J123" s="13">
        <v>976</v>
      </c>
      <c r="K123" s="13">
        <v>2242</v>
      </c>
      <c r="L123" s="13">
        <v>1008</v>
      </c>
    </row>
    <row r="124" spans="1:12" x14ac:dyDescent="0.3">
      <c r="A124" s="10" t="s">
        <v>375</v>
      </c>
      <c r="B124" s="10"/>
      <c r="C124" s="13" t="s">
        <v>294</v>
      </c>
      <c r="D124" s="13" t="s">
        <v>294</v>
      </c>
      <c r="E124" s="13">
        <v>187677</v>
      </c>
      <c r="F124" s="13">
        <v>183832</v>
      </c>
      <c r="G124" s="13">
        <v>183160</v>
      </c>
      <c r="H124" s="13">
        <v>166872</v>
      </c>
      <c r="I124" s="13">
        <v>175199</v>
      </c>
      <c r="J124" s="13">
        <v>184566</v>
      </c>
      <c r="K124" s="13">
        <v>179551</v>
      </c>
      <c r="L124" s="13">
        <v>149739</v>
      </c>
    </row>
    <row r="125" spans="1:12" x14ac:dyDescent="0.3">
      <c r="A125" s="10" t="s">
        <v>376</v>
      </c>
      <c r="B125" s="10"/>
      <c r="C125" s="13" t="s">
        <v>294</v>
      </c>
      <c r="D125" s="13">
        <v>887</v>
      </c>
      <c r="E125" s="13">
        <v>887</v>
      </c>
      <c r="F125" s="13">
        <v>887</v>
      </c>
      <c r="G125" s="13">
        <v>887</v>
      </c>
      <c r="H125" s="13">
        <v>887</v>
      </c>
      <c r="I125" s="13">
        <v>887</v>
      </c>
      <c r="J125" s="13">
        <v>887</v>
      </c>
      <c r="K125" s="13">
        <v>887</v>
      </c>
      <c r="L125" s="13">
        <v>887</v>
      </c>
    </row>
    <row r="126" spans="1:12" x14ac:dyDescent="0.3">
      <c r="A126" s="10" t="s">
        <v>377</v>
      </c>
      <c r="B126" s="10"/>
      <c r="C126" s="13" t="s">
        <v>294</v>
      </c>
      <c r="D126" s="13" t="s">
        <v>294</v>
      </c>
      <c r="E126" s="13">
        <v>1175</v>
      </c>
      <c r="F126" s="13">
        <v>300</v>
      </c>
      <c r="G126" s="13">
        <v>914</v>
      </c>
      <c r="H126" s="13">
        <v>1016</v>
      </c>
      <c r="I126" s="13">
        <v>1034</v>
      </c>
      <c r="J126" s="13">
        <v>976</v>
      </c>
      <c r="K126" s="13">
        <v>2242</v>
      </c>
      <c r="L126" s="13">
        <v>1008</v>
      </c>
    </row>
    <row r="127" spans="1:12" x14ac:dyDescent="0.3">
      <c r="A127" s="10" t="s">
        <v>378</v>
      </c>
      <c r="B127" s="10"/>
      <c r="C127" s="13" t="s">
        <v>294</v>
      </c>
      <c r="D127" s="13" t="s">
        <v>294</v>
      </c>
      <c r="E127" s="13" t="s">
        <v>294</v>
      </c>
      <c r="F127" s="13">
        <v>4506</v>
      </c>
      <c r="G127" s="13">
        <v>4144</v>
      </c>
      <c r="H127" s="13">
        <v>3879</v>
      </c>
      <c r="I127" s="13">
        <v>3748</v>
      </c>
      <c r="J127" s="13">
        <v>3600</v>
      </c>
      <c r="K127" s="13">
        <v>3333</v>
      </c>
      <c r="L127" s="13">
        <v>3066</v>
      </c>
    </row>
    <row r="128" spans="1:12" x14ac:dyDescent="0.3">
      <c r="A128" s="10" t="s">
        <v>379</v>
      </c>
      <c r="B128" s="10"/>
      <c r="C128" s="13" t="s">
        <v>294</v>
      </c>
      <c r="D128" s="13" t="s">
        <v>294</v>
      </c>
      <c r="E128" s="13">
        <v>1823</v>
      </c>
      <c r="F128" s="13">
        <v>998</v>
      </c>
      <c r="G128" s="13">
        <v>1729</v>
      </c>
      <c r="H128" s="13">
        <v>1563</v>
      </c>
      <c r="I128" s="13">
        <v>1283</v>
      </c>
      <c r="J128" s="13">
        <v>1210</v>
      </c>
      <c r="K128" s="13">
        <v>2812</v>
      </c>
      <c r="L128" s="13">
        <v>1255</v>
      </c>
    </row>
    <row r="129" spans="1:12" x14ac:dyDescent="0.3">
      <c r="A129" s="10" t="s">
        <v>380</v>
      </c>
      <c r="B129" s="10"/>
      <c r="C129" s="13" t="s">
        <v>294</v>
      </c>
      <c r="D129" s="13" t="s">
        <v>294</v>
      </c>
      <c r="E129" s="13">
        <v>7346</v>
      </c>
      <c r="F129" s="13">
        <v>7523</v>
      </c>
      <c r="G129" s="13">
        <v>7000</v>
      </c>
      <c r="H129" s="13">
        <v>6833</v>
      </c>
      <c r="I129" s="13">
        <v>6970</v>
      </c>
      <c r="J129" s="13">
        <v>6738</v>
      </c>
      <c r="K129" s="13">
        <v>6268</v>
      </c>
      <c r="L129" s="13">
        <v>6056</v>
      </c>
    </row>
    <row r="130" spans="1:12" x14ac:dyDescent="0.3">
      <c r="A130" s="10" t="s">
        <v>381</v>
      </c>
      <c r="B130" s="10"/>
      <c r="C130" s="13" t="s">
        <v>294</v>
      </c>
      <c r="D130" s="13" t="s">
        <v>294</v>
      </c>
      <c r="E130" s="13">
        <v>55</v>
      </c>
      <c r="F130" s="13">
        <v>57</v>
      </c>
      <c r="G130" s="13">
        <v>24</v>
      </c>
      <c r="H130" s="13">
        <v>9</v>
      </c>
      <c r="I130" s="13">
        <v>8</v>
      </c>
      <c r="J130" s="13">
        <v>6</v>
      </c>
      <c r="K130" s="13">
        <v>5</v>
      </c>
      <c r="L130" s="13">
        <v>5</v>
      </c>
    </row>
    <row r="131" spans="1:12" x14ac:dyDescent="0.3">
      <c r="A131" s="10" t="s">
        <v>382</v>
      </c>
      <c r="B131" s="10"/>
      <c r="C131" s="13" t="s">
        <v>294</v>
      </c>
      <c r="D131" s="13" t="s">
        <v>294</v>
      </c>
      <c r="E131" s="13">
        <v>582</v>
      </c>
      <c r="F131" s="13">
        <v>292</v>
      </c>
      <c r="G131" s="13">
        <v>547</v>
      </c>
      <c r="H131" s="13">
        <v>308</v>
      </c>
      <c r="I131" s="13">
        <v>249</v>
      </c>
      <c r="J131" s="13">
        <v>234</v>
      </c>
      <c r="K131" s="13">
        <v>570</v>
      </c>
      <c r="L131" s="13">
        <v>247</v>
      </c>
    </row>
    <row r="132" spans="1:12" x14ac:dyDescent="0.3">
      <c r="A132" s="10" t="s">
        <v>383</v>
      </c>
      <c r="B132" s="10"/>
      <c r="C132" s="14" t="s">
        <v>294</v>
      </c>
      <c r="D132" s="14" t="s">
        <v>294</v>
      </c>
      <c r="E132" s="14">
        <v>1.6</v>
      </c>
      <c r="F132" s="14">
        <v>-14.5</v>
      </c>
      <c r="G132" s="14">
        <v>3</v>
      </c>
      <c r="H132" s="14">
        <v>16.100000000000001</v>
      </c>
      <c r="I132" s="14">
        <v>11.2</v>
      </c>
      <c r="J132" s="14">
        <v>17.2</v>
      </c>
      <c r="K132" s="14">
        <v>18.5</v>
      </c>
      <c r="L132" s="14">
        <v>7.6</v>
      </c>
    </row>
    <row r="133" spans="1:12" x14ac:dyDescent="0.3">
      <c r="A133" s="10" t="s">
        <v>384</v>
      </c>
      <c r="B133" s="10"/>
      <c r="C133" s="13" t="s">
        <v>294</v>
      </c>
      <c r="D133" s="13">
        <v>6409</v>
      </c>
      <c r="E133" s="13">
        <v>6189</v>
      </c>
      <c r="F133" s="13">
        <v>5944</v>
      </c>
      <c r="G133" s="13">
        <v>5607</v>
      </c>
      <c r="H133" s="13">
        <v>5379</v>
      </c>
      <c r="I133" s="13">
        <v>5281</v>
      </c>
      <c r="J133" s="13">
        <v>5184</v>
      </c>
      <c r="K133" s="13">
        <v>6450</v>
      </c>
      <c r="L133" s="13">
        <v>2273</v>
      </c>
    </row>
    <row r="134" spans="1:12" x14ac:dyDescent="0.3">
      <c r="A134" s="10" t="s">
        <v>385</v>
      </c>
      <c r="B134" s="10"/>
      <c r="C134" s="13" t="s">
        <v>294</v>
      </c>
      <c r="D134" s="13" t="s">
        <v>294</v>
      </c>
      <c r="E134" s="13">
        <v>13146</v>
      </c>
      <c r="F134" s="13">
        <v>12467</v>
      </c>
      <c r="G134" s="13">
        <v>11356</v>
      </c>
      <c r="H134" s="13">
        <v>10726</v>
      </c>
      <c r="I134" s="13">
        <v>10406</v>
      </c>
      <c r="J134" s="13">
        <v>10095</v>
      </c>
      <c r="K134" s="13">
        <v>11141</v>
      </c>
      <c r="L134" s="13">
        <v>9249</v>
      </c>
    </row>
    <row r="135" spans="1:12" x14ac:dyDescent="0.3">
      <c r="A135" s="10" t="s">
        <v>394</v>
      </c>
      <c r="B135" s="10"/>
      <c r="C135" s="13" t="s">
        <v>294</v>
      </c>
      <c r="D135" s="13">
        <v>71169</v>
      </c>
      <c r="E135" s="13">
        <v>70764</v>
      </c>
      <c r="F135" s="13">
        <v>72220</v>
      </c>
      <c r="G135" s="13">
        <v>73317</v>
      </c>
      <c r="H135" s="13">
        <v>72405</v>
      </c>
      <c r="I135" s="13">
        <v>74999</v>
      </c>
      <c r="J135" s="13">
        <v>78048</v>
      </c>
      <c r="K135" s="13">
        <v>100444</v>
      </c>
      <c r="L135" s="13">
        <v>98590</v>
      </c>
    </row>
    <row r="136" spans="1:12" x14ac:dyDescent="0.3">
      <c r="A136" s="10" t="s">
        <v>386</v>
      </c>
      <c r="B136" s="10"/>
      <c r="C136" s="13" t="s">
        <v>294</v>
      </c>
      <c r="D136" s="13">
        <v>33738</v>
      </c>
      <c r="E136" s="13">
        <v>33320</v>
      </c>
      <c r="F136" s="13">
        <v>33982</v>
      </c>
      <c r="G136" s="13">
        <v>32176</v>
      </c>
      <c r="H136" s="13">
        <v>30394</v>
      </c>
      <c r="I136" s="13">
        <v>28966</v>
      </c>
      <c r="J136" s="13">
        <v>28858</v>
      </c>
      <c r="K136" s="13">
        <v>27450</v>
      </c>
      <c r="L136" s="13">
        <v>26226</v>
      </c>
    </row>
    <row r="137" spans="1:12" x14ac:dyDescent="0.3">
      <c r="A137" s="10" t="s">
        <v>387</v>
      </c>
      <c r="B137" s="10"/>
      <c r="C137" s="13" t="s">
        <v>294</v>
      </c>
      <c r="D137" s="13" t="s">
        <v>294</v>
      </c>
      <c r="E137" s="13">
        <v>1240</v>
      </c>
      <c r="F137" s="13">
        <v>706</v>
      </c>
      <c r="G137" s="13">
        <v>1182</v>
      </c>
      <c r="H137" s="13">
        <v>1255</v>
      </c>
      <c r="I137" s="13">
        <v>1034</v>
      </c>
      <c r="J137" s="13">
        <v>976</v>
      </c>
      <c r="K137" s="13">
        <v>2242</v>
      </c>
      <c r="L137" s="13">
        <v>1008</v>
      </c>
    </row>
    <row r="138" spans="1:12" x14ac:dyDescent="0.3">
      <c r="A138" s="10" t="s">
        <v>388</v>
      </c>
      <c r="B138" s="10"/>
      <c r="C138" s="13" t="s">
        <v>294</v>
      </c>
      <c r="D138" s="13" t="s">
        <v>294</v>
      </c>
      <c r="E138" s="13">
        <v>3597</v>
      </c>
      <c r="F138" s="13">
        <v>2392</v>
      </c>
      <c r="G138" s="13">
        <v>1365</v>
      </c>
      <c r="H138" s="13">
        <v>1081</v>
      </c>
      <c r="I138" s="13">
        <v>969</v>
      </c>
      <c r="J138" s="13">
        <v>942</v>
      </c>
      <c r="K138" s="13">
        <v>992</v>
      </c>
      <c r="L138" s="13">
        <v>953</v>
      </c>
    </row>
    <row r="139" spans="1:12" x14ac:dyDescent="0.3">
      <c r="A139" s="10" t="s">
        <v>389</v>
      </c>
      <c r="B139" s="10"/>
      <c r="C139" s="13" t="s">
        <v>294</v>
      </c>
      <c r="D139" s="13" t="s">
        <v>294</v>
      </c>
      <c r="E139" s="13">
        <v>11534</v>
      </c>
      <c r="F139" s="13">
        <v>11337</v>
      </c>
      <c r="G139" s="13">
        <v>9627</v>
      </c>
      <c r="H139" s="13">
        <v>9163</v>
      </c>
      <c r="I139" s="13">
        <v>9123</v>
      </c>
      <c r="J139" s="13">
        <v>8885</v>
      </c>
      <c r="K139" s="13">
        <v>8329</v>
      </c>
      <c r="L139" s="13">
        <v>7994</v>
      </c>
    </row>
    <row r="140" spans="1:12" x14ac:dyDescent="0.3">
      <c r="A140" s="10" t="s">
        <v>390</v>
      </c>
      <c r="B140" s="10"/>
      <c r="C140" s="13" t="s">
        <v>294</v>
      </c>
      <c r="D140" s="13">
        <v>1939</v>
      </c>
      <c r="E140" s="13">
        <v>1175</v>
      </c>
      <c r="F140" s="13">
        <v>300</v>
      </c>
      <c r="G140" s="13">
        <v>914</v>
      </c>
      <c r="H140" s="13">
        <v>1016</v>
      </c>
      <c r="I140" s="13">
        <v>780</v>
      </c>
      <c r="J140" s="13">
        <v>1277</v>
      </c>
      <c r="K140" s="13">
        <v>905</v>
      </c>
      <c r="L140" s="13">
        <v>276</v>
      </c>
    </row>
    <row r="141" spans="1:12" x14ac:dyDescent="0.3">
      <c r="A141" s="10" t="s">
        <v>391</v>
      </c>
      <c r="B141" s="10"/>
      <c r="C141" s="13" t="s">
        <v>294</v>
      </c>
      <c r="D141" s="13" t="s">
        <v>294</v>
      </c>
      <c r="E141" s="13">
        <v>930</v>
      </c>
      <c r="F141" s="13">
        <v>581</v>
      </c>
      <c r="G141" s="13">
        <v>244</v>
      </c>
      <c r="H141" s="13">
        <v>250</v>
      </c>
      <c r="I141" s="13">
        <v>253</v>
      </c>
      <c r="J141" s="13">
        <v>238</v>
      </c>
      <c r="K141" s="13">
        <v>257</v>
      </c>
      <c r="L141" s="13">
        <v>155</v>
      </c>
    </row>
    <row r="142" spans="1:12" x14ac:dyDescent="0.3">
      <c r="A142" s="10" t="s">
        <v>392</v>
      </c>
      <c r="B142" s="10"/>
      <c r="C142" s="13" t="s">
        <v>294</v>
      </c>
      <c r="D142" s="13">
        <v>444</v>
      </c>
      <c r="E142" s="13">
        <v>577</v>
      </c>
      <c r="F142" s="13">
        <v>736</v>
      </c>
      <c r="G142" s="13">
        <v>302</v>
      </c>
      <c r="H142" s="13">
        <v>332</v>
      </c>
      <c r="I142" s="13">
        <v>299</v>
      </c>
      <c r="J142" s="13">
        <v>370</v>
      </c>
      <c r="K142" s="13">
        <v>257</v>
      </c>
      <c r="L142" s="13">
        <v>192</v>
      </c>
    </row>
    <row r="143" spans="1:12" x14ac:dyDescent="0.3">
      <c r="A143" s="10" t="s">
        <v>393</v>
      </c>
      <c r="B143" s="10"/>
      <c r="C143" s="13" t="s">
        <v>294</v>
      </c>
      <c r="D143" s="13" t="s">
        <v>294</v>
      </c>
      <c r="E143" s="13">
        <v>1062</v>
      </c>
      <c r="F143" s="13">
        <v>1042</v>
      </c>
      <c r="G143" s="13">
        <v>1018</v>
      </c>
      <c r="H143" s="13">
        <v>944</v>
      </c>
      <c r="I143" s="13">
        <v>905</v>
      </c>
      <c r="J143" s="13">
        <v>868</v>
      </c>
      <c r="K143" s="13" t="s">
        <v>294</v>
      </c>
      <c r="L143" s="13">
        <v>813</v>
      </c>
    </row>
    <row r="144" spans="1:12" x14ac:dyDescent="0.3">
      <c r="A144" s="6" t="s">
        <v>400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 x14ac:dyDescent="0.3">
      <c r="A145" s="10" t="s">
        <v>373</v>
      </c>
      <c r="B145" s="10"/>
      <c r="C145" s="13">
        <v>-1099</v>
      </c>
      <c r="D145" s="13" t="s">
        <v>294</v>
      </c>
      <c r="E145" s="13">
        <v>343</v>
      </c>
      <c r="F145" s="13">
        <v>-129</v>
      </c>
      <c r="G145" s="13">
        <v>436</v>
      </c>
      <c r="H145" s="13">
        <v>-220</v>
      </c>
      <c r="I145" s="13">
        <v>2646</v>
      </c>
      <c r="J145" s="13">
        <v>1377</v>
      </c>
      <c r="K145" s="13">
        <v>836</v>
      </c>
      <c r="L145" s="13">
        <v>-5650</v>
      </c>
    </row>
    <row r="146" spans="1:12" x14ac:dyDescent="0.3">
      <c r="A146" s="10" t="s">
        <v>382</v>
      </c>
      <c r="B146" s="10"/>
      <c r="C146" s="13">
        <v>-1683</v>
      </c>
      <c r="D146" s="13">
        <v>87</v>
      </c>
      <c r="E146" s="13" t="s">
        <v>294</v>
      </c>
      <c r="F146" s="13" t="s">
        <v>294</v>
      </c>
      <c r="G146" s="13" t="s">
        <v>294</v>
      </c>
      <c r="H146" s="13" t="s">
        <v>294</v>
      </c>
      <c r="I146" s="13" t="s">
        <v>294</v>
      </c>
      <c r="J146" s="13" t="s">
        <v>294</v>
      </c>
      <c r="K146" s="13" t="s">
        <v>294</v>
      </c>
      <c r="L146" s="13" t="s">
        <v>294</v>
      </c>
    </row>
    <row r="147" spans="1:12" x14ac:dyDescent="0.3">
      <c r="A147" s="10" t="s">
        <v>378</v>
      </c>
      <c r="B147" s="10"/>
      <c r="C147" s="13">
        <v>91</v>
      </c>
      <c r="D147" s="13" t="s">
        <v>294</v>
      </c>
      <c r="E147" s="13" t="s">
        <v>294</v>
      </c>
      <c r="F147" s="13" t="s">
        <v>294</v>
      </c>
      <c r="G147" s="13" t="s">
        <v>294</v>
      </c>
      <c r="H147" s="13" t="s">
        <v>294</v>
      </c>
      <c r="I147" s="13" t="s">
        <v>294</v>
      </c>
      <c r="J147" s="13" t="s">
        <v>294</v>
      </c>
      <c r="K147" s="13" t="s">
        <v>294</v>
      </c>
      <c r="L147" s="13" t="s">
        <v>294</v>
      </c>
    </row>
    <row r="148" spans="1:12" x14ac:dyDescent="0.3">
      <c r="A148" s="10" t="s">
        <v>380</v>
      </c>
      <c r="B148" s="10"/>
      <c r="C148" s="13">
        <v>1620</v>
      </c>
      <c r="D148" s="13" t="s">
        <v>294</v>
      </c>
      <c r="E148" s="13" t="s">
        <v>294</v>
      </c>
      <c r="F148" s="13" t="s">
        <v>294</v>
      </c>
      <c r="G148" s="13" t="s">
        <v>294</v>
      </c>
      <c r="H148" s="13" t="s">
        <v>294</v>
      </c>
      <c r="I148" s="13" t="s">
        <v>294</v>
      </c>
      <c r="J148" s="13" t="s">
        <v>294</v>
      </c>
      <c r="K148" s="13" t="s">
        <v>294</v>
      </c>
      <c r="L148" s="13" t="s">
        <v>294</v>
      </c>
    </row>
    <row r="149" spans="1:12" x14ac:dyDescent="0.3">
      <c r="A149" s="10" t="s">
        <v>384</v>
      </c>
      <c r="B149" s="10"/>
      <c r="C149" s="13">
        <v>1838</v>
      </c>
      <c r="D149" s="13" t="s">
        <v>294</v>
      </c>
      <c r="E149" s="13" t="s">
        <v>294</v>
      </c>
      <c r="F149" s="13" t="s">
        <v>294</v>
      </c>
      <c r="G149" s="13" t="s">
        <v>294</v>
      </c>
      <c r="H149" s="13" t="s">
        <v>294</v>
      </c>
      <c r="I149" s="13" t="s">
        <v>294</v>
      </c>
      <c r="J149" s="13" t="s">
        <v>294</v>
      </c>
      <c r="K149" s="13" t="s">
        <v>294</v>
      </c>
      <c r="L149" s="13" t="s">
        <v>294</v>
      </c>
    </row>
    <row r="150" spans="1:12" x14ac:dyDescent="0.3">
      <c r="A150" s="10" t="s">
        <v>394</v>
      </c>
      <c r="B150" s="10"/>
      <c r="C150" s="13">
        <v>-16985</v>
      </c>
      <c r="D150" s="13" t="s">
        <v>294</v>
      </c>
      <c r="E150" s="13" t="s">
        <v>294</v>
      </c>
      <c r="F150" s="13" t="s">
        <v>294</v>
      </c>
      <c r="G150" s="13" t="s">
        <v>294</v>
      </c>
      <c r="H150" s="13" t="s">
        <v>294</v>
      </c>
      <c r="I150" s="13" t="s">
        <v>294</v>
      </c>
      <c r="J150" s="13" t="s">
        <v>294</v>
      </c>
      <c r="K150" s="13" t="s">
        <v>294</v>
      </c>
      <c r="L150" s="13" t="s">
        <v>294</v>
      </c>
    </row>
    <row r="151" spans="1:12" x14ac:dyDescent="0.3">
      <c r="A151" s="10" t="s">
        <v>392</v>
      </c>
      <c r="B151" s="10"/>
      <c r="C151" s="13">
        <v>-533</v>
      </c>
      <c r="D151" s="13" t="s">
        <v>294</v>
      </c>
      <c r="E151" s="13" t="s">
        <v>294</v>
      </c>
      <c r="F151" s="13" t="s">
        <v>294</v>
      </c>
      <c r="G151" s="13" t="s">
        <v>294</v>
      </c>
      <c r="H151" s="13" t="s">
        <v>294</v>
      </c>
      <c r="I151" s="13" t="s">
        <v>294</v>
      </c>
      <c r="J151" s="13" t="s">
        <v>294</v>
      </c>
      <c r="K151" s="13" t="s">
        <v>294</v>
      </c>
      <c r="L151" s="13" t="s">
        <v>294</v>
      </c>
    </row>
    <row r="152" spans="1:12" x14ac:dyDescent="0.3">
      <c r="A152" s="6" t="s">
        <v>401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x14ac:dyDescent="0.3">
      <c r="A153" s="10" t="s">
        <v>374</v>
      </c>
      <c r="B153" s="10"/>
      <c r="C153" s="13">
        <v>-961</v>
      </c>
      <c r="D153" s="13">
        <v>3460</v>
      </c>
      <c r="E153" s="13">
        <v>2789</v>
      </c>
      <c r="F153" s="13">
        <v>1302</v>
      </c>
      <c r="G153" s="13">
        <v>327</v>
      </c>
      <c r="H153" s="13">
        <v>1827</v>
      </c>
      <c r="I153" s="13">
        <v>1805</v>
      </c>
      <c r="J153" s="13">
        <v>2015</v>
      </c>
      <c r="K153" s="13">
        <v>897</v>
      </c>
      <c r="L153" s="13">
        <v>-1933</v>
      </c>
    </row>
    <row r="154" spans="1:12" x14ac:dyDescent="0.3">
      <c r="A154" s="10" t="s">
        <v>379</v>
      </c>
      <c r="B154" s="10"/>
      <c r="C154" s="13">
        <v>-4695</v>
      </c>
      <c r="D154" s="13">
        <v>-256</v>
      </c>
      <c r="E154" s="13">
        <v>-207</v>
      </c>
      <c r="F154" s="13">
        <v>-854</v>
      </c>
      <c r="G154" s="13">
        <v>-2520</v>
      </c>
      <c r="H154" s="13">
        <v>-388</v>
      </c>
      <c r="I154" s="13">
        <v>191</v>
      </c>
      <c r="J154" s="13">
        <v>-280</v>
      </c>
      <c r="K154" s="13">
        <v>-1954</v>
      </c>
      <c r="L154" s="13">
        <v>-4424</v>
      </c>
    </row>
    <row r="155" spans="1:12" x14ac:dyDescent="0.3">
      <c r="A155" s="10" t="s">
        <v>377</v>
      </c>
      <c r="B155" s="10"/>
      <c r="C155" s="13">
        <v>64</v>
      </c>
      <c r="D155" s="13" t="s">
        <v>294</v>
      </c>
      <c r="E155" s="13">
        <v>-12</v>
      </c>
      <c r="F155" s="13" t="s">
        <v>294</v>
      </c>
      <c r="G155" s="13" t="s">
        <v>294</v>
      </c>
      <c r="H155" s="13" t="s">
        <v>294</v>
      </c>
      <c r="I155" s="13">
        <v>132</v>
      </c>
      <c r="J155" s="13">
        <v>-216</v>
      </c>
      <c r="K155" s="13" t="s">
        <v>294</v>
      </c>
      <c r="L155" s="13" t="s">
        <v>294</v>
      </c>
    </row>
    <row r="156" spans="1:12" x14ac:dyDescent="0.3">
      <c r="A156" s="10" t="s">
        <v>381</v>
      </c>
      <c r="B156" s="10"/>
      <c r="C156" s="13">
        <v>123</v>
      </c>
      <c r="D156" s="13">
        <v>38</v>
      </c>
      <c r="E156" s="13">
        <v>-60</v>
      </c>
      <c r="F156" s="13" t="s">
        <v>294</v>
      </c>
      <c r="G156" s="13" t="s">
        <v>294</v>
      </c>
      <c r="H156" s="13" t="s">
        <v>294</v>
      </c>
      <c r="I156" s="13" t="s">
        <v>294</v>
      </c>
      <c r="J156" s="13" t="s">
        <v>294</v>
      </c>
      <c r="K156" s="13" t="s">
        <v>294</v>
      </c>
      <c r="L156" s="13" t="s">
        <v>294</v>
      </c>
    </row>
    <row r="157" spans="1:12" x14ac:dyDescent="0.3">
      <c r="A157" s="10" t="s">
        <v>373</v>
      </c>
      <c r="B157" s="10"/>
      <c r="C157" s="13">
        <v>112</v>
      </c>
      <c r="D157" s="13">
        <v>2236</v>
      </c>
      <c r="E157" s="13" t="s">
        <v>294</v>
      </c>
      <c r="F157" s="13" t="s">
        <v>294</v>
      </c>
      <c r="G157" s="13" t="s">
        <v>294</v>
      </c>
      <c r="H157" s="13" t="s">
        <v>294</v>
      </c>
      <c r="I157" s="13" t="s">
        <v>294</v>
      </c>
      <c r="J157" s="13" t="s">
        <v>294</v>
      </c>
      <c r="K157" s="13" t="s">
        <v>294</v>
      </c>
      <c r="L157" s="13" t="s">
        <v>294</v>
      </c>
    </row>
    <row r="158" spans="1:12" x14ac:dyDescent="0.3">
      <c r="A158" s="6" t="s">
        <v>399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x14ac:dyDescent="0.3">
      <c r="A159" s="10" t="s">
        <v>402</v>
      </c>
      <c r="B159" s="10"/>
      <c r="C159" s="13" t="s">
        <v>294</v>
      </c>
      <c r="D159" s="13" t="s">
        <v>294</v>
      </c>
      <c r="E159" s="13">
        <v>13158</v>
      </c>
      <c r="F159" s="13">
        <v>12467</v>
      </c>
      <c r="G159" s="13">
        <v>11356</v>
      </c>
      <c r="H159" s="13">
        <v>10726</v>
      </c>
      <c r="I159" s="13">
        <v>10406</v>
      </c>
      <c r="J159" s="13">
        <v>10095</v>
      </c>
      <c r="K159" s="13">
        <v>11141</v>
      </c>
      <c r="L159" s="13">
        <v>9249</v>
      </c>
    </row>
    <row r="160" spans="1:12" x14ac:dyDescent="0.3">
      <c r="A160" s="6" t="s">
        <v>403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x14ac:dyDescent="0.3">
      <c r="A161" s="10" t="s">
        <v>402</v>
      </c>
      <c r="B161" s="10"/>
      <c r="C161" s="13">
        <v>65883</v>
      </c>
      <c r="D161" s="13">
        <v>67546</v>
      </c>
      <c r="E161" s="13">
        <v>47170</v>
      </c>
      <c r="F161" s="13">
        <v>47460</v>
      </c>
      <c r="G161" s="13">
        <v>51388</v>
      </c>
      <c r="H161" s="13">
        <v>57435</v>
      </c>
      <c r="I161" s="13">
        <v>56568</v>
      </c>
      <c r="J161" s="13">
        <v>56370</v>
      </c>
      <c r="K161" s="13">
        <v>59103</v>
      </c>
      <c r="L161" s="13">
        <v>69301</v>
      </c>
    </row>
    <row r="162" spans="1:12" x14ac:dyDescent="0.3">
      <c r="A162" s="6" t="s">
        <v>404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x14ac:dyDescent="0.3">
      <c r="A163" s="10" t="s">
        <v>402</v>
      </c>
      <c r="B163" s="10"/>
      <c r="C163" s="13">
        <v>-1099</v>
      </c>
      <c r="D163" s="13">
        <v>2236</v>
      </c>
      <c r="E163" s="13">
        <v>-8127</v>
      </c>
      <c r="F163" s="13">
        <v>-8091</v>
      </c>
      <c r="G163" s="13">
        <v>-436</v>
      </c>
      <c r="H163" s="13">
        <v>-220</v>
      </c>
      <c r="I163" s="13">
        <v>2646</v>
      </c>
      <c r="J163" s="13">
        <v>1377</v>
      </c>
      <c r="K163" s="13">
        <v>836</v>
      </c>
      <c r="L163" s="13">
        <v>-8652</v>
      </c>
    </row>
    <row r="164" spans="1:12" x14ac:dyDescent="0.3">
      <c r="A164" s="6" t="s">
        <v>405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x14ac:dyDescent="0.3">
      <c r="A165" s="10" t="s">
        <v>402</v>
      </c>
      <c r="B165" s="10"/>
      <c r="C165" s="13" t="s">
        <v>294</v>
      </c>
      <c r="D165" s="13" t="s">
        <v>294</v>
      </c>
      <c r="E165" s="13">
        <v>9142</v>
      </c>
      <c r="F165" s="13">
        <v>8951</v>
      </c>
      <c r="G165" s="13" t="s">
        <v>294</v>
      </c>
      <c r="H165" s="13" t="s">
        <v>294</v>
      </c>
      <c r="I165" s="13" t="s">
        <v>294</v>
      </c>
      <c r="J165" s="13" t="s">
        <v>294</v>
      </c>
      <c r="K165" s="13" t="s">
        <v>294</v>
      </c>
      <c r="L165" s="13" t="s">
        <v>294</v>
      </c>
    </row>
    <row r="166" spans="1:12" x14ac:dyDescent="0.3">
      <c r="A166" s="6" t="s">
        <v>405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x14ac:dyDescent="0.3">
      <c r="A167" s="10" t="s">
        <v>375</v>
      </c>
      <c r="B167" s="10"/>
      <c r="C167" s="13" t="s">
        <v>294</v>
      </c>
      <c r="D167" s="13" t="s">
        <v>294</v>
      </c>
      <c r="E167" s="13">
        <v>226792</v>
      </c>
      <c r="F167" s="13" t="s">
        <v>294</v>
      </c>
      <c r="G167" s="13" t="s">
        <v>294</v>
      </c>
      <c r="H167" s="13" t="s">
        <v>294</v>
      </c>
      <c r="I167" s="13" t="s">
        <v>294</v>
      </c>
      <c r="J167" s="13" t="s">
        <v>294</v>
      </c>
      <c r="K167" s="13" t="s">
        <v>294</v>
      </c>
      <c r="L167" s="13" t="s">
        <v>294</v>
      </c>
    </row>
    <row r="168" spans="1:12" x14ac:dyDescent="0.3">
      <c r="A168" s="10" t="s">
        <v>376</v>
      </c>
      <c r="B168" s="10"/>
      <c r="C168" s="13" t="s">
        <v>294</v>
      </c>
      <c r="D168" s="13">
        <v>260</v>
      </c>
      <c r="E168" s="13">
        <v>260</v>
      </c>
      <c r="F168" s="13" t="s">
        <v>294</v>
      </c>
      <c r="G168" s="13" t="s">
        <v>294</v>
      </c>
      <c r="H168" s="13" t="s">
        <v>294</v>
      </c>
      <c r="I168" s="13" t="s">
        <v>294</v>
      </c>
      <c r="J168" s="13" t="s">
        <v>294</v>
      </c>
      <c r="K168" s="13" t="s">
        <v>294</v>
      </c>
      <c r="L168" s="13" t="s">
        <v>294</v>
      </c>
    </row>
    <row r="169" spans="1:12" x14ac:dyDescent="0.3">
      <c r="A169" s="10" t="s">
        <v>373</v>
      </c>
      <c r="B169" s="10"/>
      <c r="C169" s="13" t="s">
        <v>294</v>
      </c>
      <c r="D169" s="13">
        <v>9127</v>
      </c>
      <c r="E169" s="13" t="s">
        <v>294</v>
      </c>
      <c r="F169" s="13" t="s">
        <v>294</v>
      </c>
      <c r="G169" s="13" t="s">
        <v>294</v>
      </c>
      <c r="H169" s="13" t="s">
        <v>294</v>
      </c>
      <c r="I169" s="13" t="s">
        <v>294</v>
      </c>
      <c r="J169" s="13" t="s">
        <v>294</v>
      </c>
      <c r="K169" s="13" t="s">
        <v>294</v>
      </c>
      <c r="L169" s="13" t="s">
        <v>294</v>
      </c>
    </row>
    <row r="170" spans="1:12" x14ac:dyDescent="0.3">
      <c r="A170" s="10" t="s">
        <v>384</v>
      </c>
      <c r="B170" s="10"/>
      <c r="C170" s="13" t="s">
        <v>294</v>
      </c>
      <c r="D170" s="13">
        <v>3156</v>
      </c>
      <c r="E170" s="13" t="s">
        <v>294</v>
      </c>
      <c r="F170" s="13" t="s">
        <v>294</v>
      </c>
      <c r="G170" s="13" t="s">
        <v>294</v>
      </c>
      <c r="H170" s="13" t="s">
        <v>294</v>
      </c>
      <c r="I170" s="13" t="s">
        <v>294</v>
      </c>
      <c r="J170" s="13" t="s">
        <v>294</v>
      </c>
      <c r="K170" s="13" t="s">
        <v>294</v>
      </c>
      <c r="L170" s="13" t="s">
        <v>294</v>
      </c>
    </row>
    <row r="171" spans="1:12" x14ac:dyDescent="0.3">
      <c r="A171" s="10" t="s">
        <v>394</v>
      </c>
      <c r="B171" s="10"/>
      <c r="C171" s="13" t="s">
        <v>294</v>
      </c>
      <c r="D171" s="13">
        <v>32546</v>
      </c>
      <c r="E171" s="13" t="s">
        <v>294</v>
      </c>
      <c r="F171" s="13" t="s">
        <v>294</v>
      </c>
      <c r="G171" s="13" t="s">
        <v>294</v>
      </c>
      <c r="H171" s="13" t="s">
        <v>294</v>
      </c>
      <c r="I171" s="13" t="s">
        <v>294</v>
      </c>
      <c r="J171" s="13" t="s">
        <v>294</v>
      </c>
      <c r="K171" s="13" t="s">
        <v>294</v>
      </c>
      <c r="L171" s="13" t="s">
        <v>294</v>
      </c>
    </row>
    <row r="172" spans="1:12" x14ac:dyDescent="0.3">
      <c r="A172" s="10" t="s">
        <v>386</v>
      </c>
      <c r="B172" s="10"/>
      <c r="C172" s="13" t="s">
        <v>294</v>
      </c>
      <c r="D172" s="13">
        <v>37367</v>
      </c>
      <c r="E172" s="13" t="s">
        <v>294</v>
      </c>
      <c r="F172" s="13" t="s">
        <v>294</v>
      </c>
      <c r="G172" s="13" t="s">
        <v>294</v>
      </c>
      <c r="H172" s="13" t="s">
        <v>294</v>
      </c>
      <c r="I172" s="13" t="s">
        <v>294</v>
      </c>
      <c r="J172" s="13" t="s">
        <v>294</v>
      </c>
      <c r="K172" s="13" t="s">
        <v>294</v>
      </c>
      <c r="L172" s="13" t="s">
        <v>294</v>
      </c>
    </row>
    <row r="173" spans="1:12" x14ac:dyDescent="0.3">
      <c r="A173" s="10" t="s">
        <v>390</v>
      </c>
      <c r="B173" s="10"/>
      <c r="C173" s="13" t="s">
        <v>294</v>
      </c>
      <c r="D173" s="13">
        <v>973</v>
      </c>
      <c r="E173" s="13" t="s">
        <v>294</v>
      </c>
      <c r="F173" s="13" t="s">
        <v>294</v>
      </c>
      <c r="G173" s="13" t="s">
        <v>294</v>
      </c>
      <c r="H173" s="13" t="s">
        <v>294</v>
      </c>
      <c r="I173" s="13" t="s">
        <v>294</v>
      </c>
      <c r="J173" s="13" t="s">
        <v>294</v>
      </c>
      <c r="K173" s="13" t="s">
        <v>294</v>
      </c>
      <c r="L173" s="13" t="s">
        <v>294</v>
      </c>
    </row>
    <row r="174" spans="1:12" x14ac:dyDescent="0.3">
      <c r="A174" s="10" t="s">
        <v>392</v>
      </c>
      <c r="B174" s="10"/>
      <c r="C174" s="13" t="s">
        <v>294</v>
      </c>
      <c r="D174" s="13">
        <v>810</v>
      </c>
      <c r="E174" s="13" t="s">
        <v>294</v>
      </c>
      <c r="F174" s="13" t="s">
        <v>294</v>
      </c>
      <c r="G174" s="13" t="s">
        <v>294</v>
      </c>
      <c r="H174" s="13" t="s">
        <v>294</v>
      </c>
      <c r="I174" s="13" t="s">
        <v>294</v>
      </c>
      <c r="J174" s="13" t="s">
        <v>294</v>
      </c>
      <c r="K174" s="13" t="s">
        <v>294</v>
      </c>
      <c r="L174" s="13" t="s">
        <v>294</v>
      </c>
    </row>
    <row r="175" spans="1:12" x14ac:dyDescent="0.3">
      <c r="A175" s="6" t="s">
        <v>406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x14ac:dyDescent="0.3">
      <c r="A176" s="10" t="s">
        <v>374</v>
      </c>
      <c r="B176" s="10"/>
      <c r="C176" s="13">
        <v>5167</v>
      </c>
      <c r="D176" s="13">
        <v>5720</v>
      </c>
      <c r="E176" s="13" t="s">
        <v>294</v>
      </c>
      <c r="F176" s="13" t="s">
        <v>294</v>
      </c>
      <c r="G176" s="13" t="s">
        <v>294</v>
      </c>
      <c r="H176" s="13" t="s">
        <v>294</v>
      </c>
      <c r="I176" s="13" t="s">
        <v>294</v>
      </c>
      <c r="J176" s="13" t="s">
        <v>294</v>
      </c>
      <c r="K176" s="13" t="s">
        <v>294</v>
      </c>
      <c r="L176" s="13" t="s">
        <v>294</v>
      </c>
    </row>
    <row r="177" spans="1:12" x14ac:dyDescent="0.3">
      <c r="A177" s="10" t="s">
        <v>375</v>
      </c>
      <c r="B177" s="10"/>
      <c r="C177" s="13">
        <v>683406</v>
      </c>
      <c r="D177" s="13">
        <v>706150</v>
      </c>
      <c r="E177" s="13" t="s">
        <v>294</v>
      </c>
      <c r="F177" s="13" t="s">
        <v>294</v>
      </c>
      <c r="G177" s="13" t="s">
        <v>294</v>
      </c>
      <c r="H177" s="13" t="s">
        <v>294</v>
      </c>
      <c r="I177" s="13" t="s">
        <v>294</v>
      </c>
      <c r="J177" s="13" t="s">
        <v>294</v>
      </c>
      <c r="K177" s="13" t="s">
        <v>294</v>
      </c>
      <c r="L177" s="13" t="s">
        <v>294</v>
      </c>
    </row>
    <row r="178" spans="1:12" x14ac:dyDescent="0.3">
      <c r="A178" s="10" t="s">
        <v>377</v>
      </c>
      <c r="B178" s="10"/>
      <c r="C178" s="13">
        <v>3566</v>
      </c>
      <c r="D178" s="13">
        <v>5476</v>
      </c>
      <c r="E178" s="13" t="s">
        <v>294</v>
      </c>
      <c r="F178" s="13" t="s">
        <v>294</v>
      </c>
      <c r="G178" s="13" t="s">
        <v>294</v>
      </c>
      <c r="H178" s="13" t="s">
        <v>294</v>
      </c>
      <c r="I178" s="13" t="s">
        <v>294</v>
      </c>
      <c r="J178" s="13" t="s">
        <v>294</v>
      </c>
      <c r="K178" s="13" t="s">
        <v>294</v>
      </c>
      <c r="L178" s="13" t="s">
        <v>294</v>
      </c>
    </row>
    <row r="179" spans="1:12" x14ac:dyDescent="0.3">
      <c r="A179" s="10" t="s">
        <v>378</v>
      </c>
      <c r="B179" s="10"/>
      <c r="C179" s="13">
        <v>27415</v>
      </c>
      <c r="D179" s="13">
        <v>29066</v>
      </c>
      <c r="E179" s="13" t="s">
        <v>294</v>
      </c>
      <c r="F179" s="13" t="s">
        <v>294</v>
      </c>
      <c r="G179" s="13" t="s">
        <v>294</v>
      </c>
      <c r="H179" s="13" t="s">
        <v>294</v>
      </c>
      <c r="I179" s="13" t="s">
        <v>294</v>
      </c>
      <c r="J179" s="13" t="s">
        <v>294</v>
      </c>
      <c r="K179" s="13" t="s">
        <v>294</v>
      </c>
      <c r="L179" s="13" t="s">
        <v>294</v>
      </c>
    </row>
    <row r="180" spans="1:12" x14ac:dyDescent="0.3">
      <c r="A180" s="10" t="s">
        <v>379</v>
      </c>
      <c r="B180" s="10"/>
      <c r="C180" s="13">
        <v>8016</v>
      </c>
      <c r="D180" s="13">
        <v>8184</v>
      </c>
      <c r="E180" s="13" t="s">
        <v>294</v>
      </c>
      <c r="F180" s="13" t="s">
        <v>294</v>
      </c>
      <c r="G180" s="13" t="s">
        <v>294</v>
      </c>
      <c r="H180" s="13" t="s">
        <v>294</v>
      </c>
      <c r="I180" s="13" t="s">
        <v>294</v>
      </c>
      <c r="J180" s="13" t="s">
        <v>294</v>
      </c>
      <c r="K180" s="13" t="s">
        <v>294</v>
      </c>
      <c r="L180" s="13" t="s">
        <v>294</v>
      </c>
    </row>
    <row r="181" spans="1:12" x14ac:dyDescent="0.3">
      <c r="A181" s="10" t="s">
        <v>380</v>
      </c>
      <c r="B181" s="10"/>
      <c r="C181" s="13">
        <v>30922</v>
      </c>
      <c r="D181" s="13">
        <v>32640</v>
      </c>
      <c r="E181" s="13" t="s">
        <v>294</v>
      </c>
      <c r="F181" s="13" t="s">
        <v>294</v>
      </c>
      <c r="G181" s="13" t="s">
        <v>294</v>
      </c>
      <c r="H181" s="13" t="s">
        <v>294</v>
      </c>
      <c r="I181" s="13" t="s">
        <v>294</v>
      </c>
      <c r="J181" s="13" t="s">
        <v>294</v>
      </c>
      <c r="K181" s="13" t="s">
        <v>294</v>
      </c>
      <c r="L181" s="13" t="s">
        <v>294</v>
      </c>
    </row>
    <row r="182" spans="1:12" x14ac:dyDescent="0.3">
      <c r="A182" s="10" t="s">
        <v>381</v>
      </c>
      <c r="B182" s="10"/>
      <c r="C182" s="13">
        <v>10</v>
      </c>
      <c r="D182" s="13">
        <v>11</v>
      </c>
      <c r="E182" s="13" t="s">
        <v>294</v>
      </c>
      <c r="F182" s="13" t="s">
        <v>294</v>
      </c>
      <c r="G182" s="13" t="s">
        <v>294</v>
      </c>
      <c r="H182" s="13" t="s">
        <v>294</v>
      </c>
      <c r="I182" s="13" t="s">
        <v>294</v>
      </c>
      <c r="J182" s="13" t="s">
        <v>294</v>
      </c>
      <c r="K182" s="13" t="s">
        <v>294</v>
      </c>
      <c r="L182" s="13" t="s">
        <v>294</v>
      </c>
    </row>
    <row r="183" spans="1:12" x14ac:dyDescent="0.3">
      <c r="A183" s="10" t="s">
        <v>382</v>
      </c>
      <c r="B183" s="10"/>
      <c r="C183" s="13">
        <v>2337</v>
      </c>
      <c r="D183" s="13">
        <v>2464</v>
      </c>
      <c r="E183" s="13" t="s">
        <v>294</v>
      </c>
      <c r="F183" s="13" t="s">
        <v>294</v>
      </c>
      <c r="G183" s="13" t="s">
        <v>294</v>
      </c>
      <c r="H183" s="13" t="s">
        <v>294</v>
      </c>
      <c r="I183" s="13" t="s">
        <v>294</v>
      </c>
      <c r="J183" s="13" t="s">
        <v>294</v>
      </c>
      <c r="K183" s="13" t="s">
        <v>294</v>
      </c>
      <c r="L183" s="13" t="s">
        <v>294</v>
      </c>
    </row>
    <row r="184" spans="1:12" x14ac:dyDescent="0.3">
      <c r="A184" s="10" t="s">
        <v>388</v>
      </c>
      <c r="B184" s="10"/>
      <c r="C184" s="13">
        <v>9009</v>
      </c>
      <c r="D184" s="13">
        <v>9269</v>
      </c>
      <c r="E184" s="13" t="s">
        <v>294</v>
      </c>
      <c r="F184" s="13" t="s">
        <v>294</v>
      </c>
      <c r="G184" s="13" t="s">
        <v>294</v>
      </c>
      <c r="H184" s="13" t="s">
        <v>294</v>
      </c>
      <c r="I184" s="13" t="s">
        <v>294</v>
      </c>
      <c r="J184" s="13" t="s">
        <v>294</v>
      </c>
      <c r="K184" s="13" t="s">
        <v>294</v>
      </c>
      <c r="L184" s="13" t="s">
        <v>294</v>
      </c>
    </row>
    <row r="185" spans="1:12" x14ac:dyDescent="0.3">
      <c r="A185" s="10" t="s">
        <v>389</v>
      </c>
      <c r="B185" s="10"/>
      <c r="C185" s="13">
        <v>45604</v>
      </c>
      <c r="D185" s="13">
        <v>47602</v>
      </c>
      <c r="E185" s="13" t="s">
        <v>294</v>
      </c>
      <c r="F185" s="13" t="s">
        <v>294</v>
      </c>
      <c r="G185" s="13" t="s">
        <v>294</v>
      </c>
      <c r="H185" s="13" t="s">
        <v>294</v>
      </c>
      <c r="I185" s="13" t="s">
        <v>294</v>
      </c>
      <c r="J185" s="13" t="s">
        <v>294</v>
      </c>
      <c r="K185" s="13" t="s">
        <v>294</v>
      </c>
      <c r="L185" s="13" t="s">
        <v>294</v>
      </c>
    </row>
    <row r="186" spans="1:12" x14ac:dyDescent="0.3">
      <c r="A186" s="10" t="s">
        <v>391</v>
      </c>
      <c r="B186" s="10"/>
      <c r="C186" s="13">
        <v>1737</v>
      </c>
      <c r="D186" s="13">
        <v>1800</v>
      </c>
      <c r="E186" s="13" t="s">
        <v>294</v>
      </c>
      <c r="F186" s="13" t="s">
        <v>294</v>
      </c>
      <c r="G186" s="13" t="s">
        <v>294</v>
      </c>
      <c r="H186" s="13" t="s">
        <v>294</v>
      </c>
      <c r="I186" s="13" t="s">
        <v>294</v>
      </c>
      <c r="J186" s="13" t="s">
        <v>294</v>
      </c>
      <c r="K186" s="13" t="s">
        <v>294</v>
      </c>
      <c r="L186" s="13" t="s">
        <v>294</v>
      </c>
    </row>
    <row r="187" spans="1:12" x14ac:dyDescent="0.3">
      <c r="A187" s="10" t="s">
        <v>393</v>
      </c>
      <c r="B187" s="10"/>
      <c r="C187" s="13">
        <v>4136</v>
      </c>
      <c r="D187" s="13">
        <v>3935</v>
      </c>
      <c r="E187" s="13" t="s">
        <v>294</v>
      </c>
      <c r="F187" s="13" t="s">
        <v>294</v>
      </c>
      <c r="G187" s="13" t="s">
        <v>294</v>
      </c>
      <c r="H187" s="13" t="s">
        <v>294</v>
      </c>
      <c r="I187" s="13" t="s">
        <v>294</v>
      </c>
      <c r="J187" s="13" t="s">
        <v>294</v>
      </c>
      <c r="K187" s="13" t="s">
        <v>294</v>
      </c>
      <c r="L187" s="13" t="s">
        <v>294</v>
      </c>
    </row>
    <row r="188" spans="1:12" x14ac:dyDescent="0.3">
      <c r="A188" s="10" t="s">
        <v>373</v>
      </c>
      <c r="B188" s="10"/>
      <c r="C188" s="13">
        <v>52395</v>
      </c>
      <c r="D188" s="13" t="s">
        <v>294</v>
      </c>
      <c r="E188" s="13" t="s">
        <v>294</v>
      </c>
      <c r="F188" s="13" t="s">
        <v>294</v>
      </c>
      <c r="G188" s="13" t="s">
        <v>294</v>
      </c>
      <c r="H188" s="13" t="s">
        <v>294</v>
      </c>
      <c r="I188" s="13" t="s">
        <v>294</v>
      </c>
      <c r="J188" s="13" t="s">
        <v>294</v>
      </c>
      <c r="K188" s="13" t="s">
        <v>294</v>
      </c>
      <c r="L188" s="13" t="s">
        <v>294</v>
      </c>
    </row>
    <row r="189" spans="1:12" x14ac:dyDescent="0.3">
      <c r="A189" s="10" t="s">
        <v>376</v>
      </c>
      <c r="B189" s="10"/>
      <c r="C189" s="13">
        <v>4059</v>
      </c>
      <c r="D189" s="13" t="s">
        <v>294</v>
      </c>
      <c r="E189" s="13" t="s">
        <v>294</v>
      </c>
      <c r="F189" s="13" t="s">
        <v>294</v>
      </c>
      <c r="G189" s="13" t="s">
        <v>294</v>
      </c>
      <c r="H189" s="13" t="s">
        <v>294</v>
      </c>
      <c r="I189" s="13" t="s">
        <v>294</v>
      </c>
      <c r="J189" s="13" t="s">
        <v>294</v>
      </c>
      <c r="K189" s="13" t="s">
        <v>294</v>
      </c>
      <c r="L189" s="13" t="s">
        <v>294</v>
      </c>
    </row>
    <row r="190" spans="1:12" x14ac:dyDescent="0.3">
      <c r="A190" s="10" t="s">
        <v>384</v>
      </c>
      <c r="B190" s="10"/>
      <c r="C190" s="13">
        <v>16280</v>
      </c>
      <c r="D190" s="13" t="s">
        <v>294</v>
      </c>
      <c r="E190" s="13" t="s">
        <v>294</v>
      </c>
      <c r="F190" s="13" t="s">
        <v>294</v>
      </c>
      <c r="G190" s="13" t="s">
        <v>294</v>
      </c>
      <c r="H190" s="13" t="s">
        <v>294</v>
      </c>
      <c r="I190" s="13" t="s">
        <v>294</v>
      </c>
      <c r="J190" s="13" t="s">
        <v>294</v>
      </c>
      <c r="K190" s="13" t="s">
        <v>294</v>
      </c>
      <c r="L190" s="13" t="s">
        <v>294</v>
      </c>
    </row>
    <row r="191" spans="1:12" x14ac:dyDescent="0.3">
      <c r="A191" s="10" t="s">
        <v>394</v>
      </c>
      <c r="B191" s="10"/>
      <c r="C191" s="13">
        <v>154486</v>
      </c>
      <c r="D191" s="13" t="s">
        <v>294</v>
      </c>
      <c r="E191" s="13" t="s">
        <v>294</v>
      </c>
      <c r="F191" s="13" t="s">
        <v>294</v>
      </c>
      <c r="G191" s="13" t="s">
        <v>294</v>
      </c>
      <c r="H191" s="13" t="s">
        <v>294</v>
      </c>
      <c r="I191" s="13" t="s">
        <v>294</v>
      </c>
      <c r="J191" s="13" t="s">
        <v>294</v>
      </c>
      <c r="K191" s="13" t="s">
        <v>294</v>
      </c>
      <c r="L191" s="13" t="s">
        <v>294</v>
      </c>
    </row>
    <row r="192" spans="1:12" x14ac:dyDescent="0.3">
      <c r="A192" s="10" t="s">
        <v>386</v>
      </c>
      <c r="B192" s="10"/>
      <c r="C192" s="13">
        <v>140528</v>
      </c>
      <c r="D192" s="13" t="s">
        <v>294</v>
      </c>
      <c r="E192" s="13" t="s">
        <v>294</v>
      </c>
      <c r="F192" s="13" t="s">
        <v>294</v>
      </c>
      <c r="G192" s="13" t="s">
        <v>294</v>
      </c>
      <c r="H192" s="13" t="s">
        <v>294</v>
      </c>
      <c r="I192" s="13" t="s">
        <v>294</v>
      </c>
      <c r="J192" s="13" t="s">
        <v>294</v>
      </c>
      <c r="K192" s="13" t="s">
        <v>294</v>
      </c>
      <c r="L192" s="13" t="s">
        <v>294</v>
      </c>
    </row>
    <row r="193" spans="1:12" x14ac:dyDescent="0.3">
      <c r="A193" s="10" t="s">
        <v>390</v>
      </c>
      <c r="B193" s="10"/>
      <c r="C193" s="13">
        <v>3754</v>
      </c>
      <c r="D193" s="13" t="s">
        <v>294</v>
      </c>
      <c r="E193" s="13" t="s">
        <v>294</v>
      </c>
      <c r="F193" s="13" t="s">
        <v>294</v>
      </c>
      <c r="G193" s="13" t="s">
        <v>294</v>
      </c>
      <c r="H193" s="13" t="s">
        <v>294</v>
      </c>
      <c r="I193" s="13" t="s">
        <v>294</v>
      </c>
      <c r="J193" s="13" t="s">
        <v>294</v>
      </c>
      <c r="K193" s="13" t="s">
        <v>294</v>
      </c>
      <c r="L193" s="13" t="s">
        <v>294</v>
      </c>
    </row>
    <row r="194" spans="1:12" x14ac:dyDescent="0.3">
      <c r="A194" s="10" t="s">
        <v>392</v>
      </c>
      <c r="B194" s="10"/>
      <c r="C194" s="13">
        <v>1858</v>
      </c>
      <c r="D194" s="13" t="s">
        <v>294</v>
      </c>
      <c r="E194" s="13" t="s">
        <v>294</v>
      </c>
      <c r="F194" s="13" t="s">
        <v>294</v>
      </c>
      <c r="G194" s="13" t="s">
        <v>294</v>
      </c>
      <c r="H194" s="13" t="s">
        <v>294</v>
      </c>
      <c r="I194" s="13" t="s">
        <v>294</v>
      </c>
      <c r="J194" s="13" t="s">
        <v>294</v>
      </c>
      <c r="K194" s="13" t="s">
        <v>294</v>
      </c>
      <c r="L194" s="13" t="s">
        <v>294</v>
      </c>
    </row>
    <row r="195" spans="1:12" x14ac:dyDescent="0.3">
      <c r="A195" s="6" t="s">
        <v>407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3">
      <c r="A196" s="10" t="s">
        <v>402</v>
      </c>
      <c r="B196" s="10"/>
      <c r="C196" s="13">
        <v>3415</v>
      </c>
      <c r="D196" s="13">
        <v>3534</v>
      </c>
      <c r="E196" s="13" t="s">
        <v>294</v>
      </c>
      <c r="F196" s="13" t="s">
        <v>294</v>
      </c>
      <c r="G196" s="13" t="s">
        <v>294</v>
      </c>
      <c r="H196" s="13" t="s">
        <v>294</v>
      </c>
      <c r="I196" s="13" t="s">
        <v>294</v>
      </c>
      <c r="J196" s="13" t="s">
        <v>294</v>
      </c>
      <c r="K196" s="13" t="s">
        <v>294</v>
      </c>
      <c r="L196" s="13" t="s">
        <v>294</v>
      </c>
    </row>
    <row r="197" spans="1:12" x14ac:dyDescent="0.3">
      <c r="A197" s="6" t="s">
        <v>408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x14ac:dyDescent="0.3">
      <c r="A198" s="10" t="s">
        <v>383</v>
      </c>
      <c r="B198" s="10"/>
      <c r="C198" s="14" t="s">
        <v>294</v>
      </c>
      <c r="D198" s="14">
        <v>15.1</v>
      </c>
      <c r="E198" s="14" t="s">
        <v>294</v>
      </c>
      <c r="F198" s="14" t="s">
        <v>294</v>
      </c>
      <c r="G198" s="14" t="s">
        <v>294</v>
      </c>
      <c r="H198" s="14" t="s">
        <v>294</v>
      </c>
      <c r="I198" s="14" t="s">
        <v>294</v>
      </c>
      <c r="J198" s="14" t="s">
        <v>294</v>
      </c>
      <c r="K198" s="14" t="s">
        <v>294</v>
      </c>
      <c r="L198" s="14" t="s">
        <v>294</v>
      </c>
    </row>
    <row r="199" spans="1:12" x14ac:dyDescent="0.3">
      <c r="A199" s="6" t="s">
        <v>409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3">
      <c r="A200" s="10" t="s">
        <v>383</v>
      </c>
      <c r="B200" s="10"/>
      <c r="C200" s="14" t="s">
        <v>294</v>
      </c>
      <c r="D200" s="14">
        <v>16.5</v>
      </c>
      <c r="E200" s="14" t="s">
        <v>294</v>
      </c>
      <c r="F200" s="14" t="s">
        <v>294</v>
      </c>
      <c r="G200" s="14" t="s">
        <v>294</v>
      </c>
      <c r="H200" s="14" t="s">
        <v>294</v>
      </c>
      <c r="I200" s="14" t="s">
        <v>294</v>
      </c>
      <c r="J200" s="14" t="s">
        <v>294</v>
      </c>
      <c r="K200" s="14" t="s">
        <v>294</v>
      </c>
      <c r="L200" s="14" t="s">
        <v>294</v>
      </c>
    </row>
    <row r="201" spans="1:12" x14ac:dyDescent="0.3">
      <c r="A201" s="6" t="s">
        <v>410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2" x14ac:dyDescent="0.3">
      <c r="A202" s="10" t="s">
        <v>383</v>
      </c>
      <c r="B202" s="10"/>
      <c r="C202" s="14" t="s">
        <v>294</v>
      </c>
      <c r="D202" s="14">
        <v>19.600000000000001</v>
      </c>
      <c r="E202" s="14" t="s">
        <v>294</v>
      </c>
      <c r="F202" s="14" t="s">
        <v>294</v>
      </c>
      <c r="G202" s="14" t="s">
        <v>294</v>
      </c>
      <c r="H202" s="14" t="s">
        <v>294</v>
      </c>
      <c r="I202" s="14" t="s">
        <v>294</v>
      </c>
      <c r="J202" s="14" t="s">
        <v>294</v>
      </c>
      <c r="K202" s="14" t="s">
        <v>294</v>
      </c>
      <c r="L202" s="14" t="s">
        <v>294</v>
      </c>
    </row>
    <row r="203" spans="1:12" x14ac:dyDescent="0.3">
      <c r="A203" s="6" t="s">
        <v>411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2" x14ac:dyDescent="0.3">
      <c r="A204" s="10" t="s">
        <v>383</v>
      </c>
      <c r="B204" s="10"/>
      <c r="C204" s="14" t="s">
        <v>294</v>
      </c>
      <c r="D204" s="14">
        <v>16.8</v>
      </c>
      <c r="E204" s="14" t="s">
        <v>294</v>
      </c>
      <c r="F204" s="14" t="s">
        <v>294</v>
      </c>
      <c r="G204" s="14" t="s">
        <v>294</v>
      </c>
      <c r="H204" s="14" t="s">
        <v>294</v>
      </c>
      <c r="I204" s="14" t="s">
        <v>294</v>
      </c>
      <c r="J204" s="14" t="s">
        <v>294</v>
      </c>
      <c r="K204" s="14" t="s">
        <v>294</v>
      </c>
      <c r="L204" s="14" t="s">
        <v>294</v>
      </c>
    </row>
    <row r="205" spans="1:12" x14ac:dyDescent="0.3">
      <c r="A205" s="7" t="s">
        <v>137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</sheetData>
  <pageMargins left="0.7" right="0.7" top="0.75" bottom="0.75" header="0.3" footer="0.3"/>
  <pageSetup scale="58" orientation="portrait" r:id="rId1"/>
  <rowBreaks count="2" manualBreakCount="2">
    <brk id="73" max="16383" man="1"/>
    <brk id="15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view="pageBreakPreview" zoomScaleNormal="100" zoomScaleSheetLayoutView="100" workbookViewId="0">
      <selection activeCell="E22" sqref="E2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1</v>
      </c>
      <c r="B4" s="3"/>
      <c r="C4" s="4" t="s">
        <v>140</v>
      </c>
      <c r="D4" s="4" t="s">
        <v>141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</row>
    <row r="5" spans="1:12" x14ac:dyDescent="0.3">
      <c r="A5" s="9" t="s">
        <v>10</v>
      </c>
      <c r="B5" s="9"/>
      <c r="C5" s="5" t="s">
        <v>143</v>
      </c>
      <c r="D5" s="5" t="s">
        <v>144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</row>
    <row r="6" spans="1:12" x14ac:dyDescent="0.3">
      <c r="A6" s="6" t="s">
        <v>233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3">
      <c r="A7" s="6" t="s">
        <v>147</v>
      </c>
      <c r="B7" s="6" t="s">
        <v>234</v>
      </c>
      <c r="C7" s="18">
        <v>6309</v>
      </c>
      <c r="D7" s="18">
        <v>5373</v>
      </c>
      <c r="E7" s="18">
        <v>850</v>
      </c>
      <c r="F7" s="18">
        <v>4010</v>
      </c>
      <c r="G7" s="18">
        <v>5123</v>
      </c>
      <c r="H7" s="18">
        <v>5899</v>
      </c>
      <c r="I7" s="18">
        <v>5407</v>
      </c>
      <c r="J7" s="18">
        <v>6554</v>
      </c>
      <c r="K7" s="18">
        <v>2539</v>
      </c>
      <c r="L7" s="21">
        <v>2220</v>
      </c>
    </row>
    <row r="8" spans="1:12" x14ac:dyDescent="0.3">
      <c r="A8" s="10" t="s">
        <v>235</v>
      </c>
      <c r="B8" s="10" t="s">
        <v>236</v>
      </c>
      <c r="C8" s="13">
        <v>713</v>
      </c>
      <c r="D8" s="13">
        <v>693</v>
      </c>
      <c r="E8" s="13">
        <v>652</v>
      </c>
      <c r="F8" s="13">
        <v>795</v>
      </c>
      <c r="G8" s="13">
        <v>628</v>
      </c>
      <c r="H8" s="13">
        <v>630</v>
      </c>
      <c r="I8" s="13">
        <v>619</v>
      </c>
      <c r="J8" s="13">
        <v>694</v>
      </c>
      <c r="K8" s="13">
        <v>673</v>
      </c>
      <c r="L8" s="15"/>
    </row>
    <row r="9" spans="1:12" x14ac:dyDescent="0.3">
      <c r="A9" s="10" t="s">
        <v>237</v>
      </c>
      <c r="B9" s="10" t="s">
        <v>238</v>
      </c>
      <c r="C9" s="13">
        <v>2513</v>
      </c>
      <c r="D9" s="13">
        <v>678</v>
      </c>
      <c r="E9" s="13">
        <v>10412</v>
      </c>
      <c r="F9" s="13">
        <v>3286</v>
      </c>
      <c r="G9" s="13">
        <v>-2627</v>
      </c>
      <c r="H9" s="13">
        <v>-419</v>
      </c>
      <c r="I9" s="13">
        <v>-916</v>
      </c>
      <c r="J9" s="13">
        <v>-88</v>
      </c>
      <c r="K9" s="13">
        <v>4710</v>
      </c>
      <c r="L9" s="15"/>
    </row>
    <row r="10" spans="1:12" x14ac:dyDescent="0.3">
      <c r="A10" s="10" t="s">
        <v>239</v>
      </c>
      <c r="B10" s="10" t="s">
        <v>240</v>
      </c>
      <c r="C10" s="13">
        <v>6841</v>
      </c>
      <c r="D10" s="13">
        <v>7308</v>
      </c>
      <c r="E10" s="13">
        <v>2860</v>
      </c>
      <c r="F10" s="13">
        <v>4192</v>
      </c>
      <c r="G10" s="13">
        <v>8614</v>
      </c>
      <c r="H10" s="13">
        <v>7676</v>
      </c>
      <c r="I10" s="13">
        <v>6529</v>
      </c>
      <c r="J10" s="13">
        <v>5436</v>
      </c>
      <c r="K10" s="13">
        <v>5282</v>
      </c>
      <c r="L10" s="15"/>
    </row>
    <row r="11" spans="1:12" x14ac:dyDescent="0.3">
      <c r="A11" s="6" t="s">
        <v>233</v>
      </c>
      <c r="B11" s="6" t="s">
        <v>241</v>
      </c>
      <c r="C11" s="18">
        <v>16376</v>
      </c>
      <c r="D11" s="18">
        <v>14052</v>
      </c>
      <c r="E11" s="18">
        <v>14774</v>
      </c>
      <c r="F11" s="18">
        <v>12283</v>
      </c>
      <c r="G11" s="18">
        <v>11738</v>
      </c>
      <c r="H11" s="18">
        <v>13786</v>
      </c>
      <c r="I11" s="18">
        <v>11639</v>
      </c>
      <c r="J11" s="18">
        <v>12596</v>
      </c>
      <c r="K11" s="18">
        <v>13204</v>
      </c>
      <c r="L11" s="21">
        <v>11876</v>
      </c>
    </row>
    <row r="12" spans="1:12" x14ac:dyDescent="0.3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1:12" x14ac:dyDescent="0.3">
      <c r="A13" s="6" t="s">
        <v>242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1:12" x14ac:dyDescent="0.3">
      <c r="A14" s="10" t="s">
        <v>243</v>
      </c>
      <c r="B14" s="10" t="s">
        <v>244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 t="s">
        <v>294</v>
      </c>
      <c r="K14" s="13">
        <v>0</v>
      </c>
      <c r="L14" s="15">
        <v>0</v>
      </c>
    </row>
    <row r="15" spans="1:12" x14ac:dyDescent="0.3">
      <c r="A15" s="10" t="s">
        <v>245</v>
      </c>
      <c r="B15" s="10" t="s">
        <v>246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 t="s">
        <v>294</v>
      </c>
      <c r="K15" s="13">
        <v>0</v>
      </c>
      <c r="L15" s="15">
        <v>0</v>
      </c>
    </row>
    <row r="16" spans="1:12" x14ac:dyDescent="0.3">
      <c r="A16" s="10" t="s">
        <v>247</v>
      </c>
      <c r="B16" s="10" t="s">
        <v>248</v>
      </c>
      <c r="C16" s="13">
        <v>-147374</v>
      </c>
      <c r="D16" s="13">
        <v>-173748</v>
      </c>
      <c r="E16" s="13">
        <v>-171287</v>
      </c>
      <c r="F16" s="13">
        <v>-123976</v>
      </c>
      <c r="G16" s="13">
        <v>-125256</v>
      </c>
      <c r="H16" s="13">
        <v>-108873</v>
      </c>
      <c r="I16" s="13">
        <v>-107470</v>
      </c>
      <c r="J16" s="13">
        <v>-117204</v>
      </c>
      <c r="K16" s="13">
        <v>-116486</v>
      </c>
      <c r="L16" s="15">
        <v>-113978</v>
      </c>
    </row>
    <row r="17" spans="1:12" x14ac:dyDescent="0.3">
      <c r="A17" s="10" t="s">
        <v>249</v>
      </c>
      <c r="B17" s="10" t="s">
        <v>250</v>
      </c>
      <c r="C17" s="13">
        <v>134979</v>
      </c>
      <c r="D17" s="13">
        <v>165866</v>
      </c>
      <c r="E17" s="13">
        <v>168709</v>
      </c>
      <c r="F17" s="13">
        <v>111872</v>
      </c>
      <c r="G17" s="13">
        <v>119709</v>
      </c>
      <c r="H17" s="13">
        <v>92852</v>
      </c>
      <c r="I17" s="13">
        <v>90022</v>
      </c>
      <c r="J17" s="13">
        <v>107565</v>
      </c>
      <c r="K17" s="13">
        <v>117394</v>
      </c>
      <c r="L17" s="15">
        <v>104455</v>
      </c>
    </row>
    <row r="18" spans="1:12" x14ac:dyDescent="0.3">
      <c r="A18" s="10" t="s">
        <v>251</v>
      </c>
      <c r="B18" s="10" t="s">
        <v>252</v>
      </c>
      <c r="C18" s="13">
        <v>-2660</v>
      </c>
      <c r="D18" s="13">
        <v>-2516</v>
      </c>
      <c r="E18" s="13">
        <v>-3272</v>
      </c>
      <c r="F18" s="13">
        <v>-4772</v>
      </c>
      <c r="G18" s="13">
        <v>-87</v>
      </c>
      <c r="H18" s="13">
        <v>-1565</v>
      </c>
      <c r="I18" s="13">
        <v>-1121</v>
      </c>
      <c r="J18" s="13">
        <v>-1548</v>
      </c>
      <c r="K18" s="13">
        <v>-3528</v>
      </c>
      <c r="L18" s="15">
        <v>-2636</v>
      </c>
    </row>
    <row r="19" spans="1:12" x14ac:dyDescent="0.3">
      <c r="A19" s="6" t="s">
        <v>242</v>
      </c>
      <c r="B19" s="6" t="s">
        <v>253</v>
      </c>
      <c r="C19" s="18">
        <v>-15055</v>
      </c>
      <c r="D19" s="18">
        <v>-10398</v>
      </c>
      <c r="E19" s="18">
        <v>-5850</v>
      </c>
      <c r="F19" s="18">
        <v>-16876</v>
      </c>
      <c r="G19" s="18">
        <v>-5634</v>
      </c>
      <c r="H19" s="18">
        <v>-17586</v>
      </c>
      <c r="I19" s="18">
        <v>-18569</v>
      </c>
      <c r="J19" s="18">
        <v>-11187</v>
      </c>
      <c r="K19" s="18">
        <v>-2620</v>
      </c>
      <c r="L19" s="21">
        <v>-12159</v>
      </c>
    </row>
    <row r="20" spans="1:12" x14ac:dyDescent="0.3">
      <c r="A20" s="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/>
    </row>
    <row r="21" spans="1:12" x14ac:dyDescent="0.3">
      <c r="A21" s="6" t="s">
        <v>254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0"/>
    </row>
    <row r="22" spans="1:12" x14ac:dyDescent="0.3">
      <c r="A22" s="10" t="s">
        <v>255</v>
      </c>
      <c r="B22" s="10" t="s">
        <v>256</v>
      </c>
      <c r="C22" s="13">
        <v>-1621</v>
      </c>
      <c r="D22" s="13">
        <v>-1769</v>
      </c>
      <c r="E22" s="13">
        <v>-1839</v>
      </c>
      <c r="F22" s="13">
        <v>-1820</v>
      </c>
      <c r="G22" s="13">
        <v>-1819</v>
      </c>
      <c r="H22" s="13">
        <v>-1821</v>
      </c>
      <c r="I22" s="13">
        <v>-1859</v>
      </c>
      <c r="J22" s="13">
        <v>-1842</v>
      </c>
      <c r="K22" s="13">
        <v>-1783</v>
      </c>
      <c r="L22" s="15">
        <v>-1772</v>
      </c>
    </row>
    <row r="23" spans="1:12" x14ac:dyDescent="0.3">
      <c r="A23" s="10" t="s">
        <v>257</v>
      </c>
      <c r="B23" s="10" t="s">
        <v>258</v>
      </c>
      <c r="C23" s="13">
        <v>-75</v>
      </c>
      <c r="D23" s="13" t="s">
        <v>294</v>
      </c>
      <c r="E23" s="13" t="s">
        <v>294</v>
      </c>
      <c r="F23" s="13">
        <v>0</v>
      </c>
      <c r="G23" s="13">
        <v>0</v>
      </c>
      <c r="H23" s="13">
        <v>0</v>
      </c>
      <c r="I23" s="13">
        <v>0</v>
      </c>
      <c r="J23" s="13" t="s">
        <v>294</v>
      </c>
      <c r="K23" s="13">
        <v>0</v>
      </c>
      <c r="L23" s="15"/>
    </row>
    <row r="24" spans="1:12" x14ac:dyDescent="0.3">
      <c r="A24" s="10" t="s">
        <v>259</v>
      </c>
      <c r="B24" s="10" t="s">
        <v>260</v>
      </c>
      <c r="C24" s="13">
        <v>1000</v>
      </c>
      <c r="D24" s="13">
        <v>3893</v>
      </c>
      <c r="E24" s="13">
        <v>0</v>
      </c>
      <c r="F24" s="13">
        <v>3657</v>
      </c>
      <c r="G24" s="13">
        <v>24</v>
      </c>
      <c r="H24" s="13">
        <v>1382</v>
      </c>
      <c r="I24" s="13">
        <v>1124</v>
      </c>
      <c r="J24" s="13">
        <v>29</v>
      </c>
      <c r="K24" s="13">
        <v>1013</v>
      </c>
      <c r="L24" s="15">
        <v>2284</v>
      </c>
    </row>
    <row r="25" spans="1:12" x14ac:dyDescent="0.3">
      <c r="A25" s="10" t="s">
        <v>261</v>
      </c>
      <c r="B25" s="10" t="s">
        <v>262</v>
      </c>
      <c r="C25" s="13">
        <v>-2862</v>
      </c>
      <c r="D25" s="13">
        <v>-1438</v>
      </c>
      <c r="E25" s="13">
        <v>-1279</v>
      </c>
      <c r="F25" s="13">
        <v>-1073</v>
      </c>
      <c r="G25" s="13">
        <v>-1871</v>
      </c>
      <c r="H25" s="13">
        <v>-906</v>
      </c>
      <c r="I25" s="13">
        <v>-99</v>
      </c>
      <c r="J25" s="13">
        <v>-582</v>
      </c>
      <c r="K25" s="13">
        <v>-85</v>
      </c>
      <c r="L25" s="15">
        <v>-1744</v>
      </c>
    </row>
    <row r="26" spans="1:12" x14ac:dyDescent="0.3">
      <c r="A26" s="10" t="s">
        <v>263</v>
      </c>
      <c r="B26" s="10" t="s">
        <v>264</v>
      </c>
      <c r="C26" s="13">
        <v>1000</v>
      </c>
      <c r="D26" s="13">
        <v>1483</v>
      </c>
      <c r="E26" s="13">
        <v>0</v>
      </c>
      <c r="F26" s="13">
        <v>0</v>
      </c>
      <c r="G26" s="13">
        <v>1274</v>
      </c>
      <c r="H26" s="13">
        <v>0</v>
      </c>
      <c r="I26" s="13">
        <v>1961</v>
      </c>
      <c r="J26" s="13" t="s">
        <v>294</v>
      </c>
      <c r="K26" s="13">
        <v>0</v>
      </c>
      <c r="L26" s="15">
        <v>0</v>
      </c>
    </row>
    <row r="27" spans="1:12" x14ac:dyDescent="0.3">
      <c r="A27" s="10" t="s">
        <v>265</v>
      </c>
      <c r="B27" s="10" t="s">
        <v>266</v>
      </c>
      <c r="C27" s="13">
        <v>-1000</v>
      </c>
      <c r="D27" s="13">
        <v>-3390</v>
      </c>
      <c r="E27" s="13">
        <v>-372</v>
      </c>
      <c r="F27" s="13">
        <v>-2927</v>
      </c>
      <c r="G27" s="13">
        <v>-3992</v>
      </c>
      <c r="H27" s="13">
        <v>-2285</v>
      </c>
      <c r="I27" s="13">
        <v>-1151</v>
      </c>
      <c r="J27" s="13">
        <v>-4303</v>
      </c>
      <c r="K27" s="13">
        <v>-3326</v>
      </c>
      <c r="L27" s="15">
        <v>-2722</v>
      </c>
    </row>
    <row r="28" spans="1:12" x14ac:dyDescent="0.3">
      <c r="A28" s="10" t="s">
        <v>267</v>
      </c>
      <c r="B28" s="10" t="s">
        <v>268</v>
      </c>
      <c r="C28" s="13">
        <v>1483</v>
      </c>
      <c r="D28" s="13">
        <v>-1717</v>
      </c>
      <c r="E28" s="13">
        <v>4925</v>
      </c>
      <c r="F28" s="13">
        <v>6131</v>
      </c>
      <c r="G28" s="13">
        <v>4266</v>
      </c>
      <c r="H28" s="13">
        <v>6524</v>
      </c>
      <c r="I28" s="13">
        <v>8246</v>
      </c>
      <c r="J28" s="13">
        <v>3827</v>
      </c>
      <c r="K28" s="13">
        <v>5150</v>
      </c>
      <c r="L28" s="15">
        <v>4325</v>
      </c>
    </row>
    <row r="29" spans="1:12" x14ac:dyDescent="0.3">
      <c r="A29" s="10" t="s">
        <v>269</v>
      </c>
      <c r="B29" s="10" t="s">
        <v>270</v>
      </c>
      <c r="C29" s="13">
        <v>3977</v>
      </c>
      <c r="D29" s="13">
        <v>1228</v>
      </c>
      <c r="E29" s="13">
        <v>-5234</v>
      </c>
      <c r="F29" s="13">
        <v>-4551</v>
      </c>
      <c r="G29" s="13">
        <v>-866</v>
      </c>
      <c r="H29" s="13">
        <v>1683</v>
      </c>
      <c r="I29" s="13">
        <v>2670</v>
      </c>
      <c r="J29" s="13">
        <v>1018</v>
      </c>
      <c r="K29" s="13">
        <v>-11474</v>
      </c>
      <c r="L29" s="15">
        <v>-5219</v>
      </c>
    </row>
    <row r="30" spans="1:12" x14ac:dyDescent="0.3">
      <c r="A30" s="6" t="s">
        <v>254</v>
      </c>
      <c r="B30" s="6" t="s">
        <v>271</v>
      </c>
      <c r="C30" s="18">
        <v>1902</v>
      </c>
      <c r="D30" s="18">
        <v>-1710</v>
      </c>
      <c r="E30" s="18">
        <v>-3799</v>
      </c>
      <c r="F30" s="18">
        <v>-583</v>
      </c>
      <c r="G30" s="18">
        <v>-2984</v>
      </c>
      <c r="H30" s="18">
        <v>4577</v>
      </c>
      <c r="I30" s="18">
        <v>10892</v>
      </c>
      <c r="J30" s="18">
        <v>-1853</v>
      </c>
      <c r="K30" s="18">
        <v>-10505</v>
      </c>
      <c r="L30" s="21">
        <v>-4848</v>
      </c>
    </row>
    <row r="31" spans="1:12" x14ac:dyDescent="0.3">
      <c r="A31" s="6" t="s">
        <v>272</v>
      </c>
      <c r="B31" s="6" t="s">
        <v>273</v>
      </c>
      <c r="C31" s="18">
        <v>3223</v>
      </c>
      <c r="D31" s="18">
        <v>1944</v>
      </c>
      <c r="E31" s="18">
        <v>5125</v>
      </c>
      <c r="F31" s="18">
        <v>-5176</v>
      </c>
      <c r="G31" s="18">
        <v>3120</v>
      </c>
      <c r="H31" s="18">
        <v>777</v>
      </c>
      <c r="I31" s="18">
        <v>3962</v>
      </c>
      <c r="J31" s="18">
        <v>-444</v>
      </c>
      <c r="K31" s="18">
        <v>79</v>
      </c>
      <c r="L31" s="21">
        <v>-5131</v>
      </c>
    </row>
    <row r="32" spans="1:12" x14ac:dyDescent="0.3">
      <c r="A32" s="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0"/>
    </row>
    <row r="33" spans="1:12" x14ac:dyDescent="0.3">
      <c r="A33" s="6" t="s">
        <v>113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0"/>
    </row>
    <row r="34" spans="1:12" x14ac:dyDescent="0.3">
      <c r="A34" s="10" t="s">
        <v>274</v>
      </c>
      <c r="B34" s="10" t="s">
        <v>275</v>
      </c>
      <c r="C34" s="13">
        <v>748</v>
      </c>
      <c r="D34" s="13">
        <v>1127</v>
      </c>
      <c r="E34" s="13">
        <v>672</v>
      </c>
      <c r="F34" s="13">
        <v>1530</v>
      </c>
      <c r="G34" s="13">
        <v>1935</v>
      </c>
      <c r="H34" s="13">
        <v>1099</v>
      </c>
      <c r="I34" s="13">
        <v>787</v>
      </c>
      <c r="J34" s="13">
        <v>1102</v>
      </c>
      <c r="K34" s="13">
        <v>1056</v>
      </c>
      <c r="L34" s="15">
        <v>-637</v>
      </c>
    </row>
    <row r="35" spans="1:12" x14ac:dyDescent="0.3">
      <c r="A35" s="10" t="s">
        <v>276</v>
      </c>
      <c r="B35" s="10" t="s">
        <v>277</v>
      </c>
      <c r="C35" s="13">
        <v>1213</v>
      </c>
      <c r="D35" s="13">
        <v>1178</v>
      </c>
      <c r="E35" s="13">
        <v>1202</v>
      </c>
      <c r="F35" s="13">
        <v>1118</v>
      </c>
      <c r="G35" s="13">
        <v>1130</v>
      </c>
      <c r="H35" s="13">
        <v>964</v>
      </c>
      <c r="I35" s="13">
        <v>891</v>
      </c>
      <c r="J35" s="13">
        <v>914</v>
      </c>
      <c r="K35" s="13">
        <v>905</v>
      </c>
      <c r="L35" s="15">
        <v>942</v>
      </c>
    </row>
    <row r="36" spans="1:12" x14ac:dyDescent="0.3">
      <c r="A36" s="10" t="s">
        <v>278</v>
      </c>
      <c r="B36" s="10" t="s">
        <v>279</v>
      </c>
      <c r="C36" s="13">
        <v>0</v>
      </c>
      <c r="D36" s="13">
        <v>0</v>
      </c>
      <c r="E36" s="13">
        <v>0</v>
      </c>
      <c r="F36" s="13">
        <v>211</v>
      </c>
      <c r="G36" s="13">
        <v>0</v>
      </c>
      <c r="H36" s="13">
        <v>32</v>
      </c>
      <c r="I36" s="13">
        <v>1684</v>
      </c>
      <c r="J36" s="13" t="s">
        <v>294</v>
      </c>
      <c r="K36" s="13">
        <v>35</v>
      </c>
      <c r="L36" s="15"/>
    </row>
    <row r="37" spans="1:12" x14ac:dyDescent="0.3">
      <c r="A37" s="10" t="s">
        <v>280</v>
      </c>
      <c r="B37" s="10" t="s">
        <v>281</v>
      </c>
      <c r="C37" s="13">
        <v>16376</v>
      </c>
      <c r="D37" s="13">
        <v>14052</v>
      </c>
      <c r="E37" s="13">
        <v>14774</v>
      </c>
      <c r="F37" s="13">
        <v>12283</v>
      </c>
      <c r="G37" s="13">
        <v>11738</v>
      </c>
      <c r="H37" s="13">
        <v>13786</v>
      </c>
      <c r="I37" s="13">
        <v>11639</v>
      </c>
      <c r="J37" s="13" t="s">
        <v>294</v>
      </c>
      <c r="K37" s="13">
        <v>13204</v>
      </c>
      <c r="L37" s="15">
        <v>11876</v>
      </c>
    </row>
    <row r="38" spans="1:12" x14ac:dyDescent="0.3">
      <c r="A38" s="10" t="s">
        <v>282</v>
      </c>
      <c r="B38" s="10" t="s">
        <v>283</v>
      </c>
      <c r="C38" s="13">
        <v>17251.536599999999</v>
      </c>
      <c r="D38" s="13">
        <v>14891.3644</v>
      </c>
      <c r="E38" s="13">
        <v>15743.7071</v>
      </c>
      <c r="F38" s="13" t="s">
        <v>294</v>
      </c>
      <c r="G38" s="13">
        <v>12650.2588</v>
      </c>
      <c r="H38" s="13">
        <v>14616.4776</v>
      </c>
      <c r="I38" s="13">
        <v>12353.1091</v>
      </c>
      <c r="J38" s="13" t="s">
        <v>294</v>
      </c>
      <c r="K38" s="13">
        <v>14043.2459</v>
      </c>
      <c r="L38" s="15">
        <v>12624.690920433</v>
      </c>
    </row>
    <row r="39" spans="1:12" x14ac:dyDescent="0.3">
      <c r="A39" s="10" t="s">
        <v>284</v>
      </c>
      <c r="B39" s="10" t="s">
        <v>285</v>
      </c>
      <c r="C39" s="13">
        <v>14317</v>
      </c>
      <c r="D39" s="13">
        <v>16391</v>
      </c>
      <c r="E39" s="13">
        <v>13392</v>
      </c>
      <c r="F39" s="13">
        <v>14764</v>
      </c>
      <c r="G39" s="13">
        <v>11055</v>
      </c>
      <c r="H39" s="13">
        <v>14084</v>
      </c>
      <c r="I39" s="13">
        <v>13462</v>
      </c>
      <c r="J39" s="13">
        <v>11848</v>
      </c>
      <c r="K39" s="13">
        <v>13447</v>
      </c>
      <c r="L39" s="15">
        <v>12225</v>
      </c>
    </row>
    <row r="40" spans="1:12" x14ac:dyDescent="0.3">
      <c r="A40" s="10" t="s">
        <v>286</v>
      </c>
      <c r="B40" s="10" t="s">
        <v>287</v>
      </c>
      <c r="C40" s="14">
        <v>14.5091</v>
      </c>
      <c r="D40" s="14">
        <v>12.571099999999999</v>
      </c>
      <c r="E40" s="14">
        <v>13.424799999999999</v>
      </c>
      <c r="F40" s="14">
        <v>11.482699999999999</v>
      </c>
      <c r="G40" s="14">
        <v>11.6692</v>
      </c>
      <c r="H40" s="14">
        <v>14.7035</v>
      </c>
      <c r="I40" s="14">
        <v>12.821099999999999</v>
      </c>
      <c r="J40" s="14" t="s">
        <v>294</v>
      </c>
      <c r="K40" s="14">
        <v>16.4392</v>
      </c>
      <c r="L40" s="16">
        <v>15.161925890398001</v>
      </c>
    </row>
    <row r="41" spans="1:12" x14ac:dyDescent="0.3">
      <c r="A41" s="10" t="s">
        <v>288</v>
      </c>
      <c r="B41" s="10" t="s">
        <v>289</v>
      </c>
      <c r="C41" s="14">
        <v>14.5091</v>
      </c>
      <c r="D41" s="14">
        <v>12.571099999999999</v>
      </c>
      <c r="E41" s="14">
        <v>13.424799999999999</v>
      </c>
      <c r="F41" s="14">
        <v>11.482699999999999</v>
      </c>
      <c r="G41" s="14">
        <v>11.6692</v>
      </c>
      <c r="H41" s="14">
        <v>14.7035</v>
      </c>
      <c r="I41" s="14">
        <v>12.821099999999999</v>
      </c>
      <c r="J41" s="14">
        <v>14.6007</v>
      </c>
      <c r="K41" s="14">
        <v>16.4392</v>
      </c>
      <c r="L41" s="16">
        <v>15.161925890398001</v>
      </c>
    </row>
    <row r="42" spans="1:12" x14ac:dyDescent="0.3">
      <c r="A42" s="10" t="s">
        <v>290</v>
      </c>
      <c r="B42" s="10" t="s">
        <v>291</v>
      </c>
      <c r="C42" s="14">
        <v>2.5956999999999999</v>
      </c>
      <c r="D42" s="14">
        <v>2.6153</v>
      </c>
      <c r="E42" s="14">
        <v>17.3812</v>
      </c>
      <c r="F42" s="14">
        <v>3.0630999999999999</v>
      </c>
      <c r="G42" s="14">
        <v>2.2911999999999999</v>
      </c>
      <c r="H42" s="14">
        <v>2.3370000000000002</v>
      </c>
      <c r="I42" s="14">
        <v>2.1526000000000001</v>
      </c>
      <c r="J42" s="14">
        <v>1.9218999999999999</v>
      </c>
      <c r="K42" s="14">
        <v>5.2004999999999999</v>
      </c>
      <c r="L42" s="16">
        <v>7.5572139303482597</v>
      </c>
    </row>
    <row r="43" spans="1:12" x14ac:dyDescent="0.3">
      <c r="A43" s="7" t="s">
        <v>137</v>
      </c>
      <c r="B43" s="7"/>
      <c r="C43" s="7" t="s">
        <v>138</v>
      </c>
      <c r="D43" s="7"/>
      <c r="E43" s="7"/>
      <c r="F43" s="7"/>
      <c r="G43" s="7"/>
      <c r="H43" s="7"/>
      <c r="I43" s="7"/>
      <c r="J43" s="7"/>
      <c r="K43" s="7"/>
      <c r="L43" s="7"/>
    </row>
  </sheetData>
  <pageMargins left="0.7" right="0.7" top="0.75" bottom="0.75" header="0.3" footer="0.3"/>
  <pageSetup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5"/>
  <sheetViews>
    <sheetView view="pageBreakPreview" topLeftCell="A342" zoomScaleNormal="100" zoomScaleSheetLayoutView="100" workbookViewId="0">
      <selection activeCell="O185" sqref="O185"/>
    </sheetView>
  </sheetViews>
  <sheetFormatPr defaultRowHeight="14.4" outlineLevelCol="1" x14ac:dyDescent="0.3"/>
  <cols>
    <col min="1" max="1" width="35.109375" customWidth="1"/>
    <col min="2" max="2" width="0" hidden="1" customWidth="1"/>
    <col min="3" max="3" width="11.88671875" hidden="1" customWidth="1" outlineLevel="1"/>
    <col min="4" max="4" width="7" hidden="1" customWidth="1" outlineLevel="1"/>
    <col min="5" max="5" width="11.88671875" hidden="1" customWidth="1" outlineLevel="1"/>
    <col min="6" max="6" width="7" hidden="1" customWidth="1" outlineLevel="1"/>
    <col min="7" max="7" width="11.88671875" hidden="1" customWidth="1" outlineLevel="1"/>
    <col min="8" max="8" width="7" hidden="1" customWidth="1" outlineLevel="1"/>
    <col min="9" max="9" width="11.88671875" hidden="1" customWidth="1" outlineLevel="1"/>
    <col min="10" max="10" width="7" hidden="1" customWidth="1" outlineLevel="1"/>
    <col min="11" max="11" width="11.88671875" customWidth="1" collapsed="1"/>
    <col min="12" max="12" width="7" customWidth="1"/>
    <col min="13" max="13" width="11.88671875" customWidth="1"/>
    <col min="14" max="14" width="7" customWidth="1"/>
    <col min="15" max="15" width="11.88671875" customWidth="1"/>
    <col min="16" max="16" width="7" customWidth="1"/>
    <col min="17" max="17" width="11.88671875" customWidth="1"/>
    <col min="18" max="18" width="7" customWidth="1"/>
    <col min="19" max="19" width="11.88671875" customWidth="1"/>
    <col min="20" max="20" width="7" customWidth="1"/>
    <col min="21" max="21" width="11.88671875" customWidth="1"/>
    <col min="22" max="22" width="7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x14ac:dyDescent="0.3">
      <c r="A2" s="8" t="s">
        <v>292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1</v>
      </c>
      <c r="B4" s="3"/>
      <c r="C4" s="23" t="s">
        <v>139</v>
      </c>
      <c r="D4" s="23"/>
      <c r="E4" s="23" t="s">
        <v>140</v>
      </c>
      <c r="F4" s="23"/>
      <c r="G4" s="23" t="s">
        <v>141</v>
      </c>
      <c r="H4" s="23"/>
      <c r="I4" s="23" t="s">
        <v>2</v>
      </c>
      <c r="J4" s="23"/>
      <c r="K4" s="23" t="s">
        <v>3</v>
      </c>
      <c r="L4" s="23"/>
      <c r="M4" s="23" t="s">
        <v>4</v>
      </c>
      <c r="N4" s="23"/>
      <c r="O4" s="23" t="s">
        <v>5</v>
      </c>
      <c r="P4" s="23"/>
      <c r="Q4" s="23" t="s">
        <v>6</v>
      </c>
      <c r="R4" s="23"/>
      <c r="S4" s="23" t="s">
        <v>7</v>
      </c>
      <c r="T4" s="23"/>
      <c r="U4" s="23" t="s">
        <v>8</v>
      </c>
      <c r="V4" s="23"/>
    </row>
    <row r="5" spans="1:22" x14ac:dyDescent="0.3">
      <c r="A5" s="9" t="s">
        <v>10</v>
      </c>
      <c r="B5" s="9"/>
      <c r="C5" s="24" t="s">
        <v>142</v>
      </c>
      <c r="D5" s="24"/>
      <c r="E5" s="24" t="s">
        <v>143</v>
      </c>
      <c r="F5" s="24"/>
      <c r="G5" s="24" t="s">
        <v>144</v>
      </c>
      <c r="H5" s="24"/>
      <c r="I5" s="24" t="s">
        <v>11</v>
      </c>
      <c r="J5" s="24"/>
      <c r="K5" s="24" t="s">
        <v>12</v>
      </c>
      <c r="L5" s="24"/>
      <c r="M5" s="24" t="s">
        <v>13</v>
      </c>
      <c r="N5" s="24"/>
      <c r="O5" s="24" t="s">
        <v>14</v>
      </c>
      <c r="P5" s="24"/>
      <c r="Q5" s="24" t="s">
        <v>15</v>
      </c>
      <c r="R5" s="24"/>
      <c r="S5" s="24" t="s">
        <v>16</v>
      </c>
      <c r="T5" s="24"/>
      <c r="U5" s="24" t="s">
        <v>17</v>
      </c>
      <c r="V5" s="24"/>
    </row>
    <row r="6" spans="1:22" x14ac:dyDescent="0.3">
      <c r="A6" s="6" t="s">
        <v>19</v>
      </c>
      <c r="B6" s="6"/>
      <c r="C6" s="29">
        <v>68199</v>
      </c>
      <c r="D6" s="30">
        <v>1</v>
      </c>
      <c r="E6" s="29">
        <v>73316</v>
      </c>
      <c r="F6" s="30">
        <v>1</v>
      </c>
      <c r="G6" s="29">
        <v>61343</v>
      </c>
      <c r="H6" s="30">
        <v>1</v>
      </c>
      <c r="I6" s="29">
        <v>60787</v>
      </c>
      <c r="J6" s="30">
        <v>1</v>
      </c>
      <c r="K6" s="29">
        <v>63180</v>
      </c>
      <c r="L6" s="30">
        <v>1</v>
      </c>
      <c r="M6" s="29">
        <v>67941</v>
      </c>
      <c r="N6" s="30">
        <v>1</v>
      </c>
      <c r="O6" s="29">
        <v>69620</v>
      </c>
      <c r="P6" s="30">
        <v>1</v>
      </c>
      <c r="Q6" s="29">
        <v>67842</v>
      </c>
      <c r="R6" s="30">
        <v>1</v>
      </c>
      <c r="S6" s="29">
        <v>71080</v>
      </c>
      <c r="T6" s="30">
        <v>1</v>
      </c>
      <c r="U6" s="29">
        <v>69898</v>
      </c>
      <c r="V6" s="30">
        <v>1</v>
      </c>
    </row>
    <row r="7" spans="1:22" x14ac:dyDescent="0.3">
      <c r="A7" s="10" t="s">
        <v>293</v>
      </c>
      <c r="B7" s="10"/>
      <c r="C7" s="25" t="s">
        <v>294</v>
      </c>
      <c r="D7" s="26"/>
      <c r="E7" s="25">
        <v>27984</v>
      </c>
      <c r="F7" s="26">
        <v>0.39369724254361299</v>
      </c>
      <c r="G7" s="25">
        <v>28738</v>
      </c>
      <c r="H7" s="26">
        <v>0.47111475409836101</v>
      </c>
      <c r="I7" s="25">
        <v>29480</v>
      </c>
      <c r="J7" s="26">
        <v>0.48394510473438801</v>
      </c>
      <c r="K7" s="25">
        <v>31846</v>
      </c>
      <c r="L7" s="26">
        <v>0.50755450720387596</v>
      </c>
      <c r="M7" s="25">
        <v>37037</v>
      </c>
      <c r="N7" s="26">
        <v>0.543375243907807</v>
      </c>
      <c r="O7" s="25">
        <v>35787</v>
      </c>
      <c r="P7" s="26">
        <v>0.53434168483291999</v>
      </c>
      <c r="Q7" s="25">
        <v>36195</v>
      </c>
      <c r="R7" s="26">
        <v>0.54457233130218896</v>
      </c>
      <c r="S7" s="25">
        <v>37084</v>
      </c>
      <c r="T7" s="26">
        <v>0.52793121120665099</v>
      </c>
      <c r="U7" s="25">
        <v>45802</v>
      </c>
      <c r="V7" s="26">
        <v>0.60626356753322397</v>
      </c>
    </row>
    <row r="8" spans="1:22" x14ac:dyDescent="0.3">
      <c r="A8" s="10" t="s">
        <v>295</v>
      </c>
      <c r="B8" s="10"/>
      <c r="C8" s="25" t="s">
        <v>294</v>
      </c>
      <c r="D8" s="26"/>
      <c r="E8" s="25" t="s">
        <v>294</v>
      </c>
      <c r="F8" s="26"/>
      <c r="G8" s="25" t="s">
        <v>294</v>
      </c>
      <c r="H8" s="26"/>
      <c r="I8" s="25">
        <v>17436</v>
      </c>
      <c r="J8" s="26">
        <v>0.28623021866176401</v>
      </c>
      <c r="K8" s="25">
        <v>17805</v>
      </c>
      <c r="L8" s="26">
        <v>0.28377215351268598</v>
      </c>
      <c r="M8" s="25">
        <v>18528</v>
      </c>
      <c r="N8" s="26">
        <v>0.27182699784334202</v>
      </c>
      <c r="O8" s="25">
        <v>19437</v>
      </c>
      <c r="P8" s="26">
        <v>0.29021709917281302</v>
      </c>
      <c r="Q8" s="25">
        <v>20245</v>
      </c>
      <c r="R8" s="26">
        <v>0.30459640412247002</v>
      </c>
      <c r="S8" s="25">
        <v>23703</v>
      </c>
      <c r="T8" s="26">
        <v>0.33743807300267598</v>
      </c>
      <c r="U8" s="25">
        <v>24402</v>
      </c>
      <c r="V8" s="26">
        <v>0.32299994705352902</v>
      </c>
    </row>
    <row r="9" spans="1:22" x14ac:dyDescent="0.3">
      <c r="A9" s="10" t="s">
        <v>296</v>
      </c>
      <c r="B9" s="10"/>
      <c r="C9" s="25" t="s">
        <v>294</v>
      </c>
      <c r="D9" s="26"/>
      <c r="E9" s="25" t="s">
        <v>294</v>
      </c>
      <c r="F9" s="26"/>
      <c r="G9" s="25" t="s">
        <v>294</v>
      </c>
      <c r="H9" s="26"/>
      <c r="I9" s="25">
        <v>8407</v>
      </c>
      <c r="J9" s="26">
        <v>0.13800971830061101</v>
      </c>
      <c r="K9" s="25">
        <v>10311</v>
      </c>
      <c r="L9" s="26">
        <v>0.164334438352671</v>
      </c>
      <c r="M9" s="25">
        <v>14720</v>
      </c>
      <c r="N9" s="26">
        <v>0.21595927289799199</v>
      </c>
      <c r="O9" s="25">
        <v>12492</v>
      </c>
      <c r="P9" s="26">
        <v>0.18652014214471299</v>
      </c>
      <c r="Q9" s="25">
        <v>12217</v>
      </c>
      <c r="R9" s="26">
        <v>0.183811028360791</v>
      </c>
      <c r="S9" s="25">
        <v>13381</v>
      </c>
      <c r="T9" s="26">
        <v>0.19049313820397501</v>
      </c>
      <c r="U9" s="25">
        <v>21400</v>
      </c>
      <c r="V9" s="26">
        <v>0.283263620479695</v>
      </c>
    </row>
    <row r="10" spans="1:22" x14ac:dyDescent="0.3">
      <c r="A10" s="10" t="s">
        <v>297</v>
      </c>
      <c r="B10" s="10"/>
      <c r="C10" s="25" t="s">
        <v>294</v>
      </c>
      <c r="D10" s="26"/>
      <c r="E10" s="25" t="s">
        <v>294</v>
      </c>
      <c r="F10" s="26"/>
      <c r="G10" s="25" t="s">
        <v>294</v>
      </c>
      <c r="H10" s="26"/>
      <c r="I10" s="25">
        <v>3637</v>
      </c>
      <c r="J10" s="26">
        <v>5.9705167772013901E-2</v>
      </c>
      <c r="K10" s="25">
        <v>3730</v>
      </c>
      <c r="L10" s="26">
        <v>5.9447915338518398E-2</v>
      </c>
      <c r="M10" s="25">
        <v>3789</v>
      </c>
      <c r="N10" s="26">
        <v>5.5588973166473502E-2</v>
      </c>
      <c r="O10" s="25">
        <v>3858</v>
      </c>
      <c r="P10" s="26">
        <v>5.7604443515393997E-2</v>
      </c>
      <c r="Q10" s="25">
        <v>3733</v>
      </c>
      <c r="R10" s="26">
        <v>5.6164898818927299E-2</v>
      </c>
      <c r="S10" s="25" t="s">
        <v>294</v>
      </c>
      <c r="T10" s="26"/>
      <c r="U10" s="25" t="s">
        <v>294</v>
      </c>
      <c r="V10" s="26"/>
    </row>
    <row r="11" spans="1:22" x14ac:dyDescent="0.3">
      <c r="A11" s="10" t="s">
        <v>298</v>
      </c>
      <c r="B11" s="10"/>
      <c r="C11" s="25">
        <v>12530</v>
      </c>
      <c r="D11" s="26">
        <v>0.18110600410487701</v>
      </c>
      <c r="E11" s="25">
        <v>12251</v>
      </c>
      <c r="F11" s="26">
        <v>0.172355092853123</v>
      </c>
      <c r="G11" s="25">
        <v>11259</v>
      </c>
      <c r="H11" s="26">
        <v>0.18457377049180301</v>
      </c>
      <c r="I11" s="25">
        <v>11158</v>
      </c>
      <c r="J11" s="26">
        <v>0.18317026725326699</v>
      </c>
      <c r="K11" s="25">
        <v>11367</v>
      </c>
      <c r="L11" s="26">
        <v>0.181164732882825</v>
      </c>
      <c r="M11" s="25">
        <v>11764</v>
      </c>
      <c r="N11" s="26">
        <v>0.172591364563313</v>
      </c>
      <c r="O11" s="25">
        <v>12053</v>
      </c>
      <c r="P11" s="26">
        <v>0.17996535969182101</v>
      </c>
      <c r="Q11" s="25">
        <v>12462</v>
      </c>
      <c r="R11" s="26">
        <v>0.187497178966373</v>
      </c>
      <c r="S11" s="25">
        <v>13360</v>
      </c>
      <c r="T11" s="26">
        <v>0.19019418028586099</v>
      </c>
      <c r="U11" s="25">
        <v>11407</v>
      </c>
      <c r="V11" s="26">
        <v>0.15099009900990101</v>
      </c>
    </row>
    <row r="12" spans="1:22" x14ac:dyDescent="0.3">
      <c r="A12" s="10" t="s">
        <v>299</v>
      </c>
      <c r="B12" s="10"/>
      <c r="C12" s="25" t="s">
        <v>294</v>
      </c>
      <c r="D12" s="26"/>
      <c r="E12" s="25">
        <v>13390</v>
      </c>
      <c r="F12" s="26">
        <v>0.188379290939786</v>
      </c>
      <c r="G12" s="25">
        <v>13146</v>
      </c>
      <c r="H12" s="26">
        <v>0.215508196721311</v>
      </c>
      <c r="I12" s="25">
        <v>12467</v>
      </c>
      <c r="J12" s="26">
        <v>0.20465887451572701</v>
      </c>
      <c r="K12" s="25">
        <v>11356</v>
      </c>
      <c r="L12" s="26">
        <v>0.180989417314803</v>
      </c>
      <c r="M12" s="25">
        <v>10726</v>
      </c>
      <c r="N12" s="26">
        <v>0.15736271474890301</v>
      </c>
      <c r="O12" s="25">
        <v>10406</v>
      </c>
      <c r="P12" s="26">
        <v>0.155373727117986</v>
      </c>
      <c r="Q12" s="25">
        <v>10095</v>
      </c>
      <c r="R12" s="26">
        <v>0.15188445046265001</v>
      </c>
      <c r="S12" s="25">
        <v>11141</v>
      </c>
      <c r="T12" s="26">
        <v>0.15860429360514799</v>
      </c>
      <c r="U12" s="25">
        <v>9249</v>
      </c>
      <c r="V12" s="26">
        <v>0.122425477841902</v>
      </c>
    </row>
    <row r="13" spans="1:22" x14ac:dyDescent="0.3">
      <c r="A13" s="10" t="s">
        <v>300</v>
      </c>
      <c r="B13" s="10"/>
      <c r="C13" s="25" t="s">
        <v>294</v>
      </c>
      <c r="D13" s="26"/>
      <c r="E13" s="25">
        <v>5287</v>
      </c>
      <c r="F13" s="26">
        <v>7.4380979178390594E-2</v>
      </c>
      <c r="G13" s="25">
        <v>4777</v>
      </c>
      <c r="H13" s="26">
        <v>7.8311475409836101E-2</v>
      </c>
      <c r="I13" s="25">
        <v>4672</v>
      </c>
      <c r="J13" s="26">
        <v>7.6695777792369801E-2</v>
      </c>
      <c r="K13" s="25">
        <v>4988</v>
      </c>
      <c r="L13" s="26">
        <v>7.9497641208721201E-2</v>
      </c>
      <c r="M13" s="25">
        <v>5084</v>
      </c>
      <c r="N13" s="26">
        <v>7.4588107568844306E-2</v>
      </c>
      <c r="O13" s="25">
        <v>5132</v>
      </c>
      <c r="P13" s="26">
        <v>7.6626750679368097E-2</v>
      </c>
      <c r="Q13" s="25">
        <v>4289</v>
      </c>
      <c r="R13" s="26">
        <v>6.4530203866696806E-2</v>
      </c>
      <c r="S13" s="25">
        <v>5030</v>
      </c>
      <c r="T13" s="26">
        <v>7.1607539433972994E-2</v>
      </c>
      <c r="U13" s="25">
        <v>6033</v>
      </c>
      <c r="V13" s="26">
        <v>7.9856515063271002E-2</v>
      </c>
    </row>
    <row r="14" spans="1:22" x14ac:dyDescent="0.3">
      <c r="A14" s="10" t="s">
        <v>301</v>
      </c>
      <c r="B14" s="10"/>
      <c r="C14" s="25">
        <v>3278</v>
      </c>
      <c r="D14" s="26">
        <v>4.7379527650102601E-2</v>
      </c>
      <c r="E14" s="25">
        <v>3263</v>
      </c>
      <c r="F14" s="26">
        <v>4.5906021384355698E-2</v>
      </c>
      <c r="G14" s="25">
        <v>2847</v>
      </c>
      <c r="H14" s="26">
        <v>4.6672131147540999E-2</v>
      </c>
      <c r="I14" s="25">
        <v>2809</v>
      </c>
      <c r="J14" s="26">
        <v>4.6112679755729198E-2</v>
      </c>
      <c r="K14" s="25">
        <v>2833</v>
      </c>
      <c r="L14" s="26">
        <v>4.5151727655234002E-2</v>
      </c>
      <c r="M14" s="25">
        <v>2921</v>
      </c>
      <c r="N14" s="26">
        <v>4.2854418215695203E-2</v>
      </c>
      <c r="O14" s="25">
        <v>2945</v>
      </c>
      <c r="P14" s="26">
        <v>4.3972287753456601E-2</v>
      </c>
      <c r="Q14" s="25">
        <v>3013</v>
      </c>
      <c r="R14" s="26">
        <v>4.5332129692319298E-2</v>
      </c>
      <c r="S14" s="25">
        <v>2928</v>
      </c>
      <c r="T14" s="26">
        <v>4.1683275439895202E-2</v>
      </c>
      <c r="U14" s="25">
        <v>2459</v>
      </c>
      <c r="V14" s="26">
        <v>3.2548843119606097E-2</v>
      </c>
    </row>
    <row r="15" spans="1:22" x14ac:dyDescent="0.3">
      <c r="A15" s="10" t="s">
        <v>302</v>
      </c>
      <c r="B15" s="10"/>
      <c r="C15" s="25">
        <v>983</v>
      </c>
      <c r="D15" s="26">
        <v>1.4208076778539001E-2</v>
      </c>
      <c r="E15" s="25">
        <v>-222</v>
      </c>
      <c r="F15" s="26">
        <v>-3.1232414181204299E-3</v>
      </c>
      <c r="G15" s="25">
        <v>233</v>
      </c>
      <c r="H15" s="26">
        <v>3.81967213114754E-3</v>
      </c>
      <c r="I15" s="25">
        <v>330</v>
      </c>
      <c r="J15" s="26">
        <v>5.41729594851927E-3</v>
      </c>
      <c r="K15" s="25">
        <v>354</v>
      </c>
      <c r="L15" s="26">
        <v>5.6419737345403502E-3</v>
      </c>
      <c r="M15" s="25">
        <v>629</v>
      </c>
      <c r="N15" s="26">
        <v>9.22815099543727E-3</v>
      </c>
      <c r="O15" s="25">
        <v>651</v>
      </c>
      <c r="P15" s="26">
        <v>9.7201899244482894E-3</v>
      </c>
      <c r="Q15" s="25">
        <v>411</v>
      </c>
      <c r="R15" s="26">
        <v>6.18370570977206E-3</v>
      </c>
      <c r="S15" s="25">
        <v>701</v>
      </c>
      <c r="T15" s="26">
        <v>9.97950002847218E-3</v>
      </c>
      <c r="U15" s="25">
        <v>598</v>
      </c>
      <c r="V15" s="26">
        <v>7.9154974320961493E-3</v>
      </c>
    </row>
    <row r="16" spans="1:22" x14ac:dyDescent="0.3">
      <c r="A16" s="10" t="s">
        <v>303</v>
      </c>
      <c r="B16" s="10"/>
      <c r="C16" s="25">
        <v>-1099</v>
      </c>
      <c r="D16" s="26"/>
      <c r="E16" s="25" t="s">
        <v>294</v>
      </c>
      <c r="F16" s="26"/>
      <c r="G16" s="25">
        <v>343</v>
      </c>
      <c r="H16" s="26"/>
      <c r="I16" s="25">
        <v>-129</v>
      </c>
      <c r="J16" s="26"/>
      <c r="K16" s="25">
        <v>436</v>
      </c>
      <c r="L16" s="26"/>
      <c r="M16" s="25">
        <v>-220</v>
      </c>
      <c r="N16" s="26"/>
      <c r="O16" s="25">
        <v>2646</v>
      </c>
      <c r="P16" s="26"/>
      <c r="Q16" s="25">
        <v>1377</v>
      </c>
      <c r="R16" s="26"/>
      <c r="S16" s="25">
        <v>836</v>
      </c>
      <c r="T16" s="26"/>
      <c r="U16" s="25">
        <v>-5650</v>
      </c>
      <c r="V16" s="26"/>
    </row>
    <row r="17" spans="1:22" x14ac:dyDescent="0.3">
      <c r="A17" s="10" t="s">
        <v>304</v>
      </c>
      <c r="B17" s="10"/>
      <c r="C17" s="25" t="s">
        <v>294</v>
      </c>
      <c r="D17" s="26"/>
      <c r="E17" s="25">
        <v>9127</v>
      </c>
      <c r="F17" s="26">
        <v>0.12840461451885199</v>
      </c>
      <c r="G17" s="25" t="s">
        <v>294</v>
      </c>
      <c r="H17" s="26"/>
      <c r="I17" s="25" t="s">
        <v>294</v>
      </c>
      <c r="J17" s="26"/>
      <c r="K17" s="25" t="s">
        <v>294</v>
      </c>
      <c r="L17" s="26"/>
      <c r="M17" s="25" t="s">
        <v>294</v>
      </c>
      <c r="N17" s="26"/>
      <c r="O17" s="25" t="s">
        <v>294</v>
      </c>
      <c r="P17" s="26"/>
      <c r="Q17" s="25" t="s">
        <v>294</v>
      </c>
      <c r="R17" s="26"/>
      <c r="S17" s="25" t="s">
        <v>294</v>
      </c>
      <c r="T17" s="26"/>
      <c r="U17" s="25" t="s">
        <v>294</v>
      </c>
      <c r="V17" s="26"/>
    </row>
    <row r="18" spans="1:22" x14ac:dyDescent="0.3">
      <c r="A18" s="10" t="s">
        <v>305</v>
      </c>
      <c r="B18" s="10"/>
      <c r="C18" s="25">
        <v>112</v>
      </c>
      <c r="D18" s="26"/>
      <c r="E18" s="25">
        <v>2236</v>
      </c>
      <c r="F18" s="26"/>
      <c r="G18" s="25" t="s">
        <v>294</v>
      </c>
      <c r="H18" s="26"/>
      <c r="I18" s="25" t="s">
        <v>294</v>
      </c>
      <c r="J18" s="26"/>
      <c r="K18" s="25" t="s">
        <v>294</v>
      </c>
      <c r="L18" s="26"/>
      <c r="M18" s="25" t="s">
        <v>294</v>
      </c>
      <c r="N18" s="26"/>
      <c r="O18" s="25" t="s">
        <v>294</v>
      </c>
      <c r="P18" s="26"/>
      <c r="Q18" s="25" t="s">
        <v>294</v>
      </c>
      <c r="R18" s="26"/>
      <c r="S18" s="25" t="s">
        <v>294</v>
      </c>
      <c r="T18" s="26"/>
      <c r="U18" s="25" t="s">
        <v>294</v>
      </c>
      <c r="V18" s="26"/>
    </row>
    <row r="19" spans="1:22" x14ac:dyDescent="0.3">
      <c r="A19" s="10" t="s">
        <v>306</v>
      </c>
      <c r="B19" s="10"/>
      <c r="C19" s="25">
        <v>52395</v>
      </c>
      <c r="D19" s="26">
        <v>0.75730639146648204</v>
      </c>
      <c r="E19" s="25" t="s">
        <v>294</v>
      </c>
      <c r="F19" s="26"/>
      <c r="G19" s="25" t="s">
        <v>294</v>
      </c>
      <c r="H19" s="26"/>
      <c r="I19" s="25" t="s">
        <v>294</v>
      </c>
      <c r="J19" s="26"/>
      <c r="K19" s="25" t="s">
        <v>294</v>
      </c>
      <c r="L19" s="26"/>
      <c r="M19" s="25" t="s">
        <v>294</v>
      </c>
      <c r="N19" s="26"/>
      <c r="O19" s="25" t="s">
        <v>294</v>
      </c>
      <c r="P19" s="26"/>
      <c r="Q19" s="25" t="s">
        <v>294</v>
      </c>
      <c r="R19" s="26"/>
      <c r="S19" s="25" t="s">
        <v>294</v>
      </c>
      <c r="T19" s="26"/>
      <c r="U19" s="25" t="s">
        <v>294</v>
      </c>
      <c r="V19" s="26"/>
    </row>
    <row r="20" spans="1:22" x14ac:dyDescent="0.3">
      <c r="A20" s="10" t="s">
        <v>307</v>
      </c>
      <c r="B20" s="10"/>
      <c r="C20" s="25">
        <v>5029</v>
      </c>
      <c r="D20" s="26">
        <v>7.2688116092851196E-2</v>
      </c>
      <c r="E20" s="25" t="s">
        <v>294</v>
      </c>
      <c r="F20" s="26"/>
      <c r="G20" s="25" t="s">
        <v>294</v>
      </c>
      <c r="H20" s="26"/>
      <c r="I20" s="25" t="s">
        <v>294</v>
      </c>
      <c r="J20" s="26"/>
      <c r="K20" s="25" t="s">
        <v>294</v>
      </c>
      <c r="L20" s="26"/>
      <c r="M20" s="25" t="s">
        <v>294</v>
      </c>
      <c r="N20" s="26"/>
      <c r="O20" s="25" t="s">
        <v>294</v>
      </c>
      <c r="P20" s="26"/>
      <c r="Q20" s="25" t="s">
        <v>294</v>
      </c>
      <c r="R20" s="26"/>
      <c r="S20" s="25" t="s">
        <v>294</v>
      </c>
      <c r="T20" s="26"/>
      <c r="U20" s="25" t="s">
        <v>294</v>
      </c>
      <c r="V20" s="26"/>
    </row>
    <row r="21" spans="1:22" x14ac:dyDescent="0.3">
      <c r="A21" s="10" t="s">
        <v>308</v>
      </c>
      <c r="B21" s="10"/>
      <c r="C21" s="25">
        <v>8798</v>
      </c>
      <c r="D21" s="26">
        <v>0.12716445523660899</v>
      </c>
      <c r="E21" s="25" t="s">
        <v>294</v>
      </c>
      <c r="F21" s="26"/>
      <c r="G21" s="25" t="s">
        <v>294</v>
      </c>
      <c r="H21" s="26"/>
      <c r="I21" s="25" t="s">
        <v>294</v>
      </c>
      <c r="J21" s="26"/>
      <c r="K21" s="25" t="s">
        <v>294</v>
      </c>
      <c r="L21" s="26"/>
      <c r="M21" s="25" t="s">
        <v>294</v>
      </c>
      <c r="N21" s="26"/>
      <c r="O21" s="25" t="s">
        <v>294</v>
      </c>
      <c r="P21" s="26"/>
      <c r="Q21" s="25" t="s">
        <v>294</v>
      </c>
      <c r="R21" s="26"/>
      <c r="S21" s="25" t="s">
        <v>294</v>
      </c>
      <c r="T21" s="26"/>
      <c r="U21" s="25" t="s">
        <v>294</v>
      </c>
      <c r="V21" s="26"/>
    </row>
    <row r="22" spans="1:22" x14ac:dyDescent="0.3">
      <c r="A22" s="10" t="s">
        <v>309</v>
      </c>
      <c r="B22" s="10"/>
      <c r="C22" s="25">
        <v>18212</v>
      </c>
      <c r="D22" s="26">
        <v>0.263232445870552</v>
      </c>
      <c r="E22" s="25" t="s">
        <v>294</v>
      </c>
      <c r="F22" s="26"/>
      <c r="G22" s="25" t="s">
        <v>294</v>
      </c>
      <c r="H22" s="26"/>
      <c r="I22" s="25" t="s">
        <v>294</v>
      </c>
      <c r="J22" s="26"/>
      <c r="K22" s="25" t="s">
        <v>294</v>
      </c>
      <c r="L22" s="26"/>
      <c r="M22" s="25" t="s">
        <v>294</v>
      </c>
      <c r="N22" s="26"/>
      <c r="O22" s="25" t="s">
        <v>294</v>
      </c>
      <c r="P22" s="26"/>
      <c r="Q22" s="25" t="s">
        <v>294</v>
      </c>
      <c r="R22" s="26"/>
      <c r="S22" s="25" t="s">
        <v>294</v>
      </c>
      <c r="T22" s="26"/>
      <c r="U22" s="25" t="s">
        <v>294</v>
      </c>
      <c r="V22" s="26"/>
    </row>
    <row r="23" spans="1:22" x14ac:dyDescent="0.3">
      <c r="A23" s="10" t="s">
        <v>310</v>
      </c>
      <c r="B23" s="10"/>
      <c r="C23" s="25">
        <v>20356</v>
      </c>
      <c r="D23" s="26">
        <v>0.29422137426646999</v>
      </c>
      <c r="E23" s="25" t="s">
        <v>294</v>
      </c>
      <c r="F23" s="26"/>
      <c r="G23" s="25" t="s">
        <v>294</v>
      </c>
      <c r="H23" s="26"/>
      <c r="I23" s="25" t="s">
        <v>294</v>
      </c>
      <c r="J23" s="26"/>
      <c r="K23" s="25" t="s">
        <v>294</v>
      </c>
      <c r="L23" s="26"/>
      <c r="M23" s="25" t="s">
        <v>294</v>
      </c>
      <c r="N23" s="26"/>
      <c r="O23" s="25" t="s">
        <v>294</v>
      </c>
      <c r="P23" s="26"/>
      <c r="Q23" s="25" t="s">
        <v>294</v>
      </c>
      <c r="R23" s="26"/>
      <c r="S23" s="25" t="s">
        <v>294</v>
      </c>
      <c r="T23" s="26"/>
      <c r="U23" s="25" t="s">
        <v>294</v>
      </c>
      <c r="V23" s="26"/>
    </row>
    <row r="24" spans="1:22" x14ac:dyDescent="0.3">
      <c r="A24" s="6" t="s">
        <v>311</v>
      </c>
      <c r="B24" s="6"/>
      <c r="C24" s="29">
        <v>68199</v>
      </c>
      <c r="D24" s="30">
        <v>1</v>
      </c>
      <c r="E24" s="29">
        <v>73316</v>
      </c>
      <c r="F24" s="30">
        <v>1</v>
      </c>
      <c r="G24" s="29">
        <v>61343</v>
      </c>
      <c r="H24" s="30">
        <v>1</v>
      </c>
      <c r="I24" s="29">
        <v>60787</v>
      </c>
      <c r="J24" s="30">
        <v>1</v>
      </c>
      <c r="K24" s="29">
        <v>62308</v>
      </c>
      <c r="L24" s="30">
        <v>1</v>
      </c>
      <c r="M24" s="29">
        <v>67941</v>
      </c>
      <c r="N24" s="30">
        <v>1</v>
      </c>
      <c r="O24" s="29">
        <v>69620</v>
      </c>
      <c r="P24" s="30">
        <v>1</v>
      </c>
      <c r="Q24" s="29">
        <v>67842</v>
      </c>
      <c r="R24" s="30">
        <v>1</v>
      </c>
      <c r="S24" s="29">
        <v>71080</v>
      </c>
      <c r="T24" s="30">
        <v>1</v>
      </c>
      <c r="U24" s="29">
        <v>69898</v>
      </c>
      <c r="V24" s="30">
        <v>1</v>
      </c>
    </row>
    <row r="25" spans="1:22" x14ac:dyDescent="0.3">
      <c r="A25" s="10" t="s">
        <v>312</v>
      </c>
      <c r="B25" s="10"/>
      <c r="C25" s="25">
        <v>65883</v>
      </c>
      <c r="D25" s="26">
        <v>0.95072007850154405</v>
      </c>
      <c r="E25" s="25">
        <v>67546</v>
      </c>
      <c r="F25" s="26">
        <v>0.95028137310073202</v>
      </c>
      <c r="G25" s="25">
        <v>47170</v>
      </c>
      <c r="H25" s="26">
        <v>0.67899812868864295</v>
      </c>
      <c r="I25" s="25">
        <v>47460</v>
      </c>
      <c r="J25" s="26">
        <v>0.68904439734022505</v>
      </c>
      <c r="K25" s="25">
        <v>51388</v>
      </c>
      <c r="L25" s="26">
        <v>0.819010582685197</v>
      </c>
      <c r="M25" s="25">
        <v>57435</v>
      </c>
      <c r="N25" s="26">
        <v>0.84263728525109705</v>
      </c>
      <c r="O25" s="25">
        <v>56568</v>
      </c>
      <c r="P25" s="26">
        <v>0.84462627288201397</v>
      </c>
      <c r="Q25" s="25">
        <v>56370</v>
      </c>
      <c r="R25" s="26">
        <v>0.84811554953735002</v>
      </c>
      <c r="S25" s="25">
        <v>59103</v>
      </c>
      <c r="T25" s="26">
        <v>0.84139570639485195</v>
      </c>
      <c r="U25" s="25">
        <v>69301</v>
      </c>
      <c r="V25" s="26">
        <v>0.88225334182049697</v>
      </c>
    </row>
    <row r="26" spans="1:22" x14ac:dyDescent="0.3">
      <c r="A26" s="10" t="s">
        <v>313</v>
      </c>
      <c r="B26" s="10"/>
      <c r="C26" s="25">
        <v>32470</v>
      </c>
      <c r="D26" s="26">
        <v>0.46855609108488</v>
      </c>
      <c r="E26" s="25">
        <v>33625</v>
      </c>
      <c r="F26" s="26">
        <v>0.47305852560495198</v>
      </c>
      <c r="G26" s="25">
        <v>33541</v>
      </c>
      <c r="H26" s="26">
        <v>0.48281272491722999</v>
      </c>
      <c r="I26" s="25">
        <v>34152</v>
      </c>
      <c r="J26" s="26">
        <v>0.49583321234646799</v>
      </c>
      <c r="K26" s="25">
        <v>36834</v>
      </c>
      <c r="L26" s="26">
        <v>0.58705214841259701</v>
      </c>
      <c r="M26" s="25">
        <v>42121</v>
      </c>
      <c r="N26" s="26">
        <v>0.61796335147665105</v>
      </c>
      <c r="O26" s="25">
        <v>40919</v>
      </c>
      <c r="P26" s="26">
        <v>0.61096843551228797</v>
      </c>
      <c r="Q26" s="25">
        <v>40484</v>
      </c>
      <c r="R26" s="26">
        <v>0.60910253516888602</v>
      </c>
      <c r="S26" s="25">
        <v>42114</v>
      </c>
      <c r="T26" s="26">
        <v>0.59953875064062401</v>
      </c>
      <c r="U26" s="25">
        <v>54837</v>
      </c>
      <c r="V26" s="26">
        <v>0.69811584977721197</v>
      </c>
    </row>
    <row r="27" spans="1:22" x14ac:dyDescent="0.3">
      <c r="A27" s="10" t="s">
        <v>314</v>
      </c>
      <c r="B27" s="10"/>
      <c r="C27" s="25" t="s">
        <v>294</v>
      </c>
      <c r="D27" s="26"/>
      <c r="E27" s="25">
        <v>0</v>
      </c>
      <c r="F27" s="26"/>
      <c r="G27" s="25">
        <v>8409</v>
      </c>
      <c r="H27" s="26">
        <v>0.121045055419606</v>
      </c>
      <c r="I27" s="25">
        <v>8407</v>
      </c>
      <c r="J27" s="26">
        <v>0.12205638955835001</v>
      </c>
      <c r="K27" s="25">
        <v>10311</v>
      </c>
      <c r="L27" s="26">
        <v>0.164334438352671</v>
      </c>
      <c r="M27" s="25">
        <v>14720</v>
      </c>
      <c r="N27" s="26">
        <v>0.21595927289799199</v>
      </c>
      <c r="O27" s="25">
        <v>12492</v>
      </c>
      <c r="P27" s="26">
        <v>0.18652014214471299</v>
      </c>
      <c r="Q27" s="25">
        <v>12217</v>
      </c>
      <c r="R27" s="26">
        <v>0.183811028360791</v>
      </c>
      <c r="S27" s="25">
        <v>13381</v>
      </c>
      <c r="T27" s="26">
        <v>0.19049313820397501</v>
      </c>
      <c r="U27" s="25">
        <v>24402</v>
      </c>
      <c r="V27" s="26">
        <v>0.31065563335455099</v>
      </c>
    </row>
    <row r="28" spans="1:22" x14ac:dyDescent="0.3">
      <c r="A28" s="10" t="s">
        <v>315</v>
      </c>
      <c r="B28" s="10"/>
      <c r="C28" s="25">
        <v>18212</v>
      </c>
      <c r="D28" s="26">
        <v>0.262807007417242</v>
      </c>
      <c r="E28" s="25">
        <v>18959</v>
      </c>
      <c r="F28" s="26">
        <v>0.26672763083849199</v>
      </c>
      <c r="G28" s="25">
        <v>16740</v>
      </c>
      <c r="H28" s="26">
        <v>0.24096732402475901</v>
      </c>
      <c r="I28" s="25">
        <v>17436</v>
      </c>
      <c r="J28" s="26">
        <v>0.253143238769999</v>
      </c>
      <c r="K28" s="25">
        <v>17805</v>
      </c>
      <c r="L28" s="26">
        <v>0.28377215351268598</v>
      </c>
      <c r="M28" s="25">
        <v>18528</v>
      </c>
      <c r="N28" s="26">
        <v>0.27182699784334202</v>
      </c>
      <c r="O28" s="25">
        <v>19437</v>
      </c>
      <c r="P28" s="26">
        <v>0.29021709917281302</v>
      </c>
      <c r="Q28" s="25">
        <v>20245</v>
      </c>
      <c r="R28" s="26">
        <v>0.30459640412247002</v>
      </c>
      <c r="S28" s="25">
        <v>23703</v>
      </c>
      <c r="T28" s="26">
        <v>0.33743807300267598</v>
      </c>
      <c r="U28" s="25">
        <v>24402</v>
      </c>
      <c r="V28" s="26">
        <v>0.31065563335455099</v>
      </c>
    </row>
    <row r="29" spans="1:22" x14ac:dyDescent="0.3">
      <c r="A29" s="10" t="s">
        <v>316</v>
      </c>
      <c r="B29" s="10"/>
      <c r="C29" s="25">
        <v>5084</v>
      </c>
      <c r="D29" s="26">
        <v>7.3364310658316306E-2</v>
      </c>
      <c r="E29" s="25">
        <v>5587</v>
      </c>
      <c r="F29" s="26">
        <v>7.86015756893641E-2</v>
      </c>
      <c r="G29" s="25">
        <v>4777</v>
      </c>
      <c r="H29" s="26">
        <v>6.8763495033827504E-2</v>
      </c>
      <c r="I29" s="25">
        <v>4672</v>
      </c>
      <c r="J29" s="26">
        <v>6.7830076366909603E-2</v>
      </c>
      <c r="K29" s="25">
        <v>4988</v>
      </c>
      <c r="L29" s="26">
        <v>7.9497641208721201E-2</v>
      </c>
      <c r="M29" s="25">
        <v>5084</v>
      </c>
      <c r="N29" s="26">
        <v>7.4588107568844306E-2</v>
      </c>
      <c r="O29" s="25">
        <v>5132</v>
      </c>
      <c r="P29" s="26">
        <v>7.6626750679368097E-2</v>
      </c>
      <c r="Q29" s="25">
        <v>4289</v>
      </c>
      <c r="R29" s="26">
        <v>6.4530203866696806E-2</v>
      </c>
      <c r="S29" s="25">
        <v>5030</v>
      </c>
      <c r="T29" s="26">
        <v>7.1607539433972994E-2</v>
      </c>
      <c r="U29" s="25">
        <v>6033</v>
      </c>
      <c r="V29" s="26">
        <v>7.68045830681095E-2</v>
      </c>
    </row>
    <row r="30" spans="1:22" x14ac:dyDescent="0.3">
      <c r="A30" s="10" t="s">
        <v>317</v>
      </c>
      <c r="B30" s="10"/>
      <c r="C30" s="25">
        <v>9174</v>
      </c>
      <c r="D30" s="26">
        <v>0.132384773009322</v>
      </c>
      <c r="E30" s="25">
        <v>9079</v>
      </c>
      <c r="F30" s="26">
        <v>0.127729319077096</v>
      </c>
      <c r="G30" s="25" t="s">
        <v>294</v>
      </c>
      <c r="H30" s="26"/>
      <c r="I30" s="25" t="s">
        <v>294</v>
      </c>
      <c r="J30" s="26"/>
      <c r="K30" s="25" t="s">
        <v>294</v>
      </c>
      <c r="L30" s="26"/>
      <c r="M30" s="25" t="s">
        <v>294</v>
      </c>
      <c r="N30" s="26"/>
      <c r="O30" s="25" t="s">
        <v>294</v>
      </c>
      <c r="P30" s="26"/>
      <c r="Q30" s="25" t="s">
        <v>294</v>
      </c>
      <c r="R30" s="26"/>
      <c r="S30" s="25" t="s">
        <v>294</v>
      </c>
      <c r="T30" s="26"/>
      <c r="U30" s="25" t="s">
        <v>294</v>
      </c>
      <c r="V30" s="26"/>
    </row>
    <row r="31" spans="1:22" x14ac:dyDescent="0.3">
      <c r="A31" s="10" t="s">
        <v>318</v>
      </c>
      <c r="B31" s="10"/>
      <c r="C31" s="25" t="s">
        <v>294</v>
      </c>
      <c r="D31" s="26"/>
      <c r="E31" s="25" t="s">
        <v>294</v>
      </c>
      <c r="F31" s="26"/>
      <c r="G31" s="25">
        <v>3615</v>
      </c>
      <c r="H31" s="26">
        <v>5.2036850439038398E-2</v>
      </c>
      <c r="I31" s="25">
        <v>3637</v>
      </c>
      <c r="J31" s="26">
        <v>5.2803507651209398E-2</v>
      </c>
      <c r="K31" s="25">
        <v>3730</v>
      </c>
      <c r="L31" s="26">
        <v>5.9447915338518398E-2</v>
      </c>
      <c r="M31" s="25">
        <v>3789</v>
      </c>
      <c r="N31" s="26">
        <v>5.5588973166473502E-2</v>
      </c>
      <c r="O31" s="25">
        <v>3858</v>
      </c>
      <c r="P31" s="26">
        <v>5.7604443515393997E-2</v>
      </c>
      <c r="Q31" s="25">
        <v>3733</v>
      </c>
      <c r="R31" s="26">
        <v>5.6164898818927299E-2</v>
      </c>
      <c r="S31" s="25" t="s">
        <v>294</v>
      </c>
      <c r="T31" s="26"/>
      <c r="U31" s="25" t="s">
        <v>294</v>
      </c>
      <c r="V31" s="26"/>
    </row>
    <row r="32" spans="1:22" x14ac:dyDescent="0.3">
      <c r="A32" s="10" t="s">
        <v>319</v>
      </c>
      <c r="B32" s="10"/>
      <c r="C32" s="25">
        <v>12530</v>
      </c>
      <c r="D32" s="26">
        <v>0.18081329908511101</v>
      </c>
      <c r="E32" s="25">
        <v>12221</v>
      </c>
      <c r="F32" s="26">
        <v>0.17193303320202599</v>
      </c>
      <c r="G32" s="25">
        <v>11259</v>
      </c>
      <c r="H32" s="26">
        <v>0.162069958255362</v>
      </c>
      <c r="I32" s="25">
        <v>11157</v>
      </c>
      <c r="J32" s="26">
        <v>0.16198205522808401</v>
      </c>
      <c r="K32" s="25">
        <v>11367</v>
      </c>
      <c r="L32" s="26">
        <v>0.181164732882825</v>
      </c>
      <c r="M32" s="25">
        <v>11764</v>
      </c>
      <c r="N32" s="26">
        <v>0.172591364563313</v>
      </c>
      <c r="O32" s="25">
        <v>12053</v>
      </c>
      <c r="P32" s="26">
        <v>0.17996535969182101</v>
      </c>
      <c r="Q32" s="25">
        <v>12462</v>
      </c>
      <c r="R32" s="26">
        <v>0.187497178966373</v>
      </c>
      <c r="S32" s="25">
        <v>13360</v>
      </c>
      <c r="T32" s="26">
        <v>0.19019418028586099</v>
      </c>
      <c r="U32" s="25">
        <v>11407</v>
      </c>
      <c r="V32" s="26">
        <v>0.145219605346913</v>
      </c>
    </row>
    <row r="33" spans="1:22" x14ac:dyDescent="0.3">
      <c r="A33" s="10" t="s">
        <v>320</v>
      </c>
      <c r="B33" s="10"/>
      <c r="C33" s="25">
        <v>3278</v>
      </c>
      <c r="D33" s="26">
        <v>4.7302952466160599E-2</v>
      </c>
      <c r="E33" s="25">
        <v>3343</v>
      </c>
      <c r="F33" s="26">
        <v>4.7031513787281903E-2</v>
      </c>
      <c r="G33" s="25">
        <v>2847</v>
      </c>
      <c r="H33" s="26">
        <v>4.0981718727508297E-2</v>
      </c>
      <c r="I33" s="25">
        <v>2809</v>
      </c>
      <c r="J33" s="26">
        <v>4.0782252678649197E-2</v>
      </c>
      <c r="K33" s="25">
        <v>2833</v>
      </c>
      <c r="L33" s="26">
        <v>4.5151727655234002E-2</v>
      </c>
      <c r="M33" s="25">
        <v>2921</v>
      </c>
      <c r="N33" s="26">
        <v>4.2854418215695203E-2</v>
      </c>
      <c r="O33" s="25">
        <v>2945</v>
      </c>
      <c r="P33" s="26">
        <v>4.3972287753456601E-2</v>
      </c>
      <c r="Q33" s="25">
        <v>3013</v>
      </c>
      <c r="R33" s="26">
        <v>4.5332129692319298E-2</v>
      </c>
      <c r="S33" s="25">
        <v>2928</v>
      </c>
      <c r="T33" s="26">
        <v>4.1683275439895202E-2</v>
      </c>
      <c r="U33" s="25">
        <v>2459</v>
      </c>
      <c r="V33" s="26">
        <v>3.1304901336728197E-2</v>
      </c>
    </row>
    <row r="34" spans="1:22" x14ac:dyDescent="0.3">
      <c r="A34" s="10" t="s">
        <v>321</v>
      </c>
      <c r="B34" s="10"/>
      <c r="C34" s="25">
        <v>664</v>
      </c>
      <c r="D34" s="26"/>
      <c r="E34" s="25">
        <v>525</v>
      </c>
      <c r="F34" s="26"/>
      <c r="G34" s="25">
        <v>-477</v>
      </c>
      <c r="H34" s="26"/>
      <c r="I34" s="25">
        <v>-658</v>
      </c>
      <c r="J34" s="26"/>
      <c r="K34" s="25">
        <v>354</v>
      </c>
      <c r="L34" s="26"/>
      <c r="M34" s="25">
        <v>629</v>
      </c>
      <c r="N34" s="26"/>
      <c r="O34" s="25">
        <v>651</v>
      </c>
      <c r="P34" s="26"/>
      <c r="Q34" s="25">
        <v>411</v>
      </c>
      <c r="R34" s="26"/>
      <c r="S34" s="25">
        <v>701</v>
      </c>
      <c r="T34" s="26"/>
      <c r="U34" s="25">
        <v>598</v>
      </c>
      <c r="V34" s="26"/>
    </row>
    <row r="35" spans="1:22" x14ac:dyDescent="0.3">
      <c r="A35" s="10" t="s">
        <v>322</v>
      </c>
      <c r="B35" s="10"/>
      <c r="C35" s="25">
        <v>-3415</v>
      </c>
      <c r="D35" s="26"/>
      <c r="E35" s="25">
        <v>-3534</v>
      </c>
      <c r="F35" s="26"/>
      <c r="G35" s="25" t="s">
        <v>294</v>
      </c>
      <c r="H35" s="26"/>
      <c r="I35" s="25" t="s">
        <v>294</v>
      </c>
      <c r="J35" s="26"/>
      <c r="K35" s="25" t="s">
        <v>294</v>
      </c>
      <c r="L35" s="26"/>
      <c r="M35" s="25" t="s">
        <v>294</v>
      </c>
      <c r="N35" s="26"/>
      <c r="O35" s="25" t="s">
        <v>294</v>
      </c>
      <c r="P35" s="26"/>
      <c r="Q35" s="25" t="s">
        <v>294</v>
      </c>
      <c r="R35" s="26"/>
      <c r="S35" s="25" t="s">
        <v>294</v>
      </c>
      <c r="T35" s="26"/>
      <c r="U35" s="25" t="s">
        <v>294</v>
      </c>
      <c r="V35" s="26"/>
    </row>
    <row r="36" spans="1:22" x14ac:dyDescent="0.3">
      <c r="A36" s="10" t="s">
        <v>310</v>
      </c>
      <c r="B36" s="10"/>
      <c r="C36" s="25">
        <v>20356</v>
      </c>
      <c r="D36" s="26">
        <v>0.29374585125111802</v>
      </c>
      <c r="E36" s="25">
        <v>21366</v>
      </c>
      <c r="F36" s="26">
        <v>0.30059088351153601</v>
      </c>
      <c r="G36" s="25" t="s">
        <v>294</v>
      </c>
      <c r="H36" s="26"/>
      <c r="I36" s="25" t="s">
        <v>294</v>
      </c>
      <c r="J36" s="26"/>
      <c r="K36" s="25" t="s">
        <v>294</v>
      </c>
      <c r="L36" s="26"/>
      <c r="M36" s="25" t="s">
        <v>294</v>
      </c>
      <c r="N36" s="26"/>
      <c r="O36" s="25" t="s">
        <v>294</v>
      </c>
      <c r="P36" s="26"/>
      <c r="Q36" s="25" t="s">
        <v>294</v>
      </c>
      <c r="R36" s="26"/>
      <c r="S36" s="25" t="s">
        <v>294</v>
      </c>
      <c r="T36" s="26"/>
      <c r="U36" s="25" t="s">
        <v>294</v>
      </c>
      <c r="V36" s="26"/>
    </row>
    <row r="37" spans="1:22" x14ac:dyDescent="0.3">
      <c r="A37" s="10" t="s">
        <v>323</v>
      </c>
      <c r="B37" s="10"/>
      <c r="C37" s="25">
        <v>13126</v>
      </c>
      <c r="D37" s="26">
        <v>0.18941383589714</v>
      </c>
      <c r="E37" s="25">
        <v>13308</v>
      </c>
      <c r="F37" s="26">
        <v>0.18722566122678699</v>
      </c>
      <c r="G37" s="25" t="s">
        <v>294</v>
      </c>
      <c r="H37" s="26"/>
      <c r="I37" s="25" t="s">
        <v>294</v>
      </c>
      <c r="J37" s="26"/>
      <c r="K37" s="25" t="s">
        <v>294</v>
      </c>
      <c r="L37" s="26"/>
      <c r="M37" s="25" t="s">
        <v>294</v>
      </c>
      <c r="N37" s="26"/>
      <c r="O37" s="25" t="s">
        <v>294</v>
      </c>
      <c r="P37" s="26"/>
      <c r="Q37" s="25" t="s">
        <v>294</v>
      </c>
      <c r="R37" s="26"/>
      <c r="S37" s="25" t="s">
        <v>294</v>
      </c>
      <c r="T37" s="26"/>
      <c r="U37" s="25" t="s">
        <v>294</v>
      </c>
      <c r="V37" s="26"/>
    </row>
    <row r="38" spans="1:22" x14ac:dyDescent="0.3">
      <c r="A38" s="10" t="s">
        <v>324</v>
      </c>
      <c r="B38" s="10"/>
      <c r="C38" s="25">
        <v>7230</v>
      </c>
      <c r="D38" s="26">
        <v>0.104332015353978</v>
      </c>
      <c r="E38" s="25">
        <v>8058</v>
      </c>
      <c r="F38" s="26">
        <v>0.11336522228475</v>
      </c>
      <c r="G38" s="25" t="s">
        <v>294</v>
      </c>
      <c r="H38" s="26"/>
      <c r="I38" s="25" t="s">
        <v>294</v>
      </c>
      <c r="J38" s="26"/>
      <c r="K38" s="25" t="s">
        <v>294</v>
      </c>
      <c r="L38" s="26"/>
      <c r="M38" s="25" t="s">
        <v>294</v>
      </c>
      <c r="N38" s="26"/>
      <c r="O38" s="25" t="s">
        <v>294</v>
      </c>
      <c r="P38" s="26"/>
      <c r="Q38" s="25" t="s">
        <v>294</v>
      </c>
      <c r="R38" s="26"/>
      <c r="S38" s="25" t="s">
        <v>294</v>
      </c>
      <c r="T38" s="26"/>
      <c r="U38" s="25" t="s">
        <v>294</v>
      </c>
      <c r="V38" s="26"/>
    </row>
    <row r="39" spans="1:22" x14ac:dyDescent="0.3">
      <c r="A39" s="10" t="s">
        <v>299</v>
      </c>
      <c r="B39" s="10"/>
      <c r="C39" s="25" t="s">
        <v>294</v>
      </c>
      <c r="D39" s="26"/>
      <c r="E39" s="25" t="s">
        <v>294</v>
      </c>
      <c r="F39" s="26"/>
      <c r="G39" s="25">
        <v>13158</v>
      </c>
      <c r="H39" s="26">
        <v>0.18940549877644999</v>
      </c>
      <c r="I39" s="25">
        <v>12467</v>
      </c>
      <c r="J39" s="26">
        <v>0.181001190510758</v>
      </c>
      <c r="K39" s="25">
        <v>11356</v>
      </c>
      <c r="L39" s="26">
        <v>0.180989417314803</v>
      </c>
      <c r="M39" s="25">
        <v>10726</v>
      </c>
      <c r="N39" s="26">
        <v>0.15736271474890301</v>
      </c>
      <c r="O39" s="25">
        <v>10406</v>
      </c>
      <c r="P39" s="26">
        <v>0.155373727117986</v>
      </c>
      <c r="Q39" s="25">
        <v>10095</v>
      </c>
      <c r="R39" s="26">
        <v>0.15188445046265001</v>
      </c>
      <c r="S39" s="25">
        <v>11141</v>
      </c>
      <c r="T39" s="26">
        <v>0.15860429360514799</v>
      </c>
      <c r="U39" s="25">
        <v>9249</v>
      </c>
      <c r="V39" s="26">
        <v>0.117746658179503</v>
      </c>
    </row>
    <row r="40" spans="1:22" x14ac:dyDescent="0.3">
      <c r="A40" s="10" t="s">
        <v>325</v>
      </c>
      <c r="B40" s="10"/>
      <c r="C40" s="25">
        <v>-1099</v>
      </c>
      <c r="D40" s="26"/>
      <c r="E40" s="25">
        <v>2236</v>
      </c>
      <c r="F40" s="26"/>
      <c r="G40" s="25">
        <v>-8127</v>
      </c>
      <c r="H40" s="26"/>
      <c r="I40" s="25">
        <v>-8091</v>
      </c>
      <c r="J40" s="26"/>
      <c r="K40" s="25">
        <v>-436</v>
      </c>
      <c r="L40" s="26"/>
      <c r="M40" s="25">
        <v>-220</v>
      </c>
      <c r="N40" s="26"/>
      <c r="O40" s="25">
        <v>2646</v>
      </c>
      <c r="P40" s="26"/>
      <c r="Q40" s="25">
        <v>1377</v>
      </c>
      <c r="R40" s="26"/>
      <c r="S40" s="25">
        <v>836</v>
      </c>
      <c r="T40" s="26"/>
      <c r="U40" s="25">
        <v>-8652</v>
      </c>
      <c r="V40" s="26"/>
    </row>
    <row r="41" spans="1:22" x14ac:dyDescent="0.3">
      <c r="A41" s="10" t="s">
        <v>304</v>
      </c>
      <c r="B41" s="10"/>
      <c r="C41" s="25" t="s">
        <v>294</v>
      </c>
      <c r="D41" s="26"/>
      <c r="E41" s="25" t="s">
        <v>294</v>
      </c>
      <c r="F41" s="26"/>
      <c r="G41" s="25">
        <v>9142</v>
      </c>
      <c r="H41" s="26">
        <v>0.131596372534907</v>
      </c>
      <c r="I41" s="25">
        <v>8951</v>
      </c>
      <c r="J41" s="26">
        <v>0.12995441214901701</v>
      </c>
      <c r="K41" s="25" t="s">
        <v>294</v>
      </c>
      <c r="L41" s="26"/>
      <c r="M41" s="25" t="s">
        <v>294</v>
      </c>
      <c r="N41" s="26"/>
      <c r="O41" s="25" t="s">
        <v>294</v>
      </c>
      <c r="P41" s="26"/>
      <c r="Q41" s="25" t="s">
        <v>294</v>
      </c>
      <c r="R41" s="26"/>
      <c r="S41" s="25" t="s">
        <v>294</v>
      </c>
      <c r="T41" s="26"/>
      <c r="U41" s="25" t="s">
        <v>294</v>
      </c>
      <c r="V41" s="26"/>
    </row>
    <row r="42" spans="1:22" x14ac:dyDescent="0.3">
      <c r="A42" s="10" t="s">
        <v>326</v>
      </c>
      <c r="B42" s="10"/>
      <c r="C42" s="25">
        <v>3415</v>
      </c>
      <c r="D42" s="26">
        <v>4.9279921498455899E-2</v>
      </c>
      <c r="E42" s="25">
        <v>3534</v>
      </c>
      <c r="F42" s="26">
        <v>4.9718626899268398E-2</v>
      </c>
      <c r="G42" s="25" t="s">
        <v>294</v>
      </c>
      <c r="H42" s="26"/>
      <c r="I42" s="25" t="s">
        <v>294</v>
      </c>
      <c r="J42" s="26"/>
      <c r="K42" s="25" t="s">
        <v>294</v>
      </c>
      <c r="L42" s="26"/>
      <c r="M42" s="25" t="s">
        <v>294</v>
      </c>
      <c r="N42" s="26"/>
      <c r="O42" s="25" t="s">
        <v>294</v>
      </c>
      <c r="P42" s="26"/>
      <c r="Q42" s="25" t="s">
        <v>294</v>
      </c>
      <c r="R42" s="26"/>
      <c r="S42" s="25" t="s">
        <v>294</v>
      </c>
      <c r="T42" s="26"/>
      <c r="U42" s="25" t="s">
        <v>294</v>
      </c>
      <c r="V42" s="26"/>
    </row>
    <row r="43" spans="1:22" x14ac:dyDescent="0.3">
      <c r="A43" s="10" t="s">
        <v>327</v>
      </c>
      <c r="B43" s="10"/>
      <c r="C43" s="25">
        <v>1556</v>
      </c>
      <c r="D43" s="26">
        <v>2.2453750468988998E-2</v>
      </c>
      <c r="E43" s="25">
        <v>1646</v>
      </c>
      <c r="F43" s="26">
        <v>2.3157006190208201E-2</v>
      </c>
      <c r="G43" s="25" t="s">
        <v>294</v>
      </c>
      <c r="H43" s="26"/>
      <c r="I43" s="25" t="s">
        <v>294</v>
      </c>
      <c r="J43" s="26"/>
      <c r="K43" s="25" t="s">
        <v>294</v>
      </c>
      <c r="L43" s="26"/>
      <c r="M43" s="25" t="s">
        <v>294</v>
      </c>
      <c r="N43" s="26"/>
      <c r="O43" s="25" t="s">
        <v>294</v>
      </c>
      <c r="P43" s="26"/>
      <c r="Q43" s="25" t="s">
        <v>294</v>
      </c>
      <c r="R43" s="26"/>
      <c r="S43" s="25" t="s">
        <v>294</v>
      </c>
      <c r="T43" s="26"/>
      <c r="U43" s="25" t="s">
        <v>294</v>
      </c>
      <c r="V43" s="26"/>
    </row>
    <row r="44" spans="1:22" x14ac:dyDescent="0.3">
      <c r="A44" s="10" t="s">
        <v>328</v>
      </c>
      <c r="B44" s="10"/>
      <c r="C44" s="25">
        <v>1859</v>
      </c>
      <c r="D44" s="26">
        <v>2.68261710294669E-2</v>
      </c>
      <c r="E44" s="25">
        <v>1888</v>
      </c>
      <c r="F44" s="26">
        <v>2.6561620709060201E-2</v>
      </c>
      <c r="G44" s="25" t="s">
        <v>294</v>
      </c>
      <c r="H44" s="26"/>
      <c r="I44" s="25" t="s">
        <v>294</v>
      </c>
      <c r="J44" s="26"/>
      <c r="K44" s="25" t="s">
        <v>294</v>
      </c>
      <c r="L44" s="26"/>
      <c r="M44" s="25" t="s">
        <v>294</v>
      </c>
      <c r="N44" s="26"/>
      <c r="O44" s="25" t="s">
        <v>294</v>
      </c>
      <c r="P44" s="26"/>
      <c r="Q44" s="25" t="s">
        <v>294</v>
      </c>
      <c r="R44" s="26"/>
      <c r="S44" s="25" t="s">
        <v>294</v>
      </c>
      <c r="T44" s="26"/>
      <c r="U44" s="25" t="s">
        <v>294</v>
      </c>
      <c r="V44" s="26"/>
    </row>
    <row r="45" spans="1:22" x14ac:dyDescent="0.3">
      <c r="A45" s="6" t="s">
        <v>329</v>
      </c>
      <c r="B45" s="6"/>
      <c r="C45" s="29">
        <v>1954</v>
      </c>
      <c r="D45" s="30">
        <v>1</v>
      </c>
      <c r="E45" s="29">
        <v>2033</v>
      </c>
      <c r="F45" s="30">
        <v>1</v>
      </c>
      <c r="G45" s="29">
        <v>1598</v>
      </c>
      <c r="H45" s="30">
        <v>1</v>
      </c>
      <c r="I45" s="29">
        <v>1643</v>
      </c>
      <c r="J45" s="30">
        <v>1</v>
      </c>
      <c r="K45" s="29">
        <v>1454</v>
      </c>
      <c r="L45" s="30">
        <v>1</v>
      </c>
      <c r="M45" s="29">
        <v>1556</v>
      </c>
      <c r="N45" s="30">
        <v>1</v>
      </c>
      <c r="O45" s="29">
        <v>1585</v>
      </c>
      <c r="P45" s="30">
        <v>1</v>
      </c>
      <c r="Q45" s="29">
        <v>1690</v>
      </c>
      <c r="R45" s="30">
        <v>1</v>
      </c>
      <c r="S45" s="29">
        <v>2376</v>
      </c>
      <c r="T45" s="30">
        <v>1</v>
      </c>
      <c r="U45" s="29">
        <v>2471</v>
      </c>
      <c r="V45" s="30">
        <v>1</v>
      </c>
    </row>
    <row r="46" spans="1:22" x14ac:dyDescent="0.3">
      <c r="A46" s="10" t="s">
        <v>293</v>
      </c>
      <c r="B46" s="10"/>
      <c r="C46" s="25" t="s">
        <v>294</v>
      </c>
      <c r="D46" s="26"/>
      <c r="E46" s="25" t="s">
        <v>294</v>
      </c>
      <c r="F46" s="26"/>
      <c r="G46" s="25">
        <v>751</v>
      </c>
      <c r="H46" s="26">
        <v>0.469962453066333</v>
      </c>
      <c r="I46" s="25">
        <v>784</v>
      </c>
      <c r="J46" s="26">
        <v>0.47717589774802199</v>
      </c>
      <c r="K46" s="25">
        <v>806</v>
      </c>
      <c r="L46" s="26">
        <v>0.55433287482806004</v>
      </c>
      <c r="M46" s="25">
        <v>821</v>
      </c>
      <c r="N46" s="26">
        <v>0.52763496143958899</v>
      </c>
      <c r="O46" s="25">
        <v>887</v>
      </c>
      <c r="P46" s="26">
        <v>0.559621451104101</v>
      </c>
      <c r="Q46" s="25">
        <v>957</v>
      </c>
      <c r="R46" s="26">
        <v>0.56627218934911205</v>
      </c>
      <c r="S46" s="25">
        <v>1538</v>
      </c>
      <c r="T46" s="26">
        <v>0.64730639730639705</v>
      </c>
      <c r="U46" s="25">
        <v>1756</v>
      </c>
      <c r="V46" s="26">
        <v>0.71064346418454105</v>
      </c>
    </row>
    <row r="47" spans="1:22" x14ac:dyDescent="0.3">
      <c r="A47" s="10" t="s">
        <v>295</v>
      </c>
      <c r="B47" s="10"/>
      <c r="C47" s="25" t="s">
        <v>294</v>
      </c>
      <c r="D47" s="26"/>
      <c r="E47" s="25" t="s">
        <v>294</v>
      </c>
      <c r="F47" s="26"/>
      <c r="G47" s="25">
        <v>442</v>
      </c>
      <c r="H47" s="26">
        <v>0.27659574468085102</v>
      </c>
      <c r="I47" s="25">
        <v>467</v>
      </c>
      <c r="J47" s="26">
        <v>0.28423615337796698</v>
      </c>
      <c r="K47" s="25">
        <v>494</v>
      </c>
      <c r="L47" s="26">
        <v>0.33975240715268201</v>
      </c>
      <c r="M47" s="25">
        <v>515</v>
      </c>
      <c r="N47" s="26">
        <v>0.330976863753213</v>
      </c>
      <c r="O47" s="25">
        <v>575</v>
      </c>
      <c r="P47" s="26">
        <v>0.36277602523659302</v>
      </c>
      <c r="Q47" s="25">
        <v>629</v>
      </c>
      <c r="R47" s="26">
        <v>0.37218934911242602</v>
      </c>
      <c r="S47" s="25">
        <v>1239</v>
      </c>
      <c r="T47" s="26">
        <v>0.52146464646464696</v>
      </c>
      <c r="U47" s="25">
        <v>1360</v>
      </c>
      <c r="V47" s="26">
        <v>0.55038445973290195</v>
      </c>
    </row>
    <row r="48" spans="1:22" x14ac:dyDescent="0.3">
      <c r="A48" s="10" t="s">
        <v>296</v>
      </c>
      <c r="B48" s="10"/>
      <c r="C48" s="25" t="s">
        <v>294</v>
      </c>
      <c r="D48" s="26"/>
      <c r="E48" s="25" t="s">
        <v>294</v>
      </c>
      <c r="F48" s="26"/>
      <c r="G48" s="25">
        <v>287</v>
      </c>
      <c r="H48" s="26">
        <v>0.17959949937421801</v>
      </c>
      <c r="I48" s="25">
        <v>288</v>
      </c>
      <c r="J48" s="26">
        <v>0.17528910529519201</v>
      </c>
      <c r="K48" s="25">
        <v>290</v>
      </c>
      <c r="L48" s="26">
        <v>0.199449793672627</v>
      </c>
      <c r="M48" s="25">
        <v>284</v>
      </c>
      <c r="N48" s="26">
        <v>0.182519280205656</v>
      </c>
      <c r="O48" s="25">
        <v>292</v>
      </c>
      <c r="P48" s="26">
        <v>0.18422712933753899</v>
      </c>
      <c r="Q48" s="25">
        <v>309</v>
      </c>
      <c r="R48" s="26">
        <v>0.18284023668639099</v>
      </c>
      <c r="S48" s="25">
        <v>299</v>
      </c>
      <c r="T48" s="26">
        <v>0.125841750841751</v>
      </c>
      <c r="U48" s="25">
        <v>396</v>
      </c>
      <c r="V48" s="26">
        <v>0.16025900445163899</v>
      </c>
    </row>
    <row r="49" spans="1:22" x14ac:dyDescent="0.3">
      <c r="A49" s="10" t="s">
        <v>297</v>
      </c>
      <c r="B49" s="10"/>
      <c r="C49" s="25" t="s">
        <v>294</v>
      </c>
      <c r="D49" s="26"/>
      <c r="E49" s="25" t="s">
        <v>294</v>
      </c>
      <c r="F49" s="26"/>
      <c r="G49" s="25">
        <v>22</v>
      </c>
      <c r="H49" s="26">
        <v>1.37672090112641E-2</v>
      </c>
      <c r="I49" s="25">
        <v>29</v>
      </c>
      <c r="J49" s="26">
        <v>1.7650639074863101E-2</v>
      </c>
      <c r="K49" s="25">
        <v>22</v>
      </c>
      <c r="L49" s="26">
        <v>1.5130674002750999E-2</v>
      </c>
      <c r="M49" s="25">
        <v>22</v>
      </c>
      <c r="N49" s="26">
        <v>1.41388174807198E-2</v>
      </c>
      <c r="O49" s="25">
        <v>20</v>
      </c>
      <c r="P49" s="26">
        <v>1.2618296529968501E-2</v>
      </c>
      <c r="Q49" s="25">
        <v>19</v>
      </c>
      <c r="R49" s="26">
        <v>1.1242603550295899E-2</v>
      </c>
      <c r="S49" s="25">
        <v>0</v>
      </c>
      <c r="T49" s="26"/>
      <c r="U49" s="25">
        <v>0</v>
      </c>
      <c r="V49" s="26"/>
    </row>
    <row r="50" spans="1:22" x14ac:dyDescent="0.3">
      <c r="A50" s="10" t="s">
        <v>302</v>
      </c>
      <c r="B50" s="10"/>
      <c r="C50" s="25">
        <v>28</v>
      </c>
      <c r="D50" s="26">
        <v>1.4329580348004099E-2</v>
      </c>
      <c r="E50" s="25">
        <v>67</v>
      </c>
      <c r="F50" s="26">
        <v>3.2956222331529797E-2</v>
      </c>
      <c r="G50" s="25">
        <v>-290</v>
      </c>
      <c r="H50" s="26">
        <v>-0.181476846057572</v>
      </c>
      <c r="I50" s="25">
        <v>110</v>
      </c>
      <c r="J50" s="26">
        <v>6.6950699939135702E-2</v>
      </c>
      <c r="K50" s="25">
        <v>271</v>
      </c>
      <c r="L50" s="26">
        <v>0.18638239339752399</v>
      </c>
      <c r="M50" s="25">
        <v>333</v>
      </c>
      <c r="N50" s="26">
        <v>0.21401028277635001</v>
      </c>
      <c r="O50" s="25">
        <v>291</v>
      </c>
      <c r="P50" s="26">
        <v>0.18359621451104099</v>
      </c>
      <c r="Q50" s="25">
        <v>344</v>
      </c>
      <c r="R50" s="26">
        <v>0.20355029585798801</v>
      </c>
      <c r="S50" s="25">
        <v>420</v>
      </c>
      <c r="T50" s="26">
        <v>0.17676767676767699</v>
      </c>
      <c r="U50" s="25">
        <v>396</v>
      </c>
      <c r="V50" s="26">
        <v>0.16025900445163899</v>
      </c>
    </row>
    <row r="51" spans="1:22" x14ac:dyDescent="0.3">
      <c r="A51" s="10" t="s">
        <v>299</v>
      </c>
      <c r="B51" s="10"/>
      <c r="C51" s="25" t="s">
        <v>294</v>
      </c>
      <c r="D51" s="26"/>
      <c r="E51" s="25" t="s">
        <v>294</v>
      </c>
      <c r="F51" s="26"/>
      <c r="G51" s="25">
        <v>930</v>
      </c>
      <c r="H51" s="26">
        <v>0.58197747183979998</v>
      </c>
      <c r="I51" s="25">
        <v>581</v>
      </c>
      <c r="J51" s="26">
        <v>0.35362142422398102</v>
      </c>
      <c r="K51" s="25">
        <v>244</v>
      </c>
      <c r="L51" s="26">
        <v>0.167812929848693</v>
      </c>
      <c r="M51" s="25">
        <v>250</v>
      </c>
      <c r="N51" s="26">
        <v>0.160668380462725</v>
      </c>
      <c r="O51" s="25">
        <v>253</v>
      </c>
      <c r="P51" s="26">
        <v>0.159621451104101</v>
      </c>
      <c r="Q51" s="25">
        <v>238</v>
      </c>
      <c r="R51" s="26">
        <v>0.140828402366864</v>
      </c>
      <c r="S51" s="25">
        <v>257</v>
      </c>
      <c r="T51" s="26">
        <v>0.10816498316498301</v>
      </c>
      <c r="U51" s="25">
        <v>155</v>
      </c>
      <c r="V51" s="26">
        <v>6.2727640631323398E-2</v>
      </c>
    </row>
    <row r="52" spans="1:22" x14ac:dyDescent="0.3">
      <c r="A52" s="10" t="s">
        <v>298</v>
      </c>
      <c r="B52" s="10"/>
      <c r="C52" s="25">
        <v>92</v>
      </c>
      <c r="D52" s="26">
        <v>4.7082906857727702E-2</v>
      </c>
      <c r="E52" s="25">
        <v>106</v>
      </c>
      <c r="F52" s="26">
        <v>5.2139695031972501E-2</v>
      </c>
      <c r="G52" s="25">
        <v>105</v>
      </c>
      <c r="H52" s="26">
        <v>6.5707133917396701E-2</v>
      </c>
      <c r="I52" s="25">
        <v>61</v>
      </c>
      <c r="J52" s="26">
        <v>3.71272063298844E-2</v>
      </c>
      <c r="K52" s="25">
        <v>43</v>
      </c>
      <c r="L52" s="26">
        <v>2.9573590096286101E-2</v>
      </c>
      <c r="M52" s="25">
        <v>51</v>
      </c>
      <c r="N52" s="26">
        <v>3.2776349614395899E-2</v>
      </c>
      <c r="O52" s="25">
        <v>56</v>
      </c>
      <c r="P52" s="26">
        <v>3.5331230283911698E-2</v>
      </c>
      <c r="Q52" s="25">
        <v>61</v>
      </c>
      <c r="R52" s="26">
        <v>3.6094674556212999E-2</v>
      </c>
      <c r="S52" s="25">
        <v>73</v>
      </c>
      <c r="T52" s="26">
        <v>3.0723905723905699E-2</v>
      </c>
      <c r="U52" s="25">
        <v>90</v>
      </c>
      <c r="V52" s="26">
        <v>3.6422501011736101E-2</v>
      </c>
    </row>
    <row r="53" spans="1:22" x14ac:dyDescent="0.3">
      <c r="A53" s="10" t="s">
        <v>300</v>
      </c>
      <c r="B53" s="10"/>
      <c r="C53" s="25" t="s">
        <v>294</v>
      </c>
      <c r="D53" s="26"/>
      <c r="E53" s="25" t="s">
        <v>294</v>
      </c>
      <c r="F53" s="26"/>
      <c r="G53" s="25">
        <v>41</v>
      </c>
      <c r="H53" s="26">
        <v>2.5657071339174001E-2</v>
      </c>
      <c r="I53" s="25">
        <v>34</v>
      </c>
      <c r="J53" s="26">
        <v>2.0693852708460098E-2</v>
      </c>
      <c r="K53" s="25">
        <v>32</v>
      </c>
      <c r="L53" s="26">
        <v>2.2008253094910599E-2</v>
      </c>
      <c r="M53" s="25">
        <v>35</v>
      </c>
      <c r="N53" s="26">
        <v>2.2493573264781502E-2</v>
      </c>
      <c r="O53" s="25">
        <v>44</v>
      </c>
      <c r="P53" s="26">
        <v>2.7760252365930601E-2</v>
      </c>
      <c r="Q53" s="25">
        <v>38</v>
      </c>
      <c r="R53" s="26">
        <v>2.2485207100591698E-2</v>
      </c>
      <c r="S53" s="25">
        <v>41</v>
      </c>
      <c r="T53" s="26">
        <v>1.7255892255892299E-2</v>
      </c>
      <c r="U53" s="25">
        <v>39</v>
      </c>
      <c r="V53" s="26">
        <v>1.5783083771752301E-2</v>
      </c>
    </row>
    <row r="54" spans="1:22" x14ac:dyDescent="0.3">
      <c r="A54" s="10" t="s">
        <v>301</v>
      </c>
      <c r="B54" s="10"/>
      <c r="C54" s="25">
        <v>97</v>
      </c>
      <c r="D54" s="26">
        <v>4.9641760491299897E-2</v>
      </c>
      <c r="E54" s="25">
        <v>60</v>
      </c>
      <c r="F54" s="26">
        <v>2.9513034923758001E-2</v>
      </c>
      <c r="G54" s="25">
        <v>61</v>
      </c>
      <c r="H54" s="26">
        <v>3.8172715894868599E-2</v>
      </c>
      <c r="I54" s="25">
        <v>73</v>
      </c>
      <c r="J54" s="26">
        <v>4.4430919050517298E-2</v>
      </c>
      <c r="K54" s="25">
        <v>58</v>
      </c>
      <c r="L54" s="26">
        <v>3.9889958734525402E-2</v>
      </c>
      <c r="M54" s="25">
        <v>66</v>
      </c>
      <c r="N54" s="26">
        <v>4.24164524421594E-2</v>
      </c>
      <c r="O54" s="25">
        <v>54</v>
      </c>
      <c r="P54" s="26">
        <v>3.4069400630914799E-2</v>
      </c>
      <c r="Q54" s="25">
        <v>52</v>
      </c>
      <c r="R54" s="26">
        <v>3.0769230769230799E-2</v>
      </c>
      <c r="S54" s="25">
        <v>47</v>
      </c>
      <c r="T54" s="26">
        <v>1.9781144781144799E-2</v>
      </c>
      <c r="U54" s="25">
        <v>35</v>
      </c>
      <c r="V54" s="26">
        <v>1.4164305949008501E-2</v>
      </c>
    </row>
    <row r="55" spans="1:22" x14ac:dyDescent="0.3">
      <c r="A55" s="10" t="s">
        <v>306</v>
      </c>
      <c r="B55" s="10"/>
      <c r="C55" s="25">
        <v>1737</v>
      </c>
      <c r="D55" s="26">
        <v>0.88894575230296802</v>
      </c>
      <c r="E55" s="25">
        <v>1800</v>
      </c>
      <c r="F55" s="26">
        <v>0.88539104771274002</v>
      </c>
      <c r="G55" s="25" t="s">
        <v>294</v>
      </c>
      <c r="H55" s="26"/>
      <c r="I55" s="25" t="s">
        <v>294</v>
      </c>
      <c r="J55" s="26"/>
      <c r="K55" s="25" t="s">
        <v>294</v>
      </c>
      <c r="L55" s="26"/>
      <c r="M55" s="25" t="s">
        <v>294</v>
      </c>
      <c r="N55" s="26"/>
      <c r="O55" s="25" t="s">
        <v>294</v>
      </c>
      <c r="P55" s="26"/>
      <c r="Q55" s="25" t="s">
        <v>294</v>
      </c>
      <c r="R55" s="26"/>
      <c r="S55" s="25" t="s">
        <v>294</v>
      </c>
      <c r="T55" s="26"/>
      <c r="U55" s="25" t="s">
        <v>294</v>
      </c>
      <c r="V55" s="26"/>
    </row>
    <row r="56" spans="1:22" x14ac:dyDescent="0.3">
      <c r="A56" s="10" t="s">
        <v>307</v>
      </c>
      <c r="B56" s="10"/>
      <c r="C56" s="25">
        <v>23</v>
      </c>
      <c r="D56" s="26">
        <v>1.17707267144319E-2</v>
      </c>
      <c r="E56" s="25">
        <v>35</v>
      </c>
      <c r="F56" s="26">
        <v>1.7215937038858799E-2</v>
      </c>
      <c r="G56" s="25" t="s">
        <v>294</v>
      </c>
      <c r="H56" s="26"/>
      <c r="I56" s="25" t="s">
        <v>294</v>
      </c>
      <c r="J56" s="26"/>
      <c r="K56" s="25" t="s">
        <v>294</v>
      </c>
      <c r="L56" s="26"/>
      <c r="M56" s="25" t="s">
        <v>294</v>
      </c>
      <c r="N56" s="26"/>
      <c r="O56" s="25" t="s">
        <v>294</v>
      </c>
      <c r="P56" s="26"/>
      <c r="Q56" s="25" t="s">
        <v>294</v>
      </c>
      <c r="R56" s="26"/>
      <c r="S56" s="25" t="s">
        <v>294</v>
      </c>
      <c r="T56" s="26"/>
      <c r="U56" s="25" t="s">
        <v>294</v>
      </c>
      <c r="V56" s="26"/>
    </row>
    <row r="57" spans="1:22" x14ac:dyDescent="0.3">
      <c r="A57" s="10" t="s">
        <v>308</v>
      </c>
      <c r="B57" s="10"/>
      <c r="C57" s="25">
        <v>278</v>
      </c>
      <c r="D57" s="26">
        <v>0.142272262026612</v>
      </c>
      <c r="E57" s="25">
        <v>286</v>
      </c>
      <c r="F57" s="26">
        <v>0.14067879980324599</v>
      </c>
      <c r="G57" s="25" t="s">
        <v>294</v>
      </c>
      <c r="H57" s="26"/>
      <c r="I57" s="25" t="s">
        <v>294</v>
      </c>
      <c r="J57" s="26"/>
      <c r="K57" s="25" t="s">
        <v>294</v>
      </c>
      <c r="L57" s="26"/>
      <c r="M57" s="25" t="s">
        <v>294</v>
      </c>
      <c r="N57" s="26"/>
      <c r="O57" s="25" t="s">
        <v>294</v>
      </c>
      <c r="P57" s="26"/>
      <c r="Q57" s="25" t="s">
        <v>294</v>
      </c>
      <c r="R57" s="26"/>
      <c r="S57" s="25" t="s">
        <v>294</v>
      </c>
      <c r="T57" s="26"/>
      <c r="U57" s="25" t="s">
        <v>294</v>
      </c>
      <c r="V57" s="26"/>
    </row>
    <row r="58" spans="1:22" x14ac:dyDescent="0.3">
      <c r="A58" s="10" t="s">
        <v>309</v>
      </c>
      <c r="B58" s="10"/>
      <c r="C58" s="25">
        <v>418</v>
      </c>
      <c r="D58" s="26">
        <v>0.213920163766633</v>
      </c>
      <c r="E58" s="25">
        <v>420</v>
      </c>
      <c r="F58" s="26">
        <v>0.206591244466306</v>
      </c>
      <c r="G58" s="25" t="s">
        <v>294</v>
      </c>
      <c r="H58" s="26"/>
      <c r="I58" s="25" t="s">
        <v>294</v>
      </c>
      <c r="J58" s="26"/>
      <c r="K58" s="25" t="s">
        <v>294</v>
      </c>
      <c r="L58" s="26"/>
      <c r="M58" s="25" t="s">
        <v>294</v>
      </c>
      <c r="N58" s="26"/>
      <c r="O58" s="25" t="s">
        <v>294</v>
      </c>
      <c r="P58" s="26"/>
      <c r="Q58" s="25" t="s">
        <v>294</v>
      </c>
      <c r="R58" s="26"/>
      <c r="S58" s="25" t="s">
        <v>294</v>
      </c>
      <c r="T58" s="26"/>
      <c r="U58" s="25" t="s">
        <v>294</v>
      </c>
      <c r="V58" s="26"/>
    </row>
    <row r="59" spans="1:22" x14ac:dyDescent="0.3">
      <c r="A59" s="10" t="s">
        <v>310</v>
      </c>
      <c r="B59" s="10"/>
      <c r="C59" s="25">
        <v>1018</v>
      </c>
      <c r="D59" s="26">
        <v>0.52098259979529205</v>
      </c>
      <c r="E59" s="25">
        <v>1059</v>
      </c>
      <c r="F59" s="26">
        <v>0.52090506640432899</v>
      </c>
      <c r="G59" s="25" t="s">
        <v>294</v>
      </c>
      <c r="H59" s="26"/>
      <c r="I59" s="25" t="s">
        <v>294</v>
      </c>
      <c r="J59" s="26"/>
      <c r="K59" s="25" t="s">
        <v>294</v>
      </c>
      <c r="L59" s="26"/>
      <c r="M59" s="25" t="s">
        <v>294</v>
      </c>
      <c r="N59" s="26"/>
      <c r="O59" s="25" t="s">
        <v>294</v>
      </c>
      <c r="P59" s="26"/>
      <c r="Q59" s="25" t="s">
        <v>294</v>
      </c>
      <c r="R59" s="26"/>
      <c r="S59" s="25" t="s">
        <v>294</v>
      </c>
      <c r="T59" s="26"/>
      <c r="U59" s="25" t="s">
        <v>294</v>
      </c>
      <c r="V59" s="26"/>
    </row>
    <row r="60" spans="1:22" x14ac:dyDescent="0.3">
      <c r="A60" s="6" t="s">
        <v>330</v>
      </c>
      <c r="B60" s="6"/>
      <c r="C60" s="29">
        <v>5334</v>
      </c>
      <c r="D60" s="30">
        <v>1</v>
      </c>
      <c r="E60" s="29">
        <v>10020</v>
      </c>
      <c r="F60" s="30">
        <v>1</v>
      </c>
      <c r="G60" s="29">
        <v>6819</v>
      </c>
      <c r="H60" s="30">
        <v>1</v>
      </c>
      <c r="I60" s="29">
        <v>5438</v>
      </c>
      <c r="J60" s="30">
        <v>1</v>
      </c>
      <c r="K60" s="29">
        <v>4665</v>
      </c>
      <c r="L60" s="30">
        <v>1</v>
      </c>
      <c r="M60" s="29">
        <v>7429</v>
      </c>
      <c r="N60" s="30">
        <v>1</v>
      </c>
      <c r="O60" s="29">
        <v>7750</v>
      </c>
      <c r="P60" s="30">
        <v>1</v>
      </c>
      <c r="Q60" s="29">
        <v>7840</v>
      </c>
      <c r="R60" s="30">
        <v>1</v>
      </c>
      <c r="S60" s="29">
        <v>9046</v>
      </c>
      <c r="T60" s="30">
        <v>1</v>
      </c>
      <c r="U60" s="29">
        <v>3797</v>
      </c>
      <c r="V60" s="30">
        <v>1</v>
      </c>
    </row>
    <row r="61" spans="1:22" x14ac:dyDescent="0.3">
      <c r="A61" s="10" t="s">
        <v>293</v>
      </c>
      <c r="B61" s="10"/>
      <c r="C61" s="25" t="s">
        <v>294</v>
      </c>
      <c r="D61" s="26"/>
      <c r="E61" s="25" t="s">
        <v>294</v>
      </c>
      <c r="F61" s="26"/>
      <c r="G61" s="25">
        <v>1947</v>
      </c>
      <c r="H61" s="26">
        <v>0.48312655086848599</v>
      </c>
      <c r="I61" s="25">
        <v>1896</v>
      </c>
      <c r="J61" s="26">
        <v>0.45841392649903301</v>
      </c>
      <c r="K61" s="25">
        <v>2027</v>
      </c>
      <c r="L61" s="26">
        <v>0.46726602120792998</v>
      </c>
      <c r="M61" s="25">
        <v>2804</v>
      </c>
      <c r="N61" s="26">
        <v>0.50053552302749005</v>
      </c>
      <c r="O61" s="25">
        <v>2838</v>
      </c>
      <c r="P61" s="26">
        <v>0.47737594617325502</v>
      </c>
      <c r="Q61" s="25">
        <v>3224</v>
      </c>
      <c r="R61" s="26">
        <v>0.55347639484978495</v>
      </c>
      <c r="S61" s="25">
        <v>3221</v>
      </c>
      <c r="T61" s="26">
        <v>0.39526322248128598</v>
      </c>
      <c r="U61" s="25">
        <v>2996</v>
      </c>
      <c r="V61" s="26">
        <v>0.52286212914485197</v>
      </c>
    </row>
    <row r="62" spans="1:22" x14ac:dyDescent="0.3">
      <c r="A62" s="10" t="s">
        <v>296</v>
      </c>
      <c r="B62" s="10"/>
      <c r="C62" s="25" t="s">
        <v>294</v>
      </c>
      <c r="D62" s="26"/>
      <c r="E62" s="25" t="s">
        <v>294</v>
      </c>
      <c r="F62" s="26"/>
      <c r="G62" s="25">
        <v>1090</v>
      </c>
      <c r="H62" s="26">
        <v>0.270471464019851</v>
      </c>
      <c r="I62" s="25">
        <v>1088</v>
      </c>
      <c r="J62" s="26">
        <v>0.26305609284332698</v>
      </c>
      <c r="K62" s="25">
        <v>956</v>
      </c>
      <c r="L62" s="26">
        <v>0.220378054402951</v>
      </c>
      <c r="M62" s="25">
        <v>1381</v>
      </c>
      <c r="N62" s="26">
        <v>0.24651910032131399</v>
      </c>
      <c r="O62" s="25">
        <v>1241</v>
      </c>
      <c r="P62" s="26">
        <v>0.20874684608915101</v>
      </c>
      <c r="Q62" s="25">
        <v>1567</v>
      </c>
      <c r="R62" s="26">
        <v>0.26901287553648101</v>
      </c>
      <c r="S62" s="25">
        <v>2749</v>
      </c>
      <c r="T62" s="26">
        <v>0.33734200515400697</v>
      </c>
      <c r="U62" s="25">
        <v>1685</v>
      </c>
      <c r="V62" s="26">
        <v>0.29406631762652702</v>
      </c>
    </row>
    <row r="63" spans="1:22" x14ac:dyDescent="0.3">
      <c r="A63" s="10" t="s">
        <v>295</v>
      </c>
      <c r="B63" s="10"/>
      <c r="C63" s="25" t="s">
        <v>294</v>
      </c>
      <c r="D63" s="26"/>
      <c r="E63" s="25" t="s">
        <v>294</v>
      </c>
      <c r="F63" s="26"/>
      <c r="G63" s="25">
        <v>634</v>
      </c>
      <c r="H63" s="26">
        <v>0.15732009925558299</v>
      </c>
      <c r="I63" s="25">
        <v>687</v>
      </c>
      <c r="J63" s="26">
        <v>0.16610251450676999</v>
      </c>
      <c r="K63" s="25">
        <v>868</v>
      </c>
      <c r="L63" s="26">
        <v>0.200092208390964</v>
      </c>
      <c r="M63" s="25">
        <v>1079</v>
      </c>
      <c r="N63" s="26">
        <v>0.19260978222063499</v>
      </c>
      <c r="O63" s="25">
        <v>1348</v>
      </c>
      <c r="P63" s="26">
        <v>0.226745164003364</v>
      </c>
      <c r="Q63" s="25">
        <v>1335</v>
      </c>
      <c r="R63" s="26">
        <v>0.22918454935622301</v>
      </c>
      <c r="S63" s="25">
        <v>472</v>
      </c>
      <c r="T63" s="26">
        <v>5.7921217327279402E-2</v>
      </c>
      <c r="U63" s="25">
        <v>1311</v>
      </c>
      <c r="V63" s="26">
        <v>0.22879581151832501</v>
      </c>
    </row>
    <row r="64" spans="1:22" x14ac:dyDescent="0.3">
      <c r="A64" s="10" t="s">
        <v>297</v>
      </c>
      <c r="B64" s="10"/>
      <c r="C64" s="25" t="s">
        <v>294</v>
      </c>
      <c r="D64" s="26"/>
      <c r="E64" s="25" t="s">
        <v>294</v>
      </c>
      <c r="F64" s="26"/>
      <c r="G64" s="25">
        <v>223</v>
      </c>
      <c r="H64" s="26">
        <v>5.5334987593052103E-2</v>
      </c>
      <c r="I64" s="25">
        <v>121</v>
      </c>
      <c r="J64" s="26">
        <v>2.9255319148936199E-2</v>
      </c>
      <c r="K64" s="25">
        <v>203</v>
      </c>
      <c r="L64" s="26">
        <v>4.6795758414015703E-2</v>
      </c>
      <c r="M64" s="25">
        <v>344</v>
      </c>
      <c r="N64" s="26">
        <v>6.1406640485540898E-2</v>
      </c>
      <c r="O64" s="25">
        <v>249</v>
      </c>
      <c r="P64" s="26">
        <v>4.1883936080740099E-2</v>
      </c>
      <c r="Q64" s="25">
        <v>322</v>
      </c>
      <c r="R64" s="26">
        <v>5.5278969957081502E-2</v>
      </c>
      <c r="S64" s="25">
        <v>0</v>
      </c>
      <c r="T64" s="26"/>
      <c r="U64" s="25">
        <v>0</v>
      </c>
      <c r="V64" s="26"/>
    </row>
    <row r="65" spans="1:22" x14ac:dyDescent="0.3">
      <c r="A65" s="10" t="s">
        <v>298</v>
      </c>
      <c r="B65" s="10"/>
      <c r="C65" s="25">
        <v>1259</v>
      </c>
      <c r="D65" s="26">
        <v>0.2</v>
      </c>
      <c r="E65" s="25">
        <v>1307</v>
      </c>
      <c r="F65" s="26">
        <v>0.19923780487804901</v>
      </c>
      <c r="G65" s="25">
        <v>1388</v>
      </c>
      <c r="H65" s="26">
        <v>0.34441687344913102</v>
      </c>
      <c r="I65" s="25">
        <v>1224</v>
      </c>
      <c r="J65" s="26">
        <v>0.29593810444874302</v>
      </c>
      <c r="K65" s="25">
        <v>1229</v>
      </c>
      <c r="L65" s="26">
        <v>0.28331028123559199</v>
      </c>
      <c r="M65" s="25">
        <v>1237</v>
      </c>
      <c r="N65" s="26">
        <v>0.220813995001785</v>
      </c>
      <c r="O65" s="25">
        <v>1405</v>
      </c>
      <c r="P65" s="26">
        <v>0.23633305298570201</v>
      </c>
      <c r="Q65" s="25">
        <v>1565</v>
      </c>
      <c r="R65" s="26">
        <v>0.268669527896996</v>
      </c>
      <c r="S65" s="25">
        <v>2298</v>
      </c>
      <c r="T65" s="26">
        <v>0.281997791140017</v>
      </c>
      <c r="U65" s="25">
        <v>1378</v>
      </c>
      <c r="V65" s="26">
        <v>0.240488656195462</v>
      </c>
    </row>
    <row r="66" spans="1:22" x14ac:dyDescent="0.3">
      <c r="A66" s="10" t="s">
        <v>299</v>
      </c>
      <c r="B66" s="10"/>
      <c r="C66" s="25" t="s">
        <v>294</v>
      </c>
      <c r="D66" s="26"/>
      <c r="E66" s="25" t="s">
        <v>294</v>
      </c>
      <c r="F66" s="26"/>
      <c r="G66" s="25">
        <v>1240</v>
      </c>
      <c r="H66" s="26">
        <v>0.30769230769230799</v>
      </c>
      <c r="I66" s="25">
        <v>706</v>
      </c>
      <c r="J66" s="26">
        <v>0.170696324951644</v>
      </c>
      <c r="K66" s="25">
        <v>1182</v>
      </c>
      <c r="L66" s="26">
        <v>0.27247579529737198</v>
      </c>
      <c r="M66" s="25">
        <v>1255</v>
      </c>
      <c r="N66" s="26">
        <v>0.22402713316672601</v>
      </c>
      <c r="O66" s="25">
        <v>1034</v>
      </c>
      <c r="P66" s="26">
        <v>0.173927670311186</v>
      </c>
      <c r="Q66" s="25">
        <v>976</v>
      </c>
      <c r="R66" s="26">
        <v>0.16755364806867001</v>
      </c>
      <c r="S66" s="25">
        <v>2242</v>
      </c>
      <c r="T66" s="26">
        <v>0.27512578230457702</v>
      </c>
      <c r="U66" s="25">
        <v>1008</v>
      </c>
      <c r="V66" s="26">
        <v>0.17591623036649201</v>
      </c>
    </row>
    <row r="67" spans="1:22" x14ac:dyDescent="0.3">
      <c r="A67" s="10" t="s">
        <v>300</v>
      </c>
      <c r="B67" s="10"/>
      <c r="C67" s="25" t="s">
        <v>294</v>
      </c>
      <c r="D67" s="26"/>
      <c r="E67" s="25" t="s">
        <v>294</v>
      </c>
      <c r="F67" s="26"/>
      <c r="G67" s="25">
        <v>625</v>
      </c>
      <c r="H67" s="26">
        <v>0.155086848635236</v>
      </c>
      <c r="I67" s="25">
        <v>543</v>
      </c>
      <c r="J67" s="26">
        <v>0.13128626692456499</v>
      </c>
      <c r="K67" s="25">
        <v>585</v>
      </c>
      <c r="L67" s="26">
        <v>0.134854771784232</v>
      </c>
      <c r="M67" s="25">
        <v>592</v>
      </c>
      <c r="N67" s="26">
        <v>0.105676544091396</v>
      </c>
      <c r="O67" s="25">
        <v>609</v>
      </c>
      <c r="P67" s="26">
        <v>0.10243902439024399</v>
      </c>
      <c r="Q67" s="25">
        <v>280</v>
      </c>
      <c r="R67" s="26">
        <v>4.8068669527896998E-2</v>
      </c>
      <c r="S67" s="25">
        <v>291</v>
      </c>
      <c r="T67" s="26">
        <v>3.5709903055589597E-2</v>
      </c>
      <c r="U67" s="25">
        <v>761</v>
      </c>
      <c r="V67" s="26">
        <v>0.13280977312390899</v>
      </c>
    </row>
    <row r="68" spans="1:22" x14ac:dyDescent="0.3">
      <c r="A68" s="10" t="s">
        <v>301</v>
      </c>
      <c r="B68" s="10"/>
      <c r="C68" s="25">
        <v>281</v>
      </c>
      <c r="D68" s="26">
        <v>4.4638602065131101E-2</v>
      </c>
      <c r="E68" s="25">
        <v>285</v>
      </c>
      <c r="F68" s="26">
        <v>4.3445121951219502E-2</v>
      </c>
      <c r="G68" s="25">
        <v>240</v>
      </c>
      <c r="H68" s="26">
        <v>5.95533498759305E-2</v>
      </c>
      <c r="I68" s="25">
        <v>273</v>
      </c>
      <c r="J68" s="26">
        <v>6.6005802707930397E-2</v>
      </c>
      <c r="K68" s="25">
        <v>297</v>
      </c>
      <c r="L68" s="26">
        <v>6.8464730290456396E-2</v>
      </c>
      <c r="M68" s="25">
        <v>277</v>
      </c>
      <c r="N68" s="26">
        <v>4.9446626204926798E-2</v>
      </c>
      <c r="O68" s="25">
        <v>282</v>
      </c>
      <c r="P68" s="26">
        <v>4.7434819175777999E-2</v>
      </c>
      <c r="Q68" s="25">
        <v>327</v>
      </c>
      <c r="R68" s="26">
        <v>5.6137339055794003E-2</v>
      </c>
      <c r="S68" s="25">
        <v>301</v>
      </c>
      <c r="T68" s="26">
        <v>3.6937047490489601E-2</v>
      </c>
      <c r="U68" s="25">
        <v>246</v>
      </c>
      <c r="V68" s="26">
        <v>4.2931937172774902E-2</v>
      </c>
    </row>
    <row r="69" spans="1:22" x14ac:dyDescent="0.3">
      <c r="A69" s="10" t="s">
        <v>302</v>
      </c>
      <c r="B69" s="10"/>
      <c r="C69" s="25">
        <v>-412</v>
      </c>
      <c r="D69" s="26">
        <v>-6.54487688641779E-2</v>
      </c>
      <c r="E69" s="25">
        <v>-752</v>
      </c>
      <c r="F69" s="26">
        <v>-0.114634146341463</v>
      </c>
      <c r="G69" s="25">
        <v>-1410</v>
      </c>
      <c r="H69" s="26">
        <v>-0.349875930521092</v>
      </c>
      <c r="I69" s="25">
        <v>-506</v>
      </c>
      <c r="J69" s="26">
        <v>-0.122340425531915</v>
      </c>
      <c r="K69" s="25">
        <v>-982</v>
      </c>
      <c r="L69" s="26">
        <v>-0.226371599815583</v>
      </c>
      <c r="M69" s="25">
        <v>-563</v>
      </c>
      <c r="N69" s="26">
        <v>-0.100499821492324</v>
      </c>
      <c r="O69" s="25">
        <v>-223</v>
      </c>
      <c r="P69" s="26">
        <v>-3.7510513036164803E-2</v>
      </c>
      <c r="Q69" s="25">
        <v>-547</v>
      </c>
      <c r="R69" s="26">
        <v>-9.3905579399141598E-2</v>
      </c>
      <c r="S69" s="25">
        <v>-204</v>
      </c>
      <c r="T69" s="26">
        <v>-2.50337464719598E-2</v>
      </c>
      <c r="U69" s="25">
        <v>-659</v>
      </c>
      <c r="V69" s="26">
        <v>-0.11500872600349001</v>
      </c>
    </row>
    <row r="70" spans="1:22" x14ac:dyDescent="0.3">
      <c r="A70" s="10" t="s">
        <v>305</v>
      </c>
      <c r="B70" s="10"/>
      <c r="C70" s="25">
        <v>-961</v>
      </c>
      <c r="D70" s="26"/>
      <c r="E70" s="25">
        <v>3460</v>
      </c>
      <c r="F70" s="26"/>
      <c r="G70" s="25">
        <v>2789</v>
      </c>
      <c r="H70" s="26"/>
      <c r="I70" s="25">
        <v>1302</v>
      </c>
      <c r="J70" s="26"/>
      <c r="K70" s="25">
        <v>327</v>
      </c>
      <c r="L70" s="26"/>
      <c r="M70" s="25">
        <v>1827</v>
      </c>
      <c r="N70" s="26"/>
      <c r="O70" s="25">
        <v>1805</v>
      </c>
      <c r="P70" s="26"/>
      <c r="Q70" s="25">
        <v>2015</v>
      </c>
      <c r="R70" s="26"/>
      <c r="S70" s="25">
        <v>897</v>
      </c>
      <c r="T70" s="26"/>
      <c r="U70" s="25">
        <v>-1933</v>
      </c>
      <c r="V70" s="26"/>
    </row>
    <row r="71" spans="1:22" x14ac:dyDescent="0.3">
      <c r="A71" s="10" t="s">
        <v>306</v>
      </c>
      <c r="B71" s="10"/>
      <c r="C71" s="25">
        <v>5167</v>
      </c>
      <c r="D71" s="26">
        <v>0.82081016679904695</v>
      </c>
      <c r="E71" s="25">
        <v>5720</v>
      </c>
      <c r="F71" s="26">
        <v>0.87195121951219501</v>
      </c>
      <c r="G71" s="25" t="s">
        <v>294</v>
      </c>
      <c r="H71" s="26"/>
      <c r="I71" s="25" t="s">
        <v>294</v>
      </c>
      <c r="J71" s="26"/>
      <c r="K71" s="25" t="s">
        <v>294</v>
      </c>
      <c r="L71" s="26"/>
      <c r="M71" s="25" t="s">
        <v>294</v>
      </c>
      <c r="N71" s="26"/>
      <c r="O71" s="25" t="s">
        <v>294</v>
      </c>
      <c r="P71" s="26"/>
      <c r="Q71" s="25" t="s">
        <v>294</v>
      </c>
      <c r="R71" s="26"/>
      <c r="S71" s="25" t="s">
        <v>294</v>
      </c>
      <c r="T71" s="26"/>
      <c r="U71" s="25" t="s">
        <v>294</v>
      </c>
      <c r="V71" s="26"/>
    </row>
    <row r="72" spans="1:22" x14ac:dyDescent="0.3">
      <c r="A72" s="10" t="s">
        <v>307</v>
      </c>
      <c r="B72" s="10"/>
      <c r="C72" s="25">
        <v>463</v>
      </c>
      <c r="D72" s="26">
        <v>7.3550436854646503E-2</v>
      </c>
      <c r="E72" s="25">
        <v>568</v>
      </c>
      <c r="F72" s="26">
        <v>8.6585365853658502E-2</v>
      </c>
      <c r="G72" s="25" t="s">
        <v>294</v>
      </c>
      <c r="H72" s="26"/>
      <c r="I72" s="25" t="s">
        <v>294</v>
      </c>
      <c r="J72" s="26"/>
      <c r="K72" s="25" t="s">
        <v>294</v>
      </c>
      <c r="L72" s="26"/>
      <c r="M72" s="25" t="s">
        <v>294</v>
      </c>
      <c r="N72" s="26"/>
      <c r="O72" s="25" t="s">
        <v>294</v>
      </c>
      <c r="P72" s="26"/>
      <c r="Q72" s="25" t="s">
        <v>294</v>
      </c>
      <c r="R72" s="26"/>
      <c r="S72" s="25" t="s">
        <v>294</v>
      </c>
      <c r="T72" s="26"/>
      <c r="U72" s="25" t="s">
        <v>294</v>
      </c>
      <c r="V72" s="26"/>
    </row>
    <row r="73" spans="1:22" x14ac:dyDescent="0.3">
      <c r="A73" s="10" t="s">
        <v>308</v>
      </c>
      <c r="B73" s="10"/>
      <c r="C73" s="25">
        <v>1232</v>
      </c>
      <c r="D73" s="26">
        <v>0.19571088165210501</v>
      </c>
      <c r="E73" s="25">
        <v>1458</v>
      </c>
      <c r="F73" s="26">
        <v>0.222256097560976</v>
      </c>
      <c r="G73" s="25" t="s">
        <v>294</v>
      </c>
      <c r="H73" s="26"/>
      <c r="I73" s="25" t="s">
        <v>294</v>
      </c>
      <c r="J73" s="26"/>
      <c r="K73" s="25" t="s">
        <v>294</v>
      </c>
      <c r="L73" s="26"/>
      <c r="M73" s="25" t="s">
        <v>294</v>
      </c>
      <c r="N73" s="26"/>
      <c r="O73" s="25" t="s">
        <v>294</v>
      </c>
      <c r="P73" s="26"/>
      <c r="Q73" s="25" t="s">
        <v>294</v>
      </c>
      <c r="R73" s="26"/>
      <c r="S73" s="25" t="s">
        <v>294</v>
      </c>
      <c r="T73" s="26"/>
      <c r="U73" s="25" t="s">
        <v>294</v>
      </c>
      <c r="V73" s="26"/>
    </row>
    <row r="74" spans="1:22" x14ac:dyDescent="0.3">
      <c r="A74" s="10" t="s">
        <v>309</v>
      </c>
      <c r="B74" s="10"/>
      <c r="C74" s="25">
        <v>948</v>
      </c>
      <c r="D74" s="26">
        <v>0.150595710881652</v>
      </c>
      <c r="E74" s="25">
        <v>878</v>
      </c>
      <c r="F74" s="26">
        <v>0.13384146341463399</v>
      </c>
      <c r="G74" s="25" t="s">
        <v>294</v>
      </c>
      <c r="H74" s="26"/>
      <c r="I74" s="25" t="s">
        <v>294</v>
      </c>
      <c r="J74" s="26"/>
      <c r="K74" s="25" t="s">
        <v>294</v>
      </c>
      <c r="L74" s="26"/>
      <c r="M74" s="25" t="s">
        <v>294</v>
      </c>
      <c r="N74" s="26"/>
      <c r="O74" s="25" t="s">
        <v>294</v>
      </c>
      <c r="P74" s="26"/>
      <c r="Q74" s="25" t="s">
        <v>294</v>
      </c>
      <c r="R74" s="26"/>
      <c r="S74" s="25" t="s">
        <v>294</v>
      </c>
      <c r="T74" s="26"/>
      <c r="U74" s="25" t="s">
        <v>294</v>
      </c>
      <c r="V74" s="26"/>
    </row>
    <row r="75" spans="1:22" x14ac:dyDescent="0.3">
      <c r="A75" s="10" t="s">
        <v>310</v>
      </c>
      <c r="B75" s="10"/>
      <c r="C75" s="25">
        <v>2524</v>
      </c>
      <c r="D75" s="26">
        <v>0.40095313741064298</v>
      </c>
      <c r="E75" s="25">
        <v>2816</v>
      </c>
      <c r="F75" s="26">
        <v>0.42926829268292699</v>
      </c>
      <c r="G75" s="25" t="s">
        <v>294</v>
      </c>
      <c r="H75" s="26"/>
      <c r="I75" s="25" t="s">
        <v>294</v>
      </c>
      <c r="J75" s="26"/>
      <c r="K75" s="25" t="s">
        <v>294</v>
      </c>
      <c r="L75" s="26"/>
      <c r="M75" s="25" t="s">
        <v>294</v>
      </c>
      <c r="N75" s="26"/>
      <c r="O75" s="25" t="s">
        <v>294</v>
      </c>
      <c r="P75" s="26"/>
      <c r="Q75" s="25" t="s">
        <v>294</v>
      </c>
      <c r="R75" s="26"/>
      <c r="S75" s="25" t="s">
        <v>294</v>
      </c>
      <c r="T75" s="26"/>
      <c r="U75" s="25" t="s">
        <v>294</v>
      </c>
      <c r="V75" s="26"/>
    </row>
    <row r="76" spans="1:22" x14ac:dyDescent="0.3">
      <c r="A76" s="6" t="s">
        <v>146</v>
      </c>
      <c r="B76" s="6"/>
      <c r="C76" s="29">
        <v>1282</v>
      </c>
      <c r="D76" s="30">
        <v>1</v>
      </c>
      <c r="E76" s="29">
        <v>1216</v>
      </c>
      <c r="F76" s="30">
        <v>1</v>
      </c>
      <c r="G76" s="29">
        <v>1168</v>
      </c>
      <c r="H76" s="30">
        <v>1</v>
      </c>
      <c r="I76" s="29">
        <v>1207</v>
      </c>
      <c r="J76" s="30">
        <v>1</v>
      </c>
      <c r="K76" s="29">
        <v>1145</v>
      </c>
      <c r="L76" s="30">
        <v>1</v>
      </c>
      <c r="M76" s="29">
        <v>1059</v>
      </c>
      <c r="N76" s="30">
        <v>1</v>
      </c>
      <c r="O76" s="29">
        <v>955</v>
      </c>
      <c r="P76" s="30">
        <v>1</v>
      </c>
      <c r="Q76" s="29">
        <v>913</v>
      </c>
      <c r="R76" s="30">
        <v>1</v>
      </c>
      <c r="S76" s="29">
        <v>919</v>
      </c>
      <c r="T76" s="30">
        <v>1</v>
      </c>
      <c r="U76" s="29">
        <v>935</v>
      </c>
      <c r="V76" s="30">
        <v>1</v>
      </c>
    </row>
    <row r="77" spans="1:22" x14ac:dyDescent="0.3">
      <c r="A77" s="10" t="s">
        <v>302</v>
      </c>
      <c r="B77" s="10"/>
      <c r="C77" s="25">
        <v>1148</v>
      </c>
      <c r="D77" s="26">
        <v>0.99050905953408097</v>
      </c>
      <c r="E77" s="25">
        <v>1167</v>
      </c>
      <c r="F77" s="26">
        <v>0.99066213921901503</v>
      </c>
      <c r="G77" s="25">
        <v>1169</v>
      </c>
      <c r="H77" s="26">
        <v>0.95195439739413701</v>
      </c>
      <c r="I77" s="25">
        <v>1139</v>
      </c>
      <c r="J77" s="26">
        <v>0.94366197183098599</v>
      </c>
      <c r="K77" s="25">
        <v>1105</v>
      </c>
      <c r="L77" s="26">
        <v>0.96506550218340603</v>
      </c>
      <c r="M77" s="25">
        <v>1032</v>
      </c>
      <c r="N77" s="26">
        <v>0.97450424929178503</v>
      </c>
      <c r="O77" s="25">
        <v>934</v>
      </c>
      <c r="P77" s="26">
        <v>0.97801047120418805</v>
      </c>
      <c r="Q77" s="25">
        <v>895</v>
      </c>
      <c r="R77" s="26">
        <v>0.98028477546549797</v>
      </c>
      <c r="S77" s="25">
        <v>902</v>
      </c>
      <c r="T77" s="26">
        <v>0.98150163220892295</v>
      </c>
      <c r="U77" s="25">
        <v>909</v>
      </c>
      <c r="V77" s="26">
        <v>0.97219251336898405</v>
      </c>
    </row>
    <row r="78" spans="1:22" x14ac:dyDescent="0.3">
      <c r="A78" s="10" t="s">
        <v>300</v>
      </c>
      <c r="B78" s="10"/>
      <c r="C78" s="25" t="s">
        <v>294</v>
      </c>
      <c r="D78" s="26"/>
      <c r="E78" s="25" t="s">
        <v>294</v>
      </c>
      <c r="F78" s="26"/>
      <c r="G78" s="25">
        <v>0</v>
      </c>
      <c r="H78" s="26"/>
      <c r="I78" s="25">
        <v>2</v>
      </c>
      <c r="J78" s="26">
        <v>1.65700082850041E-3</v>
      </c>
      <c r="K78" s="25">
        <v>5</v>
      </c>
      <c r="L78" s="26">
        <v>4.3668122270742399E-3</v>
      </c>
      <c r="M78" s="25">
        <v>6</v>
      </c>
      <c r="N78" s="26">
        <v>5.6657223796033997E-3</v>
      </c>
      <c r="O78" s="25">
        <v>3</v>
      </c>
      <c r="P78" s="26">
        <v>3.1413612565445001E-3</v>
      </c>
      <c r="Q78" s="25">
        <v>4</v>
      </c>
      <c r="R78" s="26">
        <v>4.3811610076670299E-3</v>
      </c>
      <c r="S78" s="25">
        <v>5</v>
      </c>
      <c r="T78" s="26">
        <v>5.4406964091403701E-3</v>
      </c>
      <c r="U78" s="25">
        <v>12</v>
      </c>
      <c r="V78" s="26">
        <v>1.2834224598930501E-2</v>
      </c>
    </row>
    <row r="79" spans="1:22" x14ac:dyDescent="0.3">
      <c r="A79" s="10" t="s">
        <v>293</v>
      </c>
      <c r="B79" s="10"/>
      <c r="C79" s="25" t="s">
        <v>294</v>
      </c>
      <c r="D79" s="26"/>
      <c r="E79" s="25" t="s">
        <v>294</v>
      </c>
      <c r="F79" s="26"/>
      <c r="G79" s="25">
        <v>4</v>
      </c>
      <c r="H79" s="26">
        <v>3.2573289902280101E-3</v>
      </c>
      <c r="I79" s="25">
        <v>9</v>
      </c>
      <c r="J79" s="26">
        <v>7.4565037282518596E-3</v>
      </c>
      <c r="K79" s="25">
        <v>11</v>
      </c>
      <c r="L79" s="26">
        <v>9.6069868995633193E-3</v>
      </c>
      <c r="M79" s="25">
        <v>12</v>
      </c>
      <c r="N79" s="26">
        <v>1.1331444759206799E-2</v>
      </c>
      <c r="O79" s="25">
        <v>10</v>
      </c>
      <c r="P79" s="26">
        <v>1.04712041884817E-2</v>
      </c>
      <c r="Q79" s="25">
        <v>7</v>
      </c>
      <c r="R79" s="26">
        <v>7.6670317634173098E-3</v>
      </c>
      <c r="S79" s="25">
        <v>7</v>
      </c>
      <c r="T79" s="26">
        <v>7.6169749727965199E-3</v>
      </c>
      <c r="U79" s="25">
        <v>9</v>
      </c>
      <c r="V79" s="26">
        <v>9.6256684491978599E-3</v>
      </c>
    </row>
    <row r="80" spans="1:22" x14ac:dyDescent="0.3">
      <c r="A80" s="10" t="s">
        <v>296</v>
      </c>
      <c r="B80" s="10"/>
      <c r="C80" s="25" t="s">
        <v>294</v>
      </c>
      <c r="D80" s="26"/>
      <c r="E80" s="25" t="s">
        <v>294</v>
      </c>
      <c r="F80" s="26"/>
      <c r="G80" s="25">
        <v>4</v>
      </c>
      <c r="H80" s="26">
        <v>3.2573289902280101E-3</v>
      </c>
      <c r="I80" s="25" t="s">
        <v>294</v>
      </c>
      <c r="J80" s="26"/>
      <c r="K80" s="25">
        <v>9</v>
      </c>
      <c r="L80" s="26">
        <v>7.8602620087336195E-3</v>
      </c>
      <c r="M80" s="25">
        <v>10</v>
      </c>
      <c r="N80" s="26">
        <v>9.4428706326723302E-3</v>
      </c>
      <c r="O80" s="25">
        <v>9</v>
      </c>
      <c r="P80" s="26">
        <v>9.4240837696335095E-3</v>
      </c>
      <c r="Q80" s="25">
        <v>6</v>
      </c>
      <c r="R80" s="26">
        <v>6.5717415115005501E-3</v>
      </c>
      <c r="S80" s="25">
        <v>6</v>
      </c>
      <c r="T80" s="26">
        <v>6.5288356909684398E-3</v>
      </c>
      <c r="U80" s="25">
        <v>8</v>
      </c>
      <c r="V80" s="26">
        <v>8.5561497326203193E-3</v>
      </c>
    </row>
    <row r="81" spans="1:22" x14ac:dyDescent="0.3">
      <c r="A81" s="10" t="s">
        <v>295</v>
      </c>
      <c r="B81" s="10"/>
      <c r="C81" s="25" t="s">
        <v>294</v>
      </c>
      <c r="D81" s="26"/>
      <c r="E81" s="25" t="s">
        <v>294</v>
      </c>
      <c r="F81" s="26"/>
      <c r="G81" s="25">
        <v>0</v>
      </c>
      <c r="H81" s="26"/>
      <c r="I81" s="25" t="s">
        <v>294</v>
      </c>
      <c r="J81" s="26"/>
      <c r="K81" s="25">
        <v>2</v>
      </c>
      <c r="L81" s="26">
        <v>1.74672489082969E-3</v>
      </c>
      <c r="M81" s="25">
        <v>2</v>
      </c>
      <c r="N81" s="26">
        <v>1.88857412653447E-3</v>
      </c>
      <c r="O81" s="25">
        <v>1</v>
      </c>
      <c r="P81" s="26">
        <v>1.04712041884817E-3</v>
      </c>
      <c r="Q81" s="25">
        <v>1</v>
      </c>
      <c r="R81" s="26">
        <v>1.0952902519167601E-3</v>
      </c>
      <c r="S81" s="25">
        <v>1</v>
      </c>
      <c r="T81" s="26">
        <v>1.0881392818280699E-3</v>
      </c>
      <c r="U81" s="25">
        <v>1</v>
      </c>
      <c r="V81" s="26">
        <v>1.0695187165775399E-3</v>
      </c>
    </row>
    <row r="82" spans="1:22" x14ac:dyDescent="0.3">
      <c r="A82" s="10" t="s">
        <v>297</v>
      </c>
      <c r="B82" s="10"/>
      <c r="C82" s="25" t="s">
        <v>294</v>
      </c>
      <c r="D82" s="26"/>
      <c r="E82" s="25" t="s">
        <v>294</v>
      </c>
      <c r="F82" s="26"/>
      <c r="G82" s="25">
        <v>0</v>
      </c>
      <c r="H82" s="26"/>
      <c r="I82" s="25" t="s">
        <v>294</v>
      </c>
      <c r="J82" s="26"/>
      <c r="K82" s="25">
        <v>0</v>
      </c>
      <c r="L82" s="26"/>
      <c r="M82" s="25">
        <v>0</v>
      </c>
      <c r="N82" s="26"/>
      <c r="O82" s="25">
        <v>0</v>
      </c>
      <c r="P82" s="26"/>
      <c r="Q82" s="25">
        <v>0</v>
      </c>
      <c r="R82" s="26"/>
      <c r="S82" s="25">
        <v>0</v>
      </c>
      <c r="T82" s="26"/>
      <c r="U82" s="25">
        <v>0</v>
      </c>
      <c r="V82" s="26"/>
    </row>
    <row r="83" spans="1:22" x14ac:dyDescent="0.3">
      <c r="A83" s="10" t="s">
        <v>299</v>
      </c>
      <c r="B83" s="10"/>
      <c r="C83" s="25" t="s">
        <v>294</v>
      </c>
      <c r="D83" s="26"/>
      <c r="E83" s="25" t="s">
        <v>294</v>
      </c>
      <c r="F83" s="26"/>
      <c r="G83" s="25">
        <v>55</v>
      </c>
      <c r="H83" s="26">
        <v>4.4788273615635199E-2</v>
      </c>
      <c r="I83" s="25">
        <v>57</v>
      </c>
      <c r="J83" s="26">
        <v>4.7224523612261801E-2</v>
      </c>
      <c r="K83" s="25">
        <v>24</v>
      </c>
      <c r="L83" s="26">
        <v>2.09606986899563E-2</v>
      </c>
      <c r="M83" s="25">
        <v>9</v>
      </c>
      <c r="N83" s="26">
        <v>8.4985835694051E-3</v>
      </c>
      <c r="O83" s="25">
        <v>8</v>
      </c>
      <c r="P83" s="26">
        <v>8.3769633507853394E-3</v>
      </c>
      <c r="Q83" s="25">
        <v>6</v>
      </c>
      <c r="R83" s="26">
        <v>6.5717415115005501E-3</v>
      </c>
      <c r="S83" s="25">
        <v>5</v>
      </c>
      <c r="T83" s="26">
        <v>5.4406964091403701E-3</v>
      </c>
      <c r="U83" s="25">
        <v>5</v>
      </c>
      <c r="V83" s="26">
        <v>5.3475935828877002E-3</v>
      </c>
    </row>
    <row r="84" spans="1:22" x14ac:dyDescent="0.3">
      <c r="A84" s="10" t="s">
        <v>301</v>
      </c>
      <c r="B84" s="10"/>
      <c r="C84" s="25">
        <v>1</v>
      </c>
      <c r="D84" s="26">
        <v>8.6281276962899098E-4</v>
      </c>
      <c r="E84" s="25">
        <v>0</v>
      </c>
      <c r="F84" s="26"/>
      <c r="G84" s="25">
        <v>0</v>
      </c>
      <c r="H84" s="26"/>
      <c r="I84" s="25">
        <v>0</v>
      </c>
      <c r="J84" s="26"/>
      <c r="K84" s="25">
        <v>0</v>
      </c>
      <c r="L84" s="26"/>
      <c r="M84" s="25">
        <v>0</v>
      </c>
      <c r="N84" s="26"/>
      <c r="O84" s="25">
        <v>0</v>
      </c>
      <c r="P84" s="26"/>
      <c r="Q84" s="25">
        <v>1</v>
      </c>
      <c r="R84" s="26">
        <v>1.0952902519167601E-3</v>
      </c>
      <c r="S84" s="25">
        <v>0</v>
      </c>
      <c r="T84" s="26"/>
      <c r="U84" s="25">
        <v>0</v>
      </c>
      <c r="V84" s="26"/>
    </row>
    <row r="85" spans="1:22" x14ac:dyDescent="0.3">
      <c r="A85" s="10" t="s">
        <v>298</v>
      </c>
      <c r="B85" s="10"/>
      <c r="C85" s="25">
        <v>0</v>
      </c>
      <c r="D85" s="26"/>
      <c r="E85" s="25">
        <v>0</v>
      </c>
      <c r="F85" s="26"/>
      <c r="G85" s="25">
        <v>0</v>
      </c>
      <c r="H85" s="26"/>
      <c r="I85" s="25">
        <v>0</v>
      </c>
      <c r="J85" s="26"/>
      <c r="K85" s="25">
        <v>0</v>
      </c>
      <c r="L85" s="26"/>
      <c r="M85" s="25">
        <v>0</v>
      </c>
      <c r="N85" s="26"/>
      <c r="O85" s="25">
        <v>0</v>
      </c>
      <c r="P85" s="26"/>
      <c r="Q85" s="25">
        <v>0</v>
      </c>
      <c r="R85" s="26"/>
      <c r="S85" s="25">
        <v>0</v>
      </c>
      <c r="T85" s="26"/>
      <c r="U85" s="25">
        <v>0</v>
      </c>
      <c r="V85" s="26"/>
    </row>
    <row r="86" spans="1:22" x14ac:dyDescent="0.3">
      <c r="A86" s="10" t="s">
        <v>305</v>
      </c>
      <c r="B86" s="10"/>
      <c r="C86" s="25">
        <v>123</v>
      </c>
      <c r="D86" s="26"/>
      <c r="E86" s="25">
        <v>38</v>
      </c>
      <c r="F86" s="26"/>
      <c r="G86" s="25">
        <v>-60</v>
      </c>
      <c r="H86" s="26"/>
      <c r="I86" s="25" t="s">
        <v>294</v>
      </c>
      <c r="J86" s="26"/>
      <c r="K86" s="25" t="s">
        <v>294</v>
      </c>
      <c r="L86" s="26"/>
      <c r="M86" s="25" t="s">
        <v>294</v>
      </c>
      <c r="N86" s="26"/>
      <c r="O86" s="25" t="s">
        <v>294</v>
      </c>
      <c r="P86" s="26"/>
      <c r="Q86" s="25" t="s">
        <v>294</v>
      </c>
      <c r="R86" s="26"/>
      <c r="S86" s="25" t="s">
        <v>294</v>
      </c>
      <c r="T86" s="26"/>
      <c r="U86" s="25" t="s">
        <v>294</v>
      </c>
      <c r="V86" s="26"/>
    </row>
    <row r="87" spans="1:22" x14ac:dyDescent="0.3">
      <c r="A87" s="10" t="s">
        <v>306</v>
      </c>
      <c r="B87" s="10"/>
      <c r="C87" s="25">
        <v>10</v>
      </c>
      <c r="D87" s="26">
        <v>8.6281276962899105E-3</v>
      </c>
      <c r="E87" s="25">
        <v>11</v>
      </c>
      <c r="F87" s="26">
        <v>9.3378607809847195E-3</v>
      </c>
      <c r="G87" s="25" t="s">
        <v>294</v>
      </c>
      <c r="H87" s="26"/>
      <c r="I87" s="25" t="s">
        <v>294</v>
      </c>
      <c r="J87" s="26"/>
      <c r="K87" s="25" t="s">
        <v>294</v>
      </c>
      <c r="L87" s="26"/>
      <c r="M87" s="25" t="s">
        <v>294</v>
      </c>
      <c r="N87" s="26"/>
      <c r="O87" s="25" t="s">
        <v>294</v>
      </c>
      <c r="P87" s="26"/>
      <c r="Q87" s="25" t="s">
        <v>294</v>
      </c>
      <c r="R87" s="26"/>
      <c r="S87" s="25" t="s">
        <v>294</v>
      </c>
      <c r="T87" s="26"/>
      <c r="U87" s="25" t="s">
        <v>294</v>
      </c>
      <c r="V87" s="26"/>
    </row>
    <row r="88" spans="1:22" x14ac:dyDescent="0.3">
      <c r="A88" s="10" t="s">
        <v>307</v>
      </c>
      <c r="B88" s="10"/>
      <c r="C88" s="25">
        <v>0</v>
      </c>
      <c r="D88" s="26"/>
      <c r="E88" s="25">
        <v>0</v>
      </c>
      <c r="F88" s="26"/>
      <c r="G88" s="25" t="s">
        <v>294</v>
      </c>
      <c r="H88" s="26"/>
      <c r="I88" s="25" t="s">
        <v>294</v>
      </c>
      <c r="J88" s="26"/>
      <c r="K88" s="25" t="s">
        <v>294</v>
      </c>
      <c r="L88" s="26"/>
      <c r="M88" s="25" t="s">
        <v>294</v>
      </c>
      <c r="N88" s="26"/>
      <c r="O88" s="25" t="s">
        <v>294</v>
      </c>
      <c r="P88" s="26"/>
      <c r="Q88" s="25" t="s">
        <v>294</v>
      </c>
      <c r="R88" s="26"/>
      <c r="S88" s="25" t="s">
        <v>294</v>
      </c>
      <c r="T88" s="26"/>
      <c r="U88" s="25" t="s">
        <v>294</v>
      </c>
      <c r="V88" s="26"/>
    </row>
    <row r="89" spans="1:22" x14ac:dyDescent="0.3">
      <c r="A89" s="10" t="s">
        <v>308</v>
      </c>
      <c r="B89" s="10"/>
      <c r="C89" s="25">
        <v>9</v>
      </c>
      <c r="D89" s="26">
        <v>7.7653149266609101E-3</v>
      </c>
      <c r="E89" s="25">
        <v>9</v>
      </c>
      <c r="F89" s="26">
        <v>7.64006791171477E-3</v>
      </c>
      <c r="G89" s="25" t="s">
        <v>294</v>
      </c>
      <c r="H89" s="26"/>
      <c r="I89" s="25" t="s">
        <v>294</v>
      </c>
      <c r="J89" s="26"/>
      <c r="K89" s="25" t="s">
        <v>294</v>
      </c>
      <c r="L89" s="26"/>
      <c r="M89" s="25" t="s">
        <v>294</v>
      </c>
      <c r="N89" s="26"/>
      <c r="O89" s="25" t="s">
        <v>294</v>
      </c>
      <c r="P89" s="26"/>
      <c r="Q89" s="25" t="s">
        <v>294</v>
      </c>
      <c r="R89" s="26"/>
      <c r="S89" s="25" t="s">
        <v>294</v>
      </c>
      <c r="T89" s="26"/>
      <c r="U89" s="25" t="s">
        <v>294</v>
      </c>
      <c r="V89" s="26"/>
    </row>
    <row r="90" spans="1:22" x14ac:dyDescent="0.3">
      <c r="A90" s="10" t="s">
        <v>309</v>
      </c>
      <c r="B90" s="10"/>
      <c r="C90" s="25">
        <v>1</v>
      </c>
      <c r="D90" s="26">
        <v>8.6281276962899098E-4</v>
      </c>
      <c r="E90" s="25">
        <v>1</v>
      </c>
      <c r="F90" s="26">
        <v>8.4889643463497495E-4</v>
      </c>
      <c r="G90" s="25" t="s">
        <v>294</v>
      </c>
      <c r="H90" s="26"/>
      <c r="I90" s="25" t="s">
        <v>294</v>
      </c>
      <c r="J90" s="26"/>
      <c r="K90" s="25" t="s">
        <v>294</v>
      </c>
      <c r="L90" s="26"/>
      <c r="M90" s="25" t="s">
        <v>294</v>
      </c>
      <c r="N90" s="26"/>
      <c r="O90" s="25" t="s">
        <v>294</v>
      </c>
      <c r="P90" s="26"/>
      <c r="Q90" s="25" t="s">
        <v>294</v>
      </c>
      <c r="R90" s="26"/>
      <c r="S90" s="25" t="s">
        <v>294</v>
      </c>
      <c r="T90" s="26"/>
      <c r="U90" s="25" t="s">
        <v>294</v>
      </c>
      <c r="V90" s="26"/>
    </row>
    <row r="91" spans="1:22" x14ac:dyDescent="0.3">
      <c r="A91" s="10" t="s">
        <v>310</v>
      </c>
      <c r="B91" s="10"/>
      <c r="C91" s="25">
        <v>0</v>
      </c>
      <c r="D91" s="26"/>
      <c r="E91" s="25">
        <v>1</v>
      </c>
      <c r="F91" s="26">
        <v>8.4889643463497495E-4</v>
      </c>
      <c r="G91" s="25" t="s">
        <v>294</v>
      </c>
      <c r="H91" s="26"/>
      <c r="I91" s="25" t="s">
        <v>294</v>
      </c>
      <c r="J91" s="26"/>
      <c r="K91" s="25" t="s">
        <v>294</v>
      </c>
      <c r="L91" s="26"/>
      <c r="M91" s="25" t="s">
        <v>294</v>
      </c>
      <c r="N91" s="26"/>
      <c r="O91" s="25" t="s">
        <v>294</v>
      </c>
      <c r="P91" s="26"/>
      <c r="Q91" s="25" t="s">
        <v>294</v>
      </c>
      <c r="R91" s="26"/>
      <c r="S91" s="25" t="s">
        <v>294</v>
      </c>
      <c r="T91" s="26"/>
      <c r="U91" s="25" t="s">
        <v>294</v>
      </c>
      <c r="V91" s="26"/>
    </row>
    <row r="92" spans="1:22" x14ac:dyDescent="0.3">
      <c r="A92" s="6" t="s">
        <v>331</v>
      </c>
      <c r="B92" s="6"/>
      <c r="C92" s="29">
        <v>22232</v>
      </c>
      <c r="D92" s="30">
        <v>1</v>
      </c>
      <c r="E92" s="29">
        <v>20484</v>
      </c>
      <c r="F92" s="30">
        <v>1</v>
      </c>
      <c r="G92" s="29">
        <v>16671</v>
      </c>
      <c r="H92" s="30">
        <v>1</v>
      </c>
      <c r="I92" s="29">
        <v>16437</v>
      </c>
      <c r="J92" s="30">
        <v>1</v>
      </c>
      <c r="K92" s="29">
        <v>16544</v>
      </c>
      <c r="L92" s="30">
        <v>1</v>
      </c>
      <c r="M92" s="29">
        <v>17383</v>
      </c>
      <c r="N92" s="30">
        <v>1</v>
      </c>
      <c r="O92" s="29">
        <v>17830</v>
      </c>
      <c r="P92" s="30">
        <v>1</v>
      </c>
      <c r="Q92" s="29">
        <v>17328</v>
      </c>
      <c r="R92" s="30">
        <v>1</v>
      </c>
      <c r="S92" s="29">
        <v>21280</v>
      </c>
      <c r="T92" s="30">
        <v>1</v>
      </c>
      <c r="U92" s="29">
        <v>15491</v>
      </c>
      <c r="V92" s="30">
        <v>1</v>
      </c>
    </row>
    <row r="93" spans="1:22" x14ac:dyDescent="0.3">
      <c r="A93" s="10" t="s">
        <v>293</v>
      </c>
      <c r="B93" s="10"/>
      <c r="C93" s="25" t="s">
        <v>294</v>
      </c>
      <c r="D93" s="26"/>
      <c r="E93" s="25">
        <v>6111</v>
      </c>
      <c r="F93" s="26">
        <v>0.298330404217926</v>
      </c>
      <c r="G93" s="25">
        <v>6183</v>
      </c>
      <c r="H93" s="26">
        <v>0.37088357027172902</v>
      </c>
      <c r="I93" s="25">
        <v>6206</v>
      </c>
      <c r="J93" s="26">
        <v>0.37756281559895399</v>
      </c>
      <c r="K93" s="25">
        <v>6396</v>
      </c>
      <c r="L93" s="26">
        <v>0.38660541586073499</v>
      </c>
      <c r="M93" s="25">
        <v>6977</v>
      </c>
      <c r="N93" s="26">
        <v>0.40136915377092602</v>
      </c>
      <c r="O93" s="25">
        <v>7021</v>
      </c>
      <c r="P93" s="26">
        <v>0.39377453729669099</v>
      </c>
      <c r="Q93" s="25">
        <v>6903</v>
      </c>
      <c r="R93" s="26">
        <v>0.398372576177285</v>
      </c>
      <c r="S93" s="25">
        <v>8048</v>
      </c>
      <c r="T93" s="26">
        <v>0.37819548872180497</v>
      </c>
      <c r="U93" s="25">
        <v>7340</v>
      </c>
      <c r="V93" s="26">
        <v>0.47382351042540799</v>
      </c>
    </row>
    <row r="94" spans="1:22" x14ac:dyDescent="0.3">
      <c r="A94" s="10" t="s">
        <v>296</v>
      </c>
      <c r="B94" s="10"/>
      <c r="C94" s="25" t="s">
        <v>294</v>
      </c>
      <c r="D94" s="26"/>
      <c r="E94" s="25" t="s">
        <v>294</v>
      </c>
      <c r="F94" s="26"/>
      <c r="G94" s="25">
        <v>4889</v>
      </c>
      <c r="H94" s="26">
        <v>0.29326375142463001</v>
      </c>
      <c r="I94" s="25">
        <v>4952</v>
      </c>
      <c r="J94" s="26">
        <v>0.301271521567196</v>
      </c>
      <c r="K94" s="25">
        <v>5109</v>
      </c>
      <c r="L94" s="26">
        <v>0.30881286266924601</v>
      </c>
      <c r="M94" s="25">
        <v>5676</v>
      </c>
      <c r="N94" s="26">
        <v>0.32652591612495002</v>
      </c>
      <c r="O94" s="25">
        <v>5681</v>
      </c>
      <c r="P94" s="26">
        <v>0.31862030286034798</v>
      </c>
      <c r="Q94" s="25">
        <v>5600</v>
      </c>
      <c r="R94" s="26">
        <v>0.32317636195752503</v>
      </c>
      <c r="S94" s="25">
        <v>6888</v>
      </c>
      <c r="T94" s="26">
        <v>0.32368421052631602</v>
      </c>
      <c r="U94" s="25">
        <v>6204</v>
      </c>
      <c r="V94" s="26">
        <v>0.400490607449487</v>
      </c>
    </row>
    <row r="95" spans="1:22" x14ac:dyDescent="0.3">
      <c r="A95" s="10" t="s">
        <v>295</v>
      </c>
      <c r="B95" s="10"/>
      <c r="C95" s="25" t="s">
        <v>294</v>
      </c>
      <c r="D95" s="26"/>
      <c r="E95" s="25" t="s">
        <v>294</v>
      </c>
      <c r="F95" s="26"/>
      <c r="G95" s="25">
        <v>1138</v>
      </c>
      <c r="H95" s="26">
        <v>6.8262251814528205E-2</v>
      </c>
      <c r="I95" s="25">
        <v>1140</v>
      </c>
      <c r="J95" s="26">
        <v>6.9355721847052396E-2</v>
      </c>
      <c r="K95" s="25">
        <v>1125</v>
      </c>
      <c r="L95" s="26">
        <v>6.8000483558994199E-2</v>
      </c>
      <c r="M95" s="25">
        <v>1127</v>
      </c>
      <c r="N95" s="26">
        <v>6.4833457976183603E-2</v>
      </c>
      <c r="O95" s="25">
        <v>1162</v>
      </c>
      <c r="P95" s="26">
        <v>6.5171060011217002E-2</v>
      </c>
      <c r="Q95" s="25">
        <v>1127</v>
      </c>
      <c r="R95" s="26">
        <v>6.5039242843952003E-2</v>
      </c>
      <c r="S95" s="25">
        <v>1160</v>
      </c>
      <c r="T95" s="26">
        <v>5.4511278195488698E-2</v>
      </c>
      <c r="U95" s="25">
        <v>1136</v>
      </c>
      <c r="V95" s="26">
        <v>7.3332902975921502E-2</v>
      </c>
    </row>
    <row r="96" spans="1:22" x14ac:dyDescent="0.3">
      <c r="A96" s="10" t="s">
        <v>297</v>
      </c>
      <c r="B96" s="10"/>
      <c r="C96" s="25" t="s">
        <v>294</v>
      </c>
      <c r="D96" s="26"/>
      <c r="E96" s="25" t="s">
        <v>294</v>
      </c>
      <c r="F96" s="26"/>
      <c r="G96" s="25">
        <v>156</v>
      </c>
      <c r="H96" s="26">
        <v>9.3575670325715295E-3</v>
      </c>
      <c r="I96" s="25">
        <v>114</v>
      </c>
      <c r="J96" s="26">
        <v>6.9355721847052399E-3</v>
      </c>
      <c r="K96" s="25">
        <v>162</v>
      </c>
      <c r="L96" s="26">
        <v>9.7920696324951591E-3</v>
      </c>
      <c r="M96" s="25">
        <v>174</v>
      </c>
      <c r="N96" s="26">
        <v>1.00097796697923E-2</v>
      </c>
      <c r="O96" s="25">
        <v>178</v>
      </c>
      <c r="P96" s="26">
        <v>9.9831744251261904E-3</v>
      </c>
      <c r="Q96" s="25">
        <v>176</v>
      </c>
      <c r="R96" s="26">
        <v>1.0156971375807899E-2</v>
      </c>
      <c r="S96" s="25">
        <v>0</v>
      </c>
      <c r="T96" s="26"/>
      <c r="U96" s="25">
        <v>0</v>
      </c>
      <c r="V96" s="26"/>
    </row>
    <row r="97" spans="1:22" x14ac:dyDescent="0.3">
      <c r="A97" s="10" t="s">
        <v>298</v>
      </c>
      <c r="B97" s="10"/>
      <c r="C97" s="25">
        <v>2943</v>
      </c>
      <c r="D97" s="26">
        <v>0.14430714916151799</v>
      </c>
      <c r="E97" s="25">
        <v>2886</v>
      </c>
      <c r="F97" s="26">
        <v>0.14089045108377299</v>
      </c>
      <c r="G97" s="25">
        <v>2675</v>
      </c>
      <c r="H97" s="26">
        <v>0.16045828084697999</v>
      </c>
      <c r="I97" s="25">
        <v>2707</v>
      </c>
      <c r="J97" s="26">
        <v>0.16468942021050101</v>
      </c>
      <c r="K97" s="25">
        <v>2985</v>
      </c>
      <c r="L97" s="26">
        <v>0.180427949709865</v>
      </c>
      <c r="M97" s="25">
        <v>3317</v>
      </c>
      <c r="N97" s="26">
        <v>0.190818615889087</v>
      </c>
      <c r="O97" s="25">
        <v>3691</v>
      </c>
      <c r="P97" s="26">
        <v>0.20701065619742001</v>
      </c>
      <c r="Q97" s="25">
        <v>3938</v>
      </c>
      <c r="R97" s="26">
        <v>0.22726223453370301</v>
      </c>
      <c r="S97" s="25">
        <v>5052</v>
      </c>
      <c r="T97" s="26">
        <v>0.23740601503759401</v>
      </c>
      <c r="U97" s="25">
        <v>3909</v>
      </c>
      <c r="V97" s="26">
        <v>0.25234006842682799</v>
      </c>
    </row>
    <row r="98" spans="1:22" x14ac:dyDescent="0.3">
      <c r="A98" s="10" t="s">
        <v>299</v>
      </c>
      <c r="B98" s="10"/>
      <c r="C98" s="25" t="s">
        <v>294</v>
      </c>
      <c r="D98" s="26"/>
      <c r="E98" s="25">
        <v>6409</v>
      </c>
      <c r="F98" s="26">
        <v>0.31287834407342302</v>
      </c>
      <c r="G98" s="25">
        <v>6189</v>
      </c>
      <c r="H98" s="26">
        <v>0.371243476696059</v>
      </c>
      <c r="I98" s="25">
        <v>5944</v>
      </c>
      <c r="J98" s="26">
        <v>0.36162316724463101</v>
      </c>
      <c r="K98" s="25">
        <v>5607</v>
      </c>
      <c r="L98" s="26">
        <v>0.33891441005802703</v>
      </c>
      <c r="M98" s="25">
        <v>5379</v>
      </c>
      <c r="N98" s="26">
        <v>0.30944025772306299</v>
      </c>
      <c r="O98" s="25">
        <v>5281</v>
      </c>
      <c r="P98" s="26">
        <v>0.29618620302860299</v>
      </c>
      <c r="Q98" s="25">
        <v>5184</v>
      </c>
      <c r="R98" s="26">
        <v>0.299168975069252</v>
      </c>
      <c r="S98" s="25">
        <v>6450</v>
      </c>
      <c r="T98" s="26">
        <v>0.30310150375939798</v>
      </c>
      <c r="U98" s="25">
        <v>2273</v>
      </c>
      <c r="V98" s="26">
        <v>0.14673035956361799</v>
      </c>
    </row>
    <row r="99" spans="1:22" x14ac:dyDescent="0.3">
      <c r="A99" s="10" t="s">
        <v>300</v>
      </c>
      <c r="B99" s="10"/>
      <c r="C99" s="25" t="s">
        <v>294</v>
      </c>
      <c r="D99" s="26"/>
      <c r="E99" s="25">
        <v>1219</v>
      </c>
      <c r="F99" s="26">
        <v>5.9509861355204099E-2</v>
      </c>
      <c r="G99" s="25">
        <v>1038</v>
      </c>
      <c r="H99" s="26">
        <v>6.2263811409033698E-2</v>
      </c>
      <c r="I99" s="25">
        <v>1084</v>
      </c>
      <c r="J99" s="26">
        <v>6.5948774107197197E-2</v>
      </c>
      <c r="K99" s="25">
        <v>1219</v>
      </c>
      <c r="L99" s="26">
        <v>7.3682301740812403E-2</v>
      </c>
      <c r="M99" s="25">
        <v>1239</v>
      </c>
      <c r="N99" s="26">
        <v>7.1276534545245407E-2</v>
      </c>
      <c r="O99" s="25">
        <v>1271</v>
      </c>
      <c r="P99" s="26">
        <v>7.12843522153674E-2</v>
      </c>
      <c r="Q99" s="25">
        <v>992</v>
      </c>
      <c r="R99" s="26">
        <v>5.72483841181902E-2</v>
      </c>
      <c r="S99" s="25">
        <v>1271</v>
      </c>
      <c r="T99" s="26">
        <v>5.9727443609022601E-2</v>
      </c>
      <c r="U99" s="25">
        <v>1593</v>
      </c>
      <c r="V99" s="26">
        <v>0.102833903556904</v>
      </c>
    </row>
    <row r="100" spans="1:22" x14ac:dyDescent="0.3">
      <c r="A100" s="10" t="s">
        <v>302</v>
      </c>
      <c r="B100" s="10"/>
      <c r="C100" s="25">
        <v>746</v>
      </c>
      <c r="D100" s="26">
        <v>3.6579386093949201E-2</v>
      </c>
      <c r="E100" s="25">
        <v>275</v>
      </c>
      <c r="F100" s="26">
        <v>1.34251122827573E-2</v>
      </c>
      <c r="G100" s="25">
        <v>260</v>
      </c>
      <c r="H100" s="26">
        <v>1.55959450542859E-2</v>
      </c>
      <c r="I100" s="25">
        <v>178</v>
      </c>
      <c r="J100" s="26">
        <v>1.08292267445398E-2</v>
      </c>
      <c r="K100" s="25">
        <v>28</v>
      </c>
      <c r="L100" s="26">
        <v>1.6924564796905199E-3</v>
      </c>
      <c r="M100" s="25">
        <v>178</v>
      </c>
      <c r="N100" s="26">
        <v>1.0239889547258799E-2</v>
      </c>
      <c r="O100" s="25">
        <v>275</v>
      </c>
      <c r="P100" s="26">
        <v>1.5423443634324199E-2</v>
      </c>
      <c r="Q100" s="25">
        <v>42</v>
      </c>
      <c r="R100" s="26">
        <v>2.4238227146814399E-3</v>
      </c>
      <c r="S100" s="25">
        <v>244</v>
      </c>
      <c r="T100" s="26">
        <v>1.14661654135338E-2</v>
      </c>
      <c r="U100" s="25">
        <v>216</v>
      </c>
      <c r="V100" s="26">
        <v>1.3943580143309001E-2</v>
      </c>
    </row>
    <row r="101" spans="1:22" x14ac:dyDescent="0.3">
      <c r="A101" s="10" t="s">
        <v>301</v>
      </c>
      <c r="B101" s="10"/>
      <c r="C101" s="25">
        <v>425</v>
      </c>
      <c r="D101" s="26">
        <v>2.0839462587035399E-2</v>
      </c>
      <c r="E101" s="25">
        <v>428</v>
      </c>
      <c r="F101" s="26">
        <v>2.0894356570982198E-2</v>
      </c>
      <c r="G101" s="25">
        <v>326</v>
      </c>
      <c r="H101" s="26">
        <v>1.95549157219123E-2</v>
      </c>
      <c r="I101" s="25">
        <v>318</v>
      </c>
      <c r="J101" s="26">
        <v>1.9346596094177802E-2</v>
      </c>
      <c r="K101" s="25">
        <v>309</v>
      </c>
      <c r="L101" s="26">
        <v>1.86774661508704E-2</v>
      </c>
      <c r="M101" s="25">
        <v>293</v>
      </c>
      <c r="N101" s="26">
        <v>1.6855548524420401E-2</v>
      </c>
      <c r="O101" s="25">
        <v>291</v>
      </c>
      <c r="P101" s="26">
        <v>1.63208076275939E-2</v>
      </c>
      <c r="Q101" s="25">
        <v>269</v>
      </c>
      <c r="R101" s="26">
        <v>1.55240073868883E-2</v>
      </c>
      <c r="S101" s="25">
        <v>215</v>
      </c>
      <c r="T101" s="26">
        <v>1.01033834586466E-2</v>
      </c>
      <c r="U101" s="25">
        <v>160</v>
      </c>
      <c r="V101" s="26">
        <v>1.0328577883932599E-2</v>
      </c>
    </row>
    <row r="102" spans="1:22" x14ac:dyDescent="0.3">
      <c r="A102" s="10" t="s">
        <v>304</v>
      </c>
      <c r="B102" s="10"/>
      <c r="C102" s="25" t="s">
        <v>294</v>
      </c>
      <c r="D102" s="26"/>
      <c r="E102" s="25">
        <v>3156</v>
      </c>
      <c r="F102" s="26">
        <v>0.154071470415934</v>
      </c>
      <c r="G102" s="25" t="s">
        <v>294</v>
      </c>
      <c r="H102" s="26"/>
      <c r="I102" s="25" t="s">
        <v>294</v>
      </c>
      <c r="J102" s="26"/>
      <c r="K102" s="25" t="s">
        <v>294</v>
      </c>
      <c r="L102" s="26"/>
      <c r="M102" s="25" t="s">
        <v>294</v>
      </c>
      <c r="N102" s="26"/>
      <c r="O102" s="25" t="s">
        <v>294</v>
      </c>
      <c r="P102" s="26"/>
      <c r="Q102" s="25" t="s">
        <v>294</v>
      </c>
      <c r="R102" s="26"/>
      <c r="S102" s="25" t="s">
        <v>294</v>
      </c>
      <c r="T102" s="26"/>
      <c r="U102" s="25" t="s">
        <v>294</v>
      </c>
      <c r="V102" s="26"/>
    </row>
    <row r="103" spans="1:22" x14ac:dyDescent="0.3">
      <c r="A103" s="10" t="s">
        <v>325</v>
      </c>
      <c r="B103" s="10"/>
      <c r="C103" s="25">
        <v>1838</v>
      </c>
      <c r="D103" s="26"/>
      <c r="E103" s="25" t="s">
        <v>294</v>
      </c>
      <c r="F103" s="26"/>
      <c r="G103" s="25" t="s">
        <v>294</v>
      </c>
      <c r="H103" s="26"/>
      <c r="I103" s="25" t="s">
        <v>294</v>
      </c>
      <c r="J103" s="26"/>
      <c r="K103" s="25" t="s">
        <v>294</v>
      </c>
      <c r="L103" s="26"/>
      <c r="M103" s="25" t="s">
        <v>294</v>
      </c>
      <c r="N103" s="26"/>
      <c r="O103" s="25" t="s">
        <v>294</v>
      </c>
      <c r="P103" s="26"/>
      <c r="Q103" s="25" t="s">
        <v>294</v>
      </c>
      <c r="R103" s="26"/>
      <c r="S103" s="25" t="s">
        <v>294</v>
      </c>
      <c r="T103" s="26"/>
      <c r="U103" s="25" t="s">
        <v>294</v>
      </c>
      <c r="V103" s="26"/>
    </row>
    <row r="104" spans="1:22" x14ac:dyDescent="0.3">
      <c r="A104" s="10" t="s">
        <v>306</v>
      </c>
      <c r="B104" s="10"/>
      <c r="C104" s="25">
        <v>16280</v>
      </c>
      <c r="D104" s="26">
        <v>0.798274002157497</v>
      </c>
      <c r="E104" s="25" t="s">
        <v>294</v>
      </c>
      <c r="F104" s="26"/>
      <c r="G104" s="25" t="s">
        <v>294</v>
      </c>
      <c r="H104" s="26"/>
      <c r="I104" s="25" t="s">
        <v>294</v>
      </c>
      <c r="J104" s="26"/>
      <c r="K104" s="25" t="s">
        <v>294</v>
      </c>
      <c r="L104" s="26"/>
      <c r="M104" s="25" t="s">
        <v>294</v>
      </c>
      <c r="N104" s="26"/>
      <c r="O104" s="25" t="s">
        <v>294</v>
      </c>
      <c r="P104" s="26"/>
      <c r="Q104" s="25" t="s">
        <v>294</v>
      </c>
      <c r="R104" s="26"/>
      <c r="S104" s="25" t="s">
        <v>294</v>
      </c>
      <c r="T104" s="26"/>
      <c r="U104" s="25" t="s">
        <v>294</v>
      </c>
      <c r="V104" s="26"/>
    </row>
    <row r="105" spans="1:22" x14ac:dyDescent="0.3">
      <c r="A105" s="10" t="s">
        <v>307</v>
      </c>
      <c r="B105" s="10"/>
      <c r="C105" s="25">
        <v>1145</v>
      </c>
      <c r="D105" s="26">
        <v>5.6143963910954199E-2</v>
      </c>
      <c r="E105" s="25" t="s">
        <v>294</v>
      </c>
      <c r="F105" s="26"/>
      <c r="G105" s="25" t="s">
        <v>294</v>
      </c>
      <c r="H105" s="26"/>
      <c r="I105" s="25" t="s">
        <v>294</v>
      </c>
      <c r="J105" s="26"/>
      <c r="K105" s="25" t="s">
        <v>294</v>
      </c>
      <c r="L105" s="26"/>
      <c r="M105" s="25" t="s">
        <v>294</v>
      </c>
      <c r="N105" s="26"/>
      <c r="O105" s="25" t="s">
        <v>294</v>
      </c>
      <c r="P105" s="26"/>
      <c r="Q105" s="25" t="s">
        <v>294</v>
      </c>
      <c r="R105" s="26"/>
      <c r="S105" s="25" t="s">
        <v>294</v>
      </c>
      <c r="T105" s="26"/>
      <c r="U105" s="25" t="s">
        <v>294</v>
      </c>
      <c r="V105" s="26"/>
    </row>
    <row r="106" spans="1:22" x14ac:dyDescent="0.3">
      <c r="A106" s="10" t="s">
        <v>308</v>
      </c>
      <c r="B106" s="10"/>
      <c r="C106" s="25">
        <v>5506</v>
      </c>
      <c r="D106" s="26">
        <v>0.26998136706874598</v>
      </c>
      <c r="E106" s="25" t="s">
        <v>294</v>
      </c>
      <c r="F106" s="26"/>
      <c r="G106" s="25" t="s">
        <v>294</v>
      </c>
      <c r="H106" s="26"/>
      <c r="I106" s="25" t="s">
        <v>294</v>
      </c>
      <c r="J106" s="26"/>
      <c r="K106" s="25" t="s">
        <v>294</v>
      </c>
      <c r="L106" s="26"/>
      <c r="M106" s="25" t="s">
        <v>294</v>
      </c>
      <c r="N106" s="26"/>
      <c r="O106" s="25" t="s">
        <v>294</v>
      </c>
      <c r="P106" s="26"/>
      <c r="Q106" s="25" t="s">
        <v>294</v>
      </c>
      <c r="R106" s="26"/>
      <c r="S106" s="25" t="s">
        <v>294</v>
      </c>
      <c r="T106" s="26"/>
      <c r="U106" s="25" t="s">
        <v>294</v>
      </c>
      <c r="V106" s="26"/>
    </row>
    <row r="107" spans="1:22" x14ac:dyDescent="0.3">
      <c r="A107" s="10" t="s">
        <v>309</v>
      </c>
      <c r="B107" s="10"/>
      <c r="C107" s="25">
        <v>1833</v>
      </c>
      <c r="D107" s="26">
        <v>8.9879376287143306E-2</v>
      </c>
      <c r="E107" s="25" t="s">
        <v>294</v>
      </c>
      <c r="F107" s="26"/>
      <c r="G107" s="25" t="s">
        <v>294</v>
      </c>
      <c r="H107" s="26"/>
      <c r="I107" s="25" t="s">
        <v>294</v>
      </c>
      <c r="J107" s="26"/>
      <c r="K107" s="25" t="s">
        <v>294</v>
      </c>
      <c r="L107" s="26"/>
      <c r="M107" s="25" t="s">
        <v>294</v>
      </c>
      <c r="N107" s="26"/>
      <c r="O107" s="25" t="s">
        <v>294</v>
      </c>
      <c r="P107" s="26"/>
      <c r="Q107" s="25" t="s">
        <v>294</v>
      </c>
      <c r="R107" s="26"/>
      <c r="S107" s="25" t="s">
        <v>294</v>
      </c>
      <c r="T107" s="26"/>
      <c r="U107" s="25" t="s">
        <v>294</v>
      </c>
      <c r="V107" s="26"/>
    </row>
    <row r="108" spans="1:22" x14ac:dyDescent="0.3">
      <c r="A108" s="10" t="s">
        <v>310</v>
      </c>
      <c r="B108" s="10"/>
      <c r="C108" s="25">
        <v>7796</v>
      </c>
      <c r="D108" s="26">
        <v>0.38226929489065398</v>
      </c>
      <c r="E108" s="25" t="s">
        <v>294</v>
      </c>
      <c r="F108" s="26"/>
      <c r="G108" s="25" t="s">
        <v>294</v>
      </c>
      <c r="H108" s="26"/>
      <c r="I108" s="25" t="s">
        <v>294</v>
      </c>
      <c r="J108" s="26"/>
      <c r="K108" s="25" t="s">
        <v>294</v>
      </c>
      <c r="L108" s="26"/>
      <c r="M108" s="25" t="s">
        <v>294</v>
      </c>
      <c r="N108" s="26"/>
      <c r="O108" s="25" t="s">
        <v>294</v>
      </c>
      <c r="P108" s="26"/>
      <c r="Q108" s="25" t="s">
        <v>294</v>
      </c>
      <c r="R108" s="26"/>
      <c r="S108" s="25" t="s">
        <v>294</v>
      </c>
      <c r="T108" s="26"/>
      <c r="U108" s="25" t="s">
        <v>294</v>
      </c>
      <c r="V108" s="26"/>
    </row>
    <row r="109" spans="1:22" x14ac:dyDescent="0.3">
      <c r="A109" s="6" t="s">
        <v>332</v>
      </c>
      <c r="B109" s="6"/>
      <c r="C109" s="29">
        <v>4052</v>
      </c>
      <c r="D109" s="30">
        <v>1</v>
      </c>
      <c r="E109" s="29">
        <v>8804</v>
      </c>
      <c r="F109" s="30">
        <v>1</v>
      </c>
      <c r="G109" s="29">
        <v>5651</v>
      </c>
      <c r="H109" s="30">
        <v>1</v>
      </c>
      <c r="I109" s="29">
        <v>4281</v>
      </c>
      <c r="J109" s="30">
        <v>1</v>
      </c>
      <c r="K109" s="29">
        <v>3536</v>
      </c>
      <c r="L109" s="30">
        <v>1</v>
      </c>
      <c r="M109" s="29">
        <v>6307</v>
      </c>
      <c r="N109" s="30">
        <v>1</v>
      </c>
      <c r="O109" s="29">
        <v>6795</v>
      </c>
      <c r="P109" s="30">
        <v>1</v>
      </c>
      <c r="Q109" s="29">
        <v>6927</v>
      </c>
      <c r="R109" s="30">
        <v>1</v>
      </c>
      <c r="S109" s="29">
        <v>8126</v>
      </c>
      <c r="T109" s="30">
        <v>1</v>
      </c>
      <c r="U109" s="29">
        <v>2859</v>
      </c>
      <c r="V109" s="30">
        <v>1</v>
      </c>
    </row>
    <row r="110" spans="1:22" x14ac:dyDescent="0.3">
      <c r="A110" s="10" t="s">
        <v>293</v>
      </c>
      <c r="B110" s="10"/>
      <c r="C110" s="25" t="s">
        <v>294</v>
      </c>
      <c r="D110" s="26"/>
      <c r="E110" s="25" t="s">
        <v>294</v>
      </c>
      <c r="F110" s="26"/>
      <c r="G110" s="25">
        <v>3044</v>
      </c>
      <c r="H110" s="26">
        <v>0.51963127347217497</v>
      </c>
      <c r="I110" s="25">
        <v>2872</v>
      </c>
      <c r="J110" s="26">
        <v>0.55929892891918198</v>
      </c>
      <c r="K110" s="25">
        <v>3051</v>
      </c>
      <c r="L110" s="26">
        <v>0.50379788639365897</v>
      </c>
      <c r="M110" s="25">
        <v>3540</v>
      </c>
      <c r="N110" s="26">
        <v>0.52875280059746099</v>
      </c>
      <c r="O110" s="25">
        <v>3562</v>
      </c>
      <c r="P110" s="26">
        <v>0.53937007874015797</v>
      </c>
      <c r="Q110" s="25">
        <v>4077</v>
      </c>
      <c r="R110" s="26">
        <v>0.56570001387539903</v>
      </c>
      <c r="S110" s="25">
        <v>4071</v>
      </c>
      <c r="T110" s="26">
        <v>0.40386904761904802</v>
      </c>
      <c r="U110" s="25">
        <v>3787</v>
      </c>
      <c r="V110" s="26">
        <v>0.51997803103116802</v>
      </c>
    </row>
    <row r="111" spans="1:22" x14ac:dyDescent="0.3">
      <c r="A111" s="10" t="s">
        <v>296</v>
      </c>
      <c r="B111" s="10"/>
      <c r="C111" s="25" t="s">
        <v>294</v>
      </c>
      <c r="D111" s="26"/>
      <c r="E111" s="25" t="s">
        <v>294</v>
      </c>
      <c r="F111" s="26"/>
      <c r="G111" s="25">
        <v>1760</v>
      </c>
      <c r="H111" s="26">
        <v>0.300443837487197</v>
      </c>
      <c r="I111" s="25">
        <v>1666</v>
      </c>
      <c r="J111" s="26">
        <v>0.32444011684517998</v>
      </c>
      <c r="K111" s="25">
        <v>1469</v>
      </c>
      <c r="L111" s="26">
        <v>0.24256935270805799</v>
      </c>
      <c r="M111" s="25">
        <v>1738</v>
      </c>
      <c r="N111" s="26">
        <v>0.25959671396564599</v>
      </c>
      <c r="O111" s="25">
        <v>1561</v>
      </c>
      <c r="P111" s="26">
        <v>0.23637189582071499</v>
      </c>
      <c r="Q111" s="25">
        <v>1973</v>
      </c>
      <c r="R111" s="26">
        <v>0.27376162064659398</v>
      </c>
      <c r="S111" s="25">
        <v>3471</v>
      </c>
      <c r="T111" s="26">
        <v>0.34434523809523798</v>
      </c>
      <c r="U111" s="25">
        <v>2124</v>
      </c>
      <c r="V111" s="26">
        <v>0.291638061238501</v>
      </c>
    </row>
    <row r="112" spans="1:22" x14ac:dyDescent="0.3">
      <c r="A112" s="10" t="s">
        <v>295</v>
      </c>
      <c r="B112" s="10"/>
      <c r="C112" s="25" t="s">
        <v>294</v>
      </c>
      <c r="D112" s="26"/>
      <c r="E112" s="25" t="s">
        <v>294</v>
      </c>
      <c r="F112" s="26"/>
      <c r="G112" s="25">
        <v>1016</v>
      </c>
      <c r="H112" s="26">
        <v>0.17343803345851799</v>
      </c>
      <c r="I112" s="25">
        <v>1090</v>
      </c>
      <c r="J112" s="26">
        <v>0.212268743914314</v>
      </c>
      <c r="K112" s="25">
        <v>1332</v>
      </c>
      <c r="L112" s="26">
        <v>0.21994715984148</v>
      </c>
      <c r="M112" s="25">
        <v>1389</v>
      </c>
      <c r="N112" s="26">
        <v>0.20746825989544401</v>
      </c>
      <c r="O112" s="25">
        <v>1706</v>
      </c>
      <c r="P112" s="26">
        <v>0.25832828588734102</v>
      </c>
      <c r="Q112" s="25">
        <v>1712</v>
      </c>
      <c r="R112" s="26">
        <v>0.237546829471347</v>
      </c>
      <c r="S112" s="25">
        <v>600</v>
      </c>
      <c r="T112" s="26">
        <v>5.95238095238095E-2</v>
      </c>
      <c r="U112" s="25">
        <v>1663</v>
      </c>
      <c r="V112" s="26">
        <v>0.22833996979266799</v>
      </c>
    </row>
    <row r="113" spans="1:22" x14ac:dyDescent="0.3">
      <c r="A113" s="10" t="s">
        <v>297</v>
      </c>
      <c r="B113" s="10"/>
      <c r="C113" s="25" t="s">
        <v>294</v>
      </c>
      <c r="D113" s="26"/>
      <c r="E113" s="25" t="s">
        <v>294</v>
      </c>
      <c r="F113" s="26"/>
      <c r="G113" s="25">
        <v>268</v>
      </c>
      <c r="H113" s="26">
        <v>4.5749402526459503E-2</v>
      </c>
      <c r="I113" s="25">
        <v>116</v>
      </c>
      <c r="J113" s="26">
        <v>2.2590068159688399E-2</v>
      </c>
      <c r="K113" s="25">
        <v>250</v>
      </c>
      <c r="L113" s="26">
        <v>4.1281373844121498E-2</v>
      </c>
      <c r="M113" s="25">
        <v>413</v>
      </c>
      <c r="N113" s="26">
        <v>6.1687826736370403E-2</v>
      </c>
      <c r="O113" s="25">
        <v>295</v>
      </c>
      <c r="P113" s="26">
        <v>4.46698970321018E-2</v>
      </c>
      <c r="Q113" s="25">
        <v>392</v>
      </c>
      <c r="R113" s="26">
        <v>5.4391563757458003E-2</v>
      </c>
      <c r="S113" s="25">
        <v>0</v>
      </c>
      <c r="T113" s="26"/>
      <c r="U113" s="25">
        <v>0</v>
      </c>
      <c r="V113" s="26"/>
    </row>
    <row r="114" spans="1:22" x14ac:dyDescent="0.3">
      <c r="A114" s="10" t="s">
        <v>298</v>
      </c>
      <c r="B114" s="10"/>
      <c r="C114" s="25">
        <v>1801</v>
      </c>
      <c r="D114" s="26">
        <v>0.20589916542814701</v>
      </c>
      <c r="E114" s="25">
        <v>1889</v>
      </c>
      <c r="F114" s="26">
        <v>0.20849889624724099</v>
      </c>
      <c r="G114" s="25">
        <v>1837</v>
      </c>
      <c r="H114" s="26">
        <v>0.31358825537726198</v>
      </c>
      <c r="I114" s="25">
        <v>1703</v>
      </c>
      <c r="J114" s="26">
        <v>0.33164556962025299</v>
      </c>
      <c r="K114" s="25">
        <v>1849</v>
      </c>
      <c r="L114" s="26">
        <v>0.305317040951123</v>
      </c>
      <c r="M114" s="25">
        <v>1785</v>
      </c>
      <c r="N114" s="26">
        <v>0.26661687826736402</v>
      </c>
      <c r="O114" s="25">
        <v>1990</v>
      </c>
      <c r="P114" s="26">
        <v>0.301332525741975</v>
      </c>
      <c r="Q114" s="25">
        <v>2208</v>
      </c>
      <c r="R114" s="26">
        <v>0.30636880810323303</v>
      </c>
      <c r="S114" s="25">
        <v>3234</v>
      </c>
      <c r="T114" s="26">
        <v>0.32083333333333303</v>
      </c>
      <c r="U114" s="25">
        <v>1954</v>
      </c>
      <c r="V114" s="26">
        <v>0.268296031855005</v>
      </c>
    </row>
    <row r="115" spans="1:22" x14ac:dyDescent="0.3">
      <c r="A115" s="10" t="s">
        <v>299</v>
      </c>
      <c r="B115" s="10"/>
      <c r="C115" s="25" t="s">
        <v>294</v>
      </c>
      <c r="D115" s="26"/>
      <c r="E115" s="25" t="s">
        <v>294</v>
      </c>
      <c r="F115" s="26"/>
      <c r="G115" s="25">
        <v>1823</v>
      </c>
      <c r="H115" s="26">
        <v>0.31119836121543198</v>
      </c>
      <c r="I115" s="25">
        <v>998</v>
      </c>
      <c r="J115" s="26">
        <v>0.19435248296007801</v>
      </c>
      <c r="K115" s="25">
        <v>1729</v>
      </c>
      <c r="L115" s="26">
        <v>0.28550198150594502</v>
      </c>
      <c r="M115" s="25">
        <v>1563</v>
      </c>
      <c r="N115" s="26">
        <v>0.233457804331591</v>
      </c>
      <c r="O115" s="25">
        <v>1283</v>
      </c>
      <c r="P115" s="26">
        <v>0.19427619624469999</v>
      </c>
      <c r="Q115" s="25">
        <v>1210</v>
      </c>
      <c r="R115" s="26">
        <v>0.16789232690439801</v>
      </c>
      <c r="S115" s="25">
        <v>2812</v>
      </c>
      <c r="T115" s="26">
        <v>0.27896825396825398</v>
      </c>
      <c r="U115" s="25">
        <v>1255</v>
      </c>
      <c r="V115" s="26">
        <v>0.17231909927227801</v>
      </c>
    </row>
    <row r="116" spans="1:22" x14ac:dyDescent="0.3">
      <c r="A116" s="10" t="s">
        <v>300</v>
      </c>
      <c r="B116" s="10"/>
      <c r="C116" s="25" t="s">
        <v>294</v>
      </c>
      <c r="D116" s="26"/>
      <c r="E116" s="25" t="s">
        <v>294</v>
      </c>
      <c r="F116" s="26"/>
      <c r="G116" s="25">
        <v>662</v>
      </c>
      <c r="H116" s="26">
        <v>0.113007852509389</v>
      </c>
      <c r="I116" s="25">
        <v>701</v>
      </c>
      <c r="J116" s="26">
        <v>0.1365141187926</v>
      </c>
      <c r="K116" s="25">
        <v>741</v>
      </c>
      <c r="L116" s="26">
        <v>0.122357992073976</v>
      </c>
      <c r="M116" s="25">
        <v>830</v>
      </c>
      <c r="N116" s="26">
        <v>0.123973114264376</v>
      </c>
      <c r="O116" s="25">
        <v>836</v>
      </c>
      <c r="P116" s="26">
        <v>0.12658994548758301</v>
      </c>
      <c r="Q116" s="25">
        <v>407</v>
      </c>
      <c r="R116" s="26">
        <v>5.6472873595115901E-2</v>
      </c>
      <c r="S116" s="25">
        <v>361</v>
      </c>
      <c r="T116" s="26">
        <v>3.5813492063492103E-2</v>
      </c>
      <c r="U116" s="25">
        <v>992</v>
      </c>
      <c r="V116" s="26">
        <v>0.13620760675545801</v>
      </c>
    </row>
    <row r="117" spans="1:22" x14ac:dyDescent="0.3">
      <c r="A117" s="10" t="s">
        <v>301</v>
      </c>
      <c r="B117" s="10"/>
      <c r="C117" s="25">
        <v>407</v>
      </c>
      <c r="D117" s="26">
        <v>4.65302389390648E-2</v>
      </c>
      <c r="E117" s="25">
        <v>314</v>
      </c>
      <c r="F117" s="26">
        <v>3.46578366445916E-2</v>
      </c>
      <c r="G117" s="25">
        <v>261</v>
      </c>
      <c r="H117" s="26">
        <v>4.4554455445544601E-2</v>
      </c>
      <c r="I117" s="25">
        <v>315</v>
      </c>
      <c r="J117" s="26">
        <v>6.1343719571567701E-2</v>
      </c>
      <c r="K117" s="25">
        <v>356</v>
      </c>
      <c r="L117" s="26">
        <v>5.8784676354029099E-2</v>
      </c>
      <c r="M117" s="25">
        <v>365</v>
      </c>
      <c r="N117" s="26">
        <v>5.4518297236743798E-2</v>
      </c>
      <c r="O117" s="25">
        <v>357</v>
      </c>
      <c r="P117" s="26">
        <v>5.4058146577831603E-2</v>
      </c>
      <c r="Q117" s="25">
        <v>408</v>
      </c>
      <c r="R117" s="26">
        <v>5.6611627584293001E-2</v>
      </c>
      <c r="S117" s="25">
        <v>397</v>
      </c>
      <c r="T117" s="26">
        <v>3.9384920634920599E-2</v>
      </c>
      <c r="U117" s="25">
        <v>310</v>
      </c>
      <c r="V117" s="26">
        <v>4.2564877111080597E-2</v>
      </c>
    </row>
    <row r="118" spans="1:22" x14ac:dyDescent="0.3">
      <c r="A118" s="10" t="s">
        <v>302</v>
      </c>
      <c r="B118" s="10"/>
      <c r="C118" s="25">
        <v>-1477</v>
      </c>
      <c r="D118" s="26">
        <v>-0.168857894135132</v>
      </c>
      <c r="E118" s="25">
        <v>-1327</v>
      </c>
      <c r="F118" s="26">
        <v>-0.146467991169978</v>
      </c>
      <c r="G118" s="25">
        <v>-1769</v>
      </c>
      <c r="H118" s="26">
        <v>-0.30198019801980203</v>
      </c>
      <c r="I118" s="25">
        <v>-1454</v>
      </c>
      <c r="J118" s="26">
        <v>-0.28315481986368102</v>
      </c>
      <c r="K118" s="25">
        <v>-1670</v>
      </c>
      <c r="L118" s="26">
        <v>-0.27575957727873202</v>
      </c>
      <c r="M118" s="25">
        <v>-1388</v>
      </c>
      <c r="N118" s="26">
        <v>-0.20731889469753501</v>
      </c>
      <c r="O118" s="25">
        <v>-1424</v>
      </c>
      <c r="P118" s="26">
        <v>-0.215626892792247</v>
      </c>
      <c r="Q118" s="25">
        <v>-1103</v>
      </c>
      <c r="R118" s="26">
        <v>-0.153045650062439</v>
      </c>
      <c r="S118" s="25">
        <v>-795</v>
      </c>
      <c r="T118" s="26">
        <v>-7.8869047619047603E-2</v>
      </c>
      <c r="U118" s="25">
        <v>-1015</v>
      </c>
      <c r="V118" s="26">
        <v>-0.13936564602498999</v>
      </c>
    </row>
    <row r="119" spans="1:22" x14ac:dyDescent="0.3">
      <c r="A119" s="10" t="s">
        <v>305</v>
      </c>
      <c r="B119" s="10"/>
      <c r="C119" s="25">
        <v>-4695</v>
      </c>
      <c r="D119" s="26"/>
      <c r="E119" s="25">
        <v>-256</v>
      </c>
      <c r="F119" s="26"/>
      <c r="G119" s="25">
        <v>-207</v>
      </c>
      <c r="H119" s="26"/>
      <c r="I119" s="25">
        <v>-854</v>
      </c>
      <c r="J119" s="26"/>
      <c r="K119" s="25">
        <v>-2520</v>
      </c>
      <c r="L119" s="26"/>
      <c r="M119" s="25">
        <v>-388</v>
      </c>
      <c r="N119" s="26"/>
      <c r="O119" s="25">
        <v>191</v>
      </c>
      <c r="P119" s="26"/>
      <c r="Q119" s="25">
        <v>-280</v>
      </c>
      <c r="R119" s="26"/>
      <c r="S119" s="25">
        <v>-1954</v>
      </c>
      <c r="T119" s="26"/>
      <c r="U119" s="25">
        <v>-4424</v>
      </c>
      <c r="V119" s="26"/>
    </row>
    <row r="120" spans="1:22" x14ac:dyDescent="0.3">
      <c r="A120" s="10" t="s">
        <v>306</v>
      </c>
      <c r="B120" s="10"/>
      <c r="C120" s="25">
        <v>8016</v>
      </c>
      <c r="D120" s="26">
        <v>0.91642848976792102</v>
      </c>
      <c r="E120" s="25">
        <v>8184</v>
      </c>
      <c r="F120" s="26">
        <v>0.90331125827814596</v>
      </c>
      <c r="G120" s="25" t="s">
        <v>294</v>
      </c>
      <c r="H120" s="26"/>
      <c r="I120" s="25" t="s">
        <v>294</v>
      </c>
      <c r="J120" s="26"/>
      <c r="K120" s="25" t="s">
        <v>294</v>
      </c>
      <c r="L120" s="26"/>
      <c r="M120" s="25" t="s">
        <v>294</v>
      </c>
      <c r="N120" s="26"/>
      <c r="O120" s="25" t="s">
        <v>294</v>
      </c>
      <c r="P120" s="26"/>
      <c r="Q120" s="25" t="s">
        <v>294</v>
      </c>
      <c r="R120" s="26"/>
      <c r="S120" s="25" t="s">
        <v>294</v>
      </c>
      <c r="T120" s="26"/>
      <c r="U120" s="25" t="s">
        <v>294</v>
      </c>
      <c r="V120" s="26"/>
    </row>
    <row r="121" spans="1:22" x14ac:dyDescent="0.3">
      <c r="A121" s="10" t="s">
        <v>307</v>
      </c>
      <c r="B121" s="10"/>
      <c r="C121" s="25">
        <v>717</v>
      </c>
      <c r="D121" s="26">
        <v>8.1970961472504905E-2</v>
      </c>
      <c r="E121" s="25">
        <v>664</v>
      </c>
      <c r="F121" s="26">
        <v>7.3289183222958104E-2</v>
      </c>
      <c r="G121" s="25" t="s">
        <v>294</v>
      </c>
      <c r="H121" s="26"/>
      <c r="I121" s="25" t="s">
        <v>294</v>
      </c>
      <c r="J121" s="26"/>
      <c r="K121" s="25" t="s">
        <v>294</v>
      </c>
      <c r="L121" s="26"/>
      <c r="M121" s="25" t="s">
        <v>294</v>
      </c>
      <c r="N121" s="26"/>
      <c r="O121" s="25" t="s">
        <v>294</v>
      </c>
      <c r="P121" s="26"/>
      <c r="Q121" s="25" t="s">
        <v>294</v>
      </c>
      <c r="R121" s="26"/>
      <c r="S121" s="25" t="s">
        <v>294</v>
      </c>
      <c r="T121" s="26"/>
      <c r="U121" s="25" t="s">
        <v>294</v>
      </c>
      <c r="V121" s="26"/>
    </row>
    <row r="122" spans="1:22" x14ac:dyDescent="0.3">
      <c r="A122" s="10" t="s">
        <v>308</v>
      </c>
      <c r="B122" s="10"/>
      <c r="C122" s="25">
        <v>2011</v>
      </c>
      <c r="D122" s="26">
        <v>0.229907396821767</v>
      </c>
      <c r="E122" s="25">
        <v>2229</v>
      </c>
      <c r="F122" s="26">
        <v>0.24602649006622501</v>
      </c>
      <c r="G122" s="25" t="s">
        <v>294</v>
      </c>
      <c r="H122" s="26"/>
      <c r="I122" s="25" t="s">
        <v>294</v>
      </c>
      <c r="J122" s="26"/>
      <c r="K122" s="25" t="s">
        <v>294</v>
      </c>
      <c r="L122" s="26"/>
      <c r="M122" s="25" t="s">
        <v>294</v>
      </c>
      <c r="N122" s="26"/>
      <c r="O122" s="25" t="s">
        <v>294</v>
      </c>
      <c r="P122" s="26"/>
      <c r="Q122" s="25" t="s">
        <v>294</v>
      </c>
      <c r="R122" s="26"/>
      <c r="S122" s="25" t="s">
        <v>294</v>
      </c>
      <c r="T122" s="26"/>
      <c r="U122" s="25" t="s">
        <v>294</v>
      </c>
      <c r="V122" s="26"/>
    </row>
    <row r="123" spans="1:22" x14ac:dyDescent="0.3">
      <c r="A123" s="10" t="s">
        <v>309</v>
      </c>
      <c r="B123" s="10"/>
      <c r="C123" s="25">
        <v>1450</v>
      </c>
      <c r="D123" s="26">
        <v>0.16577112152738099</v>
      </c>
      <c r="E123" s="25">
        <v>1345</v>
      </c>
      <c r="F123" s="26">
        <v>0.14845474613686499</v>
      </c>
      <c r="G123" s="25" t="s">
        <v>294</v>
      </c>
      <c r="H123" s="26"/>
      <c r="I123" s="25" t="s">
        <v>294</v>
      </c>
      <c r="J123" s="26"/>
      <c r="K123" s="25" t="s">
        <v>294</v>
      </c>
      <c r="L123" s="26"/>
      <c r="M123" s="25" t="s">
        <v>294</v>
      </c>
      <c r="N123" s="26"/>
      <c r="O123" s="25" t="s">
        <v>294</v>
      </c>
      <c r="P123" s="26"/>
      <c r="Q123" s="25" t="s">
        <v>294</v>
      </c>
      <c r="R123" s="26"/>
      <c r="S123" s="25" t="s">
        <v>294</v>
      </c>
      <c r="T123" s="26"/>
      <c r="U123" s="25" t="s">
        <v>294</v>
      </c>
      <c r="V123" s="26"/>
    </row>
    <row r="124" spans="1:22" x14ac:dyDescent="0.3">
      <c r="A124" s="10" t="s">
        <v>310</v>
      </c>
      <c r="B124" s="10"/>
      <c r="C124" s="25">
        <v>3838</v>
      </c>
      <c r="D124" s="26">
        <v>0.43877900994626701</v>
      </c>
      <c r="E124" s="25">
        <v>3946</v>
      </c>
      <c r="F124" s="26">
        <v>0.43554083885209699</v>
      </c>
      <c r="G124" s="25" t="s">
        <v>294</v>
      </c>
      <c r="H124" s="26"/>
      <c r="I124" s="25" t="s">
        <v>294</v>
      </c>
      <c r="J124" s="26"/>
      <c r="K124" s="25" t="s">
        <v>294</v>
      </c>
      <c r="L124" s="26"/>
      <c r="M124" s="25" t="s">
        <v>294</v>
      </c>
      <c r="N124" s="26"/>
      <c r="O124" s="25" t="s">
        <v>294</v>
      </c>
      <c r="P124" s="26"/>
      <c r="Q124" s="25" t="s">
        <v>294</v>
      </c>
      <c r="R124" s="26"/>
      <c r="S124" s="25" t="s">
        <v>294</v>
      </c>
      <c r="T124" s="26"/>
      <c r="U124" s="25" t="s">
        <v>294</v>
      </c>
      <c r="V124" s="26"/>
    </row>
    <row r="125" spans="1:22" x14ac:dyDescent="0.3">
      <c r="A125" s="6" t="s">
        <v>333</v>
      </c>
      <c r="B125" s="6"/>
      <c r="C125" s="29">
        <v>661</v>
      </c>
      <c r="D125" s="30">
        <v>1</v>
      </c>
      <c r="E125" s="29">
        <v>2465</v>
      </c>
      <c r="F125" s="30">
        <v>1</v>
      </c>
      <c r="G125" s="29">
        <v>1744</v>
      </c>
      <c r="H125" s="30">
        <v>1</v>
      </c>
      <c r="I125" s="29">
        <v>999</v>
      </c>
      <c r="J125" s="30">
        <v>1</v>
      </c>
      <c r="K125" s="29">
        <v>1718</v>
      </c>
      <c r="L125" s="30">
        <v>1</v>
      </c>
      <c r="M125" s="29">
        <v>1093</v>
      </c>
      <c r="N125" s="30">
        <v>1</v>
      </c>
      <c r="O125" s="29">
        <v>659</v>
      </c>
      <c r="P125" s="30">
        <v>1</v>
      </c>
      <c r="Q125" s="29">
        <v>1382</v>
      </c>
      <c r="R125" s="30">
        <v>1</v>
      </c>
      <c r="S125" s="29">
        <v>1931</v>
      </c>
      <c r="T125" s="30">
        <v>1</v>
      </c>
      <c r="U125" s="29">
        <v>1553</v>
      </c>
      <c r="V125" s="30">
        <v>1</v>
      </c>
    </row>
    <row r="126" spans="1:22" x14ac:dyDescent="0.3">
      <c r="A126" s="10" t="s">
        <v>293</v>
      </c>
      <c r="B126" s="10"/>
      <c r="C126" s="25" t="s">
        <v>294</v>
      </c>
      <c r="D126" s="26"/>
      <c r="E126" s="25" t="s">
        <v>294</v>
      </c>
      <c r="F126" s="26"/>
      <c r="G126" s="25">
        <v>1009</v>
      </c>
      <c r="H126" s="26">
        <v>0.57855504587156004</v>
      </c>
      <c r="I126" s="25">
        <v>976</v>
      </c>
      <c r="J126" s="26">
        <v>0.97697697697697705</v>
      </c>
      <c r="K126" s="25">
        <v>1024</v>
      </c>
      <c r="L126" s="26">
        <v>0.59604190919674005</v>
      </c>
      <c r="M126" s="25">
        <v>736</v>
      </c>
      <c r="N126" s="26">
        <v>0.67337602927721896</v>
      </c>
      <c r="O126" s="25">
        <v>724</v>
      </c>
      <c r="P126" s="26">
        <v>1.0986342943854299</v>
      </c>
      <c r="Q126" s="25">
        <v>853</v>
      </c>
      <c r="R126" s="26">
        <v>0.61722141823444299</v>
      </c>
      <c r="S126" s="25">
        <v>850</v>
      </c>
      <c r="T126" s="26">
        <v>0.44018643190057</v>
      </c>
      <c r="U126" s="25">
        <v>791</v>
      </c>
      <c r="V126" s="26">
        <v>0.509336767546684</v>
      </c>
    </row>
    <row r="127" spans="1:22" x14ac:dyDescent="0.3">
      <c r="A127" s="10" t="s">
        <v>296</v>
      </c>
      <c r="B127" s="10"/>
      <c r="C127" s="25" t="s">
        <v>294</v>
      </c>
      <c r="D127" s="26"/>
      <c r="E127" s="25" t="s">
        <v>294</v>
      </c>
      <c r="F127" s="26"/>
      <c r="G127" s="25">
        <v>582</v>
      </c>
      <c r="H127" s="26">
        <v>0.33371559633027498</v>
      </c>
      <c r="I127" s="25">
        <v>578</v>
      </c>
      <c r="J127" s="26">
        <v>0.57857857857857897</v>
      </c>
      <c r="K127" s="25">
        <v>513</v>
      </c>
      <c r="L127" s="26">
        <v>0.29860302677532002</v>
      </c>
      <c r="M127" s="25">
        <v>357</v>
      </c>
      <c r="N127" s="26">
        <v>0.32662397072278099</v>
      </c>
      <c r="O127" s="25">
        <v>320</v>
      </c>
      <c r="P127" s="26">
        <v>0.48558421851289801</v>
      </c>
      <c r="Q127" s="25">
        <v>406</v>
      </c>
      <c r="R127" s="26">
        <v>0.293777134587554</v>
      </c>
      <c r="S127" s="25">
        <v>722</v>
      </c>
      <c r="T127" s="26">
        <v>0.37389953392024899</v>
      </c>
      <c r="U127" s="25">
        <v>439</v>
      </c>
      <c r="V127" s="26">
        <v>0.282678686413393</v>
      </c>
    </row>
    <row r="128" spans="1:22" x14ac:dyDescent="0.3">
      <c r="A128" s="10" t="s">
        <v>295</v>
      </c>
      <c r="B128" s="10"/>
      <c r="C128" s="25" t="s">
        <v>294</v>
      </c>
      <c r="D128" s="26"/>
      <c r="E128" s="25" t="s">
        <v>294</v>
      </c>
      <c r="F128" s="26"/>
      <c r="G128" s="25">
        <v>382</v>
      </c>
      <c r="H128" s="26">
        <v>0.219036697247706</v>
      </c>
      <c r="I128" s="25">
        <v>403</v>
      </c>
      <c r="J128" s="26">
        <v>0.40340340340340303</v>
      </c>
      <c r="K128" s="25">
        <v>464</v>
      </c>
      <c r="L128" s="26">
        <v>0.270081490104773</v>
      </c>
      <c r="M128" s="25">
        <v>310</v>
      </c>
      <c r="N128" s="26">
        <v>0.28362305580969799</v>
      </c>
      <c r="O128" s="25">
        <v>358</v>
      </c>
      <c r="P128" s="26">
        <v>0.54324734446130496</v>
      </c>
      <c r="Q128" s="25">
        <v>377</v>
      </c>
      <c r="R128" s="26">
        <v>0.27279305354558597</v>
      </c>
      <c r="S128" s="25">
        <v>128</v>
      </c>
      <c r="T128" s="26">
        <v>6.6286897980321099E-2</v>
      </c>
      <c r="U128" s="25">
        <v>352</v>
      </c>
      <c r="V128" s="26">
        <v>0.22665808113329</v>
      </c>
    </row>
    <row r="129" spans="1:22" x14ac:dyDescent="0.3">
      <c r="A129" s="10" t="s">
        <v>297</v>
      </c>
      <c r="B129" s="10"/>
      <c r="C129" s="25" t="s">
        <v>294</v>
      </c>
      <c r="D129" s="26"/>
      <c r="E129" s="25" t="s">
        <v>294</v>
      </c>
      <c r="F129" s="26"/>
      <c r="G129" s="25">
        <v>45</v>
      </c>
      <c r="H129" s="26">
        <v>2.5802752293578E-2</v>
      </c>
      <c r="I129" s="25">
        <v>-5</v>
      </c>
      <c r="J129" s="26">
        <v>-5.0050050050050102E-3</v>
      </c>
      <c r="K129" s="25">
        <v>47</v>
      </c>
      <c r="L129" s="26">
        <v>2.73573923166473E-2</v>
      </c>
      <c r="M129" s="25">
        <v>69</v>
      </c>
      <c r="N129" s="26">
        <v>6.3129002744739204E-2</v>
      </c>
      <c r="O129" s="25">
        <v>46</v>
      </c>
      <c r="P129" s="26">
        <v>6.9802731411229099E-2</v>
      </c>
      <c r="Q129" s="25">
        <v>70</v>
      </c>
      <c r="R129" s="26">
        <v>5.06512301013025E-2</v>
      </c>
      <c r="S129" s="25" t="s">
        <v>294</v>
      </c>
      <c r="T129" s="26"/>
      <c r="U129" s="25" t="s">
        <v>294</v>
      </c>
      <c r="V129" s="26"/>
    </row>
    <row r="130" spans="1:22" x14ac:dyDescent="0.3">
      <c r="A130" s="10" t="s">
        <v>298</v>
      </c>
      <c r="B130" s="10"/>
      <c r="C130" s="25">
        <v>565</v>
      </c>
      <c r="D130" s="26">
        <v>0.24104095563139899</v>
      </c>
      <c r="E130" s="25">
        <v>582</v>
      </c>
      <c r="F130" s="26">
        <v>0.244743481917578</v>
      </c>
      <c r="G130" s="25">
        <v>461</v>
      </c>
      <c r="H130" s="26">
        <v>0.264334862385321</v>
      </c>
      <c r="I130" s="25">
        <v>479</v>
      </c>
      <c r="J130" s="26">
        <v>0.479479479479479</v>
      </c>
      <c r="K130" s="25">
        <v>620</v>
      </c>
      <c r="L130" s="26">
        <v>0.360884749708964</v>
      </c>
      <c r="M130" s="25">
        <v>548</v>
      </c>
      <c r="N130" s="26">
        <v>0.50137236962488596</v>
      </c>
      <c r="O130" s="25">
        <v>585</v>
      </c>
      <c r="P130" s="26">
        <v>0.88770864946889205</v>
      </c>
      <c r="Q130" s="25">
        <v>643</v>
      </c>
      <c r="R130" s="26">
        <v>0.465267727930535</v>
      </c>
      <c r="S130" s="25">
        <v>936</v>
      </c>
      <c r="T130" s="26">
        <v>0.48472294148109801</v>
      </c>
      <c r="U130" s="25">
        <v>576</v>
      </c>
      <c r="V130" s="26">
        <v>0.37089504185447503</v>
      </c>
    </row>
    <row r="131" spans="1:22" x14ac:dyDescent="0.3">
      <c r="A131" s="10" t="s">
        <v>299</v>
      </c>
      <c r="B131" s="10"/>
      <c r="C131" s="25" t="s">
        <v>294</v>
      </c>
      <c r="D131" s="26"/>
      <c r="E131" s="25" t="s">
        <v>294</v>
      </c>
      <c r="F131" s="26"/>
      <c r="G131" s="25">
        <v>582</v>
      </c>
      <c r="H131" s="26">
        <v>0.33371559633027498</v>
      </c>
      <c r="I131" s="25">
        <v>292</v>
      </c>
      <c r="J131" s="26">
        <v>0.29229229229229198</v>
      </c>
      <c r="K131" s="25">
        <v>547</v>
      </c>
      <c r="L131" s="26">
        <v>0.318393480791618</v>
      </c>
      <c r="M131" s="25">
        <v>308</v>
      </c>
      <c r="N131" s="26">
        <v>0.28179322964318398</v>
      </c>
      <c r="O131" s="25">
        <v>249</v>
      </c>
      <c r="P131" s="26">
        <v>0.37784522003034898</v>
      </c>
      <c r="Q131" s="25">
        <v>234</v>
      </c>
      <c r="R131" s="26">
        <v>0.16931982633864001</v>
      </c>
      <c r="S131" s="25">
        <v>570</v>
      </c>
      <c r="T131" s="26">
        <v>0.29518384256861702</v>
      </c>
      <c r="U131" s="25">
        <v>247</v>
      </c>
      <c r="V131" s="26">
        <v>0.15904700579523501</v>
      </c>
    </row>
    <row r="132" spans="1:22" x14ac:dyDescent="0.3">
      <c r="A132" s="10" t="s">
        <v>300</v>
      </c>
      <c r="B132" s="10"/>
      <c r="C132" s="25" t="s">
        <v>294</v>
      </c>
      <c r="D132" s="26"/>
      <c r="E132" s="25" t="s">
        <v>294</v>
      </c>
      <c r="F132" s="26"/>
      <c r="G132" s="25">
        <v>37</v>
      </c>
      <c r="H132" s="26">
        <v>2.1215596330275199E-2</v>
      </c>
      <c r="I132" s="25">
        <v>158</v>
      </c>
      <c r="J132" s="26">
        <v>0.15815815815815801</v>
      </c>
      <c r="K132" s="25">
        <v>156</v>
      </c>
      <c r="L132" s="26">
        <v>9.0803259604190903E-2</v>
      </c>
      <c r="M132" s="25">
        <v>238</v>
      </c>
      <c r="N132" s="26">
        <v>0.217749313815188</v>
      </c>
      <c r="O132" s="25">
        <v>227</v>
      </c>
      <c r="P132" s="26">
        <v>0.34446130500758698</v>
      </c>
      <c r="Q132" s="25">
        <v>127</v>
      </c>
      <c r="R132" s="26">
        <v>9.1895803183791605E-2</v>
      </c>
      <c r="S132" s="25">
        <v>70</v>
      </c>
      <c r="T132" s="26">
        <v>3.6250647332988099E-2</v>
      </c>
      <c r="U132" s="25">
        <v>231</v>
      </c>
      <c r="V132" s="26">
        <v>0.14874436574372199</v>
      </c>
    </row>
    <row r="133" spans="1:22" x14ac:dyDescent="0.3">
      <c r="A133" s="10" t="s">
        <v>301</v>
      </c>
      <c r="B133" s="10"/>
      <c r="C133" s="25">
        <v>51</v>
      </c>
      <c r="D133" s="26">
        <v>2.1757679180887401E-2</v>
      </c>
      <c r="E133" s="25">
        <v>29</v>
      </c>
      <c r="F133" s="26">
        <v>1.21951219512195E-2</v>
      </c>
      <c r="G133" s="25">
        <v>21</v>
      </c>
      <c r="H133" s="26">
        <v>1.2041284403669699E-2</v>
      </c>
      <c r="I133" s="25">
        <v>42</v>
      </c>
      <c r="J133" s="26">
        <v>4.2042042042041997E-2</v>
      </c>
      <c r="K133" s="25">
        <v>59</v>
      </c>
      <c r="L133" s="26">
        <v>3.4342258440046597E-2</v>
      </c>
      <c r="M133" s="25">
        <v>88</v>
      </c>
      <c r="N133" s="26">
        <v>8.0512351326624002E-2</v>
      </c>
      <c r="O133" s="25">
        <v>75</v>
      </c>
      <c r="P133" s="26">
        <v>0.113808801213961</v>
      </c>
      <c r="Q133" s="25">
        <v>81</v>
      </c>
      <c r="R133" s="26">
        <v>5.8610709117221403E-2</v>
      </c>
      <c r="S133" s="25">
        <v>96</v>
      </c>
      <c r="T133" s="26">
        <v>4.97151734852408E-2</v>
      </c>
      <c r="U133" s="25">
        <v>64</v>
      </c>
      <c r="V133" s="26">
        <v>4.12105602060528E-2</v>
      </c>
    </row>
    <row r="134" spans="1:22" x14ac:dyDescent="0.3">
      <c r="A134" s="10" t="s">
        <v>302</v>
      </c>
      <c r="B134" s="10"/>
      <c r="C134" s="25">
        <v>-609</v>
      </c>
      <c r="D134" s="26">
        <v>-0.25981228668942002</v>
      </c>
      <c r="E134" s="25">
        <v>-697</v>
      </c>
      <c r="F134" s="26">
        <v>-0.29310344827586199</v>
      </c>
      <c r="G134" s="25">
        <v>-366</v>
      </c>
      <c r="H134" s="26">
        <v>-0.20986238532110099</v>
      </c>
      <c r="I134" s="25">
        <v>-948</v>
      </c>
      <c r="J134" s="26">
        <v>-0.94894894894894899</v>
      </c>
      <c r="K134" s="25">
        <v>-688</v>
      </c>
      <c r="L134" s="26">
        <v>-0.40046565774156001</v>
      </c>
      <c r="M134" s="25">
        <v>-825</v>
      </c>
      <c r="N134" s="26">
        <v>-0.75480329368709997</v>
      </c>
      <c r="O134" s="25">
        <v>-1201</v>
      </c>
      <c r="P134" s="26">
        <v>-1.82245827010622</v>
      </c>
      <c r="Q134" s="25">
        <v>-556</v>
      </c>
      <c r="R134" s="26">
        <v>-0.40231548480463097</v>
      </c>
      <c r="S134" s="25">
        <v>-591</v>
      </c>
      <c r="T134" s="26">
        <v>-0.30605903676851398</v>
      </c>
      <c r="U134" s="25">
        <v>-356</v>
      </c>
      <c r="V134" s="26">
        <v>-0.22923374114616901</v>
      </c>
    </row>
    <row r="135" spans="1:22" x14ac:dyDescent="0.3">
      <c r="A135" s="10" t="s">
        <v>325</v>
      </c>
      <c r="B135" s="10"/>
      <c r="C135" s="25">
        <v>-1683</v>
      </c>
      <c r="D135" s="26"/>
      <c r="E135" s="25">
        <v>87</v>
      </c>
      <c r="F135" s="26"/>
      <c r="G135" s="25" t="s">
        <v>294</v>
      </c>
      <c r="H135" s="26"/>
      <c r="I135" s="25" t="s">
        <v>294</v>
      </c>
      <c r="J135" s="26"/>
      <c r="K135" s="25" t="s">
        <v>294</v>
      </c>
      <c r="L135" s="26"/>
      <c r="M135" s="25" t="s">
        <v>294</v>
      </c>
      <c r="N135" s="26"/>
      <c r="O135" s="25" t="s">
        <v>294</v>
      </c>
      <c r="P135" s="26"/>
      <c r="Q135" s="25" t="s">
        <v>294</v>
      </c>
      <c r="R135" s="26"/>
      <c r="S135" s="25" t="s">
        <v>294</v>
      </c>
      <c r="T135" s="26"/>
      <c r="U135" s="25" t="s">
        <v>294</v>
      </c>
      <c r="V135" s="26"/>
    </row>
    <row r="136" spans="1:22" x14ac:dyDescent="0.3">
      <c r="A136" s="10" t="s">
        <v>306</v>
      </c>
      <c r="B136" s="10"/>
      <c r="C136" s="25">
        <v>2337</v>
      </c>
      <c r="D136" s="26">
        <v>0.99701365187713298</v>
      </c>
      <c r="E136" s="25">
        <v>2464</v>
      </c>
      <c r="F136" s="26">
        <v>1.0361648444070599</v>
      </c>
      <c r="G136" s="25" t="s">
        <v>294</v>
      </c>
      <c r="H136" s="26"/>
      <c r="I136" s="25" t="s">
        <v>294</v>
      </c>
      <c r="J136" s="26"/>
      <c r="K136" s="25" t="s">
        <v>294</v>
      </c>
      <c r="L136" s="26"/>
      <c r="M136" s="25" t="s">
        <v>294</v>
      </c>
      <c r="N136" s="26"/>
      <c r="O136" s="25" t="s">
        <v>294</v>
      </c>
      <c r="P136" s="26"/>
      <c r="Q136" s="25" t="s">
        <v>294</v>
      </c>
      <c r="R136" s="26"/>
      <c r="S136" s="25" t="s">
        <v>294</v>
      </c>
      <c r="T136" s="26"/>
      <c r="U136" s="25" t="s">
        <v>294</v>
      </c>
      <c r="V136" s="26"/>
    </row>
    <row r="137" spans="1:22" x14ac:dyDescent="0.3">
      <c r="A137" s="10" t="s">
        <v>307</v>
      </c>
      <c r="B137" s="10"/>
      <c r="C137" s="25">
        <v>83</v>
      </c>
      <c r="D137" s="26">
        <v>3.5409556313993201E-2</v>
      </c>
      <c r="E137" s="25">
        <v>96</v>
      </c>
      <c r="F137" s="26">
        <v>4.0370058873002497E-2</v>
      </c>
      <c r="G137" s="25" t="s">
        <v>294</v>
      </c>
      <c r="H137" s="26"/>
      <c r="I137" s="25" t="s">
        <v>294</v>
      </c>
      <c r="J137" s="26"/>
      <c r="K137" s="25" t="s">
        <v>294</v>
      </c>
      <c r="L137" s="26"/>
      <c r="M137" s="25" t="s">
        <v>294</v>
      </c>
      <c r="N137" s="26"/>
      <c r="O137" s="25" t="s">
        <v>294</v>
      </c>
      <c r="P137" s="26"/>
      <c r="Q137" s="25" t="s">
        <v>294</v>
      </c>
      <c r="R137" s="26"/>
      <c r="S137" s="25" t="s">
        <v>294</v>
      </c>
      <c r="T137" s="26"/>
      <c r="U137" s="25" t="s">
        <v>294</v>
      </c>
      <c r="V137" s="26"/>
    </row>
    <row r="138" spans="1:22" x14ac:dyDescent="0.3">
      <c r="A138" s="10" t="s">
        <v>308</v>
      </c>
      <c r="B138" s="10"/>
      <c r="C138" s="25">
        <v>667</v>
      </c>
      <c r="D138" s="26">
        <v>0.28455631399317399</v>
      </c>
      <c r="E138" s="25">
        <v>771</v>
      </c>
      <c r="F138" s="26">
        <v>0.324222035323802</v>
      </c>
      <c r="G138" s="25" t="s">
        <v>294</v>
      </c>
      <c r="H138" s="26"/>
      <c r="I138" s="25" t="s">
        <v>294</v>
      </c>
      <c r="J138" s="26"/>
      <c r="K138" s="25" t="s">
        <v>294</v>
      </c>
      <c r="L138" s="26"/>
      <c r="M138" s="25" t="s">
        <v>294</v>
      </c>
      <c r="N138" s="26"/>
      <c r="O138" s="25" t="s">
        <v>294</v>
      </c>
      <c r="P138" s="26"/>
      <c r="Q138" s="25" t="s">
        <v>294</v>
      </c>
      <c r="R138" s="26"/>
      <c r="S138" s="25" t="s">
        <v>294</v>
      </c>
      <c r="T138" s="26"/>
      <c r="U138" s="25" t="s">
        <v>294</v>
      </c>
      <c r="V138" s="26"/>
    </row>
    <row r="139" spans="1:22" x14ac:dyDescent="0.3">
      <c r="A139" s="10" t="s">
        <v>309</v>
      </c>
      <c r="B139" s="10"/>
      <c r="C139" s="25">
        <v>480</v>
      </c>
      <c r="D139" s="26">
        <v>0.204778156996587</v>
      </c>
      <c r="E139" s="25">
        <v>467</v>
      </c>
      <c r="F139" s="26">
        <v>0.19638351555929401</v>
      </c>
      <c r="G139" s="25" t="s">
        <v>294</v>
      </c>
      <c r="H139" s="26"/>
      <c r="I139" s="25" t="s">
        <v>294</v>
      </c>
      <c r="J139" s="26"/>
      <c r="K139" s="25" t="s">
        <v>294</v>
      </c>
      <c r="L139" s="26"/>
      <c r="M139" s="25" t="s">
        <v>294</v>
      </c>
      <c r="N139" s="26"/>
      <c r="O139" s="25" t="s">
        <v>294</v>
      </c>
      <c r="P139" s="26"/>
      <c r="Q139" s="25" t="s">
        <v>294</v>
      </c>
      <c r="R139" s="26"/>
      <c r="S139" s="25" t="s">
        <v>294</v>
      </c>
      <c r="T139" s="26"/>
      <c r="U139" s="25" t="s">
        <v>294</v>
      </c>
      <c r="V139" s="26"/>
    </row>
    <row r="140" spans="1:22" x14ac:dyDescent="0.3">
      <c r="A140" s="10" t="s">
        <v>310</v>
      </c>
      <c r="B140" s="10"/>
      <c r="C140" s="25">
        <v>1107</v>
      </c>
      <c r="D140" s="26">
        <v>0.47226962457337901</v>
      </c>
      <c r="E140" s="25">
        <v>1130</v>
      </c>
      <c r="F140" s="26">
        <v>0.47518923465096702</v>
      </c>
      <c r="G140" s="25" t="s">
        <v>294</v>
      </c>
      <c r="H140" s="26"/>
      <c r="I140" s="25" t="s">
        <v>294</v>
      </c>
      <c r="J140" s="26"/>
      <c r="K140" s="25" t="s">
        <v>294</v>
      </c>
      <c r="L140" s="26"/>
      <c r="M140" s="25" t="s">
        <v>294</v>
      </c>
      <c r="N140" s="26"/>
      <c r="O140" s="25" t="s">
        <v>294</v>
      </c>
      <c r="P140" s="26"/>
      <c r="Q140" s="25" t="s">
        <v>294</v>
      </c>
      <c r="R140" s="26"/>
      <c r="S140" s="25" t="s">
        <v>294</v>
      </c>
      <c r="T140" s="26"/>
      <c r="U140" s="25" t="s">
        <v>294</v>
      </c>
      <c r="V140" s="26"/>
    </row>
    <row r="141" spans="1:22" x14ac:dyDescent="0.3">
      <c r="A141" s="6" t="s">
        <v>334</v>
      </c>
      <c r="B141" s="6"/>
      <c r="C141" s="29">
        <v>3393</v>
      </c>
      <c r="D141" s="30">
        <v>1</v>
      </c>
      <c r="E141" s="29">
        <v>6339</v>
      </c>
      <c r="F141" s="30">
        <v>1</v>
      </c>
      <c r="G141" s="29">
        <v>5385</v>
      </c>
      <c r="H141" s="30">
        <v>1</v>
      </c>
      <c r="I141" s="29">
        <v>854</v>
      </c>
      <c r="J141" s="30">
        <v>1</v>
      </c>
      <c r="K141" s="29">
        <v>4020</v>
      </c>
      <c r="L141" s="30">
        <v>1</v>
      </c>
      <c r="M141" s="29">
        <v>5123</v>
      </c>
      <c r="N141" s="30">
        <v>1</v>
      </c>
      <c r="O141" s="29">
        <v>5721</v>
      </c>
      <c r="P141" s="30">
        <v>1</v>
      </c>
      <c r="Q141" s="29">
        <v>5191</v>
      </c>
      <c r="R141" s="30">
        <v>1</v>
      </c>
      <c r="S141" s="29">
        <v>6353</v>
      </c>
      <c r="T141" s="30">
        <v>1</v>
      </c>
      <c r="U141" s="29">
        <v>2354</v>
      </c>
      <c r="V141" s="30">
        <v>1</v>
      </c>
    </row>
    <row r="142" spans="1:22" x14ac:dyDescent="0.3">
      <c r="A142" s="10" t="s">
        <v>293</v>
      </c>
      <c r="B142" s="10"/>
      <c r="C142" s="25" t="s">
        <v>294</v>
      </c>
      <c r="D142" s="26"/>
      <c r="E142" s="25">
        <v>2430</v>
      </c>
      <c r="F142" s="26">
        <v>0.38334122101277801</v>
      </c>
      <c r="G142" s="25">
        <v>2080</v>
      </c>
      <c r="H142" s="26">
        <v>0.38625812441968399</v>
      </c>
      <c r="I142" s="25">
        <v>1756</v>
      </c>
      <c r="J142" s="26">
        <v>2.0562060889929699</v>
      </c>
      <c r="K142" s="25">
        <v>2001</v>
      </c>
      <c r="L142" s="26">
        <v>0.49776119402985097</v>
      </c>
      <c r="M142" s="25">
        <v>2755</v>
      </c>
      <c r="N142" s="26">
        <v>0.53777083739996101</v>
      </c>
      <c r="O142" s="25">
        <v>3148</v>
      </c>
      <c r="P142" s="26">
        <v>0.55025345219367205</v>
      </c>
      <c r="Q142" s="25">
        <v>3136</v>
      </c>
      <c r="R142" s="26">
        <v>0.60412251974571396</v>
      </c>
      <c r="S142" s="25">
        <v>3509</v>
      </c>
      <c r="T142" s="26">
        <v>0.55233747835668201</v>
      </c>
      <c r="U142" s="25">
        <v>2698</v>
      </c>
      <c r="V142" s="26">
        <v>1.1461342395921801</v>
      </c>
    </row>
    <row r="143" spans="1:22" x14ac:dyDescent="0.3">
      <c r="A143" s="10" t="s">
        <v>297</v>
      </c>
      <c r="B143" s="10"/>
      <c r="C143" s="25" t="s">
        <v>294</v>
      </c>
      <c r="D143" s="26"/>
      <c r="E143" s="25" t="s">
        <v>294</v>
      </c>
      <c r="F143" s="26"/>
      <c r="G143" s="25">
        <v>215</v>
      </c>
      <c r="H143" s="26">
        <v>3.9925719591457798E-2</v>
      </c>
      <c r="I143" s="25">
        <v>132</v>
      </c>
      <c r="J143" s="26">
        <v>0.154566744730679</v>
      </c>
      <c r="K143" s="25">
        <v>206</v>
      </c>
      <c r="L143" s="26">
        <v>5.1243781094527402E-2</v>
      </c>
      <c r="M143" s="25">
        <v>319</v>
      </c>
      <c r="N143" s="26">
        <v>6.2268202225258598E-2</v>
      </c>
      <c r="O143" s="25" t="s">
        <v>294</v>
      </c>
      <c r="P143" s="26"/>
      <c r="Q143" s="25" t="s">
        <v>294</v>
      </c>
      <c r="R143" s="26"/>
      <c r="S143" s="25" t="s">
        <v>294</v>
      </c>
      <c r="T143" s="26"/>
      <c r="U143" s="25" t="s">
        <v>294</v>
      </c>
      <c r="V143" s="26"/>
    </row>
    <row r="144" spans="1:22" x14ac:dyDescent="0.3">
      <c r="A144" s="10" t="s">
        <v>295</v>
      </c>
      <c r="B144" s="10"/>
      <c r="C144" s="25" t="s">
        <v>294</v>
      </c>
      <c r="D144" s="26"/>
      <c r="E144" s="25" t="s">
        <v>294</v>
      </c>
      <c r="F144" s="26"/>
      <c r="G144" s="25">
        <v>620</v>
      </c>
      <c r="H144" s="26">
        <v>0.11513463324048299</v>
      </c>
      <c r="I144" s="25">
        <v>615</v>
      </c>
      <c r="J144" s="26">
        <v>0.72014051522248301</v>
      </c>
      <c r="K144" s="25">
        <v>813</v>
      </c>
      <c r="L144" s="26">
        <v>0.20223880597014901</v>
      </c>
      <c r="M144" s="25">
        <v>1035</v>
      </c>
      <c r="N144" s="26">
        <v>0.202030060511419</v>
      </c>
      <c r="O144" s="25" t="s">
        <v>294</v>
      </c>
      <c r="P144" s="26"/>
      <c r="Q144" s="25" t="s">
        <v>294</v>
      </c>
      <c r="R144" s="26"/>
      <c r="S144" s="25" t="s">
        <v>294</v>
      </c>
      <c r="T144" s="26"/>
      <c r="U144" s="25" t="s">
        <v>294</v>
      </c>
      <c r="V144" s="26"/>
    </row>
    <row r="145" spans="1:22" x14ac:dyDescent="0.3">
      <c r="A145" s="10" t="s">
        <v>296</v>
      </c>
      <c r="B145" s="10"/>
      <c r="C145" s="25" t="s">
        <v>294</v>
      </c>
      <c r="D145" s="26"/>
      <c r="E145" s="25" t="s">
        <v>294</v>
      </c>
      <c r="F145" s="26"/>
      <c r="G145" s="25">
        <v>1245</v>
      </c>
      <c r="H145" s="26">
        <v>0.23119777158774399</v>
      </c>
      <c r="I145" s="25">
        <v>1009</v>
      </c>
      <c r="J145" s="26">
        <v>1.1814988290398101</v>
      </c>
      <c r="K145" s="25">
        <v>982</v>
      </c>
      <c r="L145" s="26">
        <v>0.24427860696517401</v>
      </c>
      <c r="M145" s="25">
        <v>1401</v>
      </c>
      <c r="N145" s="26">
        <v>0.27347257466328301</v>
      </c>
      <c r="O145" s="25" t="s">
        <v>294</v>
      </c>
      <c r="P145" s="26"/>
      <c r="Q145" s="25" t="s">
        <v>294</v>
      </c>
      <c r="R145" s="26"/>
      <c r="S145" s="25" t="s">
        <v>294</v>
      </c>
      <c r="T145" s="26"/>
      <c r="U145" s="25" t="s">
        <v>294</v>
      </c>
      <c r="V145" s="26"/>
    </row>
    <row r="146" spans="1:22" x14ac:dyDescent="0.3">
      <c r="A146" s="10" t="s">
        <v>300</v>
      </c>
      <c r="B146" s="10"/>
      <c r="C146" s="25" t="s">
        <v>294</v>
      </c>
      <c r="D146" s="26"/>
      <c r="E146" s="25">
        <v>401</v>
      </c>
      <c r="F146" s="26">
        <v>6.3259189146553096E-2</v>
      </c>
      <c r="G146" s="25">
        <v>503</v>
      </c>
      <c r="H146" s="26">
        <v>9.3407613741875603E-2</v>
      </c>
      <c r="I146" s="25">
        <v>629</v>
      </c>
      <c r="J146" s="26">
        <v>0.73653395784543296</v>
      </c>
      <c r="K146" s="25">
        <v>613</v>
      </c>
      <c r="L146" s="26">
        <v>0.15248756218905499</v>
      </c>
      <c r="M146" s="25">
        <v>471</v>
      </c>
      <c r="N146" s="26">
        <v>9.1938317392152996E-2</v>
      </c>
      <c r="O146" s="25">
        <v>403</v>
      </c>
      <c r="P146" s="26">
        <v>7.0442230379304305E-2</v>
      </c>
      <c r="Q146" s="25">
        <v>27</v>
      </c>
      <c r="R146" s="26">
        <v>5.2013099595453697E-3</v>
      </c>
      <c r="S146" s="25">
        <v>-258</v>
      </c>
      <c r="T146" s="26">
        <v>-4.06107350857862E-2</v>
      </c>
      <c r="U146" s="25">
        <v>613</v>
      </c>
      <c r="V146" s="26">
        <v>0.26040781648258299</v>
      </c>
    </row>
    <row r="147" spans="1:22" x14ac:dyDescent="0.3">
      <c r="A147" s="10" t="s">
        <v>299</v>
      </c>
      <c r="B147" s="10"/>
      <c r="C147" s="25" t="s">
        <v>294</v>
      </c>
      <c r="D147" s="26"/>
      <c r="E147" s="25">
        <v>1939</v>
      </c>
      <c r="F147" s="26">
        <v>0.30588420886575202</v>
      </c>
      <c r="G147" s="25">
        <v>1175</v>
      </c>
      <c r="H147" s="26">
        <v>0.218198700092851</v>
      </c>
      <c r="I147" s="25">
        <v>300</v>
      </c>
      <c r="J147" s="26">
        <v>0.35128805620608899</v>
      </c>
      <c r="K147" s="25">
        <v>914</v>
      </c>
      <c r="L147" s="26">
        <v>0.22736318407960199</v>
      </c>
      <c r="M147" s="25">
        <v>1016</v>
      </c>
      <c r="N147" s="26">
        <v>0.19832129611555699</v>
      </c>
      <c r="O147" s="25">
        <v>780</v>
      </c>
      <c r="P147" s="26">
        <v>0.13633980073413701</v>
      </c>
      <c r="Q147" s="25">
        <v>1277</v>
      </c>
      <c r="R147" s="26">
        <v>0.24600269697553501</v>
      </c>
      <c r="S147" s="25">
        <v>905</v>
      </c>
      <c r="T147" s="26">
        <v>0.14245238470014199</v>
      </c>
      <c r="U147" s="25">
        <v>276</v>
      </c>
      <c r="V147" s="26">
        <v>0.117247238742566</v>
      </c>
    </row>
    <row r="148" spans="1:22" x14ac:dyDescent="0.3">
      <c r="A148" s="10" t="s">
        <v>301</v>
      </c>
      <c r="B148" s="10"/>
      <c r="C148" s="25">
        <v>349</v>
      </c>
      <c r="D148" s="26">
        <v>0.102858826996758</v>
      </c>
      <c r="E148" s="25">
        <v>330</v>
      </c>
      <c r="F148" s="26">
        <v>5.2058684335068599E-2</v>
      </c>
      <c r="G148" s="25">
        <v>288</v>
      </c>
      <c r="H148" s="26">
        <v>5.3481894150417798E-2</v>
      </c>
      <c r="I148" s="25">
        <v>311</v>
      </c>
      <c r="J148" s="26">
        <v>0.36416861826697899</v>
      </c>
      <c r="K148" s="25">
        <v>301</v>
      </c>
      <c r="L148" s="26">
        <v>7.4875621890547306E-2</v>
      </c>
      <c r="M148" s="25">
        <v>294</v>
      </c>
      <c r="N148" s="26">
        <v>5.73882490728089E-2</v>
      </c>
      <c r="O148" s="25">
        <v>272</v>
      </c>
      <c r="P148" s="26">
        <v>4.75441356406223E-2</v>
      </c>
      <c r="Q148" s="25">
        <v>280</v>
      </c>
      <c r="R148" s="26">
        <v>5.3939510691581601E-2</v>
      </c>
      <c r="S148" s="25">
        <v>58</v>
      </c>
      <c r="T148" s="26">
        <v>9.1295450968046608E-3</v>
      </c>
      <c r="U148" s="25">
        <v>115</v>
      </c>
      <c r="V148" s="26">
        <v>4.8853016142735801E-2</v>
      </c>
    </row>
    <row r="149" spans="1:22" x14ac:dyDescent="0.3">
      <c r="A149" s="10" t="s">
        <v>302</v>
      </c>
      <c r="B149" s="10"/>
      <c r="C149" s="25">
        <v>-1289</v>
      </c>
      <c r="D149" s="26">
        <v>-0.379899793692897</v>
      </c>
      <c r="E149" s="25">
        <v>-934</v>
      </c>
      <c r="F149" s="26">
        <v>-0.14734185202713401</v>
      </c>
      <c r="G149" s="25">
        <v>-474</v>
      </c>
      <c r="H149" s="26">
        <v>-8.8022284122562702E-2</v>
      </c>
      <c r="I149" s="25">
        <v>-3562</v>
      </c>
      <c r="J149" s="26">
        <v>-4.1709601873536304</v>
      </c>
      <c r="K149" s="25">
        <v>-1107</v>
      </c>
      <c r="L149" s="26">
        <v>-0.27537313432835803</v>
      </c>
      <c r="M149" s="25">
        <v>-960</v>
      </c>
      <c r="N149" s="26">
        <v>-0.18739020105407</v>
      </c>
      <c r="O149" s="25">
        <v>-637</v>
      </c>
      <c r="P149" s="26">
        <v>-0.111344170599546</v>
      </c>
      <c r="Q149" s="25">
        <v>-1213</v>
      </c>
      <c r="R149" s="26">
        <v>-0.233673665960316</v>
      </c>
      <c r="S149" s="25">
        <v>542</v>
      </c>
      <c r="T149" s="26">
        <v>8.5314024870140101E-2</v>
      </c>
      <c r="U149" s="25">
        <v>-598</v>
      </c>
      <c r="V149" s="26">
        <v>-0.25403568394222598</v>
      </c>
    </row>
    <row r="150" spans="1:22" x14ac:dyDescent="0.3">
      <c r="A150" s="10" t="s">
        <v>298</v>
      </c>
      <c r="B150" s="10"/>
      <c r="C150" s="25">
        <v>579</v>
      </c>
      <c r="D150" s="26">
        <v>0.17064544650751501</v>
      </c>
      <c r="E150" s="25">
        <v>1200</v>
      </c>
      <c r="F150" s="26">
        <v>0.18930430667297701</v>
      </c>
      <c r="G150" s="25">
        <v>1813</v>
      </c>
      <c r="H150" s="26">
        <v>0.33667595171773401</v>
      </c>
      <c r="I150" s="25">
        <v>1420</v>
      </c>
      <c r="J150" s="26">
        <v>1.66276346604215</v>
      </c>
      <c r="K150" s="25">
        <v>1298</v>
      </c>
      <c r="L150" s="26">
        <v>0.32288557213930302</v>
      </c>
      <c r="M150" s="25">
        <v>1547</v>
      </c>
      <c r="N150" s="26">
        <v>0.30197150107359</v>
      </c>
      <c r="O150" s="25">
        <v>1755</v>
      </c>
      <c r="P150" s="26">
        <v>0.30676455165180899</v>
      </c>
      <c r="Q150" s="25">
        <v>1684</v>
      </c>
      <c r="R150" s="26">
        <v>0.32440762858794098</v>
      </c>
      <c r="S150" s="25">
        <v>1597</v>
      </c>
      <c r="T150" s="26">
        <v>0.25137730206201803</v>
      </c>
      <c r="U150" s="25">
        <v>-750</v>
      </c>
      <c r="V150" s="26">
        <v>-0.31860662701784198</v>
      </c>
    </row>
    <row r="151" spans="1:22" x14ac:dyDescent="0.3">
      <c r="A151" s="10" t="s">
        <v>304</v>
      </c>
      <c r="B151" s="10"/>
      <c r="C151" s="25" t="s">
        <v>294</v>
      </c>
      <c r="D151" s="26"/>
      <c r="E151" s="25">
        <v>973</v>
      </c>
      <c r="F151" s="26">
        <v>0.15349424199400499</v>
      </c>
      <c r="G151" s="25" t="s">
        <v>294</v>
      </c>
      <c r="H151" s="26"/>
      <c r="I151" s="25" t="s">
        <v>294</v>
      </c>
      <c r="J151" s="26"/>
      <c r="K151" s="25" t="s">
        <v>294</v>
      </c>
      <c r="L151" s="26"/>
      <c r="M151" s="25" t="s">
        <v>294</v>
      </c>
      <c r="N151" s="26"/>
      <c r="O151" s="25" t="s">
        <v>294</v>
      </c>
      <c r="P151" s="26"/>
      <c r="Q151" s="25" t="s">
        <v>294</v>
      </c>
      <c r="R151" s="26"/>
      <c r="S151" s="25" t="s">
        <v>294</v>
      </c>
      <c r="T151" s="26"/>
      <c r="U151" s="25" t="s">
        <v>294</v>
      </c>
      <c r="V151" s="26"/>
    </row>
    <row r="152" spans="1:22" x14ac:dyDescent="0.3">
      <c r="A152" s="10" t="s">
        <v>306</v>
      </c>
      <c r="B152" s="10"/>
      <c r="C152" s="25">
        <v>3754</v>
      </c>
      <c r="D152" s="26">
        <v>1.10639552018862</v>
      </c>
      <c r="E152" s="25" t="s">
        <v>294</v>
      </c>
      <c r="F152" s="26"/>
      <c r="G152" s="25" t="s">
        <v>294</v>
      </c>
      <c r="H152" s="26"/>
      <c r="I152" s="25" t="s">
        <v>294</v>
      </c>
      <c r="J152" s="26"/>
      <c r="K152" s="25" t="s">
        <v>294</v>
      </c>
      <c r="L152" s="26"/>
      <c r="M152" s="25" t="s">
        <v>294</v>
      </c>
      <c r="N152" s="26"/>
      <c r="O152" s="25" t="s">
        <v>294</v>
      </c>
      <c r="P152" s="26"/>
      <c r="Q152" s="25" t="s">
        <v>294</v>
      </c>
      <c r="R152" s="26"/>
      <c r="S152" s="25" t="s">
        <v>294</v>
      </c>
      <c r="T152" s="26"/>
      <c r="U152" s="25" t="s">
        <v>294</v>
      </c>
      <c r="V152" s="26"/>
    </row>
    <row r="153" spans="1:22" x14ac:dyDescent="0.3">
      <c r="A153" s="10" t="s">
        <v>307</v>
      </c>
      <c r="B153" s="10"/>
      <c r="C153" s="25">
        <v>666</v>
      </c>
      <c r="D153" s="26">
        <v>0.196286472148541</v>
      </c>
      <c r="E153" s="25" t="s">
        <v>294</v>
      </c>
      <c r="F153" s="26"/>
      <c r="G153" s="25" t="s">
        <v>294</v>
      </c>
      <c r="H153" s="26"/>
      <c r="I153" s="25" t="s">
        <v>294</v>
      </c>
      <c r="J153" s="26"/>
      <c r="K153" s="25" t="s">
        <v>294</v>
      </c>
      <c r="L153" s="26"/>
      <c r="M153" s="25" t="s">
        <v>294</v>
      </c>
      <c r="N153" s="26"/>
      <c r="O153" s="25" t="s">
        <v>294</v>
      </c>
      <c r="P153" s="26"/>
      <c r="Q153" s="25" t="s">
        <v>294</v>
      </c>
      <c r="R153" s="26"/>
      <c r="S153" s="25" t="s">
        <v>294</v>
      </c>
      <c r="T153" s="26"/>
      <c r="U153" s="25" t="s">
        <v>294</v>
      </c>
      <c r="V153" s="26"/>
    </row>
    <row r="154" spans="1:22" x14ac:dyDescent="0.3">
      <c r="A154" s="10" t="s">
        <v>308</v>
      </c>
      <c r="B154" s="10"/>
      <c r="C154" s="25">
        <v>1192</v>
      </c>
      <c r="D154" s="26">
        <v>0.35131152372531699</v>
      </c>
      <c r="E154" s="25" t="s">
        <v>294</v>
      </c>
      <c r="F154" s="26"/>
      <c r="G154" s="25" t="s">
        <v>294</v>
      </c>
      <c r="H154" s="26"/>
      <c r="I154" s="25" t="s">
        <v>294</v>
      </c>
      <c r="J154" s="26"/>
      <c r="K154" s="25" t="s">
        <v>294</v>
      </c>
      <c r="L154" s="26"/>
      <c r="M154" s="25" t="s">
        <v>294</v>
      </c>
      <c r="N154" s="26"/>
      <c r="O154" s="25" t="s">
        <v>294</v>
      </c>
      <c r="P154" s="26"/>
      <c r="Q154" s="25" t="s">
        <v>294</v>
      </c>
      <c r="R154" s="26"/>
      <c r="S154" s="25" t="s">
        <v>294</v>
      </c>
      <c r="T154" s="26"/>
      <c r="U154" s="25" t="s">
        <v>294</v>
      </c>
      <c r="V154" s="26"/>
    </row>
    <row r="155" spans="1:22" x14ac:dyDescent="0.3">
      <c r="A155" s="10" t="s">
        <v>309</v>
      </c>
      <c r="B155" s="10"/>
      <c r="C155" s="25">
        <v>397</v>
      </c>
      <c r="D155" s="26">
        <v>0.11700559976421999</v>
      </c>
      <c r="E155" s="25" t="s">
        <v>294</v>
      </c>
      <c r="F155" s="26"/>
      <c r="G155" s="25" t="s">
        <v>294</v>
      </c>
      <c r="H155" s="26"/>
      <c r="I155" s="25" t="s">
        <v>294</v>
      </c>
      <c r="J155" s="26"/>
      <c r="K155" s="25" t="s">
        <v>294</v>
      </c>
      <c r="L155" s="26"/>
      <c r="M155" s="25" t="s">
        <v>294</v>
      </c>
      <c r="N155" s="26"/>
      <c r="O155" s="25" t="s">
        <v>294</v>
      </c>
      <c r="P155" s="26"/>
      <c r="Q155" s="25" t="s">
        <v>294</v>
      </c>
      <c r="R155" s="26"/>
      <c r="S155" s="25" t="s">
        <v>294</v>
      </c>
      <c r="T155" s="26"/>
      <c r="U155" s="25" t="s">
        <v>294</v>
      </c>
      <c r="V155" s="26"/>
    </row>
    <row r="156" spans="1:22" x14ac:dyDescent="0.3">
      <c r="A156" s="10" t="s">
        <v>310</v>
      </c>
      <c r="B156" s="10"/>
      <c r="C156" s="25">
        <v>1499</v>
      </c>
      <c r="D156" s="26">
        <v>0.441791924550545</v>
      </c>
      <c r="E156" s="25" t="s">
        <v>294</v>
      </c>
      <c r="F156" s="26"/>
      <c r="G156" s="25" t="s">
        <v>294</v>
      </c>
      <c r="H156" s="26"/>
      <c r="I156" s="25" t="s">
        <v>294</v>
      </c>
      <c r="J156" s="26"/>
      <c r="K156" s="25" t="s">
        <v>294</v>
      </c>
      <c r="L156" s="26"/>
      <c r="M156" s="25" t="s">
        <v>294</v>
      </c>
      <c r="N156" s="26"/>
      <c r="O156" s="25" t="s">
        <v>294</v>
      </c>
      <c r="P156" s="26"/>
      <c r="Q156" s="25" t="s">
        <v>294</v>
      </c>
      <c r="R156" s="26"/>
      <c r="S156" s="25" t="s">
        <v>294</v>
      </c>
      <c r="T156" s="26"/>
      <c r="U156" s="25" t="s">
        <v>294</v>
      </c>
      <c r="V156" s="26"/>
    </row>
    <row r="157" spans="1:22" x14ac:dyDescent="0.3">
      <c r="A157" s="6" t="s">
        <v>147</v>
      </c>
      <c r="B157" s="6"/>
      <c r="C157" s="29">
        <v>3368</v>
      </c>
      <c r="D157" s="30">
        <v>1</v>
      </c>
      <c r="E157" s="29">
        <v>6309</v>
      </c>
      <c r="F157" s="30">
        <v>1</v>
      </c>
      <c r="G157" s="29">
        <v>5373</v>
      </c>
      <c r="H157" s="30">
        <v>1</v>
      </c>
      <c r="I157" s="29">
        <v>854</v>
      </c>
      <c r="J157" s="30">
        <v>1</v>
      </c>
      <c r="K157" s="29">
        <v>4020</v>
      </c>
      <c r="L157" s="30">
        <v>1</v>
      </c>
      <c r="M157" s="29">
        <v>5128</v>
      </c>
      <c r="N157" s="30">
        <v>1</v>
      </c>
      <c r="O157" s="29">
        <v>5899</v>
      </c>
      <c r="P157" s="30">
        <v>1</v>
      </c>
      <c r="Q157" s="29">
        <v>5407</v>
      </c>
      <c r="R157" s="30">
        <v>1</v>
      </c>
      <c r="S157" s="29">
        <v>8149</v>
      </c>
      <c r="T157" s="30">
        <v>1</v>
      </c>
      <c r="U157" s="29">
        <v>5730</v>
      </c>
      <c r="V157" s="30">
        <v>1</v>
      </c>
    </row>
    <row r="158" spans="1:22" x14ac:dyDescent="0.3">
      <c r="A158" s="10" t="s">
        <v>293</v>
      </c>
      <c r="B158" s="10"/>
      <c r="C158" s="25" t="s">
        <v>294</v>
      </c>
      <c r="D158" s="26"/>
      <c r="E158" s="25" t="s">
        <v>294</v>
      </c>
      <c r="F158" s="26"/>
      <c r="G158" s="25">
        <v>2080</v>
      </c>
      <c r="H158" s="26">
        <v>0.38625812441968399</v>
      </c>
      <c r="I158" s="25">
        <v>1756</v>
      </c>
      <c r="J158" s="26">
        <v>2.0562060889929699</v>
      </c>
      <c r="K158" s="25">
        <v>2001</v>
      </c>
      <c r="L158" s="26">
        <v>0.49776119402985097</v>
      </c>
      <c r="M158" s="25">
        <v>2755</v>
      </c>
      <c r="N158" s="26">
        <v>0.537246489859594</v>
      </c>
      <c r="O158" s="25">
        <v>2838</v>
      </c>
      <c r="P158" s="26">
        <v>0.49211028264262202</v>
      </c>
      <c r="Q158" s="25">
        <v>3224</v>
      </c>
      <c r="R158" s="26">
        <v>0.57335941668148704</v>
      </c>
      <c r="S158" s="25">
        <v>3221</v>
      </c>
      <c r="T158" s="26">
        <v>0.39526322248128598</v>
      </c>
      <c r="U158" s="25">
        <v>2996</v>
      </c>
      <c r="V158" s="26">
        <v>0.52286212914485197</v>
      </c>
    </row>
    <row r="159" spans="1:22" x14ac:dyDescent="0.3">
      <c r="A159" s="10" t="s">
        <v>296</v>
      </c>
      <c r="B159" s="10"/>
      <c r="C159" s="25" t="s">
        <v>294</v>
      </c>
      <c r="D159" s="26"/>
      <c r="E159" s="25" t="s">
        <v>294</v>
      </c>
      <c r="F159" s="26"/>
      <c r="G159" s="25">
        <v>1245</v>
      </c>
      <c r="H159" s="26">
        <v>0.23119777158774399</v>
      </c>
      <c r="I159" s="25">
        <v>1009</v>
      </c>
      <c r="J159" s="26">
        <v>1.1814988290398101</v>
      </c>
      <c r="K159" s="25">
        <v>982</v>
      </c>
      <c r="L159" s="26">
        <v>0.24427860696517401</v>
      </c>
      <c r="M159" s="25">
        <v>1401</v>
      </c>
      <c r="N159" s="26">
        <v>0.27320592823712903</v>
      </c>
      <c r="O159" s="25">
        <v>1241</v>
      </c>
      <c r="P159" s="26">
        <v>0.215189873417722</v>
      </c>
      <c r="Q159" s="25">
        <v>1567</v>
      </c>
      <c r="R159" s="26">
        <v>0.27867686288458099</v>
      </c>
      <c r="S159" s="25">
        <v>2749</v>
      </c>
      <c r="T159" s="26">
        <v>0.33734200515400697</v>
      </c>
      <c r="U159" s="25">
        <v>1685</v>
      </c>
      <c r="V159" s="26">
        <v>0.29406631762652702</v>
      </c>
    </row>
    <row r="160" spans="1:22" x14ac:dyDescent="0.3">
      <c r="A160" s="10" t="s">
        <v>295</v>
      </c>
      <c r="B160" s="10"/>
      <c r="C160" s="25" t="s">
        <v>294</v>
      </c>
      <c r="D160" s="26"/>
      <c r="E160" s="25" t="s">
        <v>294</v>
      </c>
      <c r="F160" s="26"/>
      <c r="G160" s="25">
        <v>620</v>
      </c>
      <c r="H160" s="26">
        <v>0.11513463324048299</v>
      </c>
      <c r="I160" s="25">
        <v>615</v>
      </c>
      <c r="J160" s="26">
        <v>0.72014051522248301</v>
      </c>
      <c r="K160" s="25">
        <v>813</v>
      </c>
      <c r="L160" s="26">
        <v>0.20223880597014901</v>
      </c>
      <c r="M160" s="25">
        <v>1035</v>
      </c>
      <c r="N160" s="26">
        <v>0.20183307332293299</v>
      </c>
      <c r="O160" s="25">
        <v>1348</v>
      </c>
      <c r="P160" s="26">
        <v>0.23374371423617099</v>
      </c>
      <c r="Q160" s="25">
        <v>1335</v>
      </c>
      <c r="R160" s="26">
        <v>0.237417748532812</v>
      </c>
      <c r="S160" s="25">
        <v>472</v>
      </c>
      <c r="T160" s="26">
        <v>5.7921217327279402E-2</v>
      </c>
      <c r="U160" s="25">
        <v>1311</v>
      </c>
      <c r="V160" s="26">
        <v>0.22879581151832501</v>
      </c>
    </row>
    <row r="161" spans="1:22" x14ac:dyDescent="0.3">
      <c r="A161" s="10" t="s">
        <v>297</v>
      </c>
      <c r="B161" s="10"/>
      <c r="C161" s="25" t="s">
        <v>294</v>
      </c>
      <c r="D161" s="26"/>
      <c r="E161" s="25" t="s">
        <v>294</v>
      </c>
      <c r="F161" s="26"/>
      <c r="G161" s="25">
        <v>215</v>
      </c>
      <c r="H161" s="26">
        <v>3.9925719591457798E-2</v>
      </c>
      <c r="I161" s="25">
        <v>132</v>
      </c>
      <c r="J161" s="26">
        <v>0.154566744730679</v>
      </c>
      <c r="K161" s="25">
        <v>206</v>
      </c>
      <c r="L161" s="26">
        <v>5.1243781094527402E-2</v>
      </c>
      <c r="M161" s="25">
        <v>319</v>
      </c>
      <c r="N161" s="26">
        <v>6.2207488299532002E-2</v>
      </c>
      <c r="O161" s="25">
        <v>249</v>
      </c>
      <c r="P161" s="26">
        <v>4.3176694988729003E-2</v>
      </c>
      <c r="Q161" s="25">
        <v>322</v>
      </c>
      <c r="R161" s="26">
        <v>5.7264805264093901E-2</v>
      </c>
      <c r="S161" s="25" t="s">
        <v>294</v>
      </c>
      <c r="T161" s="26"/>
      <c r="U161" s="25" t="s">
        <v>294</v>
      </c>
      <c r="V161" s="26"/>
    </row>
    <row r="162" spans="1:22" x14ac:dyDescent="0.3">
      <c r="A162" s="10" t="s">
        <v>298</v>
      </c>
      <c r="B162" s="10"/>
      <c r="C162" s="25">
        <v>597</v>
      </c>
      <c r="D162" s="26">
        <v>0.18069007263922501</v>
      </c>
      <c r="E162" s="25">
        <v>1181</v>
      </c>
      <c r="F162" s="26">
        <v>0.187192899033127</v>
      </c>
      <c r="G162" s="25">
        <v>1813</v>
      </c>
      <c r="H162" s="26">
        <v>0.33667595171773401</v>
      </c>
      <c r="I162" s="25">
        <v>1420</v>
      </c>
      <c r="J162" s="26">
        <v>1.66276346604215</v>
      </c>
      <c r="K162" s="25">
        <v>1298</v>
      </c>
      <c r="L162" s="26">
        <v>0.32288557213930302</v>
      </c>
      <c r="M162" s="25">
        <v>1547</v>
      </c>
      <c r="N162" s="26">
        <v>0.30167706708268299</v>
      </c>
      <c r="O162" s="25">
        <v>1405</v>
      </c>
      <c r="P162" s="26">
        <v>0.24362753598057901</v>
      </c>
      <c r="Q162" s="25">
        <v>1565</v>
      </c>
      <c r="R162" s="26">
        <v>0.27832118086430702</v>
      </c>
      <c r="S162" s="25">
        <v>2298</v>
      </c>
      <c r="T162" s="26">
        <v>0.281997791140017</v>
      </c>
      <c r="U162" s="25">
        <v>1378</v>
      </c>
      <c r="V162" s="26">
        <v>0.240488656195462</v>
      </c>
    </row>
    <row r="163" spans="1:22" x14ac:dyDescent="0.3">
      <c r="A163" s="10" t="s">
        <v>299</v>
      </c>
      <c r="B163" s="10"/>
      <c r="C163" s="25" t="s">
        <v>294</v>
      </c>
      <c r="D163" s="26"/>
      <c r="E163" s="25" t="s">
        <v>294</v>
      </c>
      <c r="F163" s="26"/>
      <c r="G163" s="25">
        <v>1175</v>
      </c>
      <c r="H163" s="26">
        <v>0.218198700092851</v>
      </c>
      <c r="I163" s="25">
        <v>300</v>
      </c>
      <c r="J163" s="26">
        <v>0.35128805620608899</v>
      </c>
      <c r="K163" s="25">
        <v>914</v>
      </c>
      <c r="L163" s="26">
        <v>0.22736318407960199</v>
      </c>
      <c r="M163" s="25">
        <v>1016</v>
      </c>
      <c r="N163" s="26">
        <v>0.198127925117005</v>
      </c>
      <c r="O163" s="25">
        <v>1034</v>
      </c>
      <c r="P163" s="26">
        <v>0.17929599445118799</v>
      </c>
      <c r="Q163" s="25">
        <v>976</v>
      </c>
      <c r="R163" s="26">
        <v>0.173572825893651</v>
      </c>
      <c r="S163" s="25">
        <v>2242</v>
      </c>
      <c r="T163" s="26">
        <v>0.27512578230457702</v>
      </c>
      <c r="U163" s="25">
        <v>1008</v>
      </c>
      <c r="V163" s="26">
        <v>0.17591623036649201</v>
      </c>
    </row>
    <row r="164" spans="1:22" x14ac:dyDescent="0.3">
      <c r="A164" s="10" t="s">
        <v>300</v>
      </c>
      <c r="B164" s="10"/>
      <c r="C164" s="25" t="s">
        <v>294</v>
      </c>
      <c r="D164" s="26"/>
      <c r="E164" s="25" t="s">
        <v>294</v>
      </c>
      <c r="F164" s="26"/>
      <c r="G164" s="25">
        <v>503</v>
      </c>
      <c r="H164" s="26">
        <v>9.3407613741875603E-2</v>
      </c>
      <c r="I164" s="25">
        <v>629</v>
      </c>
      <c r="J164" s="26">
        <v>0.73653395784543296</v>
      </c>
      <c r="K164" s="25">
        <v>613</v>
      </c>
      <c r="L164" s="26">
        <v>0.15248756218905499</v>
      </c>
      <c r="M164" s="25">
        <v>477</v>
      </c>
      <c r="N164" s="26">
        <v>9.3018720748829997E-2</v>
      </c>
      <c r="O164" s="25">
        <v>609</v>
      </c>
      <c r="P164" s="26">
        <v>0.105600832321831</v>
      </c>
      <c r="Q164" s="25">
        <v>280</v>
      </c>
      <c r="R164" s="26">
        <v>4.9795482838342502E-2</v>
      </c>
      <c r="S164" s="25">
        <v>291</v>
      </c>
      <c r="T164" s="26">
        <v>3.5709903055589597E-2</v>
      </c>
      <c r="U164" s="25">
        <v>761</v>
      </c>
      <c r="V164" s="26">
        <v>0.13280977312390899</v>
      </c>
    </row>
    <row r="165" spans="1:22" x14ac:dyDescent="0.3">
      <c r="A165" s="10" t="s">
        <v>301</v>
      </c>
      <c r="B165" s="10"/>
      <c r="C165" s="25">
        <v>301</v>
      </c>
      <c r="D165" s="26">
        <v>9.1101694915254203E-2</v>
      </c>
      <c r="E165" s="25">
        <v>329</v>
      </c>
      <c r="F165" s="26">
        <v>5.2147725471548598E-2</v>
      </c>
      <c r="G165" s="25">
        <v>288</v>
      </c>
      <c r="H165" s="26">
        <v>5.3481894150417798E-2</v>
      </c>
      <c r="I165" s="25">
        <v>311</v>
      </c>
      <c r="J165" s="26">
        <v>0.36416861826697899</v>
      </c>
      <c r="K165" s="25">
        <v>301</v>
      </c>
      <c r="L165" s="26">
        <v>7.4875621890547306E-2</v>
      </c>
      <c r="M165" s="25">
        <v>296</v>
      </c>
      <c r="N165" s="26">
        <v>5.7722308892355703E-2</v>
      </c>
      <c r="O165" s="25">
        <v>282</v>
      </c>
      <c r="P165" s="26">
        <v>4.8898907577596698E-2</v>
      </c>
      <c r="Q165" s="25">
        <v>327</v>
      </c>
      <c r="R165" s="26">
        <v>5.8154010314778598E-2</v>
      </c>
      <c r="S165" s="25">
        <v>301</v>
      </c>
      <c r="T165" s="26">
        <v>3.6937047490489601E-2</v>
      </c>
      <c r="U165" s="25">
        <v>246</v>
      </c>
      <c r="V165" s="26">
        <v>4.2931937172774902E-2</v>
      </c>
    </row>
    <row r="166" spans="1:22" x14ac:dyDescent="0.3">
      <c r="A166" s="10" t="s">
        <v>302</v>
      </c>
      <c r="B166" s="10"/>
      <c r="C166" s="25">
        <v>-1160</v>
      </c>
      <c r="D166" s="26">
        <v>-0.35108958837772403</v>
      </c>
      <c r="E166" s="25">
        <v>-677</v>
      </c>
      <c r="F166" s="26">
        <v>-0.10730702171501</v>
      </c>
      <c r="G166" s="25">
        <v>-474</v>
      </c>
      <c r="H166" s="26">
        <v>-8.8022284122562702E-2</v>
      </c>
      <c r="I166" s="25">
        <v>-3562</v>
      </c>
      <c r="J166" s="26">
        <v>-4.1709601873536304</v>
      </c>
      <c r="K166" s="25">
        <v>-1107</v>
      </c>
      <c r="L166" s="26">
        <v>-0.27537313432835803</v>
      </c>
      <c r="M166" s="25">
        <v>-963</v>
      </c>
      <c r="N166" s="26">
        <v>-0.18779251170046801</v>
      </c>
      <c r="O166" s="25">
        <v>-401</v>
      </c>
      <c r="P166" s="26">
        <v>-6.9533552973816498E-2</v>
      </c>
      <c r="Q166" s="25">
        <v>-749</v>
      </c>
      <c r="R166" s="26">
        <v>-0.133202916592566</v>
      </c>
      <c r="S166" s="25">
        <v>-204</v>
      </c>
      <c r="T166" s="26">
        <v>-2.50337464719598E-2</v>
      </c>
      <c r="U166" s="25">
        <v>-659</v>
      </c>
      <c r="V166" s="26">
        <v>-0.11500872600349001</v>
      </c>
    </row>
    <row r="167" spans="1:22" x14ac:dyDescent="0.3">
      <c r="A167" s="10" t="s">
        <v>305</v>
      </c>
      <c r="B167" s="10"/>
      <c r="C167" s="25">
        <v>64</v>
      </c>
      <c r="D167" s="26"/>
      <c r="E167" s="25" t="s">
        <v>294</v>
      </c>
      <c r="F167" s="26"/>
      <c r="G167" s="25">
        <v>-12</v>
      </c>
      <c r="H167" s="26"/>
      <c r="I167" s="25" t="s">
        <v>294</v>
      </c>
      <c r="J167" s="26"/>
      <c r="K167" s="25" t="s">
        <v>294</v>
      </c>
      <c r="L167" s="26"/>
      <c r="M167" s="25" t="s">
        <v>294</v>
      </c>
      <c r="N167" s="26"/>
      <c r="O167" s="25">
        <v>132</v>
      </c>
      <c r="P167" s="26"/>
      <c r="Q167" s="25">
        <v>-216</v>
      </c>
      <c r="R167" s="26"/>
      <c r="S167" s="25" t="s">
        <v>294</v>
      </c>
      <c r="T167" s="26"/>
      <c r="U167" s="25" t="s">
        <v>294</v>
      </c>
      <c r="V167" s="26"/>
    </row>
    <row r="168" spans="1:22" x14ac:dyDescent="0.3">
      <c r="A168" s="10" t="s">
        <v>306</v>
      </c>
      <c r="B168" s="10"/>
      <c r="C168" s="25">
        <v>3566</v>
      </c>
      <c r="D168" s="26">
        <v>1.07929782082324</v>
      </c>
      <c r="E168" s="25">
        <v>5476</v>
      </c>
      <c r="F168" s="26">
        <v>0.86796639721033397</v>
      </c>
      <c r="G168" s="25" t="s">
        <v>294</v>
      </c>
      <c r="H168" s="26"/>
      <c r="I168" s="25" t="s">
        <v>294</v>
      </c>
      <c r="J168" s="26"/>
      <c r="K168" s="25" t="s">
        <v>294</v>
      </c>
      <c r="L168" s="26"/>
      <c r="M168" s="25" t="s">
        <v>294</v>
      </c>
      <c r="N168" s="26"/>
      <c r="O168" s="25" t="s">
        <v>294</v>
      </c>
      <c r="P168" s="26"/>
      <c r="Q168" s="25" t="s">
        <v>294</v>
      </c>
      <c r="R168" s="26"/>
      <c r="S168" s="25" t="s">
        <v>294</v>
      </c>
      <c r="T168" s="26"/>
      <c r="U168" s="25" t="s">
        <v>294</v>
      </c>
      <c r="V168" s="26"/>
    </row>
    <row r="169" spans="1:22" x14ac:dyDescent="0.3">
      <c r="A169" s="10" t="s">
        <v>307</v>
      </c>
      <c r="B169" s="10"/>
      <c r="C169" s="25">
        <v>555</v>
      </c>
      <c r="D169" s="26">
        <v>0.167978208232446</v>
      </c>
      <c r="E169" s="25">
        <v>331</v>
      </c>
      <c r="F169" s="26">
        <v>5.2464732921223597E-2</v>
      </c>
      <c r="G169" s="25" t="s">
        <v>294</v>
      </c>
      <c r="H169" s="26"/>
      <c r="I169" s="25" t="s">
        <v>294</v>
      </c>
      <c r="J169" s="26"/>
      <c r="K169" s="25" t="s">
        <v>294</v>
      </c>
      <c r="L169" s="26"/>
      <c r="M169" s="25" t="s">
        <v>294</v>
      </c>
      <c r="N169" s="26"/>
      <c r="O169" s="25" t="s">
        <v>294</v>
      </c>
      <c r="P169" s="26"/>
      <c r="Q169" s="25" t="s">
        <v>294</v>
      </c>
      <c r="R169" s="26"/>
      <c r="S169" s="25" t="s">
        <v>294</v>
      </c>
      <c r="T169" s="26"/>
      <c r="U169" s="25" t="s">
        <v>294</v>
      </c>
      <c r="V169" s="26"/>
    </row>
    <row r="170" spans="1:22" x14ac:dyDescent="0.3">
      <c r="A170" s="10" t="s">
        <v>308</v>
      </c>
      <c r="B170" s="10"/>
      <c r="C170" s="25">
        <v>1129</v>
      </c>
      <c r="D170" s="26">
        <v>0.34170702179176798</v>
      </c>
      <c r="E170" s="25">
        <v>1317</v>
      </c>
      <c r="F170" s="26">
        <v>0.208749405611032</v>
      </c>
      <c r="G170" s="25" t="s">
        <v>294</v>
      </c>
      <c r="H170" s="26"/>
      <c r="I170" s="25" t="s">
        <v>294</v>
      </c>
      <c r="J170" s="26"/>
      <c r="K170" s="25" t="s">
        <v>294</v>
      </c>
      <c r="L170" s="26"/>
      <c r="M170" s="25" t="s">
        <v>294</v>
      </c>
      <c r="N170" s="26"/>
      <c r="O170" s="25" t="s">
        <v>294</v>
      </c>
      <c r="P170" s="26"/>
      <c r="Q170" s="25" t="s">
        <v>294</v>
      </c>
      <c r="R170" s="26"/>
      <c r="S170" s="25" t="s">
        <v>294</v>
      </c>
      <c r="T170" s="26"/>
      <c r="U170" s="25" t="s">
        <v>294</v>
      </c>
      <c r="V170" s="26"/>
    </row>
    <row r="171" spans="1:22" x14ac:dyDescent="0.3">
      <c r="A171" s="10" t="s">
        <v>309</v>
      </c>
      <c r="B171" s="10"/>
      <c r="C171" s="25">
        <v>383</v>
      </c>
      <c r="D171" s="26">
        <v>0.11592009685229999</v>
      </c>
      <c r="E171" s="25">
        <v>1086</v>
      </c>
      <c r="F171" s="26">
        <v>0.17213504517356201</v>
      </c>
      <c r="G171" s="25" t="s">
        <v>294</v>
      </c>
      <c r="H171" s="26"/>
      <c r="I171" s="25" t="s">
        <v>294</v>
      </c>
      <c r="J171" s="26"/>
      <c r="K171" s="25" t="s">
        <v>294</v>
      </c>
      <c r="L171" s="26"/>
      <c r="M171" s="25" t="s">
        <v>294</v>
      </c>
      <c r="N171" s="26"/>
      <c r="O171" s="25" t="s">
        <v>294</v>
      </c>
      <c r="P171" s="26"/>
      <c r="Q171" s="25" t="s">
        <v>294</v>
      </c>
      <c r="R171" s="26"/>
      <c r="S171" s="25" t="s">
        <v>294</v>
      </c>
      <c r="T171" s="26"/>
      <c r="U171" s="25" t="s">
        <v>294</v>
      </c>
      <c r="V171" s="26"/>
    </row>
    <row r="172" spans="1:22" x14ac:dyDescent="0.3">
      <c r="A172" s="10" t="s">
        <v>310</v>
      </c>
      <c r="B172" s="10"/>
      <c r="C172" s="25">
        <v>1499</v>
      </c>
      <c r="D172" s="26">
        <v>0.453692493946731</v>
      </c>
      <c r="E172" s="25">
        <v>2742</v>
      </c>
      <c r="F172" s="26">
        <v>0.43461721350451699</v>
      </c>
      <c r="G172" s="25" t="s">
        <v>294</v>
      </c>
      <c r="H172" s="26"/>
      <c r="I172" s="25" t="s">
        <v>294</v>
      </c>
      <c r="J172" s="26"/>
      <c r="K172" s="25" t="s">
        <v>294</v>
      </c>
      <c r="L172" s="26"/>
      <c r="M172" s="25" t="s">
        <v>294</v>
      </c>
      <c r="N172" s="26"/>
      <c r="O172" s="25" t="s">
        <v>294</v>
      </c>
      <c r="P172" s="26"/>
      <c r="Q172" s="25" t="s">
        <v>294</v>
      </c>
      <c r="R172" s="26"/>
      <c r="S172" s="25" t="s">
        <v>294</v>
      </c>
      <c r="T172" s="26"/>
      <c r="U172" s="25" t="s">
        <v>294</v>
      </c>
      <c r="V172" s="26"/>
    </row>
    <row r="173" spans="1:22" x14ac:dyDescent="0.3">
      <c r="A173" s="6" t="s">
        <v>335</v>
      </c>
      <c r="B173" s="6"/>
      <c r="C173" s="29">
        <v>14311</v>
      </c>
      <c r="D173" s="30">
        <v>1</v>
      </c>
      <c r="E173" s="29">
        <v>14335</v>
      </c>
      <c r="F173" s="30">
        <v>1</v>
      </c>
      <c r="G173" s="29">
        <v>13437</v>
      </c>
      <c r="H173" s="30">
        <v>1</v>
      </c>
      <c r="I173" s="29">
        <v>12940</v>
      </c>
      <c r="J173" s="30">
        <v>1</v>
      </c>
      <c r="K173" s="29">
        <v>12409</v>
      </c>
      <c r="L173" s="30">
        <v>1</v>
      </c>
      <c r="M173" s="29">
        <v>12529</v>
      </c>
      <c r="N173" s="30">
        <v>1</v>
      </c>
      <c r="O173" s="29">
        <v>12778</v>
      </c>
      <c r="P173" s="30">
        <v>1</v>
      </c>
      <c r="Q173" s="29">
        <v>11872</v>
      </c>
      <c r="R173" s="30">
        <v>1</v>
      </c>
      <c r="S173" s="29">
        <v>11299</v>
      </c>
      <c r="T173" s="30">
        <v>1</v>
      </c>
      <c r="U173" s="29">
        <v>11501</v>
      </c>
      <c r="V173" s="30">
        <v>1</v>
      </c>
    </row>
    <row r="174" spans="1:22" x14ac:dyDescent="0.3">
      <c r="A174" s="10" t="s">
        <v>293</v>
      </c>
      <c r="B174" s="10"/>
      <c r="C174" s="25" t="s">
        <v>294</v>
      </c>
      <c r="D174" s="26"/>
      <c r="E174" s="25" t="s">
        <v>294</v>
      </c>
      <c r="F174" s="26"/>
      <c r="G174" s="25">
        <v>3685</v>
      </c>
      <c r="H174" s="26">
        <v>0.27424276252139601</v>
      </c>
      <c r="I174" s="25">
        <v>3706</v>
      </c>
      <c r="J174" s="26">
        <v>0.28639876352395699</v>
      </c>
      <c r="K174" s="25">
        <v>3682</v>
      </c>
      <c r="L174" s="26">
        <v>0.29672012249174001</v>
      </c>
      <c r="M174" s="25">
        <v>3902</v>
      </c>
      <c r="N174" s="26">
        <v>0.311437465081012</v>
      </c>
      <c r="O174" s="25">
        <v>4075</v>
      </c>
      <c r="P174" s="26">
        <v>0.31890749726091699</v>
      </c>
      <c r="Q174" s="25">
        <v>4162</v>
      </c>
      <c r="R174" s="26">
        <v>0.35057277628032302</v>
      </c>
      <c r="S174" s="25">
        <v>3632</v>
      </c>
      <c r="T174" s="26">
        <v>0.32144437560846101</v>
      </c>
      <c r="U174" s="25">
        <v>3962</v>
      </c>
      <c r="V174" s="26">
        <v>0.34449178332318903</v>
      </c>
    </row>
    <row r="175" spans="1:22" x14ac:dyDescent="0.3">
      <c r="A175" s="10" t="s">
        <v>295</v>
      </c>
      <c r="B175" s="10"/>
      <c r="C175" s="25" t="s">
        <v>294</v>
      </c>
      <c r="D175" s="26"/>
      <c r="E175" s="25" t="s">
        <v>294</v>
      </c>
      <c r="F175" s="26"/>
      <c r="G175" s="25">
        <v>2291</v>
      </c>
      <c r="H175" s="26">
        <v>0.170499367418323</v>
      </c>
      <c r="I175" s="25">
        <v>2360</v>
      </c>
      <c r="J175" s="26">
        <v>0.18238021638330801</v>
      </c>
      <c r="K175" s="25">
        <v>2313</v>
      </c>
      <c r="L175" s="26">
        <v>0.186396969941172</v>
      </c>
      <c r="M175" s="25">
        <v>2531</v>
      </c>
      <c r="N175" s="26">
        <v>0.20201133370580299</v>
      </c>
      <c r="O175" s="25">
        <v>2634</v>
      </c>
      <c r="P175" s="26">
        <v>0.206135545468774</v>
      </c>
      <c r="Q175" s="25">
        <v>2791</v>
      </c>
      <c r="R175" s="26">
        <v>0.23509097035040399</v>
      </c>
      <c r="S175" s="25">
        <v>3176</v>
      </c>
      <c r="T175" s="26">
        <v>0.281086821842641</v>
      </c>
      <c r="U175" s="25">
        <v>3478</v>
      </c>
      <c r="V175" s="26">
        <v>0.30240848621859001</v>
      </c>
    </row>
    <row r="176" spans="1:22" x14ac:dyDescent="0.3">
      <c r="A176" s="10" t="s">
        <v>296</v>
      </c>
      <c r="B176" s="10"/>
      <c r="C176" s="25" t="s">
        <v>294</v>
      </c>
      <c r="D176" s="26"/>
      <c r="E176" s="25" t="s">
        <v>294</v>
      </c>
      <c r="F176" s="26"/>
      <c r="G176" s="25">
        <v>471</v>
      </c>
      <c r="H176" s="26">
        <v>3.5052467068542099E-2</v>
      </c>
      <c r="I176" s="25">
        <v>434</v>
      </c>
      <c r="J176" s="26">
        <v>3.3539412673879401E-2</v>
      </c>
      <c r="K176" s="25">
        <v>458</v>
      </c>
      <c r="L176" s="26">
        <v>3.69086953017971E-2</v>
      </c>
      <c r="M176" s="25">
        <v>432</v>
      </c>
      <c r="N176" s="26">
        <v>3.4480006385186397E-2</v>
      </c>
      <c r="O176" s="25">
        <v>468</v>
      </c>
      <c r="P176" s="26">
        <v>3.6625449992174E-2</v>
      </c>
      <c r="Q176" s="25">
        <v>457</v>
      </c>
      <c r="R176" s="26">
        <v>3.8493935309972999E-2</v>
      </c>
      <c r="S176" s="25">
        <v>456</v>
      </c>
      <c r="T176" s="26">
        <v>4.0357553765820002E-2</v>
      </c>
      <c r="U176" s="25">
        <v>484</v>
      </c>
      <c r="V176" s="26">
        <v>4.2083297104599598E-2</v>
      </c>
    </row>
    <row r="177" spans="1:22" x14ac:dyDescent="0.3">
      <c r="A177" s="10" t="s">
        <v>297</v>
      </c>
      <c r="B177" s="10"/>
      <c r="C177" s="25" t="s">
        <v>294</v>
      </c>
      <c r="D177" s="26"/>
      <c r="E177" s="25" t="s">
        <v>294</v>
      </c>
      <c r="F177" s="26"/>
      <c r="G177" s="25">
        <v>923</v>
      </c>
      <c r="H177" s="26">
        <v>6.8690928034531501E-2</v>
      </c>
      <c r="I177" s="25">
        <v>912</v>
      </c>
      <c r="J177" s="26">
        <v>7.0479134466769705E-2</v>
      </c>
      <c r="K177" s="25">
        <v>911</v>
      </c>
      <c r="L177" s="26">
        <v>7.3414457248771006E-2</v>
      </c>
      <c r="M177" s="25">
        <v>939</v>
      </c>
      <c r="N177" s="26">
        <v>7.4946124990023094E-2</v>
      </c>
      <c r="O177" s="25">
        <v>973</v>
      </c>
      <c r="P177" s="26">
        <v>7.6146501799968694E-2</v>
      </c>
      <c r="Q177" s="25">
        <v>914</v>
      </c>
      <c r="R177" s="26">
        <v>7.6987870619946094E-2</v>
      </c>
      <c r="S177" s="25">
        <v>0</v>
      </c>
      <c r="T177" s="26"/>
      <c r="U177" s="25">
        <v>0</v>
      </c>
      <c r="V177" s="26"/>
    </row>
    <row r="178" spans="1:22" x14ac:dyDescent="0.3">
      <c r="A178" s="10" t="s">
        <v>298</v>
      </c>
      <c r="B178" s="10"/>
      <c r="C178" s="25">
        <v>1830</v>
      </c>
      <c r="D178" s="26">
        <v>0.12787366361540101</v>
      </c>
      <c r="E178" s="25">
        <v>1724</v>
      </c>
      <c r="F178" s="26">
        <v>0.12026508545518</v>
      </c>
      <c r="G178" s="25">
        <v>1619</v>
      </c>
      <c r="H178" s="26">
        <v>0.12048820421225</v>
      </c>
      <c r="I178" s="25">
        <v>3586</v>
      </c>
      <c r="J178" s="26">
        <v>0.277125193199382</v>
      </c>
      <c r="K178" s="25">
        <v>3613</v>
      </c>
      <c r="L178" s="26">
        <v>0.29115964219518098</v>
      </c>
      <c r="M178" s="25">
        <v>3840</v>
      </c>
      <c r="N178" s="26">
        <v>0.30648894564610102</v>
      </c>
      <c r="O178" s="25">
        <v>3818</v>
      </c>
      <c r="P178" s="26">
        <v>0.29879480356863403</v>
      </c>
      <c r="Q178" s="25">
        <v>3481</v>
      </c>
      <c r="R178" s="26">
        <v>0.293210916442048</v>
      </c>
      <c r="S178" s="25">
        <v>3388</v>
      </c>
      <c r="T178" s="26">
        <v>0.29984954420745202</v>
      </c>
      <c r="U178" s="25">
        <v>3153</v>
      </c>
      <c r="V178" s="26">
        <v>0.274150073906617</v>
      </c>
    </row>
    <row r="179" spans="1:22" x14ac:dyDescent="0.3">
      <c r="A179" s="10" t="s">
        <v>300</v>
      </c>
      <c r="B179" s="10"/>
      <c r="C179" s="25" t="s">
        <v>294</v>
      </c>
      <c r="D179" s="26"/>
      <c r="E179" s="25" t="s">
        <v>294</v>
      </c>
      <c r="F179" s="26"/>
      <c r="G179" s="25">
        <v>1075</v>
      </c>
      <c r="H179" s="26">
        <v>8.0002976854952806E-2</v>
      </c>
      <c r="I179" s="25">
        <v>1336</v>
      </c>
      <c r="J179" s="26">
        <v>0.103245749613601</v>
      </c>
      <c r="K179" s="25">
        <v>1479</v>
      </c>
      <c r="L179" s="26">
        <v>0.11918768635667699</v>
      </c>
      <c r="M179" s="25">
        <v>1421</v>
      </c>
      <c r="N179" s="26">
        <v>0.11341687285497599</v>
      </c>
      <c r="O179" s="25">
        <v>1443</v>
      </c>
      <c r="P179" s="26">
        <v>0.112928470809203</v>
      </c>
      <c r="Q179" s="25">
        <v>1318</v>
      </c>
      <c r="R179" s="26">
        <v>0.11101752021563301</v>
      </c>
      <c r="S179" s="25">
        <v>1401</v>
      </c>
      <c r="T179" s="26">
        <v>0.123993273741039</v>
      </c>
      <c r="U179" s="25">
        <v>1553</v>
      </c>
      <c r="V179" s="26">
        <v>0.13503173637075</v>
      </c>
    </row>
    <row r="180" spans="1:22" x14ac:dyDescent="0.3">
      <c r="A180" s="10" t="s">
        <v>301</v>
      </c>
      <c r="B180" s="10"/>
      <c r="C180" s="25">
        <v>1037</v>
      </c>
      <c r="D180" s="26">
        <v>7.2461742715393795E-2</v>
      </c>
      <c r="E180" s="25">
        <v>1176</v>
      </c>
      <c r="F180" s="26">
        <v>8.2036972445064499E-2</v>
      </c>
      <c r="G180" s="25">
        <v>998</v>
      </c>
      <c r="H180" s="26">
        <v>7.4272531070923603E-2</v>
      </c>
      <c r="I180" s="25">
        <v>1323</v>
      </c>
      <c r="J180" s="26">
        <v>0.10224111282843899</v>
      </c>
      <c r="K180" s="25">
        <v>1376</v>
      </c>
      <c r="L180" s="26">
        <v>0.11088725924732</v>
      </c>
      <c r="M180" s="25">
        <v>1378</v>
      </c>
      <c r="N180" s="26">
        <v>0.10998483518237701</v>
      </c>
      <c r="O180" s="25">
        <v>1399</v>
      </c>
      <c r="P180" s="26">
        <v>0.10948505243387099</v>
      </c>
      <c r="Q180" s="25">
        <v>1344</v>
      </c>
      <c r="R180" s="26">
        <v>0.113207547169811</v>
      </c>
      <c r="S180" s="25">
        <v>1324</v>
      </c>
      <c r="T180" s="26">
        <v>0.117178511372688</v>
      </c>
      <c r="U180" s="25">
        <v>1171</v>
      </c>
      <c r="V180" s="26">
        <v>0.101817233284062</v>
      </c>
    </row>
    <row r="181" spans="1:22" x14ac:dyDescent="0.3">
      <c r="A181" s="10" t="s">
        <v>299</v>
      </c>
      <c r="B181" s="10"/>
      <c r="C181" s="25" t="s">
        <v>294</v>
      </c>
      <c r="D181" s="26"/>
      <c r="E181" s="25" t="s">
        <v>294</v>
      </c>
      <c r="F181" s="26"/>
      <c r="G181" s="25">
        <v>3597</v>
      </c>
      <c r="H181" s="26">
        <v>0.267693681625363</v>
      </c>
      <c r="I181" s="25">
        <v>2392</v>
      </c>
      <c r="J181" s="26">
        <v>0.184853168469861</v>
      </c>
      <c r="K181" s="25">
        <v>1365</v>
      </c>
      <c r="L181" s="26">
        <v>0.11000080586671</v>
      </c>
      <c r="M181" s="25">
        <v>1081</v>
      </c>
      <c r="N181" s="26">
        <v>8.6279830792561296E-2</v>
      </c>
      <c r="O181" s="25">
        <v>969</v>
      </c>
      <c r="P181" s="26">
        <v>7.5833463765847597E-2</v>
      </c>
      <c r="Q181" s="25">
        <v>942</v>
      </c>
      <c r="R181" s="26">
        <v>7.9346361185983802E-2</v>
      </c>
      <c r="S181" s="25">
        <v>992</v>
      </c>
      <c r="T181" s="26">
        <v>8.7795380122134697E-2</v>
      </c>
      <c r="U181" s="25">
        <v>953</v>
      </c>
      <c r="V181" s="26">
        <v>8.2862359794800403E-2</v>
      </c>
    </row>
    <row r="182" spans="1:22" x14ac:dyDescent="0.3">
      <c r="A182" s="10" t="s">
        <v>302</v>
      </c>
      <c r="B182" s="10"/>
      <c r="C182" s="25">
        <v>2435</v>
      </c>
      <c r="D182" s="26">
        <v>0.17014883655929</v>
      </c>
      <c r="E182" s="25">
        <v>2166</v>
      </c>
      <c r="F182" s="26">
        <v>0.15109870945238901</v>
      </c>
      <c r="G182" s="25">
        <v>2463</v>
      </c>
      <c r="H182" s="26">
        <v>0.18329984371511501</v>
      </c>
      <c r="I182" s="25">
        <v>597</v>
      </c>
      <c r="J182" s="26">
        <v>4.61360123647604E-2</v>
      </c>
      <c r="K182" s="25">
        <v>894</v>
      </c>
      <c r="L182" s="26">
        <v>7.2044483842372498E-2</v>
      </c>
      <c r="M182" s="25">
        <v>907</v>
      </c>
      <c r="N182" s="26">
        <v>7.2392050442972297E-2</v>
      </c>
      <c r="O182" s="25">
        <v>1074</v>
      </c>
      <c r="P182" s="26">
        <v>8.4050712161527596E-2</v>
      </c>
      <c r="Q182" s="25">
        <v>625</v>
      </c>
      <c r="R182" s="26">
        <v>5.2644878706199501E-2</v>
      </c>
      <c r="S182" s="25">
        <v>562</v>
      </c>
      <c r="T182" s="26">
        <v>4.97389149482255E-2</v>
      </c>
      <c r="U182" s="25">
        <v>709</v>
      </c>
      <c r="V182" s="26">
        <v>6.16468133205808E-2</v>
      </c>
    </row>
    <row r="183" spans="1:22" x14ac:dyDescent="0.3">
      <c r="A183" s="10" t="s">
        <v>306</v>
      </c>
      <c r="B183" s="10"/>
      <c r="C183" s="25">
        <v>9009</v>
      </c>
      <c r="D183" s="26">
        <v>0.62951575710991503</v>
      </c>
      <c r="E183" s="25">
        <v>9269</v>
      </c>
      <c r="F183" s="26">
        <v>0.64659923264736696</v>
      </c>
      <c r="G183" s="25" t="s">
        <v>294</v>
      </c>
      <c r="H183" s="26"/>
      <c r="I183" s="25" t="s">
        <v>294</v>
      </c>
      <c r="J183" s="26"/>
      <c r="K183" s="25" t="s">
        <v>294</v>
      </c>
      <c r="L183" s="26"/>
      <c r="M183" s="25" t="s">
        <v>294</v>
      </c>
      <c r="N183" s="26"/>
      <c r="O183" s="25" t="s">
        <v>294</v>
      </c>
      <c r="P183" s="26"/>
      <c r="Q183" s="25" t="s">
        <v>294</v>
      </c>
      <c r="R183" s="26"/>
      <c r="S183" s="25" t="s">
        <v>294</v>
      </c>
      <c r="T183" s="26"/>
      <c r="U183" s="25" t="s">
        <v>294</v>
      </c>
      <c r="V183" s="26"/>
    </row>
    <row r="184" spans="1:22" x14ac:dyDescent="0.3">
      <c r="A184" s="10" t="s">
        <v>307</v>
      </c>
      <c r="B184" s="10"/>
      <c r="C184" s="25">
        <v>1264</v>
      </c>
      <c r="D184" s="26">
        <v>8.83236671092167E-2</v>
      </c>
      <c r="E184" s="25">
        <v>1346</v>
      </c>
      <c r="F184" s="26">
        <v>9.3896058597837506E-2</v>
      </c>
      <c r="G184" s="25" t="s">
        <v>294</v>
      </c>
      <c r="H184" s="26"/>
      <c r="I184" s="25" t="s">
        <v>294</v>
      </c>
      <c r="J184" s="26"/>
      <c r="K184" s="25" t="s">
        <v>294</v>
      </c>
      <c r="L184" s="26"/>
      <c r="M184" s="25" t="s">
        <v>294</v>
      </c>
      <c r="N184" s="26"/>
      <c r="O184" s="25" t="s">
        <v>294</v>
      </c>
      <c r="P184" s="26"/>
      <c r="Q184" s="25" t="s">
        <v>294</v>
      </c>
      <c r="R184" s="26"/>
      <c r="S184" s="25" t="s">
        <v>294</v>
      </c>
      <c r="T184" s="26"/>
      <c r="U184" s="25" t="s">
        <v>294</v>
      </c>
      <c r="V184" s="26"/>
    </row>
    <row r="185" spans="1:22" x14ac:dyDescent="0.3">
      <c r="A185" s="10" t="s">
        <v>308</v>
      </c>
      <c r="B185" s="10"/>
      <c r="C185" s="25">
        <v>482</v>
      </c>
      <c r="D185" s="26">
        <v>3.3680385717280402E-2</v>
      </c>
      <c r="E185" s="25">
        <v>488</v>
      </c>
      <c r="F185" s="26">
        <v>3.4042553191489397E-2</v>
      </c>
      <c r="G185" s="25" t="s">
        <v>294</v>
      </c>
      <c r="H185" s="26"/>
      <c r="I185" s="25" t="s">
        <v>294</v>
      </c>
      <c r="J185" s="26"/>
      <c r="K185" s="25" t="s">
        <v>294</v>
      </c>
      <c r="L185" s="26"/>
      <c r="M185" s="25" t="s">
        <v>294</v>
      </c>
      <c r="N185" s="26"/>
      <c r="O185" s="25" t="s">
        <v>294</v>
      </c>
      <c r="P185" s="26"/>
      <c r="Q185" s="25" t="s">
        <v>294</v>
      </c>
      <c r="R185" s="26"/>
      <c r="S185" s="25" t="s">
        <v>294</v>
      </c>
      <c r="T185" s="26"/>
      <c r="U185" s="25" t="s">
        <v>294</v>
      </c>
      <c r="V185" s="26"/>
    </row>
    <row r="186" spans="1:22" x14ac:dyDescent="0.3">
      <c r="A186" s="10" t="s">
        <v>309</v>
      </c>
      <c r="B186" s="10"/>
      <c r="C186" s="25">
        <v>2240</v>
      </c>
      <c r="D186" s="26">
        <v>0.15652295437076399</v>
      </c>
      <c r="E186" s="25">
        <v>2429</v>
      </c>
      <c r="F186" s="26">
        <v>0.16944541332403201</v>
      </c>
      <c r="G186" s="25" t="s">
        <v>294</v>
      </c>
      <c r="H186" s="26"/>
      <c r="I186" s="25" t="s">
        <v>294</v>
      </c>
      <c r="J186" s="26"/>
      <c r="K186" s="25" t="s">
        <v>294</v>
      </c>
      <c r="L186" s="26"/>
      <c r="M186" s="25" t="s">
        <v>294</v>
      </c>
      <c r="N186" s="26"/>
      <c r="O186" s="25" t="s">
        <v>294</v>
      </c>
      <c r="P186" s="26"/>
      <c r="Q186" s="25" t="s">
        <v>294</v>
      </c>
      <c r="R186" s="26"/>
      <c r="S186" s="25" t="s">
        <v>294</v>
      </c>
      <c r="T186" s="26"/>
      <c r="U186" s="25" t="s">
        <v>294</v>
      </c>
      <c r="V186" s="26"/>
    </row>
    <row r="187" spans="1:22" x14ac:dyDescent="0.3">
      <c r="A187" s="10" t="s">
        <v>310</v>
      </c>
      <c r="B187" s="10"/>
      <c r="C187" s="25">
        <v>5023</v>
      </c>
      <c r="D187" s="26">
        <v>0.350988749912655</v>
      </c>
      <c r="E187" s="25">
        <v>5006</v>
      </c>
      <c r="F187" s="26">
        <v>0.34921520753400798</v>
      </c>
      <c r="G187" s="25" t="s">
        <v>294</v>
      </c>
      <c r="H187" s="26"/>
      <c r="I187" s="25" t="s">
        <v>294</v>
      </c>
      <c r="J187" s="26"/>
      <c r="K187" s="25" t="s">
        <v>294</v>
      </c>
      <c r="L187" s="26"/>
      <c r="M187" s="25" t="s">
        <v>294</v>
      </c>
      <c r="N187" s="26"/>
      <c r="O187" s="25" t="s">
        <v>294</v>
      </c>
      <c r="P187" s="26"/>
      <c r="Q187" s="25" t="s">
        <v>294</v>
      </c>
      <c r="R187" s="26"/>
      <c r="S187" s="25" t="s">
        <v>294</v>
      </c>
      <c r="T187" s="26"/>
      <c r="U187" s="25" t="s">
        <v>294</v>
      </c>
      <c r="V187" s="26"/>
    </row>
    <row r="188" spans="1:22" x14ac:dyDescent="0.3">
      <c r="A188" s="6" t="s">
        <v>336</v>
      </c>
      <c r="B188" s="6"/>
      <c r="C188" s="29">
        <v>64147</v>
      </c>
      <c r="D188" s="30">
        <v>1</v>
      </c>
      <c r="E188" s="29">
        <v>64512</v>
      </c>
      <c r="F188" s="30">
        <v>1</v>
      </c>
      <c r="G188" s="29">
        <v>55644</v>
      </c>
      <c r="H188" s="30">
        <v>1</v>
      </c>
      <c r="I188" s="29">
        <v>56507</v>
      </c>
      <c r="J188" s="30">
        <v>1</v>
      </c>
      <c r="K188" s="29">
        <v>56688</v>
      </c>
      <c r="L188" s="30">
        <v>1</v>
      </c>
      <c r="M188" s="29">
        <v>61466</v>
      </c>
      <c r="N188" s="30">
        <v>1</v>
      </c>
      <c r="O188" s="29">
        <v>60370</v>
      </c>
      <c r="P188" s="30">
        <v>1</v>
      </c>
      <c r="Q188" s="29">
        <v>59258</v>
      </c>
      <c r="R188" s="30">
        <v>1</v>
      </c>
      <c r="S188" s="29">
        <v>60164</v>
      </c>
      <c r="T188" s="30">
        <v>1</v>
      </c>
      <c r="U188" s="29">
        <v>68265</v>
      </c>
      <c r="V188" s="30">
        <v>1</v>
      </c>
    </row>
    <row r="189" spans="1:22" x14ac:dyDescent="0.3">
      <c r="A189" s="10" t="s">
        <v>293</v>
      </c>
      <c r="B189" s="10"/>
      <c r="C189" s="25" t="s">
        <v>294</v>
      </c>
      <c r="D189" s="26"/>
      <c r="E189" s="25" t="s">
        <v>294</v>
      </c>
      <c r="F189" s="26"/>
      <c r="G189" s="25">
        <v>25720</v>
      </c>
      <c r="H189" s="26">
        <v>0.46222413917044097</v>
      </c>
      <c r="I189" s="25">
        <v>26608</v>
      </c>
      <c r="J189" s="26">
        <v>0.47087971401773199</v>
      </c>
      <c r="K189" s="25">
        <v>28795</v>
      </c>
      <c r="L189" s="26">
        <v>0.50795582839401598</v>
      </c>
      <c r="M189" s="25">
        <v>33497</v>
      </c>
      <c r="N189" s="26">
        <v>0.54496794976084295</v>
      </c>
      <c r="O189" s="25">
        <v>32225</v>
      </c>
      <c r="P189" s="26">
        <v>0.53379161835348699</v>
      </c>
      <c r="Q189" s="25">
        <v>32118</v>
      </c>
      <c r="R189" s="26">
        <v>0.54200276755881105</v>
      </c>
      <c r="S189" s="25">
        <v>33013</v>
      </c>
      <c r="T189" s="26">
        <v>0.548716840635596</v>
      </c>
      <c r="U189" s="25">
        <v>42015</v>
      </c>
      <c r="V189" s="26">
        <v>0.61546912766424999</v>
      </c>
    </row>
    <row r="190" spans="1:22" x14ac:dyDescent="0.3">
      <c r="A190" s="10" t="s">
        <v>295</v>
      </c>
      <c r="B190" s="10"/>
      <c r="C190" s="25" t="s">
        <v>294</v>
      </c>
      <c r="D190" s="26"/>
      <c r="E190" s="25" t="s">
        <v>294</v>
      </c>
      <c r="F190" s="26"/>
      <c r="G190" s="25">
        <v>15724</v>
      </c>
      <c r="H190" s="26">
        <v>0.28258212925023402</v>
      </c>
      <c r="I190" s="25">
        <v>16346</v>
      </c>
      <c r="J190" s="26">
        <v>0.289273895269613</v>
      </c>
      <c r="K190" s="25">
        <v>16473</v>
      </c>
      <c r="L190" s="26">
        <v>0.290590601185436</v>
      </c>
      <c r="M190" s="25">
        <v>17139</v>
      </c>
      <c r="N190" s="26">
        <v>0.27883708066247997</v>
      </c>
      <c r="O190" s="25">
        <v>17731</v>
      </c>
      <c r="P190" s="26">
        <v>0.29370548285572301</v>
      </c>
      <c r="Q190" s="25">
        <v>18533</v>
      </c>
      <c r="R190" s="26">
        <v>0.31275102095919499</v>
      </c>
      <c r="S190" s="25">
        <v>23103</v>
      </c>
      <c r="T190" s="26">
        <v>0.38400039890964699</v>
      </c>
      <c r="U190" s="25">
        <v>22739</v>
      </c>
      <c r="V190" s="26">
        <v>0.33309895261114802</v>
      </c>
    </row>
    <row r="191" spans="1:22" x14ac:dyDescent="0.3">
      <c r="A191" s="10" t="s">
        <v>296</v>
      </c>
      <c r="B191" s="10"/>
      <c r="C191" s="25" t="s">
        <v>294</v>
      </c>
      <c r="D191" s="26"/>
      <c r="E191" s="25" t="s">
        <v>294</v>
      </c>
      <c r="F191" s="26"/>
      <c r="G191" s="25">
        <v>6649</v>
      </c>
      <c r="H191" s="26">
        <v>0.119491769103587</v>
      </c>
      <c r="I191" s="25">
        <v>6741</v>
      </c>
      <c r="J191" s="26">
        <v>0.119294954607394</v>
      </c>
      <c r="K191" s="25">
        <v>8842</v>
      </c>
      <c r="L191" s="26">
        <v>0.15597657352526101</v>
      </c>
      <c r="M191" s="25">
        <v>12982</v>
      </c>
      <c r="N191" s="26">
        <v>0.21120619529495999</v>
      </c>
      <c r="O191" s="25">
        <v>10931</v>
      </c>
      <c r="P191" s="26">
        <v>0.18106675501076699</v>
      </c>
      <c r="Q191" s="25">
        <v>10244</v>
      </c>
      <c r="R191" s="26">
        <v>0.172871173512437</v>
      </c>
      <c r="S191" s="25">
        <v>9910</v>
      </c>
      <c r="T191" s="26">
        <v>0.16471644172594899</v>
      </c>
      <c r="U191" s="25">
        <v>19276</v>
      </c>
      <c r="V191" s="26">
        <v>0.28237017505310202</v>
      </c>
    </row>
    <row r="192" spans="1:22" x14ac:dyDescent="0.3">
      <c r="A192" s="10" t="s">
        <v>297</v>
      </c>
      <c r="B192" s="10"/>
      <c r="C192" s="25" t="s">
        <v>294</v>
      </c>
      <c r="D192" s="26"/>
      <c r="E192" s="25" t="s">
        <v>294</v>
      </c>
      <c r="F192" s="26"/>
      <c r="G192" s="25">
        <v>3347</v>
      </c>
      <c r="H192" s="26">
        <v>6.0150240816619897E-2</v>
      </c>
      <c r="I192" s="25">
        <v>3521</v>
      </c>
      <c r="J192" s="26">
        <v>6.2310864140725897E-2</v>
      </c>
      <c r="K192" s="25">
        <v>3480</v>
      </c>
      <c r="L192" s="26">
        <v>6.1388653683319201E-2</v>
      </c>
      <c r="M192" s="25">
        <v>3376</v>
      </c>
      <c r="N192" s="26">
        <v>5.4924673803403497E-2</v>
      </c>
      <c r="O192" s="25">
        <v>3563</v>
      </c>
      <c r="P192" s="26">
        <v>5.9019380486996897E-2</v>
      </c>
      <c r="Q192" s="25">
        <v>3341</v>
      </c>
      <c r="R192" s="26">
        <v>5.6380573087178101E-2</v>
      </c>
      <c r="S192" s="25">
        <v>0</v>
      </c>
      <c r="T192" s="26"/>
      <c r="U192" s="25">
        <v>0</v>
      </c>
      <c r="V192" s="26"/>
    </row>
    <row r="193" spans="1:22" x14ac:dyDescent="0.3">
      <c r="A193" s="10" t="s">
        <v>298</v>
      </c>
      <c r="B193" s="10"/>
      <c r="C193" s="25">
        <v>12557</v>
      </c>
      <c r="D193" s="26">
        <v>0.19575350367125499</v>
      </c>
      <c r="E193" s="25">
        <v>10866</v>
      </c>
      <c r="F193" s="26">
        <v>0.16843377976190499</v>
      </c>
      <c r="G193" s="25">
        <v>9689</v>
      </c>
      <c r="H193" s="26">
        <v>0.17412479332902001</v>
      </c>
      <c r="I193" s="25">
        <v>10061</v>
      </c>
      <c r="J193" s="26">
        <v>0.17804873732457899</v>
      </c>
      <c r="K193" s="25">
        <v>9518</v>
      </c>
      <c r="L193" s="26">
        <v>0.16790149590742301</v>
      </c>
      <c r="M193" s="25">
        <v>9979</v>
      </c>
      <c r="N193" s="26">
        <v>0.16234991702730001</v>
      </c>
      <c r="O193" s="25">
        <v>10063</v>
      </c>
      <c r="P193" s="26">
        <v>0.166688752691734</v>
      </c>
      <c r="Q193" s="25">
        <v>10254</v>
      </c>
      <c r="R193" s="26">
        <v>0.17303992709845101</v>
      </c>
      <c r="S193" s="25">
        <v>10126</v>
      </c>
      <c r="T193" s="26">
        <v>0.16830662854863401</v>
      </c>
      <c r="U193" s="25">
        <v>9453</v>
      </c>
      <c r="V193" s="26">
        <v>0.13847506042627999</v>
      </c>
    </row>
    <row r="194" spans="1:22" x14ac:dyDescent="0.3">
      <c r="A194" s="10" t="s">
        <v>299</v>
      </c>
      <c r="B194" s="10"/>
      <c r="C194" s="25" t="s">
        <v>294</v>
      </c>
      <c r="D194" s="26"/>
      <c r="E194" s="25" t="s">
        <v>294</v>
      </c>
      <c r="F194" s="26"/>
      <c r="G194" s="25">
        <v>11534</v>
      </c>
      <c r="H194" s="26">
        <v>0.207282007044785</v>
      </c>
      <c r="I194" s="25">
        <v>11337</v>
      </c>
      <c r="J194" s="26">
        <v>0.200630010441184</v>
      </c>
      <c r="K194" s="25">
        <v>9627</v>
      </c>
      <c r="L194" s="26">
        <v>0.16982430143945801</v>
      </c>
      <c r="M194" s="25">
        <v>9163</v>
      </c>
      <c r="N194" s="26">
        <v>0.149074284970553</v>
      </c>
      <c r="O194" s="25">
        <v>9123</v>
      </c>
      <c r="P194" s="26">
        <v>0.15111810501904899</v>
      </c>
      <c r="Q194" s="25">
        <v>8885</v>
      </c>
      <c r="R194" s="26">
        <v>0.149937561173175</v>
      </c>
      <c r="S194" s="25">
        <v>8329</v>
      </c>
      <c r="T194" s="26">
        <v>0.138438268732132</v>
      </c>
      <c r="U194" s="25">
        <v>7994</v>
      </c>
      <c r="V194" s="26">
        <v>0.117102468321981</v>
      </c>
    </row>
    <row r="195" spans="1:22" x14ac:dyDescent="0.3">
      <c r="A195" s="10" t="s">
        <v>300</v>
      </c>
      <c r="B195" s="10"/>
      <c r="C195" s="25" t="s">
        <v>294</v>
      </c>
      <c r="D195" s="26"/>
      <c r="E195" s="25" t="s">
        <v>294</v>
      </c>
      <c r="F195" s="26"/>
      <c r="G195" s="25">
        <v>4199</v>
      </c>
      <c r="H195" s="26">
        <v>7.54618647113795E-2</v>
      </c>
      <c r="I195" s="25">
        <v>3961</v>
      </c>
      <c r="J195" s="26">
        <v>7.0097510043003505E-2</v>
      </c>
      <c r="K195" s="25">
        <v>4247</v>
      </c>
      <c r="L195" s="26">
        <v>7.4918854078464603E-2</v>
      </c>
      <c r="M195" s="25">
        <v>4254</v>
      </c>
      <c r="N195" s="26">
        <v>6.9208993589952195E-2</v>
      </c>
      <c r="O195" s="25">
        <v>4296</v>
      </c>
      <c r="P195" s="26">
        <v>7.1161172767931102E-2</v>
      </c>
      <c r="Q195" s="25">
        <v>3882</v>
      </c>
      <c r="R195" s="26">
        <v>6.5510142090519405E-2</v>
      </c>
      <c r="S195" s="25">
        <v>4669</v>
      </c>
      <c r="T195" s="26">
        <v>7.7604547569975396E-2</v>
      </c>
      <c r="U195" s="25">
        <v>5041</v>
      </c>
      <c r="V195" s="26">
        <v>7.3844576283600694E-2</v>
      </c>
    </row>
    <row r="196" spans="1:22" x14ac:dyDescent="0.3">
      <c r="A196" s="10" t="s">
        <v>301</v>
      </c>
      <c r="B196" s="10"/>
      <c r="C196" s="25">
        <v>3479</v>
      </c>
      <c r="D196" s="26">
        <v>5.4234804433566597E-2</v>
      </c>
      <c r="E196" s="25">
        <v>3780</v>
      </c>
      <c r="F196" s="26">
        <v>5.859375E-2</v>
      </c>
      <c r="G196" s="25">
        <v>2599</v>
      </c>
      <c r="H196" s="26">
        <v>4.6707641434835703E-2</v>
      </c>
      <c r="I196" s="25">
        <v>3396</v>
      </c>
      <c r="J196" s="26">
        <v>6.0098748827578902E-2</v>
      </c>
      <c r="K196" s="25">
        <v>2477</v>
      </c>
      <c r="L196" s="26">
        <v>4.3695314705052203E-2</v>
      </c>
      <c r="M196" s="25">
        <v>2556</v>
      </c>
      <c r="N196" s="26">
        <v>4.15839651189275E-2</v>
      </c>
      <c r="O196" s="25">
        <v>2588</v>
      </c>
      <c r="P196" s="26">
        <v>4.2868974656286203E-2</v>
      </c>
      <c r="Q196" s="25">
        <v>2605</v>
      </c>
      <c r="R196" s="26">
        <v>4.3960309156569601E-2</v>
      </c>
      <c r="S196" s="25">
        <v>2531</v>
      </c>
      <c r="T196" s="26">
        <v>4.20683465195133E-2</v>
      </c>
      <c r="U196" s="25">
        <v>2149</v>
      </c>
      <c r="V196" s="26">
        <v>3.1480260748553403E-2</v>
      </c>
    </row>
    <row r="197" spans="1:22" x14ac:dyDescent="0.3">
      <c r="A197" s="10" t="s">
        <v>302</v>
      </c>
      <c r="B197" s="10"/>
      <c r="C197" s="25">
        <v>2507</v>
      </c>
      <c r="D197" s="26">
        <v>3.9082108282538497E-2</v>
      </c>
      <c r="E197" s="25">
        <v>2264</v>
      </c>
      <c r="F197" s="26">
        <v>3.5094246031745997E-2</v>
      </c>
      <c r="G197" s="25">
        <v>1903</v>
      </c>
      <c r="H197" s="26">
        <v>3.41995543095392E-2</v>
      </c>
      <c r="I197" s="25">
        <v>1144</v>
      </c>
      <c r="J197" s="26">
        <v>2.0245279345921699E-2</v>
      </c>
      <c r="K197" s="25">
        <v>2024</v>
      </c>
      <c r="L197" s="26">
        <v>3.5704205475585699E-2</v>
      </c>
      <c r="M197" s="25">
        <v>2017</v>
      </c>
      <c r="N197" s="26">
        <v>3.2814889532424403E-2</v>
      </c>
      <c r="O197" s="25">
        <v>2075</v>
      </c>
      <c r="P197" s="26">
        <v>3.43713765115123E-2</v>
      </c>
      <c r="Q197" s="25">
        <v>1514</v>
      </c>
      <c r="R197" s="26">
        <v>2.5549292922474601E-2</v>
      </c>
      <c r="S197" s="25">
        <v>1496</v>
      </c>
      <c r="T197" s="26">
        <v>2.48653679941493E-2</v>
      </c>
      <c r="U197" s="25">
        <v>1613</v>
      </c>
      <c r="V197" s="26">
        <v>2.3628506555335799E-2</v>
      </c>
    </row>
    <row r="198" spans="1:22" x14ac:dyDescent="0.3">
      <c r="A198" s="10" t="s">
        <v>306</v>
      </c>
      <c r="B198" s="10"/>
      <c r="C198" s="25">
        <v>45604</v>
      </c>
      <c r="D198" s="26">
        <v>0.71092958361264003</v>
      </c>
      <c r="E198" s="25">
        <v>47602</v>
      </c>
      <c r="F198" s="26">
        <v>0.73787822420634896</v>
      </c>
      <c r="G198" s="25" t="s">
        <v>294</v>
      </c>
      <c r="H198" s="26"/>
      <c r="I198" s="25" t="s">
        <v>294</v>
      </c>
      <c r="J198" s="26"/>
      <c r="K198" s="25" t="s">
        <v>294</v>
      </c>
      <c r="L198" s="26"/>
      <c r="M198" s="25" t="s">
        <v>294</v>
      </c>
      <c r="N198" s="26"/>
      <c r="O198" s="25" t="s">
        <v>294</v>
      </c>
      <c r="P198" s="26"/>
      <c r="Q198" s="25" t="s">
        <v>294</v>
      </c>
      <c r="R198" s="26"/>
      <c r="S198" s="25" t="s">
        <v>294</v>
      </c>
      <c r="T198" s="26"/>
      <c r="U198" s="25" t="s">
        <v>294</v>
      </c>
      <c r="V198" s="26"/>
    </row>
    <row r="199" spans="1:22" x14ac:dyDescent="0.3">
      <c r="A199" s="10" t="s">
        <v>307</v>
      </c>
      <c r="B199" s="10"/>
      <c r="C199" s="25">
        <v>4401</v>
      </c>
      <c r="D199" s="26">
        <v>6.8608040906043902E-2</v>
      </c>
      <c r="E199" s="25">
        <v>5162</v>
      </c>
      <c r="F199" s="26">
        <v>8.0016121031746004E-2</v>
      </c>
      <c r="G199" s="25" t="s">
        <v>294</v>
      </c>
      <c r="H199" s="26"/>
      <c r="I199" s="25" t="s">
        <v>294</v>
      </c>
      <c r="J199" s="26"/>
      <c r="K199" s="25" t="s">
        <v>294</v>
      </c>
      <c r="L199" s="26"/>
      <c r="M199" s="25" t="s">
        <v>294</v>
      </c>
      <c r="N199" s="26"/>
      <c r="O199" s="25" t="s">
        <v>294</v>
      </c>
      <c r="P199" s="26"/>
      <c r="Q199" s="25" t="s">
        <v>294</v>
      </c>
      <c r="R199" s="26"/>
      <c r="S199" s="25" t="s">
        <v>294</v>
      </c>
      <c r="T199" s="26"/>
      <c r="U199" s="25" t="s">
        <v>294</v>
      </c>
      <c r="V199" s="26"/>
    </row>
    <row r="200" spans="1:22" x14ac:dyDescent="0.3">
      <c r="A200" s="10" t="s">
        <v>308</v>
      </c>
      <c r="B200" s="10"/>
      <c r="C200" s="25">
        <v>7109</v>
      </c>
      <c r="D200" s="26">
        <v>0.110823577096357</v>
      </c>
      <c r="E200" s="25">
        <v>6864</v>
      </c>
      <c r="F200" s="26">
        <v>0.10639880952381001</v>
      </c>
      <c r="G200" s="25" t="s">
        <v>294</v>
      </c>
      <c r="H200" s="26"/>
      <c r="I200" s="25" t="s">
        <v>294</v>
      </c>
      <c r="J200" s="26"/>
      <c r="K200" s="25" t="s">
        <v>294</v>
      </c>
      <c r="L200" s="26"/>
      <c r="M200" s="25" t="s">
        <v>294</v>
      </c>
      <c r="N200" s="26"/>
      <c r="O200" s="25" t="s">
        <v>294</v>
      </c>
      <c r="P200" s="26"/>
      <c r="Q200" s="25" t="s">
        <v>294</v>
      </c>
      <c r="R200" s="26"/>
      <c r="S200" s="25" t="s">
        <v>294</v>
      </c>
      <c r="T200" s="26"/>
      <c r="U200" s="25" t="s">
        <v>294</v>
      </c>
      <c r="V200" s="26"/>
    </row>
    <row r="201" spans="1:22" x14ac:dyDescent="0.3">
      <c r="A201" s="10" t="s">
        <v>309</v>
      </c>
      <c r="B201" s="10"/>
      <c r="C201" s="25">
        <v>16761</v>
      </c>
      <c r="D201" s="26">
        <v>0.26129047344380901</v>
      </c>
      <c r="E201" s="25">
        <v>17631</v>
      </c>
      <c r="F201" s="26">
        <v>0.27329799107142899</v>
      </c>
      <c r="G201" s="25" t="s">
        <v>294</v>
      </c>
      <c r="H201" s="26"/>
      <c r="I201" s="25" t="s">
        <v>294</v>
      </c>
      <c r="J201" s="26"/>
      <c r="K201" s="25" t="s">
        <v>294</v>
      </c>
      <c r="L201" s="26"/>
      <c r="M201" s="25" t="s">
        <v>294</v>
      </c>
      <c r="N201" s="26"/>
      <c r="O201" s="25" t="s">
        <v>294</v>
      </c>
      <c r="P201" s="26"/>
      <c r="Q201" s="25" t="s">
        <v>294</v>
      </c>
      <c r="R201" s="26"/>
      <c r="S201" s="25" t="s">
        <v>294</v>
      </c>
      <c r="T201" s="26"/>
      <c r="U201" s="25" t="s">
        <v>294</v>
      </c>
      <c r="V201" s="26"/>
    </row>
    <row r="202" spans="1:22" x14ac:dyDescent="0.3">
      <c r="A202" s="10" t="s">
        <v>310</v>
      </c>
      <c r="B202" s="10"/>
      <c r="C202" s="25">
        <v>17333</v>
      </c>
      <c r="D202" s="26">
        <v>0.27020749216642997</v>
      </c>
      <c r="E202" s="25">
        <v>17945</v>
      </c>
      <c r="F202" s="26">
        <v>0.278165302579365</v>
      </c>
      <c r="G202" s="25" t="s">
        <v>294</v>
      </c>
      <c r="H202" s="26"/>
      <c r="I202" s="25" t="s">
        <v>294</v>
      </c>
      <c r="J202" s="26"/>
      <c r="K202" s="25" t="s">
        <v>294</v>
      </c>
      <c r="L202" s="26"/>
      <c r="M202" s="25" t="s">
        <v>294</v>
      </c>
      <c r="N202" s="26"/>
      <c r="O202" s="25" t="s">
        <v>294</v>
      </c>
      <c r="P202" s="26"/>
      <c r="Q202" s="25" t="s">
        <v>294</v>
      </c>
      <c r="R202" s="26"/>
      <c r="S202" s="25" t="s">
        <v>294</v>
      </c>
      <c r="T202" s="26"/>
      <c r="U202" s="25" t="s">
        <v>294</v>
      </c>
      <c r="V202" s="26"/>
    </row>
    <row r="203" spans="1:22" x14ac:dyDescent="0.3">
      <c r="A203" s="6" t="s">
        <v>337</v>
      </c>
      <c r="B203" s="6"/>
      <c r="C203" s="31" t="s">
        <v>294</v>
      </c>
      <c r="D203" s="32"/>
      <c r="E203" s="31" t="s">
        <v>294</v>
      </c>
      <c r="F203" s="32"/>
      <c r="G203" s="31" t="s">
        <v>294</v>
      </c>
      <c r="H203" s="32"/>
      <c r="I203" s="31" t="s">
        <v>294</v>
      </c>
      <c r="J203" s="32"/>
      <c r="K203" s="31" t="s">
        <v>294</v>
      </c>
      <c r="L203" s="32"/>
      <c r="M203" s="31" t="s">
        <v>294</v>
      </c>
      <c r="N203" s="32"/>
      <c r="O203" s="31" t="s">
        <v>294</v>
      </c>
      <c r="P203" s="32"/>
      <c r="Q203" s="31" t="s">
        <v>294</v>
      </c>
      <c r="R203" s="32"/>
      <c r="S203" s="31" t="s">
        <v>294</v>
      </c>
      <c r="T203" s="32"/>
      <c r="U203" s="31" t="s">
        <v>294</v>
      </c>
      <c r="V203" s="32"/>
    </row>
    <row r="204" spans="1:22" x14ac:dyDescent="0.3">
      <c r="A204" s="10" t="s">
        <v>293</v>
      </c>
      <c r="B204" s="10"/>
      <c r="C204" s="27" t="s">
        <v>294</v>
      </c>
      <c r="D204" s="28"/>
      <c r="E204" s="27" t="s">
        <v>294</v>
      </c>
      <c r="F204" s="28"/>
      <c r="G204" s="27">
        <v>12</v>
      </c>
      <c r="H204" s="28"/>
      <c r="I204" s="27">
        <v>6</v>
      </c>
      <c r="J204" s="28"/>
      <c r="K204" s="27">
        <v>21.5</v>
      </c>
      <c r="L204" s="28"/>
      <c r="M204" s="27">
        <v>25.8</v>
      </c>
      <c r="N204" s="28"/>
      <c r="O204" s="27">
        <v>25.2</v>
      </c>
      <c r="P204" s="28"/>
      <c r="Q204" s="27">
        <v>36.9</v>
      </c>
      <c r="R204" s="28"/>
      <c r="S204" s="27">
        <v>27.5</v>
      </c>
      <c r="T204" s="28"/>
      <c r="U204" s="27">
        <v>27</v>
      </c>
      <c r="V204" s="28"/>
    </row>
    <row r="205" spans="1:22" x14ac:dyDescent="0.3">
      <c r="A205" s="10" t="s">
        <v>295</v>
      </c>
      <c r="B205" s="10"/>
      <c r="C205" s="27" t="s">
        <v>294</v>
      </c>
      <c r="D205" s="28"/>
      <c r="E205" s="27" t="s">
        <v>294</v>
      </c>
      <c r="F205" s="28"/>
      <c r="G205" s="27">
        <v>14.7</v>
      </c>
      <c r="H205" s="28"/>
      <c r="I205" s="27">
        <v>-9.6</v>
      </c>
      <c r="J205" s="28"/>
      <c r="K205" s="27">
        <v>30.7</v>
      </c>
      <c r="L205" s="28"/>
      <c r="M205" s="27">
        <v>37.5</v>
      </c>
      <c r="N205" s="28"/>
      <c r="O205" s="27">
        <v>46.7</v>
      </c>
      <c r="P205" s="28"/>
      <c r="Q205" s="27">
        <v>52.9</v>
      </c>
      <c r="R205" s="28"/>
      <c r="S205" s="27">
        <v>2.8</v>
      </c>
      <c r="T205" s="28"/>
      <c r="U205" s="27">
        <v>33.700000000000003</v>
      </c>
      <c r="V205" s="28"/>
    </row>
    <row r="206" spans="1:22" x14ac:dyDescent="0.3">
      <c r="A206" s="10" t="s">
        <v>296</v>
      </c>
      <c r="B206" s="10"/>
      <c r="C206" s="27" t="s">
        <v>294</v>
      </c>
      <c r="D206" s="28"/>
      <c r="E206" s="27" t="s">
        <v>294</v>
      </c>
      <c r="F206" s="28"/>
      <c r="G206" s="27">
        <v>11.9</v>
      </c>
      <c r="H206" s="28"/>
      <c r="I206" s="27">
        <v>11</v>
      </c>
      <c r="J206" s="28"/>
      <c r="K206" s="27">
        <v>17</v>
      </c>
      <c r="L206" s="28"/>
      <c r="M206" s="27">
        <v>23.1</v>
      </c>
      <c r="N206" s="28"/>
      <c r="O206" s="27">
        <v>21.9</v>
      </c>
      <c r="P206" s="28"/>
      <c r="Q206" s="27">
        <v>34</v>
      </c>
      <c r="R206" s="28"/>
      <c r="S206" s="27">
        <v>38.6</v>
      </c>
      <c r="T206" s="28"/>
      <c r="U206" s="27">
        <v>22.2</v>
      </c>
      <c r="V206" s="28"/>
    </row>
    <row r="207" spans="1:22" x14ac:dyDescent="0.3">
      <c r="A207" s="10" t="s">
        <v>297</v>
      </c>
      <c r="B207" s="10"/>
      <c r="C207" s="27" t="s">
        <v>294</v>
      </c>
      <c r="D207" s="28"/>
      <c r="E207" s="27" t="s">
        <v>294</v>
      </c>
      <c r="F207" s="28"/>
      <c r="G207" s="27">
        <v>7.7</v>
      </c>
      <c r="H207" s="28"/>
      <c r="I207" s="27">
        <v>15.6</v>
      </c>
      <c r="J207" s="28"/>
      <c r="K207" s="27">
        <v>20.8</v>
      </c>
      <c r="L207" s="28"/>
      <c r="M207" s="27">
        <v>17.3</v>
      </c>
      <c r="N207" s="28"/>
      <c r="O207" s="27">
        <v>5</v>
      </c>
      <c r="P207" s="28"/>
      <c r="Q207" s="27">
        <v>22.5</v>
      </c>
      <c r="R207" s="28"/>
      <c r="S207" s="27">
        <v>0</v>
      </c>
      <c r="T207" s="28"/>
      <c r="U207" s="27">
        <v>0</v>
      </c>
      <c r="V207" s="28"/>
    </row>
    <row r="208" spans="1:22" x14ac:dyDescent="0.3">
      <c r="A208" s="10" t="s">
        <v>300</v>
      </c>
      <c r="B208" s="10"/>
      <c r="C208" s="27" t="s">
        <v>294</v>
      </c>
      <c r="D208" s="28"/>
      <c r="E208" s="27" t="s">
        <v>294</v>
      </c>
      <c r="F208" s="28"/>
      <c r="G208" s="27">
        <v>12.9</v>
      </c>
      <c r="H208" s="28"/>
      <c r="I208" s="27">
        <v>32.700000000000003</v>
      </c>
      <c r="J208" s="28"/>
      <c r="K208" s="27">
        <v>8</v>
      </c>
      <c r="L208" s="28"/>
      <c r="M208" s="27">
        <v>4.7</v>
      </c>
      <c r="N208" s="28"/>
      <c r="O208" s="27">
        <v>21.7</v>
      </c>
      <c r="P208" s="28"/>
      <c r="Q208" s="27">
        <v>1.8</v>
      </c>
      <c r="R208" s="28"/>
      <c r="S208" s="27">
        <v>18.100000000000001</v>
      </c>
      <c r="T208" s="28"/>
      <c r="U208" s="27">
        <v>26.5</v>
      </c>
      <c r="V208" s="28"/>
    </row>
    <row r="209" spans="1:22" x14ac:dyDescent="0.3">
      <c r="A209" s="10" t="s">
        <v>301</v>
      </c>
      <c r="B209" s="10"/>
      <c r="C209" s="27" t="s">
        <v>294</v>
      </c>
      <c r="D209" s="28"/>
      <c r="E209" s="27">
        <v>7.4</v>
      </c>
      <c r="F209" s="28"/>
      <c r="G209" s="27">
        <v>8.8000000000000007</v>
      </c>
      <c r="H209" s="28"/>
      <c r="I209" s="27">
        <v>3.2</v>
      </c>
      <c r="J209" s="28"/>
      <c r="K209" s="27">
        <v>11.3</v>
      </c>
      <c r="L209" s="28"/>
      <c r="M209" s="27">
        <v>92</v>
      </c>
      <c r="N209" s="28"/>
      <c r="O209" s="27">
        <v>9.4</v>
      </c>
      <c r="P209" s="28"/>
      <c r="Q209" s="27">
        <v>11.3</v>
      </c>
      <c r="R209" s="28"/>
      <c r="S209" s="27">
        <v>5.9</v>
      </c>
      <c r="T209" s="28"/>
      <c r="U209" s="27">
        <v>12.4</v>
      </c>
      <c r="V209" s="28"/>
    </row>
    <row r="210" spans="1:22" x14ac:dyDescent="0.3">
      <c r="A210" s="10" t="s">
        <v>299</v>
      </c>
      <c r="B210" s="10"/>
      <c r="C210" s="27" t="s">
        <v>294</v>
      </c>
      <c r="D210" s="28"/>
      <c r="E210" s="27" t="s">
        <v>294</v>
      </c>
      <c r="F210" s="28"/>
      <c r="G210" s="27">
        <v>1.6</v>
      </c>
      <c r="H210" s="28"/>
      <c r="I210" s="27">
        <v>-14.5</v>
      </c>
      <c r="J210" s="28"/>
      <c r="K210" s="27">
        <v>3</v>
      </c>
      <c r="L210" s="28"/>
      <c r="M210" s="27">
        <v>16.100000000000001</v>
      </c>
      <c r="N210" s="28"/>
      <c r="O210" s="27">
        <v>11.2</v>
      </c>
      <c r="P210" s="28"/>
      <c r="Q210" s="27">
        <v>17.2</v>
      </c>
      <c r="R210" s="28"/>
      <c r="S210" s="27">
        <v>18.5</v>
      </c>
      <c r="T210" s="28"/>
      <c r="U210" s="27">
        <v>7.6</v>
      </c>
      <c r="V210" s="28"/>
    </row>
    <row r="211" spans="1:22" x14ac:dyDescent="0.3">
      <c r="A211" s="10" t="s">
        <v>298</v>
      </c>
      <c r="B211" s="10"/>
      <c r="C211" s="27" t="s">
        <v>294</v>
      </c>
      <c r="D211" s="28"/>
      <c r="E211" s="27">
        <v>11.6</v>
      </c>
      <c r="F211" s="28"/>
      <c r="G211" s="27">
        <v>8.1</v>
      </c>
      <c r="H211" s="28"/>
      <c r="I211" s="27">
        <v>-21.7</v>
      </c>
      <c r="J211" s="28"/>
      <c r="K211" s="27">
        <v>11.8</v>
      </c>
      <c r="L211" s="28"/>
      <c r="M211" s="27">
        <v>21.7</v>
      </c>
      <c r="N211" s="28"/>
      <c r="O211" s="27">
        <v>9.6</v>
      </c>
      <c r="P211" s="28"/>
      <c r="Q211" s="27">
        <v>13.8</v>
      </c>
      <c r="R211" s="28"/>
      <c r="S211" s="27">
        <v>16</v>
      </c>
      <c r="T211" s="28"/>
      <c r="U211" s="27">
        <v>6</v>
      </c>
      <c r="V211" s="28"/>
    </row>
    <row r="212" spans="1:22" x14ac:dyDescent="0.3">
      <c r="A212" s="10" t="s">
        <v>338</v>
      </c>
      <c r="B212" s="10"/>
      <c r="C212" s="27" t="s">
        <v>294</v>
      </c>
      <c r="D212" s="28"/>
      <c r="E212" s="27">
        <v>16.8</v>
      </c>
      <c r="F212" s="28"/>
      <c r="G212" s="27" t="s">
        <v>294</v>
      </c>
      <c r="H212" s="28"/>
      <c r="I212" s="27" t="s">
        <v>294</v>
      </c>
      <c r="J212" s="28"/>
      <c r="K212" s="27" t="s">
        <v>294</v>
      </c>
      <c r="L212" s="28"/>
      <c r="M212" s="27" t="s">
        <v>294</v>
      </c>
      <c r="N212" s="28"/>
      <c r="O212" s="27" t="s">
        <v>294</v>
      </c>
      <c r="P212" s="28"/>
      <c r="Q212" s="27" t="s">
        <v>294</v>
      </c>
      <c r="R212" s="28"/>
      <c r="S212" s="27" t="s">
        <v>294</v>
      </c>
      <c r="T212" s="28"/>
      <c r="U212" s="27" t="s">
        <v>294</v>
      </c>
      <c r="V212" s="28"/>
    </row>
    <row r="213" spans="1:22" x14ac:dyDescent="0.3">
      <c r="A213" s="10" t="s">
        <v>339</v>
      </c>
      <c r="B213" s="10"/>
      <c r="C213" s="27" t="s">
        <v>294</v>
      </c>
      <c r="D213" s="28"/>
      <c r="E213" s="27">
        <v>19.600000000000001</v>
      </c>
      <c r="F213" s="28"/>
      <c r="G213" s="27" t="s">
        <v>294</v>
      </c>
      <c r="H213" s="28"/>
      <c r="I213" s="27" t="s">
        <v>294</v>
      </c>
      <c r="J213" s="28"/>
      <c r="K213" s="27" t="s">
        <v>294</v>
      </c>
      <c r="L213" s="28"/>
      <c r="M213" s="27" t="s">
        <v>294</v>
      </c>
      <c r="N213" s="28"/>
      <c r="O213" s="27" t="s">
        <v>294</v>
      </c>
      <c r="P213" s="28"/>
      <c r="Q213" s="27" t="s">
        <v>294</v>
      </c>
      <c r="R213" s="28"/>
      <c r="S213" s="27" t="s">
        <v>294</v>
      </c>
      <c r="T213" s="28"/>
      <c r="U213" s="27" t="s">
        <v>294</v>
      </c>
      <c r="V213" s="28"/>
    </row>
    <row r="214" spans="1:22" x14ac:dyDescent="0.3">
      <c r="A214" s="10" t="s">
        <v>340</v>
      </c>
      <c r="B214" s="10"/>
      <c r="C214" s="27" t="s">
        <v>294</v>
      </c>
      <c r="D214" s="28"/>
      <c r="E214" s="27">
        <v>16.5</v>
      </c>
      <c r="F214" s="28"/>
      <c r="G214" s="27" t="s">
        <v>294</v>
      </c>
      <c r="H214" s="28"/>
      <c r="I214" s="27" t="s">
        <v>294</v>
      </c>
      <c r="J214" s="28"/>
      <c r="K214" s="27" t="s">
        <v>294</v>
      </c>
      <c r="L214" s="28"/>
      <c r="M214" s="27" t="s">
        <v>294</v>
      </c>
      <c r="N214" s="28"/>
      <c r="O214" s="27" t="s">
        <v>294</v>
      </c>
      <c r="P214" s="28"/>
      <c r="Q214" s="27" t="s">
        <v>294</v>
      </c>
      <c r="R214" s="28"/>
      <c r="S214" s="27" t="s">
        <v>294</v>
      </c>
      <c r="T214" s="28"/>
      <c r="U214" s="27" t="s">
        <v>294</v>
      </c>
      <c r="V214" s="28"/>
    </row>
    <row r="215" spans="1:22" x14ac:dyDescent="0.3">
      <c r="A215" s="10" t="s">
        <v>341</v>
      </c>
      <c r="B215" s="10"/>
      <c r="C215" s="27" t="s">
        <v>294</v>
      </c>
      <c r="D215" s="28"/>
      <c r="E215" s="27">
        <v>15.1</v>
      </c>
      <c r="F215" s="28"/>
      <c r="G215" s="27" t="s">
        <v>294</v>
      </c>
      <c r="H215" s="28"/>
      <c r="I215" s="27" t="s">
        <v>294</v>
      </c>
      <c r="J215" s="28"/>
      <c r="K215" s="27" t="s">
        <v>294</v>
      </c>
      <c r="L215" s="28"/>
      <c r="M215" s="27" t="s">
        <v>294</v>
      </c>
      <c r="N215" s="28"/>
      <c r="O215" s="27" t="s">
        <v>294</v>
      </c>
      <c r="P215" s="28"/>
      <c r="Q215" s="27" t="s">
        <v>294</v>
      </c>
      <c r="R215" s="28"/>
      <c r="S215" s="27" t="s">
        <v>294</v>
      </c>
      <c r="T215" s="28"/>
      <c r="U215" s="27" t="s">
        <v>294</v>
      </c>
      <c r="V215" s="28"/>
    </row>
    <row r="216" spans="1:22" x14ac:dyDescent="0.3">
      <c r="A216" s="6" t="s">
        <v>342</v>
      </c>
      <c r="B216" s="6"/>
      <c r="C216" s="29" t="s">
        <v>294</v>
      </c>
      <c r="D216" s="30"/>
      <c r="E216" s="29" t="s">
        <v>294</v>
      </c>
      <c r="F216" s="30"/>
      <c r="G216" s="29">
        <v>60000</v>
      </c>
      <c r="H216" s="30">
        <v>1</v>
      </c>
      <c r="I216" s="29">
        <v>60916</v>
      </c>
      <c r="J216" s="30">
        <v>1</v>
      </c>
      <c r="K216" s="29">
        <v>62744</v>
      </c>
      <c r="L216" s="30">
        <v>1</v>
      </c>
      <c r="M216" s="29">
        <v>68161</v>
      </c>
      <c r="N216" s="30">
        <v>1</v>
      </c>
      <c r="O216" s="29">
        <v>66974</v>
      </c>
      <c r="P216" s="30">
        <v>1</v>
      </c>
      <c r="Q216" s="29">
        <v>66465</v>
      </c>
      <c r="R216" s="30">
        <v>1</v>
      </c>
      <c r="S216" s="29">
        <v>70244</v>
      </c>
      <c r="T216" s="30">
        <v>1</v>
      </c>
      <c r="U216" s="29">
        <v>75548</v>
      </c>
      <c r="V216" s="30">
        <v>1</v>
      </c>
    </row>
    <row r="217" spans="1:22" x14ac:dyDescent="0.3">
      <c r="A217" s="10" t="s">
        <v>293</v>
      </c>
      <c r="B217" s="10"/>
      <c r="C217" s="25" t="s">
        <v>294</v>
      </c>
      <c r="D217" s="26"/>
      <c r="E217" s="25" t="s">
        <v>294</v>
      </c>
      <c r="F217" s="26"/>
      <c r="G217" s="25">
        <v>27738</v>
      </c>
      <c r="H217" s="26">
        <v>0.46229999999999999</v>
      </c>
      <c r="I217" s="25">
        <v>29480</v>
      </c>
      <c r="J217" s="26">
        <v>0.48394510473438801</v>
      </c>
      <c r="K217" s="25">
        <v>31846</v>
      </c>
      <c r="L217" s="26">
        <v>0.50755450720387596</v>
      </c>
      <c r="M217" s="25">
        <v>37037</v>
      </c>
      <c r="N217" s="26">
        <v>0.543375243907807</v>
      </c>
      <c r="O217" s="25">
        <v>35787</v>
      </c>
      <c r="P217" s="26">
        <v>0.53434168483291999</v>
      </c>
      <c r="Q217" s="25">
        <v>36195</v>
      </c>
      <c r="R217" s="26">
        <v>0.54457233130218896</v>
      </c>
      <c r="S217" s="25">
        <v>37084</v>
      </c>
      <c r="T217" s="26">
        <v>0.52793121120665099</v>
      </c>
      <c r="U217" s="25">
        <v>45802</v>
      </c>
      <c r="V217" s="26">
        <v>0.60626356753322397</v>
      </c>
    </row>
    <row r="218" spans="1:22" x14ac:dyDescent="0.3">
      <c r="A218" s="10" t="s">
        <v>295</v>
      </c>
      <c r="B218" s="10"/>
      <c r="C218" s="25" t="s">
        <v>294</v>
      </c>
      <c r="D218" s="26"/>
      <c r="E218" s="25" t="s">
        <v>294</v>
      </c>
      <c r="F218" s="26"/>
      <c r="G218" s="25">
        <v>16740</v>
      </c>
      <c r="H218" s="26">
        <v>0.27900000000000003</v>
      </c>
      <c r="I218" s="25">
        <v>17436</v>
      </c>
      <c r="J218" s="26">
        <v>0.28623021866176401</v>
      </c>
      <c r="K218" s="25">
        <v>17805</v>
      </c>
      <c r="L218" s="26">
        <v>0.28377215351268598</v>
      </c>
      <c r="M218" s="25">
        <v>18528</v>
      </c>
      <c r="N218" s="26">
        <v>0.27182699784334202</v>
      </c>
      <c r="O218" s="25">
        <v>19437</v>
      </c>
      <c r="P218" s="26">
        <v>0.29021709917281302</v>
      </c>
      <c r="Q218" s="25">
        <v>20245</v>
      </c>
      <c r="R218" s="26">
        <v>0.30459640412247002</v>
      </c>
      <c r="S218" s="25">
        <v>23703</v>
      </c>
      <c r="T218" s="26">
        <v>0.33743807300267598</v>
      </c>
      <c r="U218" s="25">
        <v>24402</v>
      </c>
      <c r="V218" s="26">
        <v>0.32299994705352902</v>
      </c>
    </row>
    <row r="219" spans="1:22" x14ac:dyDescent="0.3">
      <c r="A219" s="10" t="s">
        <v>296</v>
      </c>
      <c r="B219" s="10"/>
      <c r="C219" s="25" t="s">
        <v>294</v>
      </c>
      <c r="D219" s="26"/>
      <c r="E219" s="25" t="s">
        <v>294</v>
      </c>
      <c r="F219" s="26"/>
      <c r="G219" s="25">
        <v>8409</v>
      </c>
      <c r="H219" s="26">
        <v>0.14015</v>
      </c>
      <c r="I219" s="25">
        <v>8407</v>
      </c>
      <c r="J219" s="26">
        <v>0.13800971830061101</v>
      </c>
      <c r="K219" s="25">
        <v>10311</v>
      </c>
      <c r="L219" s="26">
        <v>0.164334438352671</v>
      </c>
      <c r="M219" s="25">
        <v>14720</v>
      </c>
      <c r="N219" s="26">
        <v>0.21595927289799199</v>
      </c>
      <c r="O219" s="25">
        <v>12492</v>
      </c>
      <c r="P219" s="26">
        <v>0.18652014214471299</v>
      </c>
      <c r="Q219" s="25">
        <v>12217</v>
      </c>
      <c r="R219" s="26">
        <v>0.183811028360791</v>
      </c>
      <c r="S219" s="25">
        <v>13381</v>
      </c>
      <c r="T219" s="26">
        <v>0.19049313820397501</v>
      </c>
      <c r="U219" s="25">
        <v>21400</v>
      </c>
      <c r="V219" s="26">
        <v>0.283263620479695</v>
      </c>
    </row>
    <row r="220" spans="1:22" x14ac:dyDescent="0.3">
      <c r="A220" s="10" t="s">
        <v>297</v>
      </c>
      <c r="B220" s="10"/>
      <c r="C220" s="25" t="s">
        <v>294</v>
      </c>
      <c r="D220" s="26"/>
      <c r="E220" s="25" t="s">
        <v>294</v>
      </c>
      <c r="F220" s="26"/>
      <c r="G220" s="25">
        <v>2589</v>
      </c>
      <c r="H220" s="26">
        <v>4.3150000000000001E-2</v>
      </c>
      <c r="I220" s="25">
        <v>3637</v>
      </c>
      <c r="J220" s="26">
        <v>5.9705167772013901E-2</v>
      </c>
      <c r="K220" s="25">
        <v>3730</v>
      </c>
      <c r="L220" s="26">
        <v>5.9447915338518398E-2</v>
      </c>
      <c r="M220" s="25">
        <v>3789</v>
      </c>
      <c r="N220" s="26">
        <v>5.5588973166473502E-2</v>
      </c>
      <c r="O220" s="25">
        <v>3858</v>
      </c>
      <c r="P220" s="26">
        <v>5.7604443515393997E-2</v>
      </c>
      <c r="Q220" s="25">
        <v>3733</v>
      </c>
      <c r="R220" s="26">
        <v>5.6164898818927299E-2</v>
      </c>
      <c r="S220" s="25" t="s">
        <v>294</v>
      </c>
      <c r="T220" s="26"/>
      <c r="U220" s="25" t="s">
        <v>294</v>
      </c>
      <c r="V220" s="26"/>
    </row>
    <row r="221" spans="1:22" x14ac:dyDescent="0.3">
      <c r="A221" s="10" t="s">
        <v>298</v>
      </c>
      <c r="B221" s="10"/>
      <c r="C221" s="25" t="s">
        <v>294</v>
      </c>
      <c r="D221" s="26"/>
      <c r="E221" s="25" t="s">
        <v>294</v>
      </c>
      <c r="F221" s="26"/>
      <c r="G221" s="25">
        <v>11259</v>
      </c>
      <c r="H221" s="26">
        <v>0.18765000000000001</v>
      </c>
      <c r="I221" s="25">
        <v>11158</v>
      </c>
      <c r="J221" s="26">
        <v>0.18317026725326699</v>
      </c>
      <c r="K221" s="25">
        <v>11367</v>
      </c>
      <c r="L221" s="26">
        <v>0.181164732882825</v>
      </c>
      <c r="M221" s="25">
        <v>11764</v>
      </c>
      <c r="N221" s="26">
        <v>0.172591364563313</v>
      </c>
      <c r="O221" s="25">
        <v>12053</v>
      </c>
      <c r="P221" s="26">
        <v>0.17996535969182101</v>
      </c>
      <c r="Q221" s="25">
        <v>12462</v>
      </c>
      <c r="R221" s="26">
        <v>0.187497178966373</v>
      </c>
      <c r="S221" s="25">
        <v>13360</v>
      </c>
      <c r="T221" s="26">
        <v>0.19019418028586099</v>
      </c>
      <c r="U221" s="25">
        <v>11407</v>
      </c>
      <c r="V221" s="26">
        <v>0.15099009900990101</v>
      </c>
    </row>
    <row r="222" spans="1:22" x14ac:dyDescent="0.3">
      <c r="A222" s="10" t="s">
        <v>299</v>
      </c>
      <c r="B222" s="10"/>
      <c r="C222" s="25" t="s">
        <v>294</v>
      </c>
      <c r="D222" s="26"/>
      <c r="E222" s="25" t="s">
        <v>294</v>
      </c>
      <c r="F222" s="26"/>
      <c r="G222" s="25">
        <v>13146</v>
      </c>
      <c r="H222" s="26">
        <v>0.21909999999999999</v>
      </c>
      <c r="I222" s="25">
        <v>12467</v>
      </c>
      <c r="J222" s="26">
        <v>0.20465887451572701</v>
      </c>
      <c r="K222" s="25">
        <v>11356</v>
      </c>
      <c r="L222" s="26">
        <v>0.180989417314803</v>
      </c>
      <c r="M222" s="25">
        <v>10726</v>
      </c>
      <c r="N222" s="26">
        <v>0.15736271474890301</v>
      </c>
      <c r="O222" s="25">
        <v>10406</v>
      </c>
      <c r="P222" s="26">
        <v>0.155373727117986</v>
      </c>
      <c r="Q222" s="25">
        <v>10095</v>
      </c>
      <c r="R222" s="26">
        <v>0.15188445046265001</v>
      </c>
      <c r="S222" s="25">
        <v>11141</v>
      </c>
      <c r="T222" s="26">
        <v>0.15860429360514799</v>
      </c>
      <c r="U222" s="25">
        <v>9249</v>
      </c>
      <c r="V222" s="26">
        <v>0.122425477841902</v>
      </c>
    </row>
    <row r="223" spans="1:22" x14ac:dyDescent="0.3">
      <c r="A223" s="10" t="s">
        <v>300</v>
      </c>
      <c r="B223" s="10"/>
      <c r="C223" s="25" t="s">
        <v>294</v>
      </c>
      <c r="D223" s="26"/>
      <c r="E223" s="25" t="s">
        <v>294</v>
      </c>
      <c r="F223" s="26"/>
      <c r="G223" s="25">
        <v>4777</v>
      </c>
      <c r="H223" s="26">
        <v>7.9616666666666697E-2</v>
      </c>
      <c r="I223" s="25">
        <v>4672</v>
      </c>
      <c r="J223" s="26">
        <v>7.6695777792369801E-2</v>
      </c>
      <c r="K223" s="25">
        <v>4988</v>
      </c>
      <c r="L223" s="26">
        <v>7.9497641208721201E-2</v>
      </c>
      <c r="M223" s="25">
        <v>5084</v>
      </c>
      <c r="N223" s="26">
        <v>7.4588107568844306E-2</v>
      </c>
      <c r="O223" s="25">
        <v>5132</v>
      </c>
      <c r="P223" s="26">
        <v>7.6626750679368097E-2</v>
      </c>
      <c r="Q223" s="25">
        <v>4289</v>
      </c>
      <c r="R223" s="26">
        <v>6.4530203866696806E-2</v>
      </c>
      <c r="S223" s="25">
        <v>5030</v>
      </c>
      <c r="T223" s="26">
        <v>7.1607539433972994E-2</v>
      </c>
      <c r="U223" s="25">
        <v>6033</v>
      </c>
      <c r="V223" s="26">
        <v>7.9856515063271002E-2</v>
      </c>
    </row>
    <row r="224" spans="1:22" x14ac:dyDescent="0.3">
      <c r="A224" s="10" t="s">
        <v>301</v>
      </c>
      <c r="B224" s="10"/>
      <c r="C224" s="25" t="s">
        <v>294</v>
      </c>
      <c r="D224" s="26"/>
      <c r="E224" s="25" t="s">
        <v>294</v>
      </c>
      <c r="F224" s="26"/>
      <c r="G224" s="25">
        <v>2847</v>
      </c>
      <c r="H224" s="26">
        <v>4.7449999999999999E-2</v>
      </c>
      <c r="I224" s="25">
        <v>2809</v>
      </c>
      <c r="J224" s="26">
        <v>4.6112679755729198E-2</v>
      </c>
      <c r="K224" s="25">
        <v>2833</v>
      </c>
      <c r="L224" s="26">
        <v>4.5151727655234002E-2</v>
      </c>
      <c r="M224" s="25">
        <v>2921</v>
      </c>
      <c r="N224" s="26">
        <v>4.2854418215695203E-2</v>
      </c>
      <c r="O224" s="25">
        <v>2945</v>
      </c>
      <c r="P224" s="26">
        <v>4.3972287753456601E-2</v>
      </c>
      <c r="Q224" s="25">
        <v>3013</v>
      </c>
      <c r="R224" s="26">
        <v>4.5332129692319298E-2</v>
      </c>
      <c r="S224" s="25">
        <v>2928</v>
      </c>
      <c r="T224" s="26">
        <v>4.1683275439895202E-2</v>
      </c>
      <c r="U224" s="25">
        <v>2459</v>
      </c>
      <c r="V224" s="26">
        <v>3.2548843119606097E-2</v>
      </c>
    </row>
    <row r="225" spans="1:22" x14ac:dyDescent="0.3">
      <c r="A225" s="10" t="s">
        <v>302</v>
      </c>
      <c r="B225" s="10"/>
      <c r="C225" s="25" t="s">
        <v>294</v>
      </c>
      <c r="D225" s="26"/>
      <c r="E225" s="25" t="s">
        <v>294</v>
      </c>
      <c r="F225" s="26"/>
      <c r="G225" s="25">
        <v>233</v>
      </c>
      <c r="H225" s="26">
        <v>3.8833333333333298E-3</v>
      </c>
      <c r="I225" s="25">
        <v>330</v>
      </c>
      <c r="J225" s="26">
        <v>5.41729594851927E-3</v>
      </c>
      <c r="K225" s="25">
        <v>354</v>
      </c>
      <c r="L225" s="26">
        <v>5.6419737345403502E-3</v>
      </c>
      <c r="M225" s="25">
        <v>629</v>
      </c>
      <c r="N225" s="26">
        <v>9.22815099543727E-3</v>
      </c>
      <c r="O225" s="25">
        <v>651</v>
      </c>
      <c r="P225" s="26">
        <v>9.7201899244482894E-3</v>
      </c>
      <c r="Q225" s="25">
        <v>411</v>
      </c>
      <c r="R225" s="26">
        <v>6.18370570977206E-3</v>
      </c>
      <c r="S225" s="25">
        <v>701</v>
      </c>
      <c r="T225" s="26">
        <v>9.97950002847218E-3</v>
      </c>
      <c r="U225" s="25">
        <v>598</v>
      </c>
      <c r="V225" s="26">
        <v>7.9154974320961493E-3</v>
      </c>
    </row>
    <row r="226" spans="1:22" x14ac:dyDescent="0.3">
      <c r="A226" s="6" t="s">
        <v>343</v>
      </c>
      <c r="B226" s="6"/>
      <c r="C226" s="29" t="s">
        <v>294</v>
      </c>
      <c r="D226" s="30"/>
      <c r="E226" s="29" t="s">
        <v>294</v>
      </c>
      <c r="F226" s="30"/>
      <c r="G226" s="29">
        <v>4030</v>
      </c>
      <c r="H226" s="30">
        <v>1</v>
      </c>
      <c r="I226" s="29">
        <v>4033</v>
      </c>
      <c r="J226" s="30">
        <v>1</v>
      </c>
      <c r="K226" s="29">
        <v>4235</v>
      </c>
      <c r="L226" s="30">
        <v>1</v>
      </c>
      <c r="M226" s="29">
        <v>5461</v>
      </c>
      <c r="N226" s="30">
        <v>1</v>
      </c>
      <c r="O226" s="29">
        <v>5767</v>
      </c>
      <c r="P226" s="30">
        <v>1</v>
      </c>
      <c r="Q226" s="29">
        <v>5623</v>
      </c>
      <c r="R226" s="30">
        <v>1</v>
      </c>
      <c r="S226" s="29">
        <v>7954</v>
      </c>
      <c r="T226" s="30">
        <v>1</v>
      </c>
      <c r="U226" s="29">
        <v>5545</v>
      </c>
      <c r="V226" s="30">
        <v>1</v>
      </c>
    </row>
    <row r="227" spans="1:22" x14ac:dyDescent="0.3">
      <c r="A227" s="10" t="s">
        <v>293</v>
      </c>
      <c r="B227" s="10"/>
      <c r="C227" s="25" t="s">
        <v>294</v>
      </c>
      <c r="D227" s="26"/>
      <c r="E227" s="25" t="s">
        <v>294</v>
      </c>
      <c r="F227" s="26"/>
      <c r="G227" s="25">
        <v>1947</v>
      </c>
      <c r="H227" s="26">
        <v>0.48312655086848599</v>
      </c>
      <c r="I227" s="25">
        <v>1896</v>
      </c>
      <c r="J227" s="26">
        <v>0.47012149764443301</v>
      </c>
      <c r="K227" s="25">
        <v>2027</v>
      </c>
      <c r="L227" s="26">
        <v>0.47863046044864199</v>
      </c>
      <c r="M227" s="25">
        <v>2804</v>
      </c>
      <c r="N227" s="26">
        <v>0.51345907342977504</v>
      </c>
      <c r="O227" s="25">
        <v>2838</v>
      </c>
      <c r="P227" s="26">
        <v>0.49211028264262202</v>
      </c>
      <c r="Q227" s="25">
        <v>3224</v>
      </c>
      <c r="R227" s="26">
        <v>0.57335941668148704</v>
      </c>
      <c r="S227" s="25">
        <v>3221</v>
      </c>
      <c r="T227" s="26">
        <v>0.40495348252451602</v>
      </c>
      <c r="U227" s="25">
        <v>2996</v>
      </c>
      <c r="V227" s="26">
        <v>0.540306582506763</v>
      </c>
    </row>
    <row r="228" spans="1:22" x14ac:dyDescent="0.3">
      <c r="A228" s="10" t="s">
        <v>296</v>
      </c>
      <c r="B228" s="10"/>
      <c r="C228" s="25" t="s">
        <v>294</v>
      </c>
      <c r="D228" s="26"/>
      <c r="E228" s="25" t="s">
        <v>294</v>
      </c>
      <c r="F228" s="26"/>
      <c r="G228" s="25">
        <v>1090</v>
      </c>
      <c r="H228" s="26">
        <v>0.270471464019851</v>
      </c>
      <c r="I228" s="25">
        <v>1088</v>
      </c>
      <c r="J228" s="26">
        <v>0.26977436151748102</v>
      </c>
      <c r="K228" s="25">
        <v>956</v>
      </c>
      <c r="L228" s="26">
        <v>0.22573789846517101</v>
      </c>
      <c r="M228" s="25">
        <v>1381</v>
      </c>
      <c r="N228" s="26">
        <v>0.25288408716352301</v>
      </c>
      <c r="O228" s="25">
        <v>1241</v>
      </c>
      <c r="P228" s="26">
        <v>0.215189873417722</v>
      </c>
      <c r="Q228" s="25">
        <v>1567</v>
      </c>
      <c r="R228" s="26">
        <v>0.27867686288458099</v>
      </c>
      <c r="S228" s="25">
        <v>2749</v>
      </c>
      <c r="T228" s="26">
        <v>0.34561227055569499</v>
      </c>
      <c r="U228" s="25">
        <v>1685</v>
      </c>
      <c r="V228" s="26">
        <v>0.30387736699729501</v>
      </c>
    </row>
    <row r="229" spans="1:22" x14ac:dyDescent="0.3">
      <c r="A229" s="10" t="s">
        <v>295</v>
      </c>
      <c r="B229" s="10"/>
      <c r="C229" s="25" t="s">
        <v>294</v>
      </c>
      <c r="D229" s="26"/>
      <c r="E229" s="25" t="s">
        <v>294</v>
      </c>
      <c r="F229" s="26"/>
      <c r="G229" s="25">
        <v>634</v>
      </c>
      <c r="H229" s="26">
        <v>0.15732009925558299</v>
      </c>
      <c r="I229" s="25">
        <v>687</v>
      </c>
      <c r="J229" s="26">
        <v>0.17034465658318901</v>
      </c>
      <c r="K229" s="25">
        <v>868</v>
      </c>
      <c r="L229" s="26">
        <v>0.20495867768595</v>
      </c>
      <c r="M229" s="25">
        <v>1079</v>
      </c>
      <c r="N229" s="26">
        <v>0.19758286028200001</v>
      </c>
      <c r="O229" s="25">
        <v>1348</v>
      </c>
      <c r="P229" s="26">
        <v>0.23374371423617099</v>
      </c>
      <c r="Q229" s="25">
        <v>1335</v>
      </c>
      <c r="R229" s="26">
        <v>0.237417748532812</v>
      </c>
      <c r="S229" s="25">
        <v>472</v>
      </c>
      <c r="T229" s="26">
        <v>5.9341211968820702E-2</v>
      </c>
      <c r="U229" s="25">
        <v>1311</v>
      </c>
      <c r="V229" s="26">
        <v>0.23642921550946799</v>
      </c>
    </row>
    <row r="230" spans="1:22" x14ac:dyDescent="0.3">
      <c r="A230" s="10" t="s">
        <v>297</v>
      </c>
      <c r="B230" s="10"/>
      <c r="C230" s="25" t="s">
        <v>294</v>
      </c>
      <c r="D230" s="26"/>
      <c r="E230" s="25" t="s">
        <v>294</v>
      </c>
      <c r="F230" s="26"/>
      <c r="G230" s="25">
        <v>223</v>
      </c>
      <c r="H230" s="26">
        <v>5.5334987593052103E-2</v>
      </c>
      <c r="I230" s="25">
        <v>121</v>
      </c>
      <c r="J230" s="26">
        <v>3.0002479543763901E-2</v>
      </c>
      <c r="K230" s="25">
        <v>203</v>
      </c>
      <c r="L230" s="26">
        <v>4.7933884297520699E-2</v>
      </c>
      <c r="M230" s="25">
        <v>344</v>
      </c>
      <c r="N230" s="26">
        <v>6.2992125984251995E-2</v>
      </c>
      <c r="O230" s="25">
        <v>249</v>
      </c>
      <c r="P230" s="26">
        <v>4.3176694988729003E-2</v>
      </c>
      <c r="Q230" s="25">
        <v>322</v>
      </c>
      <c r="R230" s="26">
        <v>5.7264805264093901E-2</v>
      </c>
      <c r="S230" s="25">
        <v>0</v>
      </c>
      <c r="T230" s="26"/>
      <c r="U230" s="25">
        <v>0</v>
      </c>
      <c r="V230" s="26"/>
    </row>
    <row r="231" spans="1:22" x14ac:dyDescent="0.3">
      <c r="A231" s="10" t="s">
        <v>298</v>
      </c>
      <c r="B231" s="10"/>
      <c r="C231" s="25" t="s">
        <v>294</v>
      </c>
      <c r="D231" s="26"/>
      <c r="E231" s="25" t="s">
        <v>294</v>
      </c>
      <c r="F231" s="26"/>
      <c r="G231" s="25">
        <v>1388</v>
      </c>
      <c r="H231" s="26">
        <v>0.34441687344913102</v>
      </c>
      <c r="I231" s="25">
        <v>1224</v>
      </c>
      <c r="J231" s="26">
        <v>0.30349615670716601</v>
      </c>
      <c r="K231" s="25">
        <v>1229</v>
      </c>
      <c r="L231" s="26">
        <v>0.29020070838252698</v>
      </c>
      <c r="M231" s="25">
        <v>1237</v>
      </c>
      <c r="N231" s="26">
        <v>0.22651529023988301</v>
      </c>
      <c r="O231" s="25">
        <v>1405</v>
      </c>
      <c r="P231" s="26">
        <v>0.24362753598057901</v>
      </c>
      <c r="Q231" s="25">
        <v>1565</v>
      </c>
      <c r="R231" s="26">
        <v>0.27832118086430702</v>
      </c>
      <c r="S231" s="25">
        <v>2298</v>
      </c>
      <c r="T231" s="26">
        <v>0.28891123962785997</v>
      </c>
      <c r="U231" s="25">
        <v>1378</v>
      </c>
      <c r="V231" s="26">
        <v>0.248512173128945</v>
      </c>
    </row>
    <row r="232" spans="1:22" x14ac:dyDescent="0.3">
      <c r="A232" s="10" t="s">
        <v>299</v>
      </c>
      <c r="B232" s="10"/>
      <c r="C232" s="25" t="s">
        <v>294</v>
      </c>
      <c r="D232" s="26"/>
      <c r="E232" s="25" t="s">
        <v>294</v>
      </c>
      <c r="F232" s="26"/>
      <c r="G232" s="25">
        <v>1240</v>
      </c>
      <c r="H232" s="26">
        <v>0.30769230769230799</v>
      </c>
      <c r="I232" s="25">
        <v>706</v>
      </c>
      <c r="J232" s="26">
        <v>0.17505578973468899</v>
      </c>
      <c r="K232" s="25">
        <v>1182</v>
      </c>
      <c r="L232" s="26">
        <v>0.27910271546635201</v>
      </c>
      <c r="M232" s="25">
        <v>1255</v>
      </c>
      <c r="N232" s="26">
        <v>0.229811389855338</v>
      </c>
      <c r="O232" s="25">
        <v>1034</v>
      </c>
      <c r="P232" s="26">
        <v>0.17929599445118799</v>
      </c>
      <c r="Q232" s="25">
        <v>976</v>
      </c>
      <c r="R232" s="26">
        <v>0.173572825893651</v>
      </c>
      <c r="S232" s="25">
        <v>2242</v>
      </c>
      <c r="T232" s="26">
        <v>0.281870756851898</v>
      </c>
      <c r="U232" s="25">
        <v>1008</v>
      </c>
      <c r="V232" s="26">
        <v>0.18178539224526599</v>
      </c>
    </row>
    <row r="233" spans="1:22" x14ac:dyDescent="0.3">
      <c r="A233" s="10" t="s">
        <v>300</v>
      </c>
      <c r="B233" s="10"/>
      <c r="C233" s="25" t="s">
        <v>294</v>
      </c>
      <c r="D233" s="26"/>
      <c r="E233" s="25" t="s">
        <v>294</v>
      </c>
      <c r="F233" s="26"/>
      <c r="G233" s="25">
        <v>625</v>
      </c>
      <c r="H233" s="26">
        <v>0.155086848635236</v>
      </c>
      <c r="I233" s="25">
        <v>543</v>
      </c>
      <c r="J233" s="26">
        <v>0.13463922638234599</v>
      </c>
      <c r="K233" s="25">
        <v>585</v>
      </c>
      <c r="L233" s="26">
        <v>0.13813459268004699</v>
      </c>
      <c r="M233" s="25">
        <v>592</v>
      </c>
      <c r="N233" s="26">
        <v>0.10840505401941</v>
      </c>
      <c r="O233" s="25">
        <v>609</v>
      </c>
      <c r="P233" s="26">
        <v>0.105600832321831</v>
      </c>
      <c r="Q233" s="25">
        <v>280</v>
      </c>
      <c r="R233" s="26">
        <v>4.9795482838342502E-2</v>
      </c>
      <c r="S233" s="25">
        <v>291</v>
      </c>
      <c r="T233" s="26">
        <v>3.65853658536585E-2</v>
      </c>
      <c r="U233" s="25">
        <v>761</v>
      </c>
      <c r="V233" s="26">
        <v>0.137240757439134</v>
      </c>
    </row>
    <row r="234" spans="1:22" x14ac:dyDescent="0.3">
      <c r="A234" s="10" t="s">
        <v>301</v>
      </c>
      <c r="B234" s="10"/>
      <c r="C234" s="25" t="s">
        <v>294</v>
      </c>
      <c r="D234" s="26"/>
      <c r="E234" s="25" t="s">
        <v>294</v>
      </c>
      <c r="F234" s="26"/>
      <c r="G234" s="25">
        <v>240</v>
      </c>
      <c r="H234" s="26">
        <v>5.95533498759305E-2</v>
      </c>
      <c r="I234" s="25">
        <v>273</v>
      </c>
      <c r="J234" s="26">
        <v>6.7691544755764901E-2</v>
      </c>
      <c r="K234" s="25">
        <v>297</v>
      </c>
      <c r="L234" s="26">
        <v>7.0129870129870098E-2</v>
      </c>
      <c r="M234" s="25">
        <v>277</v>
      </c>
      <c r="N234" s="26">
        <v>5.0723310748947099E-2</v>
      </c>
      <c r="O234" s="25">
        <v>282</v>
      </c>
      <c r="P234" s="26">
        <v>4.8898907577596698E-2</v>
      </c>
      <c r="Q234" s="25">
        <v>327</v>
      </c>
      <c r="R234" s="26">
        <v>5.8154010314778598E-2</v>
      </c>
      <c r="S234" s="25">
        <v>301</v>
      </c>
      <c r="T234" s="26">
        <v>3.7842594920794601E-2</v>
      </c>
      <c r="U234" s="25">
        <v>246</v>
      </c>
      <c r="V234" s="26">
        <v>4.4364292155094701E-2</v>
      </c>
    </row>
    <row r="235" spans="1:22" x14ac:dyDescent="0.3">
      <c r="A235" s="10" t="s">
        <v>302</v>
      </c>
      <c r="B235" s="10"/>
      <c r="C235" s="25" t="s">
        <v>294</v>
      </c>
      <c r="D235" s="26"/>
      <c r="E235" s="25" t="s">
        <v>294</v>
      </c>
      <c r="F235" s="26"/>
      <c r="G235" s="25">
        <v>-1410</v>
      </c>
      <c r="H235" s="26">
        <v>-0.349875930521092</v>
      </c>
      <c r="I235" s="25">
        <v>-609</v>
      </c>
      <c r="J235" s="26">
        <v>-0.151004215224399</v>
      </c>
      <c r="K235" s="25">
        <v>-1085</v>
      </c>
      <c r="L235" s="26">
        <v>-0.256198347107438</v>
      </c>
      <c r="M235" s="25">
        <v>-704</v>
      </c>
      <c r="N235" s="26">
        <v>-0.128914118293353</v>
      </c>
      <c r="O235" s="25">
        <v>-401</v>
      </c>
      <c r="P235" s="26">
        <v>-6.9533552973816498E-2</v>
      </c>
      <c r="Q235" s="25">
        <v>-749</v>
      </c>
      <c r="R235" s="26">
        <v>-0.133202916592566</v>
      </c>
      <c r="S235" s="25">
        <v>-399</v>
      </c>
      <c r="T235" s="26">
        <v>-5.0163439778727698E-2</v>
      </c>
      <c r="U235" s="25">
        <v>-844</v>
      </c>
      <c r="V235" s="26">
        <v>-0.15220919747520301</v>
      </c>
    </row>
    <row r="236" spans="1:22" x14ac:dyDescent="0.3">
      <c r="A236" s="6" t="s">
        <v>344</v>
      </c>
      <c r="B236" s="6"/>
      <c r="C236" s="29">
        <v>10542</v>
      </c>
      <c r="D236" s="30">
        <v>1</v>
      </c>
      <c r="E236" s="29">
        <v>9872</v>
      </c>
      <c r="F236" s="30">
        <v>1</v>
      </c>
      <c r="G236" s="29">
        <v>9477</v>
      </c>
      <c r="H236" s="30">
        <v>1</v>
      </c>
      <c r="I236" s="29">
        <v>9220</v>
      </c>
      <c r="J236" s="30">
        <v>1</v>
      </c>
      <c r="K236" s="29">
        <v>9590</v>
      </c>
      <c r="L236" s="30">
        <v>1</v>
      </c>
      <c r="M236" s="29">
        <v>9422</v>
      </c>
      <c r="N236" s="30">
        <v>1</v>
      </c>
      <c r="O236" s="29">
        <v>9308</v>
      </c>
      <c r="P236" s="30">
        <v>1</v>
      </c>
      <c r="Q236" s="29">
        <v>10112</v>
      </c>
      <c r="R236" s="30">
        <v>1</v>
      </c>
      <c r="S236" s="29">
        <v>9535</v>
      </c>
      <c r="T236" s="30">
        <v>1</v>
      </c>
      <c r="U236" s="29">
        <v>9297</v>
      </c>
      <c r="V236" s="30">
        <v>1</v>
      </c>
    </row>
    <row r="237" spans="1:22" x14ac:dyDescent="0.3">
      <c r="A237" s="10" t="s">
        <v>298</v>
      </c>
      <c r="B237" s="10"/>
      <c r="C237" s="25">
        <v>4898</v>
      </c>
      <c r="D237" s="26">
        <v>0.46461771959779902</v>
      </c>
      <c r="E237" s="25">
        <v>4615</v>
      </c>
      <c r="F237" s="26">
        <v>0.46748379254457101</v>
      </c>
      <c r="G237" s="25">
        <v>4508</v>
      </c>
      <c r="H237" s="26">
        <v>0.475677957159439</v>
      </c>
      <c r="I237" s="25">
        <v>4596</v>
      </c>
      <c r="J237" s="26">
        <v>0.498481561822126</v>
      </c>
      <c r="K237" s="25">
        <v>4673</v>
      </c>
      <c r="L237" s="26">
        <v>0.48727841501564101</v>
      </c>
      <c r="M237" s="25">
        <v>4690</v>
      </c>
      <c r="N237" s="26">
        <v>0.49777117384844</v>
      </c>
      <c r="O237" s="25">
        <v>4636</v>
      </c>
      <c r="P237" s="26">
        <v>0.49806617963042499</v>
      </c>
      <c r="Q237" s="25">
        <v>4763</v>
      </c>
      <c r="R237" s="26">
        <v>0.471024525316456</v>
      </c>
      <c r="S237" s="25">
        <v>4552</v>
      </c>
      <c r="T237" s="26">
        <v>0.47739905610907202</v>
      </c>
      <c r="U237" s="25">
        <v>4309</v>
      </c>
      <c r="V237" s="26">
        <v>0.46348284392814898</v>
      </c>
    </row>
    <row r="238" spans="1:22" x14ac:dyDescent="0.3">
      <c r="A238" s="10" t="s">
        <v>293</v>
      </c>
      <c r="B238" s="10"/>
      <c r="C238" s="25" t="s">
        <v>294</v>
      </c>
      <c r="D238" s="26"/>
      <c r="E238" s="25">
        <v>1451</v>
      </c>
      <c r="F238" s="26">
        <v>0.14698136142625601</v>
      </c>
      <c r="G238" s="25">
        <v>1451</v>
      </c>
      <c r="H238" s="26">
        <v>0.153107523477894</v>
      </c>
      <c r="I238" s="25">
        <v>1451</v>
      </c>
      <c r="J238" s="26">
        <v>0.15737527114967501</v>
      </c>
      <c r="K238" s="25">
        <v>1451</v>
      </c>
      <c r="L238" s="26">
        <v>0.151303441084463</v>
      </c>
      <c r="M238" s="25">
        <v>1451</v>
      </c>
      <c r="N238" s="26">
        <v>0.15400127361494401</v>
      </c>
      <c r="O238" s="25">
        <v>1466</v>
      </c>
      <c r="P238" s="26">
        <v>0.15749892565535001</v>
      </c>
      <c r="Q238" s="25">
        <v>2070</v>
      </c>
      <c r="R238" s="26">
        <v>0.204707278481013</v>
      </c>
      <c r="S238" s="25">
        <v>2070</v>
      </c>
      <c r="T238" s="26">
        <v>0.21709491347666501</v>
      </c>
      <c r="U238" s="25">
        <v>2070</v>
      </c>
      <c r="V238" s="26">
        <v>0.222652468538238</v>
      </c>
    </row>
    <row r="239" spans="1:22" x14ac:dyDescent="0.3">
      <c r="A239" s="10" t="s">
        <v>300</v>
      </c>
      <c r="B239" s="10"/>
      <c r="C239" s="25" t="s">
        <v>294</v>
      </c>
      <c r="D239" s="26"/>
      <c r="E239" s="25">
        <v>1385</v>
      </c>
      <c r="F239" s="26">
        <v>0.14029578606158799</v>
      </c>
      <c r="G239" s="25">
        <v>1186</v>
      </c>
      <c r="H239" s="26">
        <v>0.125145088108051</v>
      </c>
      <c r="I239" s="25">
        <v>1226</v>
      </c>
      <c r="J239" s="26">
        <v>0.13297180043383899</v>
      </c>
      <c r="K239" s="25">
        <v>1306</v>
      </c>
      <c r="L239" s="26">
        <v>0.13618352450469201</v>
      </c>
      <c r="M239" s="25">
        <v>1172</v>
      </c>
      <c r="N239" s="26">
        <v>0.124389726172787</v>
      </c>
      <c r="O239" s="25">
        <v>1099</v>
      </c>
      <c r="P239" s="26">
        <v>0.118070477009024</v>
      </c>
      <c r="Q239" s="25">
        <v>1143</v>
      </c>
      <c r="R239" s="26">
        <v>0.113034018987342</v>
      </c>
      <c r="S239" s="25">
        <v>977</v>
      </c>
      <c r="T239" s="26">
        <v>0.10246460409019401</v>
      </c>
      <c r="U239" s="25">
        <v>980</v>
      </c>
      <c r="V239" s="26">
        <v>0.1054103474239</v>
      </c>
    </row>
    <row r="240" spans="1:22" x14ac:dyDescent="0.3">
      <c r="A240" s="10" t="s">
        <v>301</v>
      </c>
      <c r="B240" s="10"/>
      <c r="C240" s="25">
        <v>1356</v>
      </c>
      <c r="D240" s="26">
        <v>0.12862834376778601</v>
      </c>
      <c r="E240" s="25">
        <v>1232</v>
      </c>
      <c r="F240" s="26">
        <v>0.124797406807131</v>
      </c>
      <c r="G240" s="25">
        <v>1143</v>
      </c>
      <c r="H240" s="26">
        <v>0.120607787274454</v>
      </c>
      <c r="I240" s="25">
        <v>1060</v>
      </c>
      <c r="J240" s="26">
        <v>0.114967462039046</v>
      </c>
      <c r="K240" s="25">
        <v>1170</v>
      </c>
      <c r="L240" s="26">
        <v>0.12200208550573501</v>
      </c>
      <c r="M240" s="25">
        <v>1119</v>
      </c>
      <c r="N240" s="26">
        <v>0.118764593504564</v>
      </c>
      <c r="O240" s="25">
        <v>1117</v>
      </c>
      <c r="P240" s="26">
        <v>0.120004297378599</v>
      </c>
      <c r="Q240" s="25">
        <v>1146</v>
      </c>
      <c r="R240" s="26">
        <v>0.113330696202532</v>
      </c>
      <c r="S240" s="25">
        <v>946</v>
      </c>
      <c r="T240" s="26">
        <v>9.92134242265338E-2</v>
      </c>
      <c r="U240" s="25">
        <v>908</v>
      </c>
      <c r="V240" s="26">
        <v>9.7665913735613605E-2</v>
      </c>
    </row>
    <row r="241" spans="1:22" x14ac:dyDescent="0.3">
      <c r="A241" s="10" t="s">
        <v>299</v>
      </c>
      <c r="B241" s="10"/>
      <c r="C241" s="25" t="s">
        <v>294</v>
      </c>
      <c r="D241" s="26"/>
      <c r="E241" s="25">
        <v>887</v>
      </c>
      <c r="F241" s="26">
        <v>8.9850081037277194E-2</v>
      </c>
      <c r="G241" s="25">
        <v>887</v>
      </c>
      <c r="H241" s="26">
        <v>9.3595019520945399E-2</v>
      </c>
      <c r="I241" s="25">
        <v>887</v>
      </c>
      <c r="J241" s="26">
        <v>9.6203904555314496E-2</v>
      </c>
      <c r="K241" s="25">
        <v>887</v>
      </c>
      <c r="L241" s="26">
        <v>9.2492179353493201E-2</v>
      </c>
      <c r="M241" s="25">
        <v>887</v>
      </c>
      <c r="N241" s="26">
        <v>9.4141371258756101E-2</v>
      </c>
      <c r="O241" s="25">
        <v>887</v>
      </c>
      <c r="P241" s="26">
        <v>9.52943704340352E-2</v>
      </c>
      <c r="Q241" s="25">
        <v>887</v>
      </c>
      <c r="R241" s="26">
        <v>8.7717563291139194E-2</v>
      </c>
      <c r="S241" s="25">
        <v>887</v>
      </c>
      <c r="T241" s="26">
        <v>9.3025694808599901E-2</v>
      </c>
      <c r="U241" s="25">
        <v>887</v>
      </c>
      <c r="V241" s="26">
        <v>9.5407120576530099E-2</v>
      </c>
    </row>
    <row r="242" spans="1:22" x14ac:dyDescent="0.3">
      <c r="A242" s="10" t="s">
        <v>302</v>
      </c>
      <c r="B242" s="10"/>
      <c r="C242" s="25">
        <v>229</v>
      </c>
      <c r="D242" s="26">
        <v>2.1722633276418098E-2</v>
      </c>
      <c r="E242" s="25">
        <v>42</v>
      </c>
      <c r="F242" s="26">
        <v>4.2544570502431097E-3</v>
      </c>
      <c r="G242" s="25">
        <v>42</v>
      </c>
      <c r="H242" s="26">
        <v>4.4317822095599896E-3</v>
      </c>
      <c r="I242" s="25">
        <v>0</v>
      </c>
      <c r="J242" s="26"/>
      <c r="K242" s="25">
        <v>103</v>
      </c>
      <c r="L242" s="26">
        <v>1.0740354535974999E-2</v>
      </c>
      <c r="M242" s="25">
        <v>103</v>
      </c>
      <c r="N242" s="26">
        <v>1.09318616005094E-2</v>
      </c>
      <c r="O242" s="25">
        <v>103</v>
      </c>
      <c r="P242" s="26">
        <v>1.10657498925655E-2</v>
      </c>
      <c r="Q242" s="25">
        <v>103</v>
      </c>
      <c r="R242" s="26">
        <v>1.0185917721519E-2</v>
      </c>
      <c r="S242" s="25">
        <v>103</v>
      </c>
      <c r="T242" s="26">
        <v>1.0802307288935499E-2</v>
      </c>
      <c r="U242" s="25">
        <v>143</v>
      </c>
      <c r="V242" s="26">
        <v>1.5381305797569101E-2</v>
      </c>
    </row>
    <row r="243" spans="1:22" x14ac:dyDescent="0.3">
      <c r="A243" s="10" t="s">
        <v>304</v>
      </c>
      <c r="B243" s="10"/>
      <c r="C243" s="25" t="s">
        <v>294</v>
      </c>
      <c r="D243" s="26"/>
      <c r="E243" s="25">
        <v>260</v>
      </c>
      <c r="F243" s="26">
        <v>2.6337115072933501E-2</v>
      </c>
      <c r="G243" s="25">
        <v>260</v>
      </c>
      <c r="H243" s="26">
        <v>2.7434842249657101E-2</v>
      </c>
      <c r="I243" s="25" t="s">
        <v>294</v>
      </c>
      <c r="J243" s="26"/>
      <c r="K243" s="25" t="s">
        <v>294</v>
      </c>
      <c r="L243" s="26"/>
      <c r="M243" s="25" t="s">
        <v>294</v>
      </c>
      <c r="N243" s="26"/>
      <c r="O243" s="25" t="s">
        <v>294</v>
      </c>
      <c r="P243" s="26"/>
      <c r="Q243" s="25" t="s">
        <v>294</v>
      </c>
      <c r="R243" s="26"/>
      <c r="S243" s="25" t="s">
        <v>294</v>
      </c>
      <c r="T243" s="26"/>
      <c r="U243" s="25" t="s">
        <v>294</v>
      </c>
      <c r="V243" s="26"/>
    </row>
    <row r="244" spans="1:22" x14ac:dyDescent="0.3">
      <c r="A244" s="10" t="s">
        <v>306</v>
      </c>
      <c r="B244" s="10"/>
      <c r="C244" s="25">
        <v>4059</v>
      </c>
      <c r="D244" s="26">
        <v>0.38503130335799701</v>
      </c>
      <c r="E244" s="25" t="s">
        <v>294</v>
      </c>
      <c r="F244" s="26"/>
      <c r="G244" s="25" t="s">
        <v>294</v>
      </c>
      <c r="H244" s="26"/>
      <c r="I244" s="25" t="s">
        <v>294</v>
      </c>
      <c r="J244" s="26"/>
      <c r="K244" s="25" t="s">
        <v>294</v>
      </c>
      <c r="L244" s="26"/>
      <c r="M244" s="25" t="s">
        <v>294</v>
      </c>
      <c r="N244" s="26"/>
      <c r="O244" s="25" t="s">
        <v>294</v>
      </c>
      <c r="P244" s="26"/>
      <c r="Q244" s="25" t="s">
        <v>294</v>
      </c>
      <c r="R244" s="26"/>
      <c r="S244" s="25" t="s">
        <v>294</v>
      </c>
      <c r="T244" s="26"/>
      <c r="U244" s="25" t="s">
        <v>294</v>
      </c>
      <c r="V244" s="26"/>
    </row>
    <row r="245" spans="1:22" x14ac:dyDescent="0.3">
      <c r="A245" s="10" t="s">
        <v>307</v>
      </c>
      <c r="B245" s="10"/>
      <c r="C245" s="25">
        <v>1588</v>
      </c>
      <c r="D245" s="26">
        <v>0.15063555302599099</v>
      </c>
      <c r="E245" s="25" t="s">
        <v>294</v>
      </c>
      <c r="F245" s="26"/>
      <c r="G245" s="25" t="s">
        <v>294</v>
      </c>
      <c r="H245" s="26"/>
      <c r="I245" s="25" t="s">
        <v>294</v>
      </c>
      <c r="J245" s="26"/>
      <c r="K245" s="25" t="s">
        <v>294</v>
      </c>
      <c r="L245" s="26"/>
      <c r="M245" s="25" t="s">
        <v>294</v>
      </c>
      <c r="N245" s="26"/>
      <c r="O245" s="25" t="s">
        <v>294</v>
      </c>
      <c r="P245" s="26"/>
      <c r="Q245" s="25" t="s">
        <v>294</v>
      </c>
      <c r="R245" s="26"/>
      <c r="S245" s="25" t="s">
        <v>294</v>
      </c>
      <c r="T245" s="26"/>
      <c r="U245" s="25" t="s">
        <v>294</v>
      </c>
      <c r="V245" s="26"/>
    </row>
    <row r="246" spans="1:22" x14ac:dyDescent="0.3">
      <c r="A246" s="10" t="s">
        <v>308</v>
      </c>
      <c r="B246" s="10"/>
      <c r="C246" s="25">
        <v>900</v>
      </c>
      <c r="D246" s="26">
        <v>8.5372794536141106E-2</v>
      </c>
      <c r="E246" s="25" t="s">
        <v>294</v>
      </c>
      <c r="F246" s="26"/>
      <c r="G246" s="25" t="s">
        <v>294</v>
      </c>
      <c r="H246" s="26"/>
      <c r="I246" s="25" t="s">
        <v>294</v>
      </c>
      <c r="J246" s="26"/>
      <c r="K246" s="25" t="s">
        <v>294</v>
      </c>
      <c r="L246" s="26"/>
      <c r="M246" s="25" t="s">
        <v>294</v>
      </c>
      <c r="N246" s="26"/>
      <c r="O246" s="25" t="s">
        <v>294</v>
      </c>
      <c r="P246" s="26"/>
      <c r="Q246" s="25" t="s">
        <v>294</v>
      </c>
      <c r="R246" s="26"/>
      <c r="S246" s="25" t="s">
        <v>294</v>
      </c>
      <c r="T246" s="26"/>
      <c r="U246" s="25" t="s">
        <v>294</v>
      </c>
      <c r="V246" s="26"/>
    </row>
    <row r="247" spans="1:22" x14ac:dyDescent="0.3">
      <c r="A247" s="10" t="s">
        <v>309</v>
      </c>
      <c r="B247" s="10"/>
      <c r="C247" s="25">
        <v>138</v>
      </c>
      <c r="D247" s="26">
        <v>1.3090495162208299E-2</v>
      </c>
      <c r="E247" s="25" t="s">
        <v>294</v>
      </c>
      <c r="F247" s="26"/>
      <c r="G247" s="25" t="s">
        <v>294</v>
      </c>
      <c r="H247" s="26"/>
      <c r="I247" s="25" t="s">
        <v>294</v>
      </c>
      <c r="J247" s="26"/>
      <c r="K247" s="25" t="s">
        <v>294</v>
      </c>
      <c r="L247" s="26"/>
      <c r="M247" s="25" t="s">
        <v>294</v>
      </c>
      <c r="N247" s="26"/>
      <c r="O247" s="25" t="s">
        <v>294</v>
      </c>
      <c r="P247" s="26"/>
      <c r="Q247" s="25" t="s">
        <v>294</v>
      </c>
      <c r="R247" s="26"/>
      <c r="S247" s="25" t="s">
        <v>294</v>
      </c>
      <c r="T247" s="26"/>
      <c r="U247" s="25" t="s">
        <v>294</v>
      </c>
      <c r="V247" s="26"/>
    </row>
    <row r="248" spans="1:22" x14ac:dyDescent="0.3">
      <c r="A248" s="10" t="s">
        <v>310</v>
      </c>
      <c r="B248" s="10"/>
      <c r="C248" s="25">
        <v>1433</v>
      </c>
      <c r="D248" s="26">
        <v>0.13593246063365599</v>
      </c>
      <c r="E248" s="25" t="s">
        <v>294</v>
      </c>
      <c r="F248" s="26"/>
      <c r="G248" s="25" t="s">
        <v>294</v>
      </c>
      <c r="H248" s="26"/>
      <c r="I248" s="25" t="s">
        <v>294</v>
      </c>
      <c r="J248" s="26"/>
      <c r="K248" s="25" t="s">
        <v>294</v>
      </c>
      <c r="L248" s="26"/>
      <c r="M248" s="25" t="s">
        <v>294</v>
      </c>
      <c r="N248" s="26"/>
      <c r="O248" s="25" t="s">
        <v>294</v>
      </c>
      <c r="P248" s="26"/>
      <c r="Q248" s="25" t="s">
        <v>294</v>
      </c>
      <c r="R248" s="26"/>
      <c r="S248" s="25" t="s">
        <v>294</v>
      </c>
      <c r="T248" s="26"/>
      <c r="U248" s="25" t="s">
        <v>294</v>
      </c>
      <c r="V248" s="26"/>
    </row>
    <row r="249" spans="1:22" x14ac:dyDescent="0.3">
      <c r="A249" s="6" t="s">
        <v>149</v>
      </c>
      <c r="B249" s="6"/>
      <c r="C249" s="29">
        <v>885296</v>
      </c>
      <c r="D249" s="30">
        <v>1</v>
      </c>
      <c r="E249" s="29">
        <v>902337</v>
      </c>
      <c r="F249" s="30">
        <v>1</v>
      </c>
      <c r="G249" s="29">
        <v>877933</v>
      </c>
      <c r="H249" s="30">
        <v>1</v>
      </c>
      <c r="I249" s="29">
        <v>898764</v>
      </c>
      <c r="J249" s="30">
        <v>1</v>
      </c>
      <c r="K249" s="29">
        <v>719892</v>
      </c>
      <c r="L249" s="30">
        <v>1</v>
      </c>
      <c r="M249" s="29">
        <v>687538</v>
      </c>
      <c r="N249" s="30">
        <v>1</v>
      </c>
      <c r="O249" s="29">
        <v>740463</v>
      </c>
      <c r="P249" s="30">
        <v>1</v>
      </c>
      <c r="Q249" s="29">
        <v>795146</v>
      </c>
      <c r="R249" s="30">
        <v>1</v>
      </c>
      <c r="S249" s="29">
        <v>759708</v>
      </c>
      <c r="T249" s="30">
        <v>1</v>
      </c>
      <c r="U249" s="29">
        <v>666611</v>
      </c>
      <c r="V249" s="30">
        <v>1</v>
      </c>
    </row>
    <row r="250" spans="1:22" x14ac:dyDescent="0.3">
      <c r="A250" s="10" t="s">
        <v>293</v>
      </c>
      <c r="B250" s="10"/>
      <c r="C250" s="25" t="s">
        <v>294</v>
      </c>
      <c r="D250" s="26"/>
      <c r="E250" s="25" t="s">
        <v>294</v>
      </c>
      <c r="F250" s="26"/>
      <c r="G250" s="25">
        <v>237858</v>
      </c>
      <c r="H250" s="26">
        <v>0.27092955840593802</v>
      </c>
      <c r="I250" s="25">
        <v>253926</v>
      </c>
      <c r="J250" s="26">
        <v>0.28252800512704102</v>
      </c>
      <c r="K250" s="25">
        <v>255428</v>
      </c>
      <c r="L250" s="26">
        <v>0.35481433326110001</v>
      </c>
      <c r="M250" s="25">
        <v>248174</v>
      </c>
      <c r="N250" s="26">
        <v>0.36096041236993398</v>
      </c>
      <c r="O250" s="25">
        <v>266174</v>
      </c>
      <c r="P250" s="26">
        <v>0.3594696831577</v>
      </c>
      <c r="Q250" s="25">
        <v>291483</v>
      </c>
      <c r="R250" s="26">
        <v>0.36657796178311902</v>
      </c>
      <c r="S250" s="25">
        <v>282741</v>
      </c>
      <c r="T250" s="26">
        <v>0.37217062345006202</v>
      </c>
      <c r="U250" s="25">
        <v>252559</v>
      </c>
      <c r="V250" s="26">
        <v>0.37887013565632699</v>
      </c>
    </row>
    <row r="251" spans="1:22" x14ac:dyDescent="0.3">
      <c r="A251" s="10" t="s">
        <v>298</v>
      </c>
      <c r="B251" s="10"/>
      <c r="C251" s="25">
        <v>119717</v>
      </c>
      <c r="D251" s="26">
        <v>0.135228217454953</v>
      </c>
      <c r="E251" s="25">
        <v>116915</v>
      </c>
      <c r="F251" s="26">
        <v>0.12956910777237299</v>
      </c>
      <c r="G251" s="25">
        <v>113895</v>
      </c>
      <c r="H251" s="26">
        <v>0.129730856454878</v>
      </c>
      <c r="I251" s="25">
        <v>120656</v>
      </c>
      <c r="J251" s="26">
        <v>0.13424658753577101</v>
      </c>
      <c r="K251" s="25">
        <v>136928</v>
      </c>
      <c r="L251" s="26">
        <v>0.190206308724086</v>
      </c>
      <c r="M251" s="25">
        <v>146278</v>
      </c>
      <c r="N251" s="26">
        <v>0.21275624038235</v>
      </c>
      <c r="O251" s="25">
        <v>161018</v>
      </c>
      <c r="P251" s="26">
        <v>0.21745583506535801</v>
      </c>
      <c r="Q251" s="25">
        <v>173884</v>
      </c>
      <c r="R251" s="26">
        <v>0.21868185213784599</v>
      </c>
      <c r="S251" s="25">
        <v>169291</v>
      </c>
      <c r="T251" s="26">
        <v>0.222836932084432</v>
      </c>
      <c r="U251" s="25">
        <v>150134</v>
      </c>
      <c r="V251" s="26">
        <v>0.22521980585378901</v>
      </c>
    </row>
    <row r="252" spans="1:22" x14ac:dyDescent="0.3">
      <c r="A252" s="10" t="s">
        <v>299</v>
      </c>
      <c r="B252" s="10"/>
      <c r="C252" s="25" t="s">
        <v>294</v>
      </c>
      <c r="D252" s="26"/>
      <c r="E252" s="25" t="s">
        <v>294</v>
      </c>
      <c r="F252" s="26"/>
      <c r="G252" s="25">
        <v>187677</v>
      </c>
      <c r="H252" s="26">
        <v>0.21377143813935701</v>
      </c>
      <c r="I252" s="25">
        <v>183832</v>
      </c>
      <c r="J252" s="26">
        <v>0.204538677561629</v>
      </c>
      <c r="K252" s="25">
        <v>183160</v>
      </c>
      <c r="L252" s="26">
        <v>0.25442705294683099</v>
      </c>
      <c r="M252" s="25">
        <v>166872</v>
      </c>
      <c r="N252" s="26">
        <v>0.24270949387524801</v>
      </c>
      <c r="O252" s="25">
        <v>175199</v>
      </c>
      <c r="P252" s="26">
        <v>0.236607365931856</v>
      </c>
      <c r="Q252" s="25">
        <v>184566</v>
      </c>
      <c r="R252" s="26">
        <v>0.23211586299874501</v>
      </c>
      <c r="S252" s="25">
        <v>179551</v>
      </c>
      <c r="T252" s="26">
        <v>0.23634212092014301</v>
      </c>
      <c r="U252" s="25">
        <v>149739</v>
      </c>
      <c r="V252" s="26">
        <v>0.224627256375907</v>
      </c>
    </row>
    <row r="253" spans="1:22" x14ac:dyDescent="0.3">
      <c r="A253" s="10" t="s">
        <v>300</v>
      </c>
      <c r="B253" s="10"/>
      <c r="C253" s="25" t="s">
        <v>294</v>
      </c>
      <c r="D253" s="26"/>
      <c r="E253" s="25" t="s">
        <v>294</v>
      </c>
      <c r="F253" s="26"/>
      <c r="G253" s="25">
        <v>64808</v>
      </c>
      <c r="H253" s="26">
        <v>7.3818844946026599E-2</v>
      </c>
      <c r="I253" s="25">
        <v>67233</v>
      </c>
      <c r="J253" s="26">
        <v>7.48060669986782E-2</v>
      </c>
      <c r="K253" s="25">
        <v>79670</v>
      </c>
      <c r="L253" s="26">
        <v>0.11066937818450499</v>
      </c>
      <c r="M253" s="25">
        <v>70417</v>
      </c>
      <c r="N253" s="26">
        <v>0.102419066291609</v>
      </c>
      <c r="O253" s="25">
        <v>75069</v>
      </c>
      <c r="P253" s="26">
        <v>0.101381162867017</v>
      </c>
      <c r="Q253" s="25">
        <v>75047</v>
      </c>
      <c r="R253" s="26">
        <v>9.4381409200322994E-2</v>
      </c>
      <c r="S253" s="25">
        <v>59763</v>
      </c>
      <c r="T253" s="26">
        <v>7.8665750525201805E-2</v>
      </c>
      <c r="U253" s="25">
        <v>63810</v>
      </c>
      <c r="V253" s="26">
        <v>9.57229928699046E-2</v>
      </c>
    </row>
    <row r="254" spans="1:22" x14ac:dyDescent="0.3">
      <c r="A254" s="10" t="s">
        <v>302</v>
      </c>
      <c r="B254" s="10"/>
      <c r="C254" s="25">
        <v>48791</v>
      </c>
      <c r="D254" s="26">
        <v>5.5112640292060498E-2</v>
      </c>
      <c r="E254" s="25">
        <v>51574</v>
      </c>
      <c r="F254" s="26">
        <v>5.7156029288392203E-2</v>
      </c>
      <c r="G254" s="25">
        <v>20136</v>
      </c>
      <c r="H254" s="26">
        <v>2.2935690992365001E-2</v>
      </c>
      <c r="I254" s="25">
        <v>247521</v>
      </c>
      <c r="J254" s="26">
        <v>0.27540155146401102</v>
      </c>
      <c r="K254" s="25">
        <v>34206</v>
      </c>
      <c r="L254" s="26">
        <v>4.7515460652431202E-2</v>
      </c>
      <c r="M254" s="25">
        <v>27968</v>
      </c>
      <c r="N254" s="26">
        <v>4.0678478862259303E-2</v>
      </c>
      <c r="O254" s="25">
        <v>35722</v>
      </c>
      <c r="P254" s="26">
        <v>4.8242788633598203E-2</v>
      </c>
      <c r="Q254" s="25">
        <v>41794</v>
      </c>
      <c r="R254" s="26">
        <v>5.2561416393970398E-2</v>
      </c>
      <c r="S254" s="25">
        <v>41324</v>
      </c>
      <c r="T254" s="26">
        <v>5.4394583181959402E-2</v>
      </c>
      <c r="U254" s="25">
        <v>33604</v>
      </c>
      <c r="V254" s="26">
        <v>5.0410209252472603E-2</v>
      </c>
    </row>
    <row r="255" spans="1:22" x14ac:dyDescent="0.3">
      <c r="A255" s="10" t="s">
        <v>301</v>
      </c>
      <c r="B255" s="10"/>
      <c r="C255" s="25">
        <v>33382</v>
      </c>
      <c r="D255" s="26">
        <v>3.7707162350219599E-2</v>
      </c>
      <c r="E255" s="25">
        <v>27698</v>
      </c>
      <c r="F255" s="26">
        <v>3.0695848668513E-2</v>
      </c>
      <c r="G255" s="25">
        <v>26767</v>
      </c>
      <c r="H255" s="26">
        <v>3.0488659157361701E-2</v>
      </c>
      <c r="I255" s="25">
        <v>25596</v>
      </c>
      <c r="J255" s="26">
        <v>2.84791113128697E-2</v>
      </c>
      <c r="K255" s="25">
        <v>30500</v>
      </c>
      <c r="L255" s="26">
        <v>4.23674662310458E-2</v>
      </c>
      <c r="M255" s="25">
        <v>27829</v>
      </c>
      <c r="N255" s="26">
        <v>4.04763082186003E-2</v>
      </c>
      <c r="O255" s="25">
        <v>27281</v>
      </c>
      <c r="P255" s="26">
        <v>3.6843164344470998E-2</v>
      </c>
      <c r="Q255" s="25">
        <v>28372</v>
      </c>
      <c r="R255" s="26">
        <v>3.5681497485996298E-2</v>
      </c>
      <c r="S255" s="25">
        <v>27038</v>
      </c>
      <c r="T255" s="26">
        <v>3.5589989838200997E-2</v>
      </c>
      <c r="U255" s="25">
        <v>16765</v>
      </c>
      <c r="V255" s="26">
        <v>2.5149599991599301E-2</v>
      </c>
    </row>
    <row r="256" spans="1:22" x14ac:dyDescent="0.3">
      <c r="A256" s="10" t="s">
        <v>304</v>
      </c>
      <c r="B256" s="10"/>
      <c r="C256" s="25" t="s">
        <v>294</v>
      </c>
      <c r="D256" s="26"/>
      <c r="E256" s="25" t="s">
        <v>294</v>
      </c>
      <c r="F256" s="26"/>
      <c r="G256" s="25">
        <v>226792</v>
      </c>
      <c r="H256" s="26">
        <v>0.25832495190407501</v>
      </c>
      <c r="I256" s="25" t="s">
        <v>294</v>
      </c>
      <c r="J256" s="26"/>
      <c r="K256" s="25" t="s">
        <v>294</v>
      </c>
      <c r="L256" s="26"/>
      <c r="M256" s="25" t="s">
        <v>294</v>
      </c>
      <c r="N256" s="26"/>
      <c r="O256" s="25" t="s">
        <v>294</v>
      </c>
      <c r="P256" s="26"/>
      <c r="Q256" s="25" t="s">
        <v>294</v>
      </c>
      <c r="R256" s="26"/>
      <c r="S256" s="25" t="s">
        <v>294</v>
      </c>
      <c r="T256" s="26"/>
      <c r="U256" s="25" t="s">
        <v>294</v>
      </c>
      <c r="V256" s="26"/>
    </row>
    <row r="257" spans="1:22" x14ac:dyDescent="0.3">
      <c r="A257" s="10" t="s">
        <v>306</v>
      </c>
      <c r="B257" s="10"/>
      <c r="C257" s="25">
        <v>683406</v>
      </c>
      <c r="D257" s="26">
        <v>0.77195197990276698</v>
      </c>
      <c r="E257" s="25">
        <v>706150</v>
      </c>
      <c r="F257" s="26">
        <v>0.78257901427072196</v>
      </c>
      <c r="G257" s="25" t="s">
        <v>294</v>
      </c>
      <c r="H257" s="26"/>
      <c r="I257" s="25" t="s">
        <v>294</v>
      </c>
      <c r="J257" s="26"/>
      <c r="K257" s="25" t="s">
        <v>294</v>
      </c>
      <c r="L257" s="26"/>
      <c r="M257" s="25" t="s">
        <v>294</v>
      </c>
      <c r="N257" s="26"/>
      <c r="O257" s="25" t="s">
        <v>294</v>
      </c>
      <c r="P257" s="26"/>
      <c r="Q257" s="25" t="s">
        <v>294</v>
      </c>
      <c r="R257" s="26"/>
      <c r="S257" s="25" t="s">
        <v>294</v>
      </c>
      <c r="T257" s="26"/>
      <c r="U257" s="25" t="s">
        <v>294</v>
      </c>
      <c r="V257" s="26"/>
    </row>
    <row r="258" spans="1:22" x14ac:dyDescent="0.3">
      <c r="A258" s="10" t="s">
        <v>307</v>
      </c>
      <c r="B258" s="10"/>
      <c r="C258" s="25">
        <v>69874</v>
      </c>
      <c r="D258" s="26">
        <v>7.8927274041676501E-2</v>
      </c>
      <c r="E258" s="25">
        <v>71419</v>
      </c>
      <c r="F258" s="26">
        <v>7.9148921079375004E-2</v>
      </c>
      <c r="G258" s="25" t="s">
        <v>294</v>
      </c>
      <c r="H258" s="26"/>
      <c r="I258" s="25" t="s">
        <v>294</v>
      </c>
      <c r="J258" s="26"/>
      <c r="K258" s="25" t="s">
        <v>294</v>
      </c>
      <c r="L258" s="26"/>
      <c r="M258" s="25" t="s">
        <v>294</v>
      </c>
      <c r="N258" s="26"/>
      <c r="O258" s="25" t="s">
        <v>294</v>
      </c>
      <c r="P258" s="26"/>
      <c r="Q258" s="25" t="s">
        <v>294</v>
      </c>
      <c r="R258" s="26"/>
      <c r="S258" s="25" t="s">
        <v>294</v>
      </c>
      <c r="T258" s="26"/>
      <c r="U258" s="25" t="s">
        <v>294</v>
      </c>
      <c r="V258" s="26"/>
    </row>
    <row r="259" spans="1:22" x14ac:dyDescent="0.3">
      <c r="A259" s="10" t="s">
        <v>308</v>
      </c>
      <c r="B259" s="10"/>
      <c r="C259" s="25">
        <v>220612</v>
      </c>
      <c r="D259" s="26">
        <v>0.24919574921834101</v>
      </c>
      <c r="E259" s="25">
        <v>230124</v>
      </c>
      <c r="F259" s="26">
        <v>0.25503110257032602</v>
      </c>
      <c r="G259" s="25" t="s">
        <v>294</v>
      </c>
      <c r="H259" s="26"/>
      <c r="I259" s="25" t="s">
        <v>294</v>
      </c>
      <c r="J259" s="26"/>
      <c r="K259" s="25" t="s">
        <v>294</v>
      </c>
      <c r="L259" s="26"/>
      <c r="M259" s="25" t="s">
        <v>294</v>
      </c>
      <c r="N259" s="26"/>
      <c r="O259" s="25" t="s">
        <v>294</v>
      </c>
      <c r="P259" s="26"/>
      <c r="Q259" s="25" t="s">
        <v>294</v>
      </c>
      <c r="R259" s="26"/>
      <c r="S259" s="25" t="s">
        <v>294</v>
      </c>
      <c r="T259" s="26"/>
      <c r="U259" s="25" t="s">
        <v>294</v>
      </c>
      <c r="V259" s="26"/>
    </row>
    <row r="260" spans="1:22" x14ac:dyDescent="0.3">
      <c r="A260" s="10" t="s">
        <v>309</v>
      </c>
      <c r="B260" s="10"/>
      <c r="C260" s="25">
        <v>43404</v>
      </c>
      <c r="D260" s="26">
        <v>4.9027669841499297E-2</v>
      </c>
      <c r="E260" s="25">
        <v>45434</v>
      </c>
      <c r="F260" s="26">
        <v>5.0351476222298297E-2</v>
      </c>
      <c r="G260" s="25" t="s">
        <v>294</v>
      </c>
      <c r="H260" s="26"/>
      <c r="I260" s="25" t="s">
        <v>294</v>
      </c>
      <c r="J260" s="26"/>
      <c r="K260" s="25" t="s">
        <v>294</v>
      </c>
      <c r="L260" s="26"/>
      <c r="M260" s="25" t="s">
        <v>294</v>
      </c>
      <c r="N260" s="26"/>
      <c r="O260" s="25" t="s">
        <v>294</v>
      </c>
      <c r="P260" s="26"/>
      <c r="Q260" s="25" t="s">
        <v>294</v>
      </c>
      <c r="R260" s="26"/>
      <c r="S260" s="25" t="s">
        <v>294</v>
      </c>
      <c r="T260" s="26"/>
      <c r="U260" s="25" t="s">
        <v>294</v>
      </c>
      <c r="V260" s="26"/>
    </row>
    <row r="261" spans="1:22" x14ac:dyDescent="0.3">
      <c r="A261" s="10" t="s">
        <v>310</v>
      </c>
      <c r="B261" s="10"/>
      <c r="C261" s="25">
        <v>349516</v>
      </c>
      <c r="D261" s="26">
        <v>0.39480128680125098</v>
      </c>
      <c r="E261" s="25">
        <v>359173</v>
      </c>
      <c r="F261" s="26">
        <v>0.39804751439872199</v>
      </c>
      <c r="G261" s="25" t="s">
        <v>294</v>
      </c>
      <c r="H261" s="26"/>
      <c r="I261" s="25" t="s">
        <v>294</v>
      </c>
      <c r="J261" s="26"/>
      <c r="K261" s="25" t="s">
        <v>294</v>
      </c>
      <c r="L261" s="26"/>
      <c r="M261" s="25" t="s">
        <v>294</v>
      </c>
      <c r="N261" s="26"/>
      <c r="O261" s="25" t="s">
        <v>294</v>
      </c>
      <c r="P261" s="26"/>
      <c r="Q261" s="25" t="s">
        <v>294</v>
      </c>
      <c r="R261" s="26"/>
      <c r="S261" s="25" t="s">
        <v>294</v>
      </c>
      <c r="T261" s="26"/>
      <c r="U261" s="25" t="s">
        <v>294</v>
      </c>
      <c r="V261" s="26"/>
    </row>
    <row r="262" spans="1:22" x14ac:dyDescent="0.3">
      <c r="A262" s="6" t="s">
        <v>345</v>
      </c>
      <c r="B262" s="6"/>
      <c r="C262" s="29">
        <v>37674</v>
      </c>
      <c r="D262" s="30">
        <v>1</v>
      </c>
      <c r="E262" s="29">
        <v>39022</v>
      </c>
      <c r="F262" s="30">
        <v>1</v>
      </c>
      <c r="G262" s="29" t="s">
        <v>294</v>
      </c>
      <c r="H262" s="30"/>
      <c r="I262" s="29">
        <v>37202</v>
      </c>
      <c r="J262" s="30">
        <v>1</v>
      </c>
      <c r="K262" s="29">
        <v>38992</v>
      </c>
      <c r="L262" s="30">
        <v>1</v>
      </c>
      <c r="M262" s="29">
        <v>43840</v>
      </c>
      <c r="N262" s="30">
        <v>1</v>
      </c>
      <c r="O262" s="29">
        <v>42235</v>
      </c>
      <c r="P262" s="30">
        <v>1</v>
      </c>
      <c r="Q262" s="29">
        <v>41982</v>
      </c>
      <c r="R262" s="30">
        <v>1</v>
      </c>
      <c r="S262" s="29">
        <v>42009</v>
      </c>
      <c r="T262" s="30">
        <v>1</v>
      </c>
      <c r="U262" s="29">
        <v>49356</v>
      </c>
      <c r="V262" s="30">
        <v>1</v>
      </c>
    </row>
    <row r="263" spans="1:22" x14ac:dyDescent="0.3">
      <c r="A263" s="10" t="s">
        <v>293</v>
      </c>
      <c r="B263" s="10"/>
      <c r="C263" s="25" t="s">
        <v>294</v>
      </c>
      <c r="D263" s="26"/>
      <c r="E263" s="25" t="s">
        <v>294</v>
      </c>
      <c r="F263" s="26"/>
      <c r="G263" s="25" t="s">
        <v>294</v>
      </c>
      <c r="H263" s="26"/>
      <c r="I263" s="25">
        <v>21198</v>
      </c>
      <c r="J263" s="26">
        <v>0.56980807483468598</v>
      </c>
      <c r="K263" s="25">
        <v>23632</v>
      </c>
      <c r="L263" s="26">
        <v>0.60607304062371803</v>
      </c>
      <c r="M263" s="25">
        <v>28186</v>
      </c>
      <c r="N263" s="26">
        <v>0.64292883211678797</v>
      </c>
      <c r="O263" s="25">
        <v>26872</v>
      </c>
      <c r="P263" s="26">
        <v>0.63624955605540401</v>
      </c>
      <c r="Q263" s="25">
        <v>27265</v>
      </c>
      <c r="R263" s="26">
        <v>0.64944500023819696</v>
      </c>
      <c r="S263" s="25">
        <v>27340</v>
      </c>
      <c r="T263" s="26">
        <v>0.65081292104072896</v>
      </c>
      <c r="U263" s="25">
        <v>35548</v>
      </c>
      <c r="V263" s="26">
        <v>0.72023664802658205</v>
      </c>
    </row>
    <row r="264" spans="1:22" x14ac:dyDescent="0.3">
      <c r="A264" s="10" t="s">
        <v>295</v>
      </c>
      <c r="B264" s="10"/>
      <c r="C264" s="25" t="s">
        <v>294</v>
      </c>
      <c r="D264" s="26"/>
      <c r="E264" s="25" t="s">
        <v>294</v>
      </c>
      <c r="F264" s="26"/>
      <c r="G264" s="25" t="s">
        <v>294</v>
      </c>
      <c r="H264" s="26"/>
      <c r="I264" s="25">
        <v>14756</v>
      </c>
      <c r="J264" s="26">
        <v>0.39664534164829801</v>
      </c>
      <c r="K264" s="25">
        <v>15387</v>
      </c>
      <c r="L264" s="26">
        <v>0.394619409109561</v>
      </c>
      <c r="M264" s="25">
        <v>16082</v>
      </c>
      <c r="N264" s="26">
        <v>0.36683394160583899</v>
      </c>
      <c r="O264" s="25">
        <v>16982</v>
      </c>
      <c r="P264" s="26">
        <v>0.40208357996922001</v>
      </c>
      <c r="Q264" s="25">
        <v>17680</v>
      </c>
      <c r="R264" s="26">
        <v>0.42113286646658099</v>
      </c>
      <c r="S264" s="25">
        <v>21357</v>
      </c>
      <c r="T264" s="26">
        <v>0.50839105905877302</v>
      </c>
      <c r="U264" s="25">
        <v>21051</v>
      </c>
      <c r="V264" s="26">
        <v>0.42651349380014603</v>
      </c>
    </row>
    <row r="265" spans="1:22" x14ac:dyDescent="0.3">
      <c r="A265" s="10" t="s">
        <v>296</v>
      </c>
      <c r="B265" s="10"/>
      <c r="C265" s="25" t="s">
        <v>294</v>
      </c>
      <c r="D265" s="26"/>
      <c r="E265" s="25" t="s">
        <v>294</v>
      </c>
      <c r="F265" s="26"/>
      <c r="G265" s="25" t="s">
        <v>294</v>
      </c>
      <c r="H265" s="26"/>
      <c r="I265" s="25">
        <v>2948</v>
      </c>
      <c r="J265" s="26">
        <v>7.9243051448846802E-2</v>
      </c>
      <c r="K265" s="25">
        <v>4699</v>
      </c>
      <c r="L265" s="26">
        <v>0.120511899876898</v>
      </c>
      <c r="M265" s="25">
        <v>8511</v>
      </c>
      <c r="N265" s="26">
        <v>0.194137773722628</v>
      </c>
      <c r="O265" s="25">
        <v>6230</v>
      </c>
      <c r="P265" s="26">
        <v>0.14750799100272299</v>
      </c>
      <c r="Q265" s="25">
        <v>6047</v>
      </c>
      <c r="R265" s="26">
        <v>0.144037921013768</v>
      </c>
      <c r="S265" s="25">
        <v>5983</v>
      </c>
      <c r="T265" s="26">
        <v>0.142421861981956</v>
      </c>
      <c r="U265" s="25">
        <v>14497</v>
      </c>
      <c r="V265" s="26">
        <v>0.29372315422643702</v>
      </c>
    </row>
    <row r="266" spans="1:22" x14ac:dyDescent="0.3">
      <c r="A266" s="10" t="s">
        <v>297</v>
      </c>
      <c r="B266" s="10"/>
      <c r="C266" s="25" t="s">
        <v>294</v>
      </c>
      <c r="D266" s="26"/>
      <c r="E266" s="25" t="s">
        <v>294</v>
      </c>
      <c r="F266" s="26"/>
      <c r="G266" s="25" t="s">
        <v>294</v>
      </c>
      <c r="H266" s="26"/>
      <c r="I266" s="25">
        <v>3494</v>
      </c>
      <c r="J266" s="26">
        <v>9.3919681737541005E-2</v>
      </c>
      <c r="K266" s="25">
        <v>3546</v>
      </c>
      <c r="L266" s="26">
        <v>9.0941731637258896E-2</v>
      </c>
      <c r="M266" s="25">
        <v>3593</v>
      </c>
      <c r="N266" s="26">
        <v>8.1957116788321197E-2</v>
      </c>
      <c r="O266" s="25">
        <v>3660</v>
      </c>
      <c r="P266" s="26">
        <v>8.6657985083461606E-2</v>
      </c>
      <c r="Q266" s="25">
        <v>3538</v>
      </c>
      <c r="R266" s="26">
        <v>8.4274212757848604E-2</v>
      </c>
      <c r="S266" s="25">
        <v>0</v>
      </c>
      <c r="T266" s="26"/>
      <c r="U266" s="25">
        <v>0</v>
      </c>
      <c r="V266" s="26"/>
    </row>
    <row r="267" spans="1:22" x14ac:dyDescent="0.3">
      <c r="A267" s="10" t="s">
        <v>298</v>
      </c>
      <c r="B267" s="10"/>
      <c r="C267" s="25">
        <v>7801</v>
      </c>
      <c r="D267" s="26">
        <v>0.207567251150786</v>
      </c>
      <c r="E267" s="25">
        <v>7566</v>
      </c>
      <c r="F267" s="26">
        <v>0.19389062580083</v>
      </c>
      <c r="G267" s="25" t="s">
        <v>294</v>
      </c>
      <c r="H267" s="26"/>
      <c r="I267" s="25">
        <v>6902</v>
      </c>
      <c r="J267" s="26">
        <v>0.18552765980323599</v>
      </c>
      <c r="K267" s="25">
        <v>6755</v>
      </c>
      <c r="L267" s="26">
        <v>0.17324066475174399</v>
      </c>
      <c r="M267" s="25">
        <v>6766</v>
      </c>
      <c r="N267" s="26">
        <v>0.15433394160583899</v>
      </c>
      <c r="O267" s="25">
        <v>6632</v>
      </c>
      <c r="P267" s="26">
        <v>0.157026163134841</v>
      </c>
      <c r="Q267" s="25">
        <v>6571</v>
      </c>
      <c r="R267" s="26">
        <v>0.15651946072126099</v>
      </c>
      <c r="S267" s="25">
        <v>6421</v>
      </c>
      <c r="T267" s="26">
        <v>0.15284819919541101</v>
      </c>
      <c r="U267" s="25">
        <v>5568</v>
      </c>
      <c r="V267" s="26">
        <v>0.112813031850231</v>
      </c>
    </row>
    <row r="268" spans="1:22" x14ac:dyDescent="0.3">
      <c r="A268" s="10" t="s">
        <v>300</v>
      </c>
      <c r="B268" s="10"/>
      <c r="C268" s="25" t="s">
        <v>294</v>
      </c>
      <c r="D268" s="26"/>
      <c r="E268" s="25" t="s">
        <v>294</v>
      </c>
      <c r="F268" s="26"/>
      <c r="G268" s="25" t="s">
        <v>294</v>
      </c>
      <c r="H268" s="26"/>
      <c r="I268" s="25">
        <v>2529</v>
      </c>
      <c r="J268" s="26">
        <v>6.7980216117413006E-2</v>
      </c>
      <c r="K268" s="25">
        <v>2693</v>
      </c>
      <c r="L268" s="26">
        <v>6.9065449322937997E-2</v>
      </c>
      <c r="M268" s="25">
        <v>2760</v>
      </c>
      <c r="N268" s="26">
        <v>6.2956204379562106E-2</v>
      </c>
      <c r="O268" s="25">
        <v>2723</v>
      </c>
      <c r="P268" s="26">
        <v>6.4472593820291205E-2</v>
      </c>
      <c r="Q268" s="25">
        <v>2265</v>
      </c>
      <c r="R268" s="26">
        <v>5.3951693582964103E-2</v>
      </c>
      <c r="S268" s="25">
        <v>2609</v>
      </c>
      <c r="T268" s="26">
        <v>6.2105739246352001E-2</v>
      </c>
      <c r="U268" s="25">
        <v>3226</v>
      </c>
      <c r="V268" s="26">
        <v>6.5361860766674801E-2</v>
      </c>
    </row>
    <row r="269" spans="1:22" x14ac:dyDescent="0.3">
      <c r="A269" s="10" t="s">
        <v>299</v>
      </c>
      <c r="B269" s="10"/>
      <c r="C269" s="25" t="s">
        <v>294</v>
      </c>
      <c r="D269" s="26"/>
      <c r="E269" s="25" t="s">
        <v>294</v>
      </c>
      <c r="F269" s="26"/>
      <c r="G269" s="25" t="s">
        <v>294</v>
      </c>
      <c r="H269" s="26"/>
      <c r="I269" s="25">
        <v>4506</v>
      </c>
      <c r="J269" s="26">
        <v>0.121122520294608</v>
      </c>
      <c r="K269" s="25">
        <v>4144</v>
      </c>
      <c r="L269" s="26">
        <v>0.106278210915059</v>
      </c>
      <c r="M269" s="25">
        <v>3879</v>
      </c>
      <c r="N269" s="26">
        <v>8.8480839416058402E-2</v>
      </c>
      <c r="O269" s="25">
        <v>3748</v>
      </c>
      <c r="P269" s="26">
        <v>8.8741565052681395E-2</v>
      </c>
      <c r="Q269" s="25">
        <v>3600</v>
      </c>
      <c r="R269" s="26">
        <v>8.5751036158353597E-2</v>
      </c>
      <c r="S269" s="25">
        <v>3333</v>
      </c>
      <c r="T269" s="26">
        <v>7.9340141398271793E-2</v>
      </c>
      <c r="U269" s="25">
        <v>3066</v>
      </c>
      <c r="V269" s="26">
        <v>6.2120106977874998E-2</v>
      </c>
    </row>
    <row r="270" spans="1:22" x14ac:dyDescent="0.3">
      <c r="A270" s="10" t="s">
        <v>301</v>
      </c>
      <c r="B270" s="10"/>
      <c r="C270" s="25">
        <v>2297</v>
      </c>
      <c r="D270" s="26">
        <v>6.1118058696751201E-2</v>
      </c>
      <c r="E270" s="25">
        <v>2309</v>
      </c>
      <c r="F270" s="26">
        <v>5.9171749269642797E-2</v>
      </c>
      <c r="G270" s="25" t="s">
        <v>294</v>
      </c>
      <c r="H270" s="26"/>
      <c r="I270" s="25">
        <v>2027</v>
      </c>
      <c r="J270" s="26">
        <v>5.4486317939895702E-2</v>
      </c>
      <c r="K270" s="25">
        <v>1714</v>
      </c>
      <c r="L270" s="26">
        <v>4.3957734919983601E-2</v>
      </c>
      <c r="M270" s="25">
        <v>2131</v>
      </c>
      <c r="N270" s="26">
        <v>4.8608576642335803E-2</v>
      </c>
      <c r="O270" s="25">
        <v>2177</v>
      </c>
      <c r="P270" s="26">
        <v>5.1544927193086301E-2</v>
      </c>
      <c r="Q270" s="25">
        <v>2259</v>
      </c>
      <c r="R270" s="26">
        <v>5.38087751893669E-2</v>
      </c>
      <c r="S270" s="25">
        <v>2271</v>
      </c>
      <c r="T270" s="26">
        <v>5.4059844319074499E-2</v>
      </c>
      <c r="U270" s="25">
        <v>1964</v>
      </c>
      <c r="V270" s="26">
        <v>3.97925277575168E-2</v>
      </c>
    </row>
    <row r="271" spans="1:22" x14ac:dyDescent="0.3">
      <c r="A271" s="10" t="s">
        <v>302</v>
      </c>
      <c r="B271" s="10"/>
      <c r="C271" s="25">
        <v>70</v>
      </c>
      <c r="D271" s="26">
        <v>1.8625442354255901E-3</v>
      </c>
      <c r="E271" s="25">
        <v>81</v>
      </c>
      <c r="F271" s="26">
        <v>2.0757521398185601E-3</v>
      </c>
      <c r="G271" s="25" t="s">
        <v>294</v>
      </c>
      <c r="H271" s="26"/>
      <c r="I271" s="25">
        <v>40</v>
      </c>
      <c r="J271" s="26">
        <v>1.07521101016074E-3</v>
      </c>
      <c r="K271" s="25">
        <v>54</v>
      </c>
      <c r="L271" s="26">
        <v>1.3848994665572401E-3</v>
      </c>
      <c r="M271" s="25">
        <v>118</v>
      </c>
      <c r="N271" s="26">
        <v>2.6916058394160598E-3</v>
      </c>
      <c r="O271" s="25">
        <v>83</v>
      </c>
      <c r="P271" s="26">
        <v>1.9651947436959902E-3</v>
      </c>
      <c r="Q271" s="25">
        <v>22</v>
      </c>
      <c r="R271" s="26">
        <v>5.2403410985660498E-4</v>
      </c>
      <c r="S271" s="25">
        <v>35</v>
      </c>
      <c r="T271" s="26">
        <v>8.3315480016187004E-4</v>
      </c>
      <c r="U271" s="25">
        <v>-16</v>
      </c>
      <c r="V271" s="26">
        <v>-3.24175378879974E-4</v>
      </c>
    </row>
    <row r="272" spans="1:22" x14ac:dyDescent="0.3">
      <c r="A272" s="10" t="s">
        <v>325</v>
      </c>
      <c r="B272" s="10"/>
      <c r="C272" s="25">
        <v>91</v>
      </c>
      <c r="D272" s="26"/>
      <c r="E272" s="25" t="s">
        <v>294</v>
      </c>
      <c r="F272" s="26"/>
      <c r="G272" s="25" t="s">
        <v>294</v>
      </c>
      <c r="H272" s="26"/>
      <c r="I272" s="25" t="s">
        <v>294</v>
      </c>
      <c r="J272" s="26"/>
      <c r="K272" s="25" t="s">
        <v>294</v>
      </c>
      <c r="L272" s="26"/>
      <c r="M272" s="25" t="s">
        <v>294</v>
      </c>
      <c r="N272" s="26"/>
      <c r="O272" s="25" t="s">
        <v>294</v>
      </c>
      <c r="P272" s="26"/>
      <c r="Q272" s="25" t="s">
        <v>294</v>
      </c>
      <c r="R272" s="26"/>
      <c r="S272" s="25" t="s">
        <v>294</v>
      </c>
      <c r="T272" s="26"/>
      <c r="U272" s="25" t="s">
        <v>294</v>
      </c>
      <c r="V272" s="26"/>
    </row>
    <row r="273" spans="1:22" x14ac:dyDescent="0.3">
      <c r="A273" s="10" t="s">
        <v>306</v>
      </c>
      <c r="B273" s="10"/>
      <c r="C273" s="25">
        <v>27415</v>
      </c>
      <c r="D273" s="26">
        <v>0.729452145917037</v>
      </c>
      <c r="E273" s="25">
        <v>29066</v>
      </c>
      <c r="F273" s="26">
        <v>0.74486187278970895</v>
      </c>
      <c r="G273" s="25" t="s">
        <v>294</v>
      </c>
      <c r="H273" s="26"/>
      <c r="I273" s="25" t="s">
        <v>294</v>
      </c>
      <c r="J273" s="26"/>
      <c r="K273" s="25" t="s">
        <v>294</v>
      </c>
      <c r="L273" s="26"/>
      <c r="M273" s="25" t="s">
        <v>294</v>
      </c>
      <c r="N273" s="26"/>
      <c r="O273" s="25" t="s">
        <v>294</v>
      </c>
      <c r="P273" s="26"/>
      <c r="Q273" s="25" t="s">
        <v>294</v>
      </c>
      <c r="R273" s="26"/>
      <c r="S273" s="25" t="s">
        <v>294</v>
      </c>
      <c r="T273" s="26"/>
      <c r="U273" s="25" t="s">
        <v>294</v>
      </c>
      <c r="V273" s="26"/>
    </row>
    <row r="274" spans="1:22" x14ac:dyDescent="0.3">
      <c r="A274" s="10" t="s">
        <v>307</v>
      </c>
      <c r="B274" s="10"/>
      <c r="C274" s="25">
        <v>2870</v>
      </c>
      <c r="D274" s="26">
        <v>7.6364313652449306E-2</v>
      </c>
      <c r="E274" s="25">
        <v>3039</v>
      </c>
      <c r="F274" s="26">
        <v>7.7879145097637201E-2</v>
      </c>
      <c r="G274" s="25" t="s">
        <v>294</v>
      </c>
      <c r="H274" s="26"/>
      <c r="I274" s="25" t="s">
        <v>294</v>
      </c>
      <c r="J274" s="26"/>
      <c r="K274" s="25" t="s">
        <v>294</v>
      </c>
      <c r="L274" s="26"/>
      <c r="M274" s="25" t="s">
        <v>294</v>
      </c>
      <c r="N274" s="26"/>
      <c r="O274" s="25" t="s">
        <v>294</v>
      </c>
      <c r="P274" s="26"/>
      <c r="Q274" s="25" t="s">
        <v>294</v>
      </c>
      <c r="R274" s="26"/>
      <c r="S274" s="25" t="s">
        <v>294</v>
      </c>
      <c r="T274" s="26"/>
      <c r="U274" s="25" t="s">
        <v>294</v>
      </c>
      <c r="V274" s="26"/>
    </row>
    <row r="275" spans="1:22" x14ac:dyDescent="0.3">
      <c r="A275" s="10" t="s">
        <v>308</v>
      </c>
      <c r="B275" s="10"/>
      <c r="C275" s="25">
        <v>2767</v>
      </c>
      <c r="D275" s="26">
        <v>7.3623712848894393E-2</v>
      </c>
      <c r="E275" s="25">
        <v>2768</v>
      </c>
      <c r="F275" s="26">
        <v>7.0934344728614596E-2</v>
      </c>
      <c r="G275" s="25" t="s">
        <v>294</v>
      </c>
      <c r="H275" s="26"/>
      <c r="I275" s="25" t="s">
        <v>294</v>
      </c>
      <c r="J275" s="26"/>
      <c r="K275" s="25" t="s">
        <v>294</v>
      </c>
      <c r="L275" s="26"/>
      <c r="M275" s="25" t="s">
        <v>294</v>
      </c>
      <c r="N275" s="26"/>
      <c r="O275" s="25" t="s">
        <v>294</v>
      </c>
      <c r="P275" s="26"/>
      <c r="Q275" s="25" t="s">
        <v>294</v>
      </c>
      <c r="R275" s="26"/>
      <c r="S275" s="25" t="s">
        <v>294</v>
      </c>
      <c r="T275" s="26"/>
      <c r="U275" s="25" t="s">
        <v>294</v>
      </c>
      <c r="V275" s="26"/>
    </row>
    <row r="276" spans="1:22" x14ac:dyDescent="0.3">
      <c r="A276" s="10" t="s">
        <v>309</v>
      </c>
      <c r="B276" s="10"/>
      <c r="C276" s="25">
        <v>15250</v>
      </c>
      <c r="D276" s="26">
        <v>0.40576856557486102</v>
      </c>
      <c r="E276" s="25">
        <v>15979</v>
      </c>
      <c r="F276" s="26">
        <v>0.40948695607606</v>
      </c>
      <c r="G276" s="25" t="s">
        <v>294</v>
      </c>
      <c r="H276" s="26"/>
      <c r="I276" s="25" t="s">
        <v>294</v>
      </c>
      <c r="J276" s="26"/>
      <c r="K276" s="25" t="s">
        <v>294</v>
      </c>
      <c r="L276" s="26"/>
      <c r="M276" s="25" t="s">
        <v>294</v>
      </c>
      <c r="N276" s="26"/>
      <c r="O276" s="25" t="s">
        <v>294</v>
      </c>
      <c r="P276" s="26"/>
      <c r="Q276" s="25" t="s">
        <v>294</v>
      </c>
      <c r="R276" s="26"/>
      <c r="S276" s="25" t="s">
        <v>294</v>
      </c>
      <c r="T276" s="26"/>
      <c r="U276" s="25" t="s">
        <v>294</v>
      </c>
      <c r="V276" s="26"/>
    </row>
    <row r="277" spans="1:22" x14ac:dyDescent="0.3">
      <c r="A277" s="10" t="s">
        <v>310</v>
      </c>
      <c r="B277" s="10"/>
      <c r="C277" s="25">
        <v>6528</v>
      </c>
      <c r="D277" s="26">
        <v>0.17369555384083199</v>
      </c>
      <c r="E277" s="25">
        <v>7280</v>
      </c>
      <c r="F277" s="26">
        <v>0.18656142688739699</v>
      </c>
      <c r="G277" s="25" t="s">
        <v>294</v>
      </c>
      <c r="H277" s="26"/>
      <c r="I277" s="25" t="s">
        <v>294</v>
      </c>
      <c r="J277" s="26"/>
      <c r="K277" s="25" t="s">
        <v>294</v>
      </c>
      <c r="L277" s="26"/>
      <c r="M277" s="25" t="s">
        <v>294</v>
      </c>
      <c r="N277" s="26"/>
      <c r="O277" s="25" t="s">
        <v>294</v>
      </c>
      <c r="P277" s="26"/>
      <c r="Q277" s="25" t="s">
        <v>294</v>
      </c>
      <c r="R277" s="26"/>
      <c r="S277" s="25" t="s">
        <v>294</v>
      </c>
      <c r="T277" s="26"/>
      <c r="U277" s="25" t="s">
        <v>294</v>
      </c>
      <c r="V277" s="26"/>
    </row>
    <row r="278" spans="1:22" x14ac:dyDescent="0.3">
      <c r="A278" s="6" t="s">
        <v>346</v>
      </c>
      <c r="B278" s="6"/>
      <c r="C278" s="29">
        <v>39366</v>
      </c>
      <c r="D278" s="30">
        <v>1</v>
      </c>
      <c r="E278" s="29">
        <v>38694</v>
      </c>
      <c r="F278" s="30">
        <v>1</v>
      </c>
      <c r="G278" s="29">
        <v>36669</v>
      </c>
      <c r="H278" s="30">
        <v>1</v>
      </c>
      <c r="I278" s="29">
        <v>37876</v>
      </c>
      <c r="J278" s="30">
        <v>1</v>
      </c>
      <c r="K278" s="29">
        <v>39340</v>
      </c>
      <c r="L278" s="30">
        <v>1</v>
      </c>
      <c r="M278" s="29">
        <v>43733</v>
      </c>
      <c r="N278" s="30">
        <v>1</v>
      </c>
      <c r="O278" s="29">
        <v>42192</v>
      </c>
      <c r="P278" s="30">
        <v>1</v>
      </c>
      <c r="Q278" s="29">
        <v>41859</v>
      </c>
      <c r="R278" s="30">
        <v>1</v>
      </c>
      <c r="S278" s="29">
        <v>43651</v>
      </c>
      <c r="T278" s="30">
        <v>1</v>
      </c>
      <c r="U278" s="29">
        <v>51366</v>
      </c>
      <c r="V278" s="30">
        <v>1</v>
      </c>
    </row>
    <row r="279" spans="1:22" x14ac:dyDescent="0.3">
      <c r="A279" s="10" t="s">
        <v>293</v>
      </c>
      <c r="B279" s="10"/>
      <c r="C279" s="25" t="s">
        <v>294</v>
      </c>
      <c r="D279" s="26"/>
      <c r="E279" s="25" t="s">
        <v>294</v>
      </c>
      <c r="F279" s="26"/>
      <c r="G279" s="25">
        <v>20775</v>
      </c>
      <c r="H279" s="26">
        <v>0.566554855600098</v>
      </c>
      <c r="I279" s="25">
        <v>21591</v>
      </c>
      <c r="J279" s="26">
        <v>0.570044355264547</v>
      </c>
      <c r="K279" s="25">
        <v>23627</v>
      </c>
      <c r="L279" s="26">
        <v>0.60058464667005595</v>
      </c>
      <c r="M279" s="25">
        <v>27765</v>
      </c>
      <c r="N279" s="26">
        <v>0.63487526581757503</v>
      </c>
      <c r="O279" s="25">
        <v>26165</v>
      </c>
      <c r="P279" s="26">
        <v>0.62014125900644701</v>
      </c>
      <c r="Q279" s="25">
        <v>26309</v>
      </c>
      <c r="R279" s="26">
        <v>0.62851477579493098</v>
      </c>
      <c r="S279" s="25">
        <v>27957</v>
      </c>
      <c r="T279" s="26">
        <v>0.64046642688598199</v>
      </c>
      <c r="U279" s="25">
        <v>36273</v>
      </c>
      <c r="V279" s="26">
        <v>0.70616750379628501</v>
      </c>
    </row>
    <row r="280" spans="1:22" x14ac:dyDescent="0.3">
      <c r="A280" s="10" t="s">
        <v>295</v>
      </c>
      <c r="B280" s="10"/>
      <c r="C280" s="25" t="s">
        <v>294</v>
      </c>
      <c r="D280" s="26"/>
      <c r="E280" s="25" t="s">
        <v>294</v>
      </c>
      <c r="F280" s="26"/>
      <c r="G280" s="25">
        <v>13307</v>
      </c>
      <c r="H280" s="26">
        <v>0.36289508849436802</v>
      </c>
      <c r="I280" s="25">
        <v>13857</v>
      </c>
      <c r="J280" s="26">
        <v>0.36585172668708399</v>
      </c>
      <c r="K280" s="25">
        <v>14017</v>
      </c>
      <c r="L280" s="26">
        <v>0.356304016268429</v>
      </c>
      <c r="M280" s="25">
        <v>14435</v>
      </c>
      <c r="N280" s="26">
        <v>0.33007111334690098</v>
      </c>
      <c r="O280" s="25">
        <v>14932</v>
      </c>
      <c r="P280" s="26">
        <v>0.35390595373530498</v>
      </c>
      <c r="Q280" s="25">
        <v>15601</v>
      </c>
      <c r="R280" s="26">
        <v>0.37270360018156201</v>
      </c>
      <c r="S280" s="25">
        <v>19790</v>
      </c>
      <c r="T280" s="26">
        <v>0.45336876589310698</v>
      </c>
      <c r="U280" s="25">
        <v>19107</v>
      </c>
      <c r="V280" s="26">
        <v>0.37197757271346799</v>
      </c>
    </row>
    <row r="281" spans="1:22" x14ac:dyDescent="0.3">
      <c r="A281" s="10" t="s">
        <v>296</v>
      </c>
      <c r="B281" s="10"/>
      <c r="C281" s="25" t="s">
        <v>294</v>
      </c>
      <c r="D281" s="26"/>
      <c r="E281" s="25" t="s">
        <v>294</v>
      </c>
      <c r="F281" s="26"/>
      <c r="G281" s="25">
        <v>5034</v>
      </c>
      <c r="H281" s="26">
        <v>0.13728217295263001</v>
      </c>
      <c r="I281" s="25">
        <v>5128</v>
      </c>
      <c r="J281" s="26">
        <v>0.13538916464251799</v>
      </c>
      <c r="K281" s="25">
        <v>7048</v>
      </c>
      <c r="L281" s="26">
        <v>0.179156075241484</v>
      </c>
      <c r="M281" s="25">
        <v>10886</v>
      </c>
      <c r="N281" s="26">
        <v>0.24891958017972701</v>
      </c>
      <c r="O281" s="25">
        <v>8629</v>
      </c>
      <c r="P281" s="26">
        <v>0.20451744406522601</v>
      </c>
      <c r="Q281" s="25">
        <v>8293</v>
      </c>
      <c r="R281" s="26">
        <v>0.19811748966769399</v>
      </c>
      <c r="S281" s="25">
        <v>8167</v>
      </c>
      <c r="T281" s="26">
        <v>0.187097660992875</v>
      </c>
      <c r="U281" s="25">
        <v>17166</v>
      </c>
      <c r="V281" s="26">
        <v>0.33418993108281703</v>
      </c>
    </row>
    <row r="282" spans="1:22" x14ac:dyDescent="0.3">
      <c r="A282" s="10" t="s">
        <v>297</v>
      </c>
      <c r="B282" s="10"/>
      <c r="C282" s="25" t="s">
        <v>294</v>
      </c>
      <c r="D282" s="26"/>
      <c r="E282" s="25" t="s">
        <v>294</v>
      </c>
      <c r="F282" s="26"/>
      <c r="G282" s="25">
        <v>2434</v>
      </c>
      <c r="H282" s="26">
        <v>6.6377594153099406E-2</v>
      </c>
      <c r="I282" s="25">
        <v>2606</v>
      </c>
      <c r="J282" s="26">
        <v>6.8803463934945602E-2</v>
      </c>
      <c r="K282" s="25">
        <v>2562</v>
      </c>
      <c r="L282" s="26">
        <v>6.5124555160142303E-2</v>
      </c>
      <c r="M282" s="25">
        <v>2444</v>
      </c>
      <c r="N282" s="26">
        <v>5.5884572290947301E-2</v>
      </c>
      <c r="O282" s="25">
        <v>2604</v>
      </c>
      <c r="P282" s="26">
        <v>6.1717861205915797E-2</v>
      </c>
      <c r="Q282" s="25">
        <v>2415</v>
      </c>
      <c r="R282" s="26">
        <v>5.7693685945674797E-2</v>
      </c>
      <c r="S282" s="25">
        <v>0</v>
      </c>
      <c r="T282" s="26"/>
      <c r="U282" s="25">
        <v>0</v>
      </c>
      <c r="V282" s="26"/>
    </row>
    <row r="283" spans="1:22" x14ac:dyDescent="0.3">
      <c r="A283" s="10" t="s">
        <v>299</v>
      </c>
      <c r="B283" s="10"/>
      <c r="C283" s="25" t="s">
        <v>294</v>
      </c>
      <c r="D283" s="26"/>
      <c r="E283" s="25" t="s">
        <v>294</v>
      </c>
      <c r="F283" s="26"/>
      <c r="G283" s="25">
        <v>7346</v>
      </c>
      <c r="H283" s="26">
        <v>0.20033270610052101</v>
      </c>
      <c r="I283" s="25">
        <v>7523</v>
      </c>
      <c r="J283" s="26">
        <v>0.19862181856584599</v>
      </c>
      <c r="K283" s="25">
        <v>7000</v>
      </c>
      <c r="L283" s="26">
        <v>0.17793594306049801</v>
      </c>
      <c r="M283" s="25">
        <v>6833</v>
      </c>
      <c r="N283" s="26">
        <v>0.156243568929641</v>
      </c>
      <c r="O283" s="25">
        <v>6970</v>
      </c>
      <c r="P283" s="26">
        <v>0.16519719378081199</v>
      </c>
      <c r="Q283" s="25">
        <v>6738</v>
      </c>
      <c r="R283" s="26">
        <v>0.16096896724718701</v>
      </c>
      <c r="S283" s="25">
        <v>6268</v>
      </c>
      <c r="T283" s="26">
        <v>0.14359350301253099</v>
      </c>
      <c r="U283" s="25">
        <v>6056</v>
      </c>
      <c r="V283" s="26">
        <v>0.117898999338084</v>
      </c>
    </row>
    <row r="284" spans="1:22" x14ac:dyDescent="0.3">
      <c r="A284" s="10" t="s">
        <v>298</v>
      </c>
      <c r="B284" s="10"/>
      <c r="C284" s="25">
        <v>5755</v>
      </c>
      <c r="D284" s="26">
        <v>0.15246648651512701</v>
      </c>
      <c r="E284" s="25">
        <v>5724</v>
      </c>
      <c r="F284" s="26">
        <v>0.14792991161420399</v>
      </c>
      <c r="G284" s="25">
        <v>5266</v>
      </c>
      <c r="H284" s="26">
        <v>0.143609043060896</v>
      </c>
      <c r="I284" s="25">
        <v>5211</v>
      </c>
      <c r="J284" s="26">
        <v>0.137580525926708</v>
      </c>
      <c r="K284" s="25">
        <v>5075</v>
      </c>
      <c r="L284" s="26">
        <v>0.12900355871886099</v>
      </c>
      <c r="M284" s="25">
        <v>5326</v>
      </c>
      <c r="N284" s="26">
        <v>0.121784464820616</v>
      </c>
      <c r="O284" s="25">
        <v>5185</v>
      </c>
      <c r="P284" s="26">
        <v>0.122890595373531</v>
      </c>
      <c r="Q284" s="25">
        <v>5213</v>
      </c>
      <c r="R284" s="26">
        <v>0.12453713657755799</v>
      </c>
      <c r="S284" s="25">
        <v>5008</v>
      </c>
      <c r="T284" s="26">
        <v>0.114728184921308</v>
      </c>
      <c r="U284" s="25">
        <v>4752</v>
      </c>
      <c r="V284" s="26">
        <v>9.2512556944282204E-2</v>
      </c>
    </row>
    <row r="285" spans="1:22" x14ac:dyDescent="0.3">
      <c r="A285" s="10" t="s">
        <v>300</v>
      </c>
      <c r="B285" s="10"/>
      <c r="C285" s="25" t="s">
        <v>294</v>
      </c>
      <c r="D285" s="26"/>
      <c r="E285" s="25" t="s">
        <v>294</v>
      </c>
      <c r="F285" s="26"/>
      <c r="G285" s="25">
        <v>2408</v>
      </c>
      <c r="H285" s="26">
        <v>6.5668548365103996E-2</v>
      </c>
      <c r="I285" s="25">
        <v>2443</v>
      </c>
      <c r="J285" s="26">
        <v>6.44999471961136E-2</v>
      </c>
      <c r="K285" s="25">
        <v>2535</v>
      </c>
      <c r="L285" s="26">
        <v>6.4438230808337604E-2</v>
      </c>
      <c r="M285" s="25">
        <v>2602</v>
      </c>
      <c r="N285" s="26">
        <v>5.9497404705828601E-2</v>
      </c>
      <c r="O285" s="25">
        <v>2623</v>
      </c>
      <c r="P285" s="26">
        <v>6.2168183541903697E-2</v>
      </c>
      <c r="Q285" s="25">
        <v>2406</v>
      </c>
      <c r="R285" s="26">
        <v>5.7478678420411398E-2</v>
      </c>
      <c r="S285" s="25">
        <v>3143</v>
      </c>
      <c r="T285" s="26">
        <v>7.2002932349774298E-2</v>
      </c>
      <c r="U285" s="25">
        <v>3301</v>
      </c>
      <c r="V285" s="26">
        <v>6.4264299341977194E-2</v>
      </c>
    </row>
    <row r="286" spans="1:22" x14ac:dyDescent="0.3">
      <c r="A286" s="10" t="s">
        <v>301</v>
      </c>
      <c r="B286" s="10"/>
      <c r="C286" s="25">
        <v>1039</v>
      </c>
      <c r="D286" s="26">
        <v>2.7526095480315801E-2</v>
      </c>
      <c r="E286" s="25">
        <v>269</v>
      </c>
      <c r="F286" s="26">
        <v>6.9519822194655497E-3</v>
      </c>
      <c r="G286" s="25">
        <v>988</v>
      </c>
      <c r="H286" s="26">
        <v>2.69437399438218E-2</v>
      </c>
      <c r="I286" s="25">
        <v>1067</v>
      </c>
      <c r="J286" s="26">
        <v>2.8170873376280499E-2</v>
      </c>
      <c r="K286" s="25">
        <v>1077</v>
      </c>
      <c r="L286" s="26">
        <v>2.7376715810879498E-2</v>
      </c>
      <c r="M286" s="25">
        <v>1127</v>
      </c>
      <c r="N286" s="26">
        <v>2.5770013490956499E-2</v>
      </c>
      <c r="O286" s="25">
        <v>1176</v>
      </c>
      <c r="P286" s="26">
        <v>2.7872582480091002E-2</v>
      </c>
      <c r="Q286" s="25">
        <v>1196</v>
      </c>
      <c r="R286" s="26">
        <v>2.8572111135000799E-2</v>
      </c>
      <c r="S286" s="25">
        <v>1241</v>
      </c>
      <c r="T286" s="26">
        <v>2.8430047421593999E-2</v>
      </c>
      <c r="U286" s="25">
        <v>990</v>
      </c>
      <c r="V286" s="26">
        <v>1.9273449363392099E-2</v>
      </c>
    </row>
    <row r="287" spans="1:22" x14ac:dyDescent="0.3">
      <c r="A287" s="10" t="s">
        <v>302</v>
      </c>
      <c r="B287" s="10"/>
      <c r="C287" s="25">
        <v>30</v>
      </c>
      <c r="D287" s="26">
        <v>7.9478620251152395E-4</v>
      </c>
      <c r="E287" s="25">
        <v>61</v>
      </c>
      <c r="F287" s="26">
        <v>1.57647180441412E-3</v>
      </c>
      <c r="G287" s="25">
        <v>-114</v>
      </c>
      <c r="H287" s="26">
        <v>-3.1088930704409701E-3</v>
      </c>
      <c r="I287" s="25">
        <v>41</v>
      </c>
      <c r="J287" s="26">
        <v>1.0824796705037501E-3</v>
      </c>
      <c r="K287" s="25">
        <v>26</v>
      </c>
      <c r="L287" s="26">
        <v>6.6090493136756502E-4</v>
      </c>
      <c r="M287" s="25">
        <v>80</v>
      </c>
      <c r="N287" s="26">
        <v>1.82928223538289E-3</v>
      </c>
      <c r="O287" s="25">
        <v>73</v>
      </c>
      <c r="P287" s="26">
        <v>1.7301858172165301E-3</v>
      </c>
      <c r="Q287" s="25">
        <v>-3</v>
      </c>
      <c r="R287" s="26">
        <v>-7.1669175087794694E-5</v>
      </c>
      <c r="S287" s="25">
        <v>34</v>
      </c>
      <c r="T287" s="26">
        <v>7.7890540881079499E-4</v>
      </c>
      <c r="U287" s="25">
        <v>-6</v>
      </c>
      <c r="V287" s="26">
        <v>-1.16808784020558E-4</v>
      </c>
    </row>
    <row r="288" spans="1:22" x14ac:dyDescent="0.3">
      <c r="A288" s="10" t="s">
        <v>325</v>
      </c>
      <c r="B288" s="10"/>
      <c r="C288" s="25">
        <v>1620</v>
      </c>
      <c r="D288" s="26"/>
      <c r="E288" s="25" t="s">
        <v>294</v>
      </c>
      <c r="F288" s="26"/>
      <c r="G288" s="25" t="s">
        <v>294</v>
      </c>
      <c r="H288" s="26"/>
      <c r="I288" s="25" t="s">
        <v>294</v>
      </c>
      <c r="J288" s="26"/>
      <c r="K288" s="25" t="s">
        <v>294</v>
      </c>
      <c r="L288" s="26"/>
      <c r="M288" s="25" t="s">
        <v>294</v>
      </c>
      <c r="N288" s="26"/>
      <c r="O288" s="25" t="s">
        <v>294</v>
      </c>
      <c r="P288" s="26"/>
      <c r="Q288" s="25" t="s">
        <v>294</v>
      </c>
      <c r="R288" s="26"/>
      <c r="S288" s="25" t="s">
        <v>294</v>
      </c>
      <c r="T288" s="26"/>
      <c r="U288" s="25" t="s">
        <v>294</v>
      </c>
      <c r="V288" s="26"/>
    </row>
    <row r="289" spans="1:22" x14ac:dyDescent="0.3">
      <c r="A289" s="10" t="s">
        <v>306</v>
      </c>
      <c r="B289" s="10"/>
      <c r="C289" s="25">
        <v>30922</v>
      </c>
      <c r="D289" s="26">
        <v>0.81921263180204495</v>
      </c>
      <c r="E289" s="25">
        <v>32640</v>
      </c>
      <c r="F289" s="26">
        <v>0.84354163436191698</v>
      </c>
      <c r="G289" s="25" t="s">
        <v>294</v>
      </c>
      <c r="H289" s="26"/>
      <c r="I289" s="25" t="s">
        <v>294</v>
      </c>
      <c r="J289" s="26"/>
      <c r="K289" s="25" t="s">
        <v>294</v>
      </c>
      <c r="L289" s="26"/>
      <c r="M289" s="25" t="s">
        <v>294</v>
      </c>
      <c r="N289" s="26"/>
      <c r="O289" s="25" t="s">
        <v>294</v>
      </c>
      <c r="P289" s="26"/>
      <c r="Q289" s="25" t="s">
        <v>294</v>
      </c>
      <c r="R289" s="26"/>
      <c r="S289" s="25" t="s">
        <v>294</v>
      </c>
      <c r="T289" s="26"/>
      <c r="U289" s="25" t="s">
        <v>294</v>
      </c>
      <c r="V289" s="26"/>
    </row>
    <row r="290" spans="1:22" x14ac:dyDescent="0.3">
      <c r="A290" s="10" t="s">
        <v>307</v>
      </c>
      <c r="B290" s="10"/>
      <c r="C290" s="25">
        <v>2487</v>
      </c>
      <c r="D290" s="26">
        <v>6.5887776188205405E-2</v>
      </c>
      <c r="E290" s="25">
        <v>2786</v>
      </c>
      <c r="F290" s="26">
        <v>7.2000827001602305E-2</v>
      </c>
      <c r="G290" s="25" t="s">
        <v>294</v>
      </c>
      <c r="H290" s="26"/>
      <c r="I290" s="25" t="s">
        <v>294</v>
      </c>
      <c r="J290" s="26"/>
      <c r="K290" s="25" t="s">
        <v>294</v>
      </c>
      <c r="L290" s="26"/>
      <c r="M290" s="25" t="s">
        <v>294</v>
      </c>
      <c r="N290" s="26"/>
      <c r="O290" s="25" t="s">
        <v>294</v>
      </c>
      <c r="P290" s="26"/>
      <c r="Q290" s="25" t="s">
        <v>294</v>
      </c>
      <c r="R290" s="26"/>
      <c r="S290" s="25" t="s">
        <v>294</v>
      </c>
      <c r="T290" s="26"/>
      <c r="U290" s="25" t="s">
        <v>294</v>
      </c>
      <c r="V290" s="26"/>
    </row>
    <row r="291" spans="1:22" x14ac:dyDescent="0.3">
      <c r="A291" s="10" t="s">
        <v>308</v>
      </c>
      <c r="B291" s="10"/>
      <c r="C291" s="25">
        <v>5180</v>
      </c>
      <c r="D291" s="26">
        <v>0.13723308430032299</v>
      </c>
      <c r="E291" s="25">
        <v>5106</v>
      </c>
      <c r="F291" s="26">
        <v>0.13195844316948399</v>
      </c>
      <c r="G291" s="25" t="s">
        <v>294</v>
      </c>
      <c r="H291" s="26"/>
      <c r="I291" s="25" t="s">
        <v>294</v>
      </c>
      <c r="J291" s="26"/>
      <c r="K291" s="25" t="s">
        <v>294</v>
      </c>
      <c r="L291" s="26"/>
      <c r="M291" s="25" t="s">
        <v>294</v>
      </c>
      <c r="N291" s="26"/>
      <c r="O291" s="25" t="s">
        <v>294</v>
      </c>
      <c r="P291" s="26"/>
      <c r="Q291" s="25" t="s">
        <v>294</v>
      </c>
      <c r="R291" s="26"/>
      <c r="S291" s="25" t="s">
        <v>294</v>
      </c>
      <c r="T291" s="26"/>
      <c r="U291" s="25" t="s">
        <v>294</v>
      </c>
      <c r="V291" s="26"/>
    </row>
    <row r="292" spans="1:22" x14ac:dyDescent="0.3">
      <c r="A292" s="10" t="s">
        <v>309</v>
      </c>
      <c r="B292" s="10"/>
      <c r="C292" s="25">
        <v>14227</v>
      </c>
      <c r="D292" s="26">
        <v>0.37691411010438203</v>
      </c>
      <c r="E292" s="25">
        <v>14897</v>
      </c>
      <c r="F292" s="26">
        <v>0.38499508967798601</v>
      </c>
      <c r="G292" s="25" t="s">
        <v>294</v>
      </c>
      <c r="H292" s="26"/>
      <c r="I292" s="25" t="s">
        <v>294</v>
      </c>
      <c r="J292" s="26"/>
      <c r="K292" s="25" t="s">
        <v>294</v>
      </c>
      <c r="L292" s="26"/>
      <c r="M292" s="25" t="s">
        <v>294</v>
      </c>
      <c r="N292" s="26"/>
      <c r="O292" s="25" t="s">
        <v>294</v>
      </c>
      <c r="P292" s="26"/>
      <c r="Q292" s="25" t="s">
        <v>294</v>
      </c>
      <c r="R292" s="26"/>
      <c r="S292" s="25" t="s">
        <v>294</v>
      </c>
      <c r="T292" s="26"/>
      <c r="U292" s="25" t="s">
        <v>294</v>
      </c>
      <c r="V292" s="26"/>
    </row>
    <row r="293" spans="1:22" x14ac:dyDescent="0.3">
      <c r="A293" s="10" t="s">
        <v>310</v>
      </c>
      <c r="B293" s="10"/>
      <c r="C293" s="25">
        <v>9028</v>
      </c>
      <c r="D293" s="26">
        <v>0.239177661209135</v>
      </c>
      <c r="E293" s="25">
        <v>9851</v>
      </c>
      <c r="F293" s="26">
        <v>0.25458727451284402</v>
      </c>
      <c r="G293" s="25" t="s">
        <v>294</v>
      </c>
      <c r="H293" s="26"/>
      <c r="I293" s="25" t="s">
        <v>294</v>
      </c>
      <c r="J293" s="26"/>
      <c r="K293" s="25" t="s">
        <v>294</v>
      </c>
      <c r="L293" s="26"/>
      <c r="M293" s="25" t="s">
        <v>294</v>
      </c>
      <c r="N293" s="26"/>
      <c r="O293" s="25" t="s">
        <v>294</v>
      </c>
      <c r="P293" s="26"/>
      <c r="Q293" s="25" t="s">
        <v>294</v>
      </c>
      <c r="R293" s="26"/>
      <c r="S293" s="25" t="s">
        <v>294</v>
      </c>
      <c r="T293" s="26"/>
      <c r="U293" s="25" t="s">
        <v>294</v>
      </c>
      <c r="V293" s="26"/>
    </row>
    <row r="294" spans="1:22" x14ac:dyDescent="0.3">
      <c r="A294" s="6" t="s">
        <v>347</v>
      </c>
      <c r="B294" s="6"/>
      <c r="C294" s="29">
        <v>6015</v>
      </c>
      <c r="D294" s="30">
        <v>1</v>
      </c>
      <c r="E294" s="29">
        <v>5661</v>
      </c>
      <c r="F294" s="30">
        <v>1</v>
      </c>
      <c r="G294" s="29">
        <v>4079</v>
      </c>
      <c r="H294" s="30">
        <v>1</v>
      </c>
      <c r="I294" s="29">
        <v>4088</v>
      </c>
      <c r="J294" s="30">
        <v>1</v>
      </c>
      <c r="K294" s="29">
        <v>4313</v>
      </c>
      <c r="L294" s="30">
        <v>1</v>
      </c>
      <c r="M294" s="29">
        <v>4693</v>
      </c>
      <c r="N294" s="30">
        <v>1</v>
      </c>
      <c r="O294" s="29">
        <v>5029</v>
      </c>
      <c r="P294" s="30">
        <v>1</v>
      </c>
      <c r="Q294" s="29">
        <v>4673</v>
      </c>
      <c r="R294" s="30">
        <v>1</v>
      </c>
      <c r="S294" s="29">
        <v>3752</v>
      </c>
      <c r="T294" s="30">
        <v>1</v>
      </c>
      <c r="U294" s="29">
        <v>5011</v>
      </c>
      <c r="V294" s="30">
        <v>1</v>
      </c>
    </row>
    <row r="295" spans="1:22" x14ac:dyDescent="0.3">
      <c r="A295" s="10" t="s">
        <v>298</v>
      </c>
      <c r="B295" s="10"/>
      <c r="C295" s="25">
        <v>1690</v>
      </c>
      <c r="D295" s="26">
        <v>0.28096425602660002</v>
      </c>
      <c r="E295" s="25">
        <v>1544</v>
      </c>
      <c r="F295" s="26">
        <v>0.27274333156686098</v>
      </c>
      <c r="G295" s="25">
        <v>1309</v>
      </c>
      <c r="H295" s="26">
        <v>0.32091198823241002</v>
      </c>
      <c r="I295" s="25">
        <v>1298</v>
      </c>
      <c r="J295" s="26">
        <v>0.317514677103718</v>
      </c>
      <c r="K295" s="25">
        <v>1351</v>
      </c>
      <c r="L295" s="26">
        <v>0.313239044748435</v>
      </c>
      <c r="M295" s="25">
        <v>1465</v>
      </c>
      <c r="N295" s="26">
        <v>0.31216705731941202</v>
      </c>
      <c r="O295" s="25">
        <v>1710</v>
      </c>
      <c r="P295" s="26">
        <v>0.34002783853648799</v>
      </c>
      <c r="Q295" s="25">
        <v>1834</v>
      </c>
      <c r="R295" s="26">
        <v>0.39246736571795399</v>
      </c>
      <c r="S295" s="25">
        <v>1995</v>
      </c>
      <c r="T295" s="26">
        <v>0.53171641791044799</v>
      </c>
      <c r="U295" s="25">
        <v>2003</v>
      </c>
      <c r="V295" s="26">
        <v>0.39972061464777497</v>
      </c>
    </row>
    <row r="296" spans="1:22" x14ac:dyDescent="0.3">
      <c r="A296" s="10" t="s">
        <v>293</v>
      </c>
      <c r="B296" s="10"/>
      <c r="C296" s="25" t="s">
        <v>294</v>
      </c>
      <c r="D296" s="26"/>
      <c r="E296" s="25" t="s">
        <v>294</v>
      </c>
      <c r="F296" s="26"/>
      <c r="G296" s="25">
        <v>1216</v>
      </c>
      <c r="H296" s="26">
        <v>0.29811228242216198</v>
      </c>
      <c r="I296" s="25">
        <v>1302</v>
      </c>
      <c r="J296" s="26">
        <v>0.318493150684932</v>
      </c>
      <c r="K296" s="25">
        <v>1474</v>
      </c>
      <c r="L296" s="26">
        <v>0.34175747739392498</v>
      </c>
      <c r="M296" s="25">
        <v>1790</v>
      </c>
      <c r="N296" s="26">
        <v>0.38141913488173901</v>
      </c>
      <c r="O296" s="25">
        <v>1984</v>
      </c>
      <c r="P296" s="26">
        <v>0.39451183137800799</v>
      </c>
      <c r="Q296" s="25">
        <v>1622</v>
      </c>
      <c r="R296" s="26">
        <v>0.34710036379199699</v>
      </c>
      <c r="S296" s="25">
        <v>1422</v>
      </c>
      <c r="T296" s="26">
        <v>0.37899786780383798</v>
      </c>
      <c r="U296" s="25">
        <v>1789</v>
      </c>
      <c r="V296" s="26">
        <v>0.35701456795050901</v>
      </c>
    </row>
    <row r="297" spans="1:22" x14ac:dyDescent="0.3">
      <c r="A297" s="10" t="s">
        <v>296</v>
      </c>
      <c r="B297" s="10"/>
      <c r="C297" s="25" t="s">
        <v>294</v>
      </c>
      <c r="D297" s="26"/>
      <c r="E297" s="25" t="s">
        <v>294</v>
      </c>
      <c r="F297" s="26"/>
      <c r="G297" s="25">
        <v>1077</v>
      </c>
      <c r="H297" s="26">
        <v>0.26403530277028697</v>
      </c>
      <c r="I297" s="25">
        <v>1165</v>
      </c>
      <c r="J297" s="26">
        <v>0.28498043052837602</v>
      </c>
      <c r="K297" s="25">
        <v>1338</v>
      </c>
      <c r="L297" s="26">
        <v>0.31022490146069998</v>
      </c>
      <c r="M297" s="25">
        <v>1645</v>
      </c>
      <c r="N297" s="26">
        <v>0.35052205412316201</v>
      </c>
      <c r="O297" s="25">
        <v>1827</v>
      </c>
      <c r="P297" s="26">
        <v>0.36329290117319502</v>
      </c>
      <c r="Q297" s="25">
        <v>1493</v>
      </c>
      <c r="R297" s="26">
        <v>0.31949497111063602</v>
      </c>
      <c r="S297" s="25">
        <v>1295</v>
      </c>
      <c r="T297" s="26">
        <v>0.34514925373134298</v>
      </c>
      <c r="U297" s="25">
        <v>1646</v>
      </c>
      <c r="V297" s="26">
        <v>0.32847734983037302</v>
      </c>
    </row>
    <row r="298" spans="1:22" x14ac:dyDescent="0.3">
      <c r="A298" s="10" t="s">
        <v>295</v>
      </c>
      <c r="B298" s="10"/>
      <c r="C298" s="25" t="s">
        <v>294</v>
      </c>
      <c r="D298" s="26"/>
      <c r="E298" s="25" t="s">
        <v>294</v>
      </c>
      <c r="F298" s="26"/>
      <c r="G298" s="25">
        <v>139</v>
      </c>
      <c r="H298" s="26">
        <v>3.4076979651875498E-2</v>
      </c>
      <c r="I298" s="25">
        <v>137</v>
      </c>
      <c r="J298" s="26">
        <v>3.3512720156555799E-2</v>
      </c>
      <c r="K298" s="25">
        <v>136</v>
      </c>
      <c r="L298" s="26">
        <v>3.1532575933225102E-2</v>
      </c>
      <c r="M298" s="25">
        <v>145</v>
      </c>
      <c r="N298" s="26">
        <v>3.0897080758576601E-2</v>
      </c>
      <c r="O298" s="25">
        <v>157</v>
      </c>
      <c r="P298" s="26">
        <v>3.12189302048121E-2</v>
      </c>
      <c r="Q298" s="25">
        <v>129</v>
      </c>
      <c r="R298" s="26">
        <v>2.7605392681360998E-2</v>
      </c>
      <c r="S298" s="25">
        <v>127</v>
      </c>
      <c r="T298" s="26">
        <v>3.3848614072494697E-2</v>
      </c>
      <c r="U298" s="25">
        <v>143</v>
      </c>
      <c r="V298" s="26">
        <v>2.85372181201357E-2</v>
      </c>
    </row>
    <row r="299" spans="1:22" x14ac:dyDescent="0.3">
      <c r="A299" s="10" t="s">
        <v>297</v>
      </c>
      <c r="B299" s="10"/>
      <c r="C299" s="25" t="s">
        <v>294</v>
      </c>
      <c r="D299" s="26"/>
      <c r="E299" s="25" t="s">
        <v>294</v>
      </c>
      <c r="F299" s="26"/>
      <c r="G299" s="25">
        <v>0</v>
      </c>
      <c r="H299" s="26"/>
      <c r="I299" s="25">
        <v>0</v>
      </c>
      <c r="J299" s="26"/>
      <c r="K299" s="25">
        <v>0</v>
      </c>
      <c r="L299" s="26"/>
      <c r="M299" s="25">
        <v>0</v>
      </c>
      <c r="N299" s="26"/>
      <c r="O299" s="25">
        <v>0</v>
      </c>
      <c r="P299" s="26"/>
      <c r="Q299" s="25">
        <v>0</v>
      </c>
      <c r="R299" s="26"/>
      <c r="S299" s="25" t="s">
        <v>294</v>
      </c>
      <c r="T299" s="26"/>
      <c r="U299" s="25" t="s">
        <v>294</v>
      </c>
      <c r="V299" s="26"/>
    </row>
    <row r="300" spans="1:22" x14ac:dyDescent="0.3">
      <c r="A300" s="10" t="s">
        <v>299</v>
      </c>
      <c r="B300" s="10"/>
      <c r="C300" s="25" t="s">
        <v>294</v>
      </c>
      <c r="D300" s="26"/>
      <c r="E300" s="25" t="s">
        <v>294</v>
      </c>
      <c r="F300" s="26"/>
      <c r="G300" s="25">
        <v>1062</v>
      </c>
      <c r="H300" s="26">
        <v>0.26035793086540798</v>
      </c>
      <c r="I300" s="25">
        <v>1042</v>
      </c>
      <c r="J300" s="26">
        <v>0.25489236790606701</v>
      </c>
      <c r="K300" s="25">
        <v>1018</v>
      </c>
      <c r="L300" s="26">
        <v>0.23603060514722901</v>
      </c>
      <c r="M300" s="25">
        <v>944</v>
      </c>
      <c r="N300" s="26">
        <v>0.20115064990411299</v>
      </c>
      <c r="O300" s="25">
        <v>905</v>
      </c>
      <c r="P300" s="26">
        <v>0.17995625372837501</v>
      </c>
      <c r="Q300" s="25">
        <v>868</v>
      </c>
      <c r="R300" s="26">
        <v>0.185747913545902</v>
      </c>
      <c r="S300" s="25" t="s">
        <v>294</v>
      </c>
      <c r="T300" s="26"/>
      <c r="U300" s="25">
        <v>813</v>
      </c>
      <c r="V300" s="26">
        <v>0.162243065256436</v>
      </c>
    </row>
    <row r="301" spans="1:22" x14ac:dyDescent="0.3">
      <c r="A301" s="10" t="s">
        <v>300</v>
      </c>
      <c r="B301" s="10"/>
      <c r="C301" s="25" t="s">
        <v>294</v>
      </c>
      <c r="D301" s="26"/>
      <c r="E301" s="25" t="s">
        <v>294</v>
      </c>
      <c r="F301" s="26"/>
      <c r="G301" s="25">
        <v>349</v>
      </c>
      <c r="H301" s="26">
        <v>8.5560186320176507E-2</v>
      </c>
      <c r="I301" s="25">
        <v>328</v>
      </c>
      <c r="J301" s="26">
        <v>8.0234833659491203E-2</v>
      </c>
      <c r="K301" s="25">
        <v>369</v>
      </c>
      <c r="L301" s="26">
        <v>8.5555297936471097E-2</v>
      </c>
      <c r="M301" s="25">
        <v>394</v>
      </c>
      <c r="N301" s="26">
        <v>8.3954826337097804E-2</v>
      </c>
      <c r="O301" s="25">
        <v>332</v>
      </c>
      <c r="P301" s="26">
        <v>6.6017100815271401E-2</v>
      </c>
      <c r="Q301" s="25">
        <v>240</v>
      </c>
      <c r="R301" s="26">
        <v>5.13588701048577E-2</v>
      </c>
      <c r="S301" s="25">
        <v>249</v>
      </c>
      <c r="T301" s="26">
        <v>6.6364605543710001E-2</v>
      </c>
      <c r="U301" s="25">
        <v>335</v>
      </c>
      <c r="V301" s="26">
        <v>6.6852923568150105E-2</v>
      </c>
    </row>
    <row r="302" spans="1:22" x14ac:dyDescent="0.3">
      <c r="A302" s="10" t="s">
        <v>301</v>
      </c>
      <c r="B302" s="10"/>
      <c r="C302" s="25">
        <v>147</v>
      </c>
      <c r="D302" s="26">
        <v>2.4438902743142098E-2</v>
      </c>
      <c r="E302" s="25">
        <v>148</v>
      </c>
      <c r="F302" s="26">
        <v>2.61437908496732E-2</v>
      </c>
      <c r="G302" s="25">
        <v>120</v>
      </c>
      <c r="H302" s="26">
        <v>2.9418975239029199E-2</v>
      </c>
      <c r="I302" s="25">
        <v>112</v>
      </c>
      <c r="J302" s="26">
        <v>2.7397260273972601E-2</v>
      </c>
      <c r="K302" s="25">
        <v>100</v>
      </c>
      <c r="L302" s="26">
        <v>2.3185717597959701E-2</v>
      </c>
      <c r="M302" s="25">
        <v>100</v>
      </c>
      <c r="N302" s="26">
        <v>2.1308331557639001E-2</v>
      </c>
      <c r="O302" s="25">
        <v>98</v>
      </c>
      <c r="P302" s="26">
        <v>1.9486975541857202E-2</v>
      </c>
      <c r="Q302" s="25">
        <v>109</v>
      </c>
      <c r="R302" s="26">
        <v>2.3325486839289498E-2</v>
      </c>
      <c r="S302" s="25">
        <v>86</v>
      </c>
      <c r="T302" s="26">
        <v>2.2921108742004301E-2</v>
      </c>
      <c r="U302" s="25">
        <v>71</v>
      </c>
      <c r="V302" s="26">
        <v>1.41688285771303E-2</v>
      </c>
    </row>
    <row r="303" spans="1:22" x14ac:dyDescent="0.3">
      <c r="A303" s="10" t="s">
        <v>302</v>
      </c>
      <c r="B303" s="10"/>
      <c r="C303" s="25">
        <v>42</v>
      </c>
      <c r="D303" s="26">
        <v>6.9825436408977601E-3</v>
      </c>
      <c r="E303" s="25">
        <v>34</v>
      </c>
      <c r="F303" s="26">
        <v>6.0060060060060103E-3</v>
      </c>
      <c r="G303" s="25">
        <v>23</v>
      </c>
      <c r="H303" s="26">
        <v>5.6386369208139197E-3</v>
      </c>
      <c r="I303" s="25">
        <v>6</v>
      </c>
      <c r="J303" s="26">
        <v>1.4677103718199599E-3</v>
      </c>
      <c r="K303" s="25">
        <v>1</v>
      </c>
      <c r="L303" s="26">
        <v>2.31857175979597E-4</v>
      </c>
      <c r="M303" s="25">
        <v>0</v>
      </c>
      <c r="N303" s="26"/>
      <c r="O303" s="25">
        <v>0</v>
      </c>
      <c r="P303" s="26"/>
      <c r="Q303" s="25">
        <v>0</v>
      </c>
      <c r="R303" s="26"/>
      <c r="S303" s="25">
        <v>0</v>
      </c>
      <c r="T303" s="26"/>
      <c r="U303" s="25">
        <v>0</v>
      </c>
      <c r="V303" s="26"/>
    </row>
    <row r="304" spans="1:22" x14ac:dyDescent="0.3">
      <c r="A304" s="10" t="s">
        <v>306</v>
      </c>
      <c r="B304" s="10"/>
      <c r="C304" s="25">
        <v>4136</v>
      </c>
      <c r="D304" s="26">
        <v>0.68761429758935999</v>
      </c>
      <c r="E304" s="25">
        <v>3935</v>
      </c>
      <c r="F304" s="26">
        <v>0.69510687157745998</v>
      </c>
      <c r="G304" s="25" t="s">
        <v>294</v>
      </c>
      <c r="H304" s="26"/>
      <c r="I304" s="25" t="s">
        <v>294</v>
      </c>
      <c r="J304" s="26"/>
      <c r="K304" s="25" t="s">
        <v>294</v>
      </c>
      <c r="L304" s="26"/>
      <c r="M304" s="25" t="s">
        <v>294</v>
      </c>
      <c r="N304" s="26"/>
      <c r="O304" s="25" t="s">
        <v>294</v>
      </c>
      <c r="P304" s="26"/>
      <c r="Q304" s="25" t="s">
        <v>294</v>
      </c>
      <c r="R304" s="26"/>
      <c r="S304" s="25" t="s">
        <v>294</v>
      </c>
      <c r="T304" s="26"/>
      <c r="U304" s="25" t="s">
        <v>294</v>
      </c>
      <c r="V304" s="26"/>
    </row>
    <row r="305" spans="1:22" x14ac:dyDescent="0.3">
      <c r="A305" s="10" t="s">
        <v>307</v>
      </c>
      <c r="B305" s="10"/>
      <c r="C305" s="25">
        <v>417</v>
      </c>
      <c r="D305" s="26">
        <v>6.9326683291770594E-2</v>
      </c>
      <c r="E305" s="25">
        <v>394</v>
      </c>
      <c r="F305" s="26">
        <v>6.9599010775481404E-2</v>
      </c>
      <c r="G305" s="25" t="s">
        <v>294</v>
      </c>
      <c r="H305" s="26"/>
      <c r="I305" s="25" t="s">
        <v>294</v>
      </c>
      <c r="J305" s="26"/>
      <c r="K305" s="25" t="s">
        <v>294</v>
      </c>
      <c r="L305" s="26"/>
      <c r="M305" s="25" t="s">
        <v>294</v>
      </c>
      <c r="N305" s="26"/>
      <c r="O305" s="25" t="s">
        <v>294</v>
      </c>
      <c r="P305" s="26"/>
      <c r="Q305" s="25" t="s">
        <v>294</v>
      </c>
      <c r="R305" s="26"/>
      <c r="S305" s="25" t="s">
        <v>294</v>
      </c>
      <c r="T305" s="26"/>
      <c r="U305" s="25" t="s">
        <v>294</v>
      </c>
      <c r="V305" s="26"/>
    </row>
    <row r="306" spans="1:22" x14ac:dyDescent="0.3">
      <c r="A306" s="10" t="s">
        <v>308</v>
      </c>
      <c r="B306" s="10"/>
      <c r="C306" s="25">
        <v>1233</v>
      </c>
      <c r="D306" s="26">
        <v>0.20498753117207</v>
      </c>
      <c r="E306" s="25">
        <v>1140</v>
      </c>
      <c r="F306" s="26">
        <v>0.201377848436672</v>
      </c>
      <c r="G306" s="25" t="s">
        <v>294</v>
      </c>
      <c r="H306" s="26"/>
      <c r="I306" s="25" t="s">
        <v>294</v>
      </c>
      <c r="J306" s="26"/>
      <c r="K306" s="25" t="s">
        <v>294</v>
      </c>
      <c r="L306" s="26"/>
      <c r="M306" s="25" t="s">
        <v>294</v>
      </c>
      <c r="N306" s="26"/>
      <c r="O306" s="25" t="s">
        <v>294</v>
      </c>
      <c r="P306" s="26"/>
      <c r="Q306" s="25" t="s">
        <v>294</v>
      </c>
      <c r="R306" s="26"/>
      <c r="S306" s="25" t="s">
        <v>294</v>
      </c>
      <c r="T306" s="26"/>
      <c r="U306" s="25" t="s">
        <v>294</v>
      </c>
      <c r="V306" s="26"/>
    </row>
    <row r="307" spans="1:22" x14ac:dyDescent="0.3">
      <c r="A307" s="10" t="s">
        <v>309</v>
      </c>
      <c r="B307" s="10"/>
      <c r="C307" s="25">
        <v>155</v>
      </c>
      <c r="D307" s="26">
        <v>2.5768911055694101E-2</v>
      </c>
      <c r="E307" s="25">
        <v>156</v>
      </c>
      <c r="F307" s="26">
        <v>2.75569687334393E-2</v>
      </c>
      <c r="G307" s="25" t="s">
        <v>294</v>
      </c>
      <c r="H307" s="26"/>
      <c r="I307" s="25" t="s">
        <v>294</v>
      </c>
      <c r="J307" s="26"/>
      <c r="K307" s="25" t="s">
        <v>294</v>
      </c>
      <c r="L307" s="26"/>
      <c r="M307" s="25" t="s">
        <v>294</v>
      </c>
      <c r="N307" s="26"/>
      <c r="O307" s="25" t="s">
        <v>294</v>
      </c>
      <c r="P307" s="26"/>
      <c r="Q307" s="25" t="s">
        <v>294</v>
      </c>
      <c r="R307" s="26"/>
      <c r="S307" s="25" t="s">
        <v>294</v>
      </c>
      <c r="T307" s="26"/>
      <c r="U307" s="25" t="s">
        <v>294</v>
      </c>
      <c r="V307" s="26"/>
    </row>
    <row r="308" spans="1:22" x14ac:dyDescent="0.3">
      <c r="A308" s="10" t="s">
        <v>310</v>
      </c>
      <c r="B308" s="10"/>
      <c r="C308" s="25">
        <v>2331</v>
      </c>
      <c r="D308" s="26">
        <v>0.38753117206982501</v>
      </c>
      <c r="E308" s="25">
        <v>2245</v>
      </c>
      <c r="F308" s="26">
        <v>0.39657304363186702</v>
      </c>
      <c r="G308" s="25" t="s">
        <v>294</v>
      </c>
      <c r="H308" s="26"/>
      <c r="I308" s="25" t="s">
        <v>294</v>
      </c>
      <c r="J308" s="26"/>
      <c r="K308" s="25" t="s">
        <v>294</v>
      </c>
      <c r="L308" s="26"/>
      <c r="M308" s="25" t="s">
        <v>294</v>
      </c>
      <c r="N308" s="26"/>
      <c r="O308" s="25" t="s">
        <v>294</v>
      </c>
      <c r="P308" s="26"/>
      <c r="Q308" s="25" t="s">
        <v>294</v>
      </c>
      <c r="R308" s="26"/>
      <c r="S308" s="25" t="s">
        <v>294</v>
      </c>
      <c r="T308" s="26"/>
      <c r="U308" s="25" t="s">
        <v>294</v>
      </c>
      <c r="V308" s="26"/>
    </row>
    <row r="309" spans="1:22" x14ac:dyDescent="0.3">
      <c r="A309" s="6" t="s">
        <v>348</v>
      </c>
      <c r="B309" s="6"/>
      <c r="C309" s="29">
        <v>3550</v>
      </c>
      <c r="D309" s="30">
        <v>1</v>
      </c>
      <c r="E309" s="29">
        <v>4027</v>
      </c>
      <c r="F309" s="30">
        <v>1</v>
      </c>
      <c r="G309" s="29">
        <v>3068</v>
      </c>
      <c r="H309" s="30">
        <v>1</v>
      </c>
      <c r="I309" s="29">
        <v>3043</v>
      </c>
      <c r="J309" s="30">
        <v>1</v>
      </c>
      <c r="K309" s="29">
        <v>2648</v>
      </c>
      <c r="L309" s="30">
        <v>1</v>
      </c>
      <c r="M309" s="29">
        <v>2760</v>
      </c>
      <c r="N309" s="30">
        <v>1</v>
      </c>
      <c r="O309" s="29">
        <v>2787</v>
      </c>
      <c r="P309" s="30">
        <v>1</v>
      </c>
      <c r="Q309" s="29">
        <v>2994</v>
      </c>
      <c r="R309" s="30">
        <v>1</v>
      </c>
      <c r="S309" s="29">
        <v>2336</v>
      </c>
      <c r="T309" s="30">
        <v>1</v>
      </c>
      <c r="U309" s="29">
        <v>2037</v>
      </c>
      <c r="V309" s="30">
        <v>1</v>
      </c>
    </row>
    <row r="310" spans="1:22" x14ac:dyDescent="0.3">
      <c r="A310" s="10" t="s">
        <v>298</v>
      </c>
      <c r="B310" s="10"/>
      <c r="C310" s="25">
        <v>1542</v>
      </c>
      <c r="D310" s="26">
        <v>0.37766348273328398</v>
      </c>
      <c r="E310" s="25">
        <v>1397</v>
      </c>
      <c r="F310" s="26">
        <v>0.34690836851253998</v>
      </c>
      <c r="G310" s="25">
        <v>1253</v>
      </c>
      <c r="H310" s="26">
        <v>0.40840938722294701</v>
      </c>
      <c r="I310" s="25">
        <v>1236</v>
      </c>
      <c r="J310" s="26">
        <v>0.40617811370358198</v>
      </c>
      <c r="K310" s="25">
        <v>1300</v>
      </c>
      <c r="L310" s="26">
        <v>0.49093655589123902</v>
      </c>
      <c r="M310" s="25">
        <v>1302</v>
      </c>
      <c r="N310" s="26">
        <v>0.47173913043478299</v>
      </c>
      <c r="O310" s="25">
        <v>1288</v>
      </c>
      <c r="P310" s="26">
        <v>0.46214567635450299</v>
      </c>
      <c r="Q310" s="25">
        <v>1415</v>
      </c>
      <c r="R310" s="26">
        <v>0.47261189044756202</v>
      </c>
      <c r="S310" s="25">
        <v>1369</v>
      </c>
      <c r="T310" s="26">
        <v>0.58604452054794498</v>
      </c>
      <c r="U310" s="25">
        <v>1105</v>
      </c>
      <c r="V310" s="26">
        <v>0.54246440844378996</v>
      </c>
    </row>
    <row r="311" spans="1:22" x14ac:dyDescent="0.3">
      <c r="A311" s="10" t="s">
        <v>300</v>
      </c>
      <c r="B311" s="10"/>
      <c r="C311" s="25" t="s">
        <v>294</v>
      </c>
      <c r="D311" s="26"/>
      <c r="E311" s="25">
        <v>313</v>
      </c>
      <c r="F311" s="26">
        <v>7.7725353861435295E-2</v>
      </c>
      <c r="G311" s="25">
        <v>271</v>
      </c>
      <c r="H311" s="26">
        <v>8.8331160365058697E-2</v>
      </c>
      <c r="I311" s="25">
        <v>184</v>
      </c>
      <c r="J311" s="26">
        <v>6.0466644758462001E-2</v>
      </c>
      <c r="K311" s="25">
        <v>224</v>
      </c>
      <c r="L311" s="26">
        <v>8.4592145015105702E-2</v>
      </c>
      <c r="M311" s="25">
        <v>209</v>
      </c>
      <c r="N311" s="26">
        <v>7.5724637681159404E-2</v>
      </c>
      <c r="O311" s="25">
        <v>291</v>
      </c>
      <c r="P311" s="26">
        <v>0.104413347685684</v>
      </c>
      <c r="Q311" s="25">
        <v>276</v>
      </c>
      <c r="R311" s="26">
        <v>9.2184368737474903E-2</v>
      </c>
      <c r="S311" s="25">
        <v>285</v>
      </c>
      <c r="T311" s="26">
        <v>0.122003424657534</v>
      </c>
      <c r="U311" s="25">
        <v>339</v>
      </c>
      <c r="V311" s="26">
        <v>0.166421207658321</v>
      </c>
    </row>
    <row r="312" spans="1:22" x14ac:dyDescent="0.3">
      <c r="A312" s="10" t="s">
        <v>301</v>
      </c>
      <c r="B312" s="10"/>
      <c r="C312" s="25">
        <v>683</v>
      </c>
      <c r="D312" s="26">
        <v>0.16727896154788099</v>
      </c>
      <c r="E312" s="25">
        <v>613</v>
      </c>
      <c r="F312" s="26">
        <v>0.15222249813757099</v>
      </c>
      <c r="G312" s="25">
        <v>497</v>
      </c>
      <c r="H312" s="26">
        <v>0.161994784876141</v>
      </c>
      <c r="I312" s="25">
        <v>408</v>
      </c>
      <c r="J312" s="26">
        <v>0.13407821229050301</v>
      </c>
      <c r="K312" s="25">
        <v>357</v>
      </c>
      <c r="L312" s="26">
        <v>0.134818731117825</v>
      </c>
      <c r="M312" s="25">
        <v>434</v>
      </c>
      <c r="N312" s="26">
        <v>0.15724637681159401</v>
      </c>
      <c r="O312" s="25">
        <v>428</v>
      </c>
      <c r="P312" s="26">
        <v>0.15357014711159001</v>
      </c>
      <c r="Q312" s="25">
        <v>454</v>
      </c>
      <c r="R312" s="26">
        <v>0.15163660654642599</v>
      </c>
      <c r="S312" s="25">
        <v>356</v>
      </c>
      <c r="T312" s="26">
        <v>0.15239726027397299</v>
      </c>
      <c r="U312" s="25">
        <v>333</v>
      </c>
      <c r="V312" s="26">
        <v>0.16347569955817401</v>
      </c>
    </row>
    <row r="313" spans="1:22" x14ac:dyDescent="0.3">
      <c r="A313" s="10" t="s">
        <v>299</v>
      </c>
      <c r="B313" s="10"/>
      <c r="C313" s="25" t="s">
        <v>294</v>
      </c>
      <c r="D313" s="26"/>
      <c r="E313" s="25">
        <v>444</v>
      </c>
      <c r="F313" s="26">
        <v>0.110255773528681</v>
      </c>
      <c r="G313" s="25">
        <v>577</v>
      </c>
      <c r="H313" s="26">
        <v>0.188070404172099</v>
      </c>
      <c r="I313" s="25">
        <v>736</v>
      </c>
      <c r="J313" s="26">
        <v>0.24186657903384801</v>
      </c>
      <c r="K313" s="25">
        <v>302</v>
      </c>
      <c r="L313" s="26">
        <v>0.11404833836858</v>
      </c>
      <c r="M313" s="25">
        <v>332</v>
      </c>
      <c r="N313" s="26">
        <v>0.12028985507246399</v>
      </c>
      <c r="O313" s="25">
        <v>299</v>
      </c>
      <c r="P313" s="26">
        <v>0.107283817725152</v>
      </c>
      <c r="Q313" s="25">
        <v>370</v>
      </c>
      <c r="R313" s="26">
        <v>0.123580494321977</v>
      </c>
      <c r="S313" s="25">
        <v>257</v>
      </c>
      <c r="T313" s="26">
        <v>0.11001712328767101</v>
      </c>
      <c r="U313" s="25">
        <v>192</v>
      </c>
      <c r="V313" s="26">
        <v>9.4256259204712797E-2</v>
      </c>
    </row>
    <row r="314" spans="1:22" x14ac:dyDescent="0.3">
      <c r="A314" s="10" t="s">
        <v>293</v>
      </c>
      <c r="B314" s="10"/>
      <c r="C314" s="25" t="s">
        <v>294</v>
      </c>
      <c r="D314" s="26"/>
      <c r="E314" s="25">
        <v>458</v>
      </c>
      <c r="F314" s="26">
        <v>0.11373230692823399</v>
      </c>
      <c r="G314" s="25">
        <v>471</v>
      </c>
      <c r="H314" s="26">
        <v>0.15352020860495399</v>
      </c>
      <c r="I314" s="25">
        <v>471</v>
      </c>
      <c r="J314" s="26">
        <v>0.15478146565888901</v>
      </c>
      <c r="K314" s="25">
        <v>459</v>
      </c>
      <c r="L314" s="26">
        <v>0.17333836858005999</v>
      </c>
      <c r="M314" s="25">
        <v>477</v>
      </c>
      <c r="N314" s="26">
        <v>0.17282608695652199</v>
      </c>
      <c r="O314" s="25">
        <v>475</v>
      </c>
      <c r="P314" s="26">
        <v>0.17043415859347</v>
      </c>
      <c r="Q314" s="25">
        <v>471</v>
      </c>
      <c r="R314" s="26">
        <v>0.157314629258517</v>
      </c>
      <c r="S314" s="25">
        <v>60</v>
      </c>
      <c r="T314" s="26">
        <v>2.56849315068493E-2</v>
      </c>
      <c r="U314" s="25">
        <v>59</v>
      </c>
      <c r="V314" s="26">
        <v>2.8964162984781501E-2</v>
      </c>
    </row>
    <row r="315" spans="1:22" x14ac:dyDescent="0.3">
      <c r="A315" s="10" t="s">
        <v>296</v>
      </c>
      <c r="B315" s="10"/>
      <c r="C315" s="25" t="s">
        <v>294</v>
      </c>
      <c r="D315" s="26"/>
      <c r="E315" s="25" t="s">
        <v>294</v>
      </c>
      <c r="F315" s="26"/>
      <c r="G315" s="25">
        <v>20</v>
      </c>
      <c r="H315" s="26">
        <v>6.51890482398957E-3</v>
      </c>
      <c r="I315" s="25">
        <v>18</v>
      </c>
      <c r="J315" s="26">
        <v>5.9152152481104199E-3</v>
      </c>
      <c r="K315" s="25">
        <v>20</v>
      </c>
      <c r="L315" s="26">
        <v>7.5528700906344398E-3</v>
      </c>
      <c r="M315" s="25">
        <v>24</v>
      </c>
      <c r="N315" s="26">
        <v>8.6956521739130401E-3</v>
      </c>
      <c r="O315" s="25">
        <v>23</v>
      </c>
      <c r="P315" s="26">
        <v>8.2526013634732706E-3</v>
      </c>
      <c r="Q315" s="25">
        <v>25</v>
      </c>
      <c r="R315" s="26">
        <v>8.3500334001335996E-3</v>
      </c>
      <c r="S315" s="25">
        <v>32</v>
      </c>
      <c r="T315" s="26">
        <v>1.3698630136986301E-2</v>
      </c>
      <c r="U315" s="25">
        <v>31</v>
      </c>
      <c r="V315" s="26">
        <v>1.52184585174276E-2</v>
      </c>
    </row>
    <row r="316" spans="1:22" x14ac:dyDescent="0.3">
      <c r="A316" s="10" t="s">
        <v>295</v>
      </c>
      <c r="B316" s="10"/>
      <c r="C316" s="25" t="s">
        <v>294</v>
      </c>
      <c r="D316" s="26"/>
      <c r="E316" s="25" t="s">
        <v>294</v>
      </c>
      <c r="F316" s="26"/>
      <c r="G316" s="25">
        <v>39</v>
      </c>
      <c r="H316" s="26">
        <v>1.27118644067797E-2</v>
      </c>
      <c r="I316" s="25">
        <v>39</v>
      </c>
      <c r="J316" s="26">
        <v>1.28162997042392E-2</v>
      </c>
      <c r="K316" s="25">
        <v>36</v>
      </c>
      <c r="L316" s="26">
        <v>1.3595166163142E-2</v>
      </c>
      <c r="M316" s="25">
        <v>53</v>
      </c>
      <c r="N316" s="26">
        <v>1.9202898550724601E-2</v>
      </c>
      <c r="O316" s="25">
        <v>35</v>
      </c>
      <c r="P316" s="26">
        <v>1.2558306422676699E-2</v>
      </c>
      <c r="Q316" s="25">
        <v>34</v>
      </c>
      <c r="R316" s="26">
        <v>1.1356045424181701E-2</v>
      </c>
      <c r="S316" s="25">
        <v>28</v>
      </c>
      <c r="T316" s="26">
        <v>1.1986301369862999E-2</v>
      </c>
      <c r="U316" s="25">
        <v>28</v>
      </c>
      <c r="V316" s="26">
        <v>1.3745704467354E-2</v>
      </c>
    </row>
    <row r="317" spans="1:22" x14ac:dyDescent="0.3">
      <c r="A317" s="10" t="s">
        <v>297</v>
      </c>
      <c r="B317" s="10"/>
      <c r="C317" s="25" t="s">
        <v>294</v>
      </c>
      <c r="D317" s="26"/>
      <c r="E317" s="25" t="s">
        <v>294</v>
      </c>
      <c r="F317" s="26"/>
      <c r="G317" s="25">
        <v>412</v>
      </c>
      <c r="H317" s="26">
        <v>0.134289439374185</v>
      </c>
      <c r="I317" s="25">
        <v>414</v>
      </c>
      <c r="J317" s="26">
        <v>0.13604995070654</v>
      </c>
      <c r="K317" s="25">
        <v>403</v>
      </c>
      <c r="L317" s="26">
        <v>0.15219033232628401</v>
      </c>
      <c r="M317" s="25">
        <v>400</v>
      </c>
      <c r="N317" s="26">
        <v>0.14492753623188401</v>
      </c>
      <c r="O317" s="25">
        <v>417</v>
      </c>
      <c r="P317" s="26">
        <v>0.14962325080732</v>
      </c>
      <c r="Q317" s="25">
        <v>412</v>
      </c>
      <c r="R317" s="26">
        <v>0.137608550434202</v>
      </c>
      <c r="S317" s="25">
        <v>0</v>
      </c>
      <c r="T317" s="26"/>
      <c r="U317" s="25">
        <v>0</v>
      </c>
      <c r="V317" s="26"/>
    </row>
    <row r="318" spans="1:22" x14ac:dyDescent="0.3">
      <c r="A318" s="10" t="s">
        <v>302</v>
      </c>
      <c r="B318" s="10"/>
      <c r="C318" s="25">
        <v>0</v>
      </c>
      <c r="D318" s="26"/>
      <c r="E318" s="25">
        <v>-8</v>
      </c>
      <c r="F318" s="26">
        <v>-1.9865905140303E-3</v>
      </c>
      <c r="G318" s="25">
        <v>-1</v>
      </c>
      <c r="H318" s="26">
        <v>-3.2594524119947799E-4</v>
      </c>
      <c r="I318" s="25">
        <v>8</v>
      </c>
      <c r="J318" s="26">
        <v>2.6289845547157399E-3</v>
      </c>
      <c r="K318" s="25">
        <v>6</v>
      </c>
      <c r="L318" s="26">
        <v>2.2658610271903299E-3</v>
      </c>
      <c r="M318" s="25">
        <v>6</v>
      </c>
      <c r="N318" s="26">
        <v>2.17391304347826E-3</v>
      </c>
      <c r="O318" s="25">
        <v>6</v>
      </c>
      <c r="P318" s="26">
        <v>2.1528525296017199E-3</v>
      </c>
      <c r="Q318" s="25">
        <v>8</v>
      </c>
      <c r="R318" s="26">
        <v>2.6720106880427502E-3</v>
      </c>
      <c r="S318" s="25">
        <v>9</v>
      </c>
      <c r="T318" s="26">
        <v>3.8527397260274001E-3</v>
      </c>
      <c r="U318" s="25">
        <v>9</v>
      </c>
      <c r="V318" s="26">
        <v>4.4182621502209104E-3</v>
      </c>
    </row>
    <row r="319" spans="1:22" x14ac:dyDescent="0.3">
      <c r="A319" s="10" t="s">
        <v>304</v>
      </c>
      <c r="B319" s="10"/>
      <c r="C319" s="25" t="s">
        <v>294</v>
      </c>
      <c r="D319" s="26"/>
      <c r="E319" s="25">
        <v>810</v>
      </c>
      <c r="F319" s="26">
        <v>0.20114228954556701</v>
      </c>
      <c r="G319" s="25" t="s">
        <v>294</v>
      </c>
      <c r="H319" s="26"/>
      <c r="I319" s="25" t="s">
        <v>294</v>
      </c>
      <c r="J319" s="26"/>
      <c r="K319" s="25" t="s">
        <v>294</v>
      </c>
      <c r="L319" s="26"/>
      <c r="M319" s="25" t="s">
        <v>294</v>
      </c>
      <c r="N319" s="26"/>
      <c r="O319" s="25" t="s">
        <v>294</v>
      </c>
      <c r="P319" s="26"/>
      <c r="Q319" s="25" t="s">
        <v>294</v>
      </c>
      <c r="R319" s="26"/>
      <c r="S319" s="25" t="s">
        <v>294</v>
      </c>
      <c r="T319" s="26"/>
      <c r="U319" s="25" t="s">
        <v>294</v>
      </c>
      <c r="V319" s="26"/>
    </row>
    <row r="320" spans="1:22" x14ac:dyDescent="0.3">
      <c r="A320" s="10" t="s">
        <v>325</v>
      </c>
      <c r="B320" s="10"/>
      <c r="C320" s="25">
        <v>-533</v>
      </c>
      <c r="D320" s="26"/>
      <c r="E320" s="25" t="s">
        <v>294</v>
      </c>
      <c r="F320" s="26"/>
      <c r="G320" s="25" t="s">
        <v>294</v>
      </c>
      <c r="H320" s="26"/>
      <c r="I320" s="25" t="s">
        <v>294</v>
      </c>
      <c r="J320" s="26"/>
      <c r="K320" s="25" t="s">
        <v>294</v>
      </c>
      <c r="L320" s="26"/>
      <c r="M320" s="25" t="s">
        <v>294</v>
      </c>
      <c r="N320" s="26"/>
      <c r="O320" s="25" t="s">
        <v>294</v>
      </c>
      <c r="P320" s="26"/>
      <c r="Q320" s="25" t="s">
        <v>294</v>
      </c>
      <c r="R320" s="26"/>
      <c r="S320" s="25" t="s">
        <v>294</v>
      </c>
      <c r="T320" s="26"/>
      <c r="U320" s="25" t="s">
        <v>294</v>
      </c>
      <c r="V320" s="26"/>
    </row>
    <row r="321" spans="1:22" x14ac:dyDescent="0.3">
      <c r="A321" s="10" t="s">
        <v>306</v>
      </c>
      <c r="B321" s="10"/>
      <c r="C321" s="25">
        <v>1858</v>
      </c>
      <c r="D321" s="26">
        <v>0.45505755571883399</v>
      </c>
      <c r="E321" s="25" t="s">
        <v>294</v>
      </c>
      <c r="F321" s="26"/>
      <c r="G321" s="25" t="s">
        <v>294</v>
      </c>
      <c r="H321" s="26"/>
      <c r="I321" s="25" t="s">
        <v>294</v>
      </c>
      <c r="J321" s="26"/>
      <c r="K321" s="25" t="s">
        <v>294</v>
      </c>
      <c r="L321" s="26"/>
      <c r="M321" s="25" t="s">
        <v>294</v>
      </c>
      <c r="N321" s="26"/>
      <c r="O321" s="25" t="s">
        <v>294</v>
      </c>
      <c r="P321" s="26"/>
      <c r="Q321" s="25" t="s">
        <v>294</v>
      </c>
      <c r="R321" s="26"/>
      <c r="S321" s="25" t="s">
        <v>294</v>
      </c>
      <c r="T321" s="26"/>
      <c r="U321" s="25" t="s">
        <v>294</v>
      </c>
      <c r="V321" s="26"/>
    </row>
    <row r="322" spans="1:22" x14ac:dyDescent="0.3">
      <c r="A322" s="10" t="s">
        <v>307</v>
      </c>
      <c r="B322" s="10"/>
      <c r="C322" s="25">
        <v>311</v>
      </c>
      <c r="D322" s="26">
        <v>7.6169483223120296E-2</v>
      </c>
      <c r="E322" s="25" t="s">
        <v>294</v>
      </c>
      <c r="F322" s="26"/>
      <c r="G322" s="25" t="s">
        <v>294</v>
      </c>
      <c r="H322" s="26"/>
      <c r="I322" s="25" t="s">
        <v>294</v>
      </c>
      <c r="J322" s="26"/>
      <c r="K322" s="25" t="s">
        <v>294</v>
      </c>
      <c r="L322" s="26"/>
      <c r="M322" s="25" t="s">
        <v>294</v>
      </c>
      <c r="N322" s="26"/>
      <c r="O322" s="25" t="s">
        <v>294</v>
      </c>
      <c r="P322" s="26"/>
      <c r="Q322" s="25" t="s">
        <v>294</v>
      </c>
      <c r="R322" s="26"/>
      <c r="S322" s="25" t="s">
        <v>294</v>
      </c>
      <c r="T322" s="26"/>
      <c r="U322" s="25" t="s">
        <v>294</v>
      </c>
      <c r="V322" s="26"/>
    </row>
    <row r="323" spans="1:22" x14ac:dyDescent="0.3">
      <c r="A323" s="10" t="s">
        <v>308</v>
      </c>
      <c r="B323" s="10"/>
      <c r="C323" s="25">
        <v>23</v>
      </c>
      <c r="D323" s="26">
        <v>5.6331129071760999E-3</v>
      </c>
      <c r="E323" s="25" t="s">
        <v>294</v>
      </c>
      <c r="F323" s="26"/>
      <c r="G323" s="25" t="s">
        <v>294</v>
      </c>
      <c r="H323" s="26"/>
      <c r="I323" s="25" t="s">
        <v>294</v>
      </c>
      <c r="J323" s="26"/>
      <c r="K323" s="25" t="s">
        <v>294</v>
      </c>
      <c r="L323" s="26"/>
      <c r="M323" s="25" t="s">
        <v>294</v>
      </c>
      <c r="N323" s="26"/>
      <c r="O323" s="25" t="s">
        <v>294</v>
      </c>
      <c r="P323" s="26"/>
      <c r="Q323" s="25" t="s">
        <v>294</v>
      </c>
      <c r="R323" s="26"/>
      <c r="S323" s="25" t="s">
        <v>294</v>
      </c>
      <c r="T323" s="26"/>
      <c r="U323" s="25" t="s">
        <v>294</v>
      </c>
      <c r="V323" s="26"/>
    </row>
    <row r="324" spans="1:22" x14ac:dyDescent="0.3">
      <c r="A324" s="10" t="s">
        <v>309</v>
      </c>
      <c r="B324" s="10"/>
      <c r="C324" s="25">
        <v>140</v>
      </c>
      <c r="D324" s="26">
        <v>3.4288513348028397E-2</v>
      </c>
      <c r="E324" s="25" t="s">
        <v>294</v>
      </c>
      <c r="F324" s="26"/>
      <c r="G324" s="25" t="s">
        <v>294</v>
      </c>
      <c r="H324" s="26"/>
      <c r="I324" s="25" t="s">
        <v>294</v>
      </c>
      <c r="J324" s="26"/>
      <c r="K324" s="25" t="s">
        <v>294</v>
      </c>
      <c r="L324" s="26"/>
      <c r="M324" s="25" t="s">
        <v>294</v>
      </c>
      <c r="N324" s="26"/>
      <c r="O324" s="25" t="s">
        <v>294</v>
      </c>
      <c r="P324" s="26"/>
      <c r="Q324" s="25" t="s">
        <v>294</v>
      </c>
      <c r="R324" s="26"/>
      <c r="S324" s="25" t="s">
        <v>294</v>
      </c>
      <c r="T324" s="26"/>
      <c r="U324" s="25" t="s">
        <v>294</v>
      </c>
      <c r="V324" s="26"/>
    </row>
    <row r="325" spans="1:22" x14ac:dyDescent="0.3">
      <c r="A325" s="10" t="s">
        <v>310</v>
      </c>
      <c r="B325" s="10"/>
      <c r="C325" s="25">
        <v>1384</v>
      </c>
      <c r="D325" s="26">
        <v>0.33896644624050898</v>
      </c>
      <c r="E325" s="25" t="s">
        <v>294</v>
      </c>
      <c r="F325" s="26"/>
      <c r="G325" s="25" t="s">
        <v>294</v>
      </c>
      <c r="H325" s="26"/>
      <c r="I325" s="25" t="s">
        <v>294</v>
      </c>
      <c r="J325" s="26"/>
      <c r="K325" s="25" t="s">
        <v>294</v>
      </c>
      <c r="L325" s="26"/>
      <c r="M325" s="25" t="s">
        <v>294</v>
      </c>
      <c r="N325" s="26"/>
      <c r="O325" s="25" t="s">
        <v>294</v>
      </c>
      <c r="P325" s="26"/>
      <c r="Q325" s="25" t="s">
        <v>294</v>
      </c>
      <c r="R325" s="26"/>
      <c r="S325" s="25" t="s">
        <v>294</v>
      </c>
      <c r="T325" s="26"/>
      <c r="U325" s="25" t="s">
        <v>294</v>
      </c>
      <c r="V325" s="26"/>
    </row>
    <row r="326" spans="1:22" x14ac:dyDescent="0.3">
      <c r="A326" s="6" t="s">
        <v>349</v>
      </c>
      <c r="B326" s="6"/>
      <c r="C326" s="29">
        <v>187942</v>
      </c>
      <c r="D326" s="30">
        <v>1</v>
      </c>
      <c r="E326" s="29">
        <v>207163</v>
      </c>
      <c r="F326" s="30">
        <v>1</v>
      </c>
      <c r="G326" s="29">
        <v>176208</v>
      </c>
      <c r="H326" s="30">
        <v>1</v>
      </c>
      <c r="I326" s="29">
        <v>181969</v>
      </c>
      <c r="J326" s="30">
        <v>1</v>
      </c>
      <c r="K326" s="29">
        <v>195610</v>
      </c>
      <c r="L326" s="30">
        <v>1</v>
      </c>
      <c r="M326" s="29">
        <v>203737</v>
      </c>
      <c r="N326" s="30">
        <v>1</v>
      </c>
      <c r="O326" s="29">
        <v>214100</v>
      </c>
      <c r="P326" s="30">
        <v>1</v>
      </c>
      <c r="Q326" s="29">
        <v>226726</v>
      </c>
      <c r="R326" s="30">
        <v>1</v>
      </c>
      <c r="S326" s="29">
        <v>256600</v>
      </c>
      <c r="T326" s="30">
        <v>1</v>
      </c>
      <c r="U326" s="29">
        <v>263743</v>
      </c>
      <c r="V326" s="30">
        <v>1</v>
      </c>
    </row>
    <row r="327" spans="1:22" x14ac:dyDescent="0.3">
      <c r="A327" s="10" t="s">
        <v>293</v>
      </c>
      <c r="B327" s="10"/>
      <c r="C327" s="25" t="s">
        <v>294</v>
      </c>
      <c r="D327" s="26"/>
      <c r="E327" s="25">
        <v>57521</v>
      </c>
      <c r="F327" s="26">
        <v>0.27766058610852301</v>
      </c>
      <c r="G327" s="25">
        <v>59413</v>
      </c>
      <c r="H327" s="26">
        <v>0.33717538363751898</v>
      </c>
      <c r="I327" s="25">
        <v>61578</v>
      </c>
      <c r="J327" s="26">
        <v>0.338398298611302</v>
      </c>
      <c r="K327" s="25">
        <v>65610</v>
      </c>
      <c r="L327" s="26">
        <v>0.33541229998466299</v>
      </c>
      <c r="M327" s="25">
        <v>72639</v>
      </c>
      <c r="N327" s="26">
        <v>0.356533177576974</v>
      </c>
      <c r="O327" s="25">
        <v>79147</v>
      </c>
      <c r="P327" s="26">
        <v>0.36967304997664602</v>
      </c>
      <c r="Q327" s="25">
        <v>85037</v>
      </c>
      <c r="R327" s="26">
        <v>0.37506505649991601</v>
      </c>
      <c r="S327" s="25">
        <v>156156</v>
      </c>
      <c r="T327" s="26">
        <v>0.60855806703039705</v>
      </c>
      <c r="U327" s="25">
        <v>165153</v>
      </c>
      <c r="V327" s="26">
        <v>0.62618913108594398</v>
      </c>
    </row>
    <row r="328" spans="1:22" x14ac:dyDescent="0.3">
      <c r="A328" s="10" t="s">
        <v>299</v>
      </c>
      <c r="B328" s="10"/>
      <c r="C328" s="25" t="s">
        <v>294</v>
      </c>
      <c r="D328" s="26"/>
      <c r="E328" s="25">
        <v>71169</v>
      </c>
      <c r="F328" s="26">
        <v>0.34354107635050701</v>
      </c>
      <c r="G328" s="25">
        <v>70764</v>
      </c>
      <c r="H328" s="26">
        <v>0.40159357123399603</v>
      </c>
      <c r="I328" s="25">
        <v>72220</v>
      </c>
      <c r="J328" s="26">
        <v>0.396880787386863</v>
      </c>
      <c r="K328" s="25">
        <v>73317</v>
      </c>
      <c r="L328" s="26">
        <v>0.374812126169419</v>
      </c>
      <c r="M328" s="25">
        <v>72405</v>
      </c>
      <c r="N328" s="26">
        <v>0.35538463803825499</v>
      </c>
      <c r="O328" s="25">
        <v>74999</v>
      </c>
      <c r="P328" s="26">
        <v>0.35029892573563798</v>
      </c>
      <c r="Q328" s="25">
        <v>78048</v>
      </c>
      <c r="R328" s="26">
        <v>0.34423930206504799</v>
      </c>
      <c r="S328" s="25">
        <v>100444</v>
      </c>
      <c r="T328" s="26">
        <v>0.391441932969603</v>
      </c>
      <c r="U328" s="25">
        <v>98590</v>
      </c>
      <c r="V328" s="26">
        <v>0.37381086891405602</v>
      </c>
    </row>
    <row r="329" spans="1:22" x14ac:dyDescent="0.3">
      <c r="A329" s="10" t="s">
        <v>350</v>
      </c>
      <c r="B329" s="10"/>
      <c r="C329" s="25" t="s">
        <v>294</v>
      </c>
      <c r="D329" s="26"/>
      <c r="E329" s="25" t="s">
        <v>294</v>
      </c>
      <c r="F329" s="26"/>
      <c r="G329" s="25" t="s">
        <v>294</v>
      </c>
      <c r="H329" s="26"/>
      <c r="I329" s="25" t="s">
        <v>294</v>
      </c>
      <c r="J329" s="26"/>
      <c r="K329" s="25" t="s">
        <v>294</v>
      </c>
      <c r="L329" s="26"/>
      <c r="M329" s="25" t="s">
        <v>294</v>
      </c>
      <c r="N329" s="26"/>
      <c r="O329" s="25" t="s">
        <v>294</v>
      </c>
      <c r="P329" s="26"/>
      <c r="Q329" s="25" t="s">
        <v>294</v>
      </c>
      <c r="R329" s="26"/>
      <c r="S329" s="25" t="s">
        <v>294</v>
      </c>
      <c r="T329" s="26"/>
      <c r="U329" s="25">
        <v>81561</v>
      </c>
      <c r="V329" s="26">
        <v>0.30924422638705101</v>
      </c>
    </row>
    <row r="330" spans="1:22" x14ac:dyDescent="0.3">
      <c r="A330" s="10" t="s">
        <v>351</v>
      </c>
      <c r="B330" s="10"/>
      <c r="C330" s="25" t="s">
        <v>294</v>
      </c>
      <c r="D330" s="26"/>
      <c r="E330" s="25" t="s">
        <v>294</v>
      </c>
      <c r="F330" s="26"/>
      <c r="G330" s="25" t="s">
        <v>294</v>
      </c>
      <c r="H330" s="26"/>
      <c r="I330" s="25" t="s">
        <v>294</v>
      </c>
      <c r="J330" s="26"/>
      <c r="K330" s="25" t="s">
        <v>294</v>
      </c>
      <c r="L330" s="26"/>
      <c r="M330" s="25" t="s">
        <v>294</v>
      </c>
      <c r="N330" s="26"/>
      <c r="O330" s="25" t="s">
        <v>294</v>
      </c>
      <c r="P330" s="26"/>
      <c r="Q330" s="25" t="s">
        <v>294</v>
      </c>
      <c r="R330" s="26"/>
      <c r="S330" s="25" t="s">
        <v>294</v>
      </c>
      <c r="T330" s="26"/>
      <c r="U330" s="25">
        <v>17029</v>
      </c>
      <c r="V330" s="26">
        <v>6.4566642527005502E-2</v>
      </c>
    </row>
    <row r="331" spans="1:22" x14ac:dyDescent="0.3">
      <c r="A331" s="10" t="s">
        <v>304</v>
      </c>
      <c r="B331" s="10"/>
      <c r="C331" s="25" t="s">
        <v>294</v>
      </c>
      <c r="D331" s="26"/>
      <c r="E331" s="25">
        <v>32546</v>
      </c>
      <c r="F331" s="26">
        <v>0.15710334374381499</v>
      </c>
      <c r="G331" s="25" t="s">
        <v>294</v>
      </c>
      <c r="H331" s="26"/>
      <c r="I331" s="25" t="s">
        <v>294</v>
      </c>
      <c r="J331" s="26"/>
      <c r="K331" s="25" t="s">
        <v>294</v>
      </c>
      <c r="L331" s="26"/>
      <c r="M331" s="25" t="s">
        <v>294</v>
      </c>
      <c r="N331" s="26"/>
      <c r="O331" s="25" t="s">
        <v>294</v>
      </c>
      <c r="P331" s="26"/>
      <c r="Q331" s="25" t="s">
        <v>294</v>
      </c>
      <c r="R331" s="26"/>
      <c r="S331" s="25" t="s">
        <v>294</v>
      </c>
      <c r="T331" s="26"/>
      <c r="U331" s="25" t="s">
        <v>294</v>
      </c>
      <c r="V331" s="26"/>
    </row>
    <row r="332" spans="1:22" x14ac:dyDescent="0.3">
      <c r="A332" s="10" t="s">
        <v>325</v>
      </c>
      <c r="B332" s="10"/>
      <c r="C332" s="25">
        <v>-16985</v>
      </c>
      <c r="D332" s="26"/>
      <c r="E332" s="25" t="s">
        <v>294</v>
      </c>
      <c r="F332" s="26"/>
      <c r="G332" s="25" t="s">
        <v>294</v>
      </c>
      <c r="H332" s="26"/>
      <c r="I332" s="25" t="s">
        <v>294</v>
      </c>
      <c r="J332" s="26"/>
      <c r="K332" s="25" t="s">
        <v>294</v>
      </c>
      <c r="L332" s="26"/>
      <c r="M332" s="25" t="s">
        <v>294</v>
      </c>
      <c r="N332" s="26"/>
      <c r="O332" s="25" t="s">
        <v>294</v>
      </c>
      <c r="P332" s="26"/>
      <c r="Q332" s="25" t="s">
        <v>294</v>
      </c>
      <c r="R332" s="26"/>
      <c r="S332" s="25" t="s">
        <v>294</v>
      </c>
      <c r="T332" s="26"/>
      <c r="U332" s="25" t="s">
        <v>294</v>
      </c>
      <c r="V332" s="26"/>
    </row>
    <row r="333" spans="1:22" x14ac:dyDescent="0.3">
      <c r="A333" s="10" t="s">
        <v>300</v>
      </c>
      <c r="B333" s="10"/>
      <c r="C333" s="25" t="s">
        <v>294</v>
      </c>
      <c r="D333" s="26"/>
      <c r="E333" s="25">
        <v>8914</v>
      </c>
      <c r="F333" s="26">
        <v>4.3028919256817101E-2</v>
      </c>
      <c r="G333" s="25">
        <v>8142</v>
      </c>
      <c r="H333" s="26">
        <v>4.6206755652410801E-2</v>
      </c>
      <c r="I333" s="25">
        <v>9163</v>
      </c>
      <c r="J333" s="26">
        <v>5.0354730750842201E-2</v>
      </c>
      <c r="K333" s="25">
        <v>10397</v>
      </c>
      <c r="L333" s="26">
        <v>5.3151679361995802E-2</v>
      </c>
      <c r="M333" s="25">
        <v>10170</v>
      </c>
      <c r="N333" s="26">
        <v>4.9917295336634998E-2</v>
      </c>
      <c r="O333" s="25">
        <v>10840</v>
      </c>
      <c r="P333" s="26">
        <v>5.0630546473610497E-2</v>
      </c>
      <c r="Q333" s="25">
        <v>11749</v>
      </c>
      <c r="R333" s="26">
        <v>5.1820258814604399E-2</v>
      </c>
      <c r="S333" s="25" t="s">
        <v>294</v>
      </c>
      <c r="T333" s="26"/>
      <c r="U333" s="25" t="s">
        <v>294</v>
      </c>
      <c r="V333" s="26"/>
    </row>
    <row r="334" spans="1:22" x14ac:dyDescent="0.3">
      <c r="A334" s="10" t="s">
        <v>302</v>
      </c>
      <c r="B334" s="10"/>
      <c r="C334" s="25">
        <v>6874</v>
      </c>
      <c r="D334" s="26">
        <v>3.3543652129782803E-2</v>
      </c>
      <c r="E334" s="25">
        <v>-3212</v>
      </c>
      <c r="F334" s="26">
        <v>-1.5504699198215901E-2</v>
      </c>
      <c r="G334" s="25">
        <v>-2345</v>
      </c>
      <c r="H334" s="26">
        <v>-1.33081358394625E-2</v>
      </c>
      <c r="I334" s="25">
        <v>-2739</v>
      </c>
      <c r="J334" s="26">
        <v>-1.5052014354093301E-2</v>
      </c>
      <c r="K334" s="25">
        <v>816</v>
      </c>
      <c r="L334" s="26">
        <v>4.1715658708654998E-3</v>
      </c>
      <c r="M334" s="25">
        <v>1320</v>
      </c>
      <c r="N334" s="26">
        <v>6.47894098764584E-3</v>
      </c>
      <c r="O334" s="25">
        <v>1565</v>
      </c>
      <c r="P334" s="26">
        <v>7.3096683792620298E-3</v>
      </c>
      <c r="Q334" s="25">
        <v>1475</v>
      </c>
      <c r="R334" s="26">
        <v>6.5056499916198397E-3</v>
      </c>
      <c r="S334" s="25" t="s">
        <v>294</v>
      </c>
      <c r="T334" s="26"/>
      <c r="U334" s="25" t="s">
        <v>294</v>
      </c>
      <c r="V334" s="26"/>
    </row>
    <row r="335" spans="1:22" x14ac:dyDescent="0.3">
      <c r="A335" s="10" t="s">
        <v>301</v>
      </c>
      <c r="B335" s="10"/>
      <c r="C335" s="25">
        <v>7704</v>
      </c>
      <c r="D335" s="26">
        <v>3.7593874892034702E-2</v>
      </c>
      <c r="E335" s="25">
        <v>6514</v>
      </c>
      <c r="F335" s="26">
        <v>3.1443838909457802E-2</v>
      </c>
      <c r="G335" s="25">
        <v>5837</v>
      </c>
      <c r="H335" s="26">
        <v>3.3125624262235497E-2</v>
      </c>
      <c r="I335" s="25">
        <v>5439</v>
      </c>
      <c r="J335" s="26">
        <v>2.9889706488467799E-2</v>
      </c>
      <c r="K335" s="25">
        <v>5768</v>
      </c>
      <c r="L335" s="26">
        <v>2.9487245028372799E-2</v>
      </c>
      <c r="M335" s="25">
        <v>5357</v>
      </c>
      <c r="N335" s="26">
        <v>2.6293702174862699E-2</v>
      </c>
      <c r="O335" s="25">
        <v>5221</v>
      </c>
      <c r="P335" s="26">
        <v>2.4385801027557202E-2</v>
      </c>
      <c r="Q335" s="25">
        <v>5215</v>
      </c>
      <c r="R335" s="26">
        <v>2.3001332004269501E-2</v>
      </c>
      <c r="S335" s="25" t="s">
        <v>294</v>
      </c>
      <c r="T335" s="26"/>
      <c r="U335" s="25" t="s">
        <v>294</v>
      </c>
      <c r="V335" s="26"/>
    </row>
    <row r="336" spans="1:22" x14ac:dyDescent="0.3">
      <c r="A336" s="10" t="s">
        <v>298</v>
      </c>
      <c r="B336" s="10"/>
      <c r="C336" s="25">
        <v>35863</v>
      </c>
      <c r="D336" s="26">
        <v>0.17500378183450699</v>
      </c>
      <c r="E336" s="25">
        <v>33711</v>
      </c>
      <c r="F336" s="26">
        <v>0.162726934829096</v>
      </c>
      <c r="G336" s="25">
        <v>34397</v>
      </c>
      <c r="H336" s="26">
        <v>0.19520680105330099</v>
      </c>
      <c r="I336" s="25">
        <v>36308</v>
      </c>
      <c r="J336" s="26">
        <v>0.19952849111661899</v>
      </c>
      <c r="K336" s="25">
        <v>39702</v>
      </c>
      <c r="L336" s="26">
        <v>0.20296508358468399</v>
      </c>
      <c r="M336" s="25">
        <v>41846</v>
      </c>
      <c r="N336" s="26">
        <v>0.20539224588562699</v>
      </c>
      <c r="O336" s="25">
        <v>42328</v>
      </c>
      <c r="P336" s="26">
        <v>0.197702008407286</v>
      </c>
      <c r="Q336" s="25">
        <v>45202</v>
      </c>
      <c r="R336" s="26">
        <v>0.199368400624542</v>
      </c>
      <c r="S336" s="25" t="s">
        <v>294</v>
      </c>
      <c r="T336" s="26"/>
      <c r="U336" s="25" t="s">
        <v>294</v>
      </c>
      <c r="V336" s="26"/>
    </row>
    <row r="337" spans="1:22" x14ac:dyDescent="0.3">
      <c r="A337" s="10" t="s">
        <v>306</v>
      </c>
      <c r="B337" s="10"/>
      <c r="C337" s="25">
        <v>154486</v>
      </c>
      <c r="D337" s="26">
        <v>0.75385869114367599</v>
      </c>
      <c r="E337" s="25" t="s">
        <v>294</v>
      </c>
      <c r="F337" s="26"/>
      <c r="G337" s="25" t="s">
        <v>294</v>
      </c>
      <c r="H337" s="26"/>
      <c r="I337" s="25" t="s">
        <v>294</v>
      </c>
      <c r="J337" s="26"/>
      <c r="K337" s="25" t="s">
        <v>294</v>
      </c>
      <c r="L337" s="26"/>
      <c r="M337" s="25" t="s">
        <v>294</v>
      </c>
      <c r="N337" s="26"/>
      <c r="O337" s="25" t="s">
        <v>294</v>
      </c>
      <c r="P337" s="26"/>
      <c r="Q337" s="25" t="s">
        <v>294</v>
      </c>
      <c r="R337" s="26"/>
      <c r="S337" s="25" t="s">
        <v>294</v>
      </c>
      <c r="T337" s="26"/>
      <c r="U337" s="25" t="s">
        <v>294</v>
      </c>
      <c r="V337" s="26"/>
    </row>
    <row r="338" spans="1:22" x14ac:dyDescent="0.3">
      <c r="A338" s="10" t="s">
        <v>307</v>
      </c>
      <c r="B338" s="10"/>
      <c r="C338" s="25">
        <v>9050</v>
      </c>
      <c r="D338" s="26">
        <v>4.4162067467927599E-2</v>
      </c>
      <c r="E338" s="25" t="s">
        <v>294</v>
      </c>
      <c r="F338" s="26"/>
      <c r="G338" s="25" t="s">
        <v>294</v>
      </c>
      <c r="H338" s="26"/>
      <c r="I338" s="25" t="s">
        <v>294</v>
      </c>
      <c r="J338" s="26"/>
      <c r="K338" s="25" t="s">
        <v>294</v>
      </c>
      <c r="L338" s="26"/>
      <c r="M338" s="25" t="s">
        <v>294</v>
      </c>
      <c r="N338" s="26"/>
      <c r="O338" s="25" t="s">
        <v>294</v>
      </c>
      <c r="P338" s="26"/>
      <c r="Q338" s="25" t="s">
        <v>294</v>
      </c>
      <c r="R338" s="26"/>
      <c r="S338" s="25" t="s">
        <v>294</v>
      </c>
      <c r="T338" s="26"/>
      <c r="U338" s="25" t="s">
        <v>294</v>
      </c>
      <c r="V338" s="26"/>
    </row>
    <row r="339" spans="1:22" x14ac:dyDescent="0.3">
      <c r="A339" s="10" t="s">
        <v>308</v>
      </c>
      <c r="B339" s="10"/>
      <c r="C339" s="25">
        <v>50548</v>
      </c>
      <c r="D339" s="26">
        <v>0.24666344600760301</v>
      </c>
      <c r="E339" s="25" t="s">
        <v>294</v>
      </c>
      <c r="F339" s="26"/>
      <c r="G339" s="25" t="s">
        <v>294</v>
      </c>
      <c r="H339" s="26"/>
      <c r="I339" s="25" t="s">
        <v>294</v>
      </c>
      <c r="J339" s="26"/>
      <c r="K339" s="25" t="s">
        <v>294</v>
      </c>
      <c r="L339" s="26"/>
      <c r="M339" s="25" t="s">
        <v>294</v>
      </c>
      <c r="N339" s="26"/>
      <c r="O339" s="25" t="s">
        <v>294</v>
      </c>
      <c r="P339" s="26"/>
      <c r="Q339" s="25" t="s">
        <v>294</v>
      </c>
      <c r="R339" s="26"/>
      <c r="S339" s="25" t="s">
        <v>294</v>
      </c>
      <c r="T339" s="26"/>
      <c r="U339" s="25" t="s">
        <v>294</v>
      </c>
      <c r="V339" s="26"/>
    </row>
    <row r="340" spans="1:22" x14ac:dyDescent="0.3">
      <c r="A340" s="10" t="s">
        <v>309</v>
      </c>
      <c r="B340" s="10"/>
      <c r="C340" s="25">
        <v>20946</v>
      </c>
      <c r="D340" s="26">
        <v>0.102212007202565</v>
      </c>
      <c r="E340" s="25" t="s">
        <v>294</v>
      </c>
      <c r="F340" s="26"/>
      <c r="G340" s="25" t="s">
        <v>294</v>
      </c>
      <c r="H340" s="26"/>
      <c r="I340" s="25" t="s">
        <v>294</v>
      </c>
      <c r="J340" s="26"/>
      <c r="K340" s="25" t="s">
        <v>294</v>
      </c>
      <c r="L340" s="26"/>
      <c r="M340" s="25" t="s">
        <v>294</v>
      </c>
      <c r="N340" s="26"/>
      <c r="O340" s="25" t="s">
        <v>294</v>
      </c>
      <c r="P340" s="26"/>
      <c r="Q340" s="25" t="s">
        <v>294</v>
      </c>
      <c r="R340" s="26"/>
      <c r="S340" s="25" t="s">
        <v>294</v>
      </c>
      <c r="T340" s="26"/>
      <c r="U340" s="25" t="s">
        <v>294</v>
      </c>
      <c r="V340" s="26"/>
    </row>
    <row r="341" spans="1:22" x14ac:dyDescent="0.3">
      <c r="A341" s="10" t="s">
        <v>310</v>
      </c>
      <c r="B341" s="10"/>
      <c r="C341" s="25">
        <v>73942</v>
      </c>
      <c r="D341" s="26">
        <v>0.36082117046557999</v>
      </c>
      <c r="E341" s="25" t="s">
        <v>294</v>
      </c>
      <c r="F341" s="26"/>
      <c r="G341" s="25" t="s">
        <v>294</v>
      </c>
      <c r="H341" s="26"/>
      <c r="I341" s="25" t="s">
        <v>294</v>
      </c>
      <c r="J341" s="26"/>
      <c r="K341" s="25" t="s">
        <v>294</v>
      </c>
      <c r="L341" s="26"/>
      <c r="M341" s="25" t="s">
        <v>294</v>
      </c>
      <c r="N341" s="26"/>
      <c r="O341" s="25" t="s">
        <v>294</v>
      </c>
      <c r="P341" s="26"/>
      <c r="Q341" s="25" t="s">
        <v>294</v>
      </c>
      <c r="R341" s="26"/>
      <c r="S341" s="25" t="s">
        <v>294</v>
      </c>
      <c r="T341" s="26"/>
      <c r="U341" s="25" t="s">
        <v>294</v>
      </c>
      <c r="V341" s="26"/>
    </row>
    <row r="342" spans="1:22" x14ac:dyDescent="0.3">
      <c r="A342" s="6" t="s">
        <v>352</v>
      </c>
      <c r="B342" s="6"/>
      <c r="C342" s="29">
        <v>212885</v>
      </c>
      <c r="D342" s="30">
        <v>1</v>
      </c>
      <c r="E342" s="29">
        <v>209294</v>
      </c>
      <c r="F342" s="30">
        <v>1</v>
      </c>
      <c r="G342" s="29">
        <v>165130</v>
      </c>
      <c r="H342" s="30">
        <v>1</v>
      </c>
      <c r="I342" s="29">
        <v>172486</v>
      </c>
      <c r="J342" s="30">
        <v>1</v>
      </c>
      <c r="K342" s="29">
        <v>182518</v>
      </c>
      <c r="L342" s="30">
        <v>1</v>
      </c>
      <c r="M342" s="29">
        <v>183693</v>
      </c>
      <c r="N342" s="30">
        <v>1</v>
      </c>
      <c r="O342" s="29">
        <v>192627</v>
      </c>
      <c r="P342" s="30">
        <v>1</v>
      </c>
      <c r="Q342" s="29">
        <v>205176</v>
      </c>
      <c r="R342" s="30">
        <v>1</v>
      </c>
      <c r="S342" s="29">
        <v>203473</v>
      </c>
      <c r="T342" s="30">
        <v>1</v>
      </c>
      <c r="U342" s="29">
        <v>203082</v>
      </c>
      <c r="V342" s="30">
        <v>1</v>
      </c>
    </row>
    <row r="343" spans="1:22" x14ac:dyDescent="0.3">
      <c r="A343" s="10" t="s">
        <v>298</v>
      </c>
      <c r="B343" s="10"/>
      <c r="C343" s="25">
        <v>57203</v>
      </c>
      <c r="D343" s="26">
        <v>0.26870376024614201</v>
      </c>
      <c r="E343" s="25">
        <v>52772</v>
      </c>
      <c r="F343" s="26">
        <v>0.252142918573872</v>
      </c>
      <c r="G343" s="25">
        <v>49094</v>
      </c>
      <c r="H343" s="26">
        <v>0.29730515351541198</v>
      </c>
      <c r="I343" s="25">
        <v>53114</v>
      </c>
      <c r="J343" s="26">
        <v>0.30793223797873398</v>
      </c>
      <c r="K343" s="25">
        <v>59702</v>
      </c>
      <c r="L343" s="26">
        <v>0.32710198446180599</v>
      </c>
      <c r="M343" s="25">
        <v>66610</v>
      </c>
      <c r="N343" s="26">
        <v>0.36261588628853603</v>
      </c>
      <c r="O343" s="25">
        <v>75699</v>
      </c>
      <c r="P343" s="26">
        <v>0.39298229220202802</v>
      </c>
      <c r="Q343" s="25">
        <v>81710</v>
      </c>
      <c r="R343" s="26">
        <v>0.39824345927398902</v>
      </c>
      <c r="S343" s="25">
        <v>83736</v>
      </c>
      <c r="T343" s="26">
        <v>0.41153371700422198</v>
      </c>
      <c r="U343" s="25">
        <v>84215</v>
      </c>
      <c r="V343" s="26">
        <v>0.41468470863986001</v>
      </c>
    </row>
    <row r="344" spans="1:22" x14ac:dyDescent="0.3">
      <c r="A344" s="10" t="s">
        <v>293</v>
      </c>
      <c r="B344" s="10"/>
      <c r="C344" s="25" t="s">
        <v>294</v>
      </c>
      <c r="D344" s="26"/>
      <c r="E344" s="25">
        <v>65615</v>
      </c>
      <c r="F344" s="26">
        <v>0.31350635947518801</v>
      </c>
      <c r="G344" s="25">
        <v>63986</v>
      </c>
      <c r="H344" s="26">
        <v>0.38748864530975602</v>
      </c>
      <c r="I344" s="25">
        <v>67539</v>
      </c>
      <c r="J344" s="26">
        <v>0.39156221374488398</v>
      </c>
      <c r="K344" s="25">
        <v>70455</v>
      </c>
      <c r="L344" s="26">
        <v>0.386016721638414</v>
      </c>
      <c r="M344" s="25">
        <v>69002</v>
      </c>
      <c r="N344" s="26">
        <v>0.375637612756066</v>
      </c>
      <c r="O344" s="25">
        <v>71180</v>
      </c>
      <c r="P344" s="26">
        <v>0.36952244493243402</v>
      </c>
      <c r="Q344" s="25">
        <v>77487</v>
      </c>
      <c r="R344" s="26">
        <v>0.37766112995672002</v>
      </c>
      <c r="S344" s="25">
        <v>77891</v>
      </c>
      <c r="T344" s="26">
        <v>0.38280754694726099</v>
      </c>
      <c r="U344" s="25">
        <v>79926</v>
      </c>
      <c r="V344" s="26">
        <v>0.39356516087097798</v>
      </c>
    </row>
    <row r="345" spans="1:22" x14ac:dyDescent="0.3">
      <c r="A345" s="10" t="s">
        <v>299</v>
      </c>
      <c r="B345" s="10"/>
      <c r="C345" s="25" t="s">
        <v>294</v>
      </c>
      <c r="D345" s="26"/>
      <c r="E345" s="25">
        <v>33738</v>
      </c>
      <c r="F345" s="26">
        <v>0.16119907880780099</v>
      </c>
      <c r="G345" s="25">
        <v>33320</v>
      </c>
      <c r="H345" s="26">
        <v>0.20178041543026701</v>
      </c>
      <c r="I345" s="25">
        <v>33982</v>
      </c>
      <c r="J345" s="26">
        <v>0.197013090917524</v>
      </c>
      <c r="K345" s="25">
        <v>32176</v>
      </c>
      <c r="L345" s="26">
        <v>0.17628946186129599</v>
      </c>
      <c r="M345" s="25">
        <v>30394</v>
      </c>
      <c r="N345" s="26">
        <v>0.16546085044068101</v>
      </c>
      <c r="O345" s="25">
        <v>28966</v>
      </c>
      <c r="P345" s="26">
        <v>0.15037351980771099</v>
      </c>
      <c r="Q345" s="25">
        <v>28858</v>
      </c>
      <c r="R345" s="26">
        <v>0.140649978554997</v>
      </c>
      <c r="S345" s="25">
        <v>27450</v>
      </c>
      <c r="T345" s="26">
        <v>0.13490733414261399</v>
      </c>
      <c r="U345" s="25">
        <v>26226</v>
      </c>
      <c r="V345" s="26">
        <v>0.12913995331934899</v>
      </c>
    </row>
    <row r="346" spans="1:22" x14ac:dyDescent="0.3">
      <c r="A346" s="10" t="s">
        <v>301</v>
      </c>
      <c r="B346" s="10"/>
      <c r="C346" s="25">
        <v>13953</v>
      </c>
      <c r="D346" s="26">
        <v>6.5542429010968406E-2</v>
      </c>
      <c r="E346" s="25">
        <v>14006</v>
      </c>
      <c r="F346" s="26">
        <v>6.6920217493095804E-2</v>
      </c>
      <c r="G346" s="25">
        <v>13172</v>
      </c>
      <c r="H346" s="26">
        <v>7.9767455943801899E-2</v>
      </c>
      <c r="I346" s="25">
        <v>12636</v>
      </c>
      <c r="J346" s="26">
        <v>7.3258119499553603E-2</v>
      </c>
      <c r="K346" s="25">
        <v>13811</v>
      </c>
      <c r="L346" s="26">
        <v>7.5669249060366706E-2</v>
      </c>
      <c r="M346" s="25">
        <v>11712</v>
      </c>
      <c r="N346" s="26">
        <v>6.3758553673792698E-2</v>
      </c>
      <c r="O346" s="25">
        <v>11730</v>
      </c>
      <c r="P346" s="26">
        <v>6.0894890124437398E-2</v>
      </c>
      <c r="Q346" s="25">
        <v>12037</v>
      </c>
      <c r="R346" s="26">
        <v>5.8666705657581801E-2</v>
      </c>
      <c r="S346" s="25">
        <v>9392</v>
      </c>
      <c r="T346" s="26">
        <v>4.6158458370398003E-2</v>
      </c>
      <c r="U346" s="25">
        <v>7244</v>
      </c>
      <c r="V346" s="26">
        <v>3.5670320363203001E-2</v>
      </c>
    </row>
    <row r="347" spans="1:22" x14ac:dyDescent="0.3">
      <c r="A347" s="10" t="s">
        <v>300</v>
      </c>
      <c r="B347" s="10"/>
      <c r="C347" s="25" t="s">
        <v>294</v>
      </c>
      <c r="D347" s="26"/>
      <c r="E347" s="25">
        <v>6425</v>
      </c>
      <c r="F347" s="26">
        <v>3.0698443338079501E-2</v>
      </c>
      <c r="G347" s="25">
        <v>5880</v>
      </c>
      <c r="H347" s="26">
        <v>3.5608308605341199E-2</v>
      </c>
      <c r="I347" s="25">
        <v>5597</v>
      </c>
      <c r="J347" s="26">
        <v>3.2449010354463501E-2</v>
      </c>
      <c r="K347" s="25">
        <v>6361</v>
      </c>
      <c r="L347" s="26">
        <v>3.4851357126420401E-2</v>
      </c>
      <c r="M347" s="25">
        <v>5961</v>
      </c>
      <c r="N347" s="26">
        <v>3.2450882722803803E-2</v>
      </c>
      <c r="O347" s="25">
        <v>5071</v>
      </c>
      <c r="P347" s="26">
        <v>2.63254891578024E-2</v>
      </c>
      <c r="Q347" s="25">
        <v>5100</v>
      </c>
      <c r="R347" s="26">
        <v>2.48567083869458E-2</v>
      </c>
      <c r="S347" s="25">
        <v>5023</v>
      </c>
      <c r="T347" s="26">
        <v>2.46863220181547E-2</v>
      </c>
      <c r="U347" s="25">
        <v>5493</v>
      </c>
      <c r="V347" s="26">
        <v>2.7048187431677799E-2</v>
      </c>
    </row>
    <row r="348" spans="1:22" x14ac:dyDescent="0.3">
      <c r="A348" s="10" t="s">
        <v>302</v>
      </c>
      <c r="B348" s="10"/>
      <c r="C348" s="25">
        <v>1201</v>
      </c>
      <c r="D348" s="26">
        <v>5.6415435563802099E-3</v>
      </c>
      <c r="E348" s="25">
        <v>-629</v>
      </c>
      <c r="F348" s="26">
        <v>-3.0053417680392198E-3</v>
      </c>
      <c r="G348" s="25">
        <v>-322</v>
      </c>
      <c r="H348" s="26">
        <v>-1.94997880457821E-3</v>
      </c>
      <c r="I348" s="25">
        <v>-382</v>
      </c>
      <c r="J348" s="26">
        <v>-2.2146724951590301E-3</v>
      </c>
      <c r="K348" s="25">
        <v>13</v>
      </c>
      <c r="L348" s="26">
        <v>7.1225851696818902E-5</v>
      </c>
      <c r="M348" s="25">
        <v>14</v>
      </c>
      <c r="N348" s="26">
        <v>7.6214118120995406E-5</v>
      </c>
      <c r="O348" s="25">
        <v>-19</v>
      </c>
      <c r="P348" s="26">
        <v>-9.8636224412984705E-5</v>
      </c>
      <c r="Q348" s="25">
        <v>-16</v>
      </c>
      <c r="R348" s="26">
        <v>-7.7981830233555594E-5</v>
      </c>
      <c r="S348" s="25">
        <v>-19</v>
      </c>
      <c r="T348" s="26">
        <v>-9.3378482648803505E-5</v>
      </c>
      <c r="U348" s="25">
        <v>-22</v>
      </c>
      <c r="V348" s="26">
        <v>-1.08330625067707E-4</v>
      </c>
    </row>
    <row r="349" spans="1:22" x14ac:dyDescent="0.3">
      <c r="A349" s="10" t="s">
        <v>304</v>
      </c>
      <c r="B349" s="10"/>
      <c r="C349" s="25" t="s">
        <v>294</v>
      </c>
      <c r="D349" s="26"/>
      <c r="E349" s="25">
        <v>37367</v>
      </c>
      <c r="F349" s="26">
        <v>0.178538324080002</v>
      </c>
      <c r="G349" s="25" t="s">
        <v>294</v>
      </c>
      <c r="H349" s="26"/>
      <c r="I349" s="25" t="s">
        <v>294</v>
      </c>
      <c r="J349" s="26"/>
      <c r="K349" s="25" t="s">
        <v>294</v>
      </c>
      <c r="L349" s="26"/>
      <c r="M349" s="25" t="s">
        <v>294</v>
      </c>
      <c r="N349" s="26"/>
      <c r="O349" s="25" t="s">
        <v>294</v>
      </c>
      <c r="P349" s="26"/>
      <c r="Q349" s="25" t="s">
        <v>294</v>
      </c>
      <c r="R349" s="26"/>
      <c r="S349" s="25" t="s">
        <v>294</v>
      </c>
      <c r="T349" s="26"/>
      <c r="U349" s="25" t="s">
        <v>294</v>
      </c>
      <c r="V349" s="26"/>
    </row>
    <row r="350" spans="1:22" x14ac:dyDescent="0.3">
      <c r="A350" s="10" t="s">
        <v>306</v>
      </c>
      <c r="B350" s="10"/>
      <c r="C350" s="25">
        <v>140528</v>
      </c>
      <c r="D350" s="26">
        <v>0.66011226718650895</v>
      </c>
      <c r="E350" s="25" t="s">
        <v>294</v>
      </c>
      <c r="F350" s="26"/>
      <c r="G350" s="25" t="s">
        <v>294</v>
      </c>
      <c r="H350" s="26"/>
      <c r="I350" s="25" t="s">
        <v>294</v>
      </c>
      <c r="J350" s="26"/>
      <c r="K350" s="25" t="s">
        <v>294</v>
      </c>
      <c r="L350" s="26"/>
      <c r="M350" s="25" t="s">
        <v>294</v>
      </c>
      <c r="N350" s="26"/>
      <c r="O350" s="25" t="s">
        <v>294</v>
      </c>
      <c r="P350" s="26"/>
      <c r="Q350" s="25" t="s">
        <v>294</v>
      </c>
      <c r="R350" s="26"/>
      <c r="S350" s="25" t="s">
        <v>294</v>
      </c>
      <c r="T350" s="26"/>
      <c r="U350" s="25" t="s">
        <v>294</v>
      </c>
      <c r="V350" s="26"/>
    </row>
    <row r="351" spans="1:22" x14ac:dyDescent="0.3">
      <c r="A351" s="10" t="s">
        <v>307</v>
      </c>
      <c r="B351" s="10"/>
      <c r="C351" s="25">
        <v>7177</v>
      </c>
      <c r="D351" s="26">
        <v>3.3713037555487699E-2</v>
      </c>
      <c r="E351" s="25" t="s">
        <v>294</v>
      </c>
      <c r="F351" s="26"/>
      <c r="G351" s="25" t="s">
        <v>294</v>
      </c>
      <c r="H351" s="26"/>
      <c r="I351" s="25" t="s">
        <v>294</v>
      </c>
      <c r="J351" s="26"/>
      <c r="K351" s="25" t="s">
        <v>294</v>
      </c>
      <c r="L351" s="26"/>
      <c r="M351" s="25" t="s">
        <v>294</v>
      </c>
      <c r="N351" s="26"/>
      <c r="O351" s="25" t="s">
        <v>294</v>
      </c>
      <c r="P351" s="26"/>
      <c r="Q351" s="25" t="s">
        <v>294</v>
      </c>
      <c r="R351" s="26"/>
      <c r="S351" s="25" t="s">
        <v>294</v>
      </c>
      <c r="T351" s="26"/>
      <c r="U351" s="25" t="s">
        <v>294</v>
      </c>
      <c r="V351" s="26"/>
    </row>
    <row r="352" spans="1:22" x14ac:dyDescent="0.3">
      <c r="A352" s="10" t="s">
        <v>308</v>
      </c>
      <c r="B352" s="10"/>
      <c r="C352" s="25">
        <v>62043</v>
      </c>
      <c r="D352" s="26">
        <v>0.29143903985719999</v>
      </c>
      <c r="E352" s="25" t="s">
        <v>294</v>
      </c>
      <c r="F352" s="26"/>
      <c r="G352" s="25" t="s">
        <v>294</v>
      </c>
      <c r="H352" s="26"/>
      <c r="I352" s="25" t="s">
        <v>294</v>
      </c>
      <c r="J352" s="26"/>
      <c r="K352" s="25" t="s">
        <v>294</v>
      </c>
      <c r="L352" s="26"/>
      <c r="M352" s="25" t="s">
        <v>294</v>
      </c>
      <c r="N352" s="26"/>
      <c r="O352" s="25" t="s">
        <v>294</v>
      </c>
      <c r="P352" s="26"/>
      <c r="Q352" s="25" t="s">
        <v>294</v>
      </c>
      <c r="R352" s="26"/>
      <c r="S352" s="25" t="s">
        <v>294</v>
      </c>
      <c r="T352" s="26"/>
      <c r="U352" s="25" t="s">
        <v>294</v>
      </c>
      <c r="V352" s="26"/>
    </row>
    <row r="353" spans="1:22" x14ac:dyDescent="0.3">
      <c r="A353" s="10" t="s">
        <v>309</v>
      </c>
      <c r="B353" s="10"/>
      <c r="C353" s="25">
        <v>8575</v>
      </c>
      <c r="D353" s="26">
        <v>4.0279963360499799E-2</v>
      </c>
      <c r="E353" s="25" t="s">
        <v>294</v>
      </c>
      <c r="F353" s="26"/>
      <c r="G353" s="25" t="s">
        <v>294</v>
      </c>
      <c r="H353" s="26"/>
      <c r="I353" s="25" t="s">
        <v>294</v>
      </c>
      <c r="J353" s="26"/>
      <c r="K353" s="25" t="s">
        <v>294</v>
      </c>
      <c r="L353" s="26"/>
      <c r="M353" s="25" t="s">
        <v>294</v>
      </c>
      <c r="N353" s="26"/>
      <c r="O353" s="25" t="s">
        <v>294</v>
      </c>
      <c r="P353" s="26"/>
      <c r="Q353" s="25" t="s">
        <v>294</v>
      </c>
      <c r="R353" s="26"/>
      <c r="S353" s="25" t="s">
        <v>294</v>
      </c>
      <c r="T353" s="26"/>
      <c r="U353" s="25" t="s">
        <v>294</v>
      </c>
      <c r="V353" s="26"/>
    </row>
    <row r="354" spans="1:22" x14ac:dyDescent="0.3">
      <c r="A354" s="10" t="s">
        <v>310</v>
      </c>
      <c r="B354" s="10"/>
      <c r="C354" s="25">
        <v>62733</v>
      </c>
      <c r="D354" s="26">
        <v>0.29468022641332198</v>
      </c>
      <c r="E354" s="25" t="s">
        <v>294</v>
      </c>
      <c r="F354" s="26"/>
      <c r="G354" s="25" t="s">
        <v>294</v>
      </c>
      <c r="H354" s="26"/>
      <c r="I354" s="25" t="s">
        <v>294</v>
      </c>
      <c r="J354" s="26"/>
      <c r="K354" s="25" t="s">
        <v>294</v>
      </c>
      <c r="L354" s="26"/>
      <c r="M354" s="25" t="s">
        <v>294</v>
      </c>
      <c r="N354" s="26"/>
      <c r="O354" s="25" t="s">
        <v>294</v>
      </c>
      <c r="P354" s="26"/>
      <c r="Q354" s="25" t="s">
        <v>294</v>
      </c>
      <c r="R354" s="26"/>
      <c r="S354" s="25" t="s">
        <v>294</v>
      </c>
      <c r="T354" s="26"/>
      <c r="U354" s="25" t="s">
        <v>294</v>
      </c>
      <c r="V354" s="26"/>
    </row>
    <row r="355" spans="1:22" x14ac:dyDescent="0.3">
      <c r="A355" s="7" t="s">
        <v>137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</sheetData>
  <pageMargins left="0.7" right="0.7" top="0.75" bottom="0.75" header="0.3" footer="0.3"/>
  <pageSetup scale="60" orientation="portrait" r:id="rId1"/>
  <rowBreaks count="4" manualBreakCount="4">
    <brk id="75" max="16383" man="1"/>
    <brk id="140" max="16383" man="1"/>
    <brk id="277" max="16383" man="1"/>
    <brk id="34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52"/>
  <sheetViews>
    <sheetView view="pageBreakPreview" topLeftCell="A144" zoomScaleNormal="85" zoomScaleSheetLayoutView="100" workbookViewId="0">
      <selection activeCell="R49" sqref="R49"/>
    </sheetView>
  </sheetViews>
  <sheetFormatPr defaultRowHeight="14.4" outlineLevelCol="1" x14ac:dyDescent="0.3"/>
  <cols>
    <col min="1" max="1" width="35.109375" customWidth="1"/>
    <col min="2" max="2" width="0" hidden="1" customWidth="1"/>
    <col min="3" max="3" width="11.88671875" hidden="1" customWidth="1" outlineLevel="1"/>
    <col min="4" max="4" width="7" hidden="1" customWidth="1" outlineLevel="1"/>
    <col min="5" max="5" width="11.88671875" hidden="1" customWidth="1" outlineLevel="1"/>
    <col min="6" max="6" width="7" hidden="1" customWidth="1" outlineLevel="1"/>
    <col min="7" max="7" width="11.88671875" hidden="1" customWidth="1" outlineLevel="1"/>
    <col min="8" max="8" width="7" hidden="1" customWidth="1" outlineLevel="1"/>
    <col min="9" max="9" width="11.88671875" hidden="1" customWidth="1" outlineLevel="1"/>
    <col min="10" max="10" width="7" hidden="1" customWidth="1" outlineLevel="1"/>
    <col min="11" max="11" width="11.88671875" customWidth="1" collapsed="1"/>
    <col min="12" max="12" width="7" customWidth="1"/>
    <col min="13" max="13" width="11.88671875" customWidth="1"/>
    <col min="14" max="14" width="7" customWidth="1"/>
    <col min="15" max="15" width="11.88671875" customWidth="1"/>
    <col min="16" max="16" width="7" customWidth="1"/>
    <col min="17" max="17" width="11.88671875" customWidth="1"/>
    <col min="18" max="18" width="7" customWidth="1"/>
    <col min="19" max="19" width="11.88671875" customWidth="1"/>
    <col min="20" max="20" width="7" customWidth="1"/>
    <col min="21" max="21" width="11.88671875" customWidth="1"/>
    <col min="22" max="22" width="7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x14ac:dyDescent="0.3">
      <c r="A2" s="8" t="s">
        <v>353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1</v>
      </c>
      <c r="B4" s="3"/>
      <c r="C4" s="23" t="s">
        <v>139</v>
      </c>
      <c r="D4" s="23"/>
      <c r="E4" s="23" t="s">
        <v>140</v>
      </c>
      <c r="F4" s="23"/>
      <c r="G4" s="23" t="s">
        <v>141</v>
      </c>
      <c r="H4" s="23"/>
      <c r="I4" s="23" t="s">
        <v>2</v>
      </c>
      <c r="J4" s="23"/>
      <c r="K4" s="23" t="s">
        <v>3</v>
      </c>
      <c r="L4" s="23"/>
      <c r="M4" s="23" t="s">
        <v>4</v>
      </c>
      <c r="N4" s="23"/>
      <c r="O4" s="23" t="s">
        <v>5</v>
      </c>
      <c r="P4" s="23"/>
      <c r="Q4" s="23" t="s">
        <v>6</v>
      </c>
      <c r="R4" s="23"/>
      <c r="S4" s="23" t="s">
        <v>7</v>
      </c>
      <c r="T4" s="23"/>
      <c r="U4" s="23" t="s">
        <v>8</v>
      </c>
      <c r="V4" s="23"/>
    </row>
    <row r="5" spans="1:22" x14ac:dyDescent="0.3">
      <c r="A5" s="9" t="s">
        <v>10</v>
      </c>
      <c r="B5" s="9"/>
      <c r="C5" s="24" t="s">
        <v>142</v>
      </c>
      <c r="D5" s="24"/>
      <c r="E5" s="24" t="s">
        <v>143</v>
      </c>
      <c r="F5" s="24"/>
      <c r="G5" s="24" t="s">
        <v>144</v>
      </c>
      <c r="H5" s="24"/>
      <c r="I5" s="24" t="s">
        <v>11</v>
      </c>
      <c r="J5" s="24"/>
      <c r="K5" s="24" t="s">
        <v>12</v>
      </c>
      <c r="L5" s="24"/>
      <c r="M5" s="24" t="s">
        <v>13</v>
      </c>
      <c r="N5" s="24"/>
      <c r="O5" s="24" t="s">
        <v>14</v>
      </c>
      <c r="P5" s="24"/>
      <c r="Q5" s="24" t="s">
        <v>15</v>
      </c>
      <c r="R5" s="24"/>
      <c r="S5" s="24" t="s">
        <v>16</v>
      </c>
      <c r="T5" s="24"/>
      <c r="U5" s="24" t="s">
        <v>17</v>
      </c>
      <c r="V5" s="24"/>
    </row>
    <row r="6" spans="1:22" x14ac:dyDescent="0.3">
      <c r="A6" s="6" t="s">
        <v>19</v>
      </c>
      <c r="B6" s="6"/>
      <c r="C6" s="29">
        <v>68199</v>
      </c>
      <c r="D6" s="30">
        <v>1</v>
      </c>
      <c r="E6" s="29">
        <v>73316</v>
      </c>
      <c r="F6" s="30">
        <v>1</v>
      </c>
      <c r="G6" s="29">
        <v>61343</v>
      </c>
      <c r="H6" s="30">
        <v>1</v>
      </c>
      <c r="I6" s="29">
        <v>60787</v>
      </c>
      <c r="J6" s="30">
        <v>1</v>
      </c>
      <c r="K6" s="29">
        <v>62308</v>
      </c>
      <c r="L6" s="30">
        <v>1</v>
      </c>
      <c r="M6" s="29">
        <v>67941</v>
      </c>
      <c r="N6" s="30">
        <v>1</v>
      </c>
      <c r="O6" s="29">
        <v>69620</v>
      </c>
      <c r="P6" s="30">
        <v>1</v>
      </c>
      <c r="Q6" s="29">
        <v>67842</v>
      </c>
      <c r="R6" s="30">
        <v>1</v>
      </c>
      <c r="S6" s="29">
        <v>71080</v>
      </c>
      <c r="T6" s="30">
        <v>1</v>
      </c>
      <c r="U6" s="29">
        <v>69898</v>
      </c>
      <c r="V6" s="30">
        <v>1</v>
      </c>
    </row>
    <row r="7" spans="1:22" x14ac:dyDescent="0.3">
      <c r="A7" s="10" t="s">
        <v>354</v>
      </c>
      <c r="B7" s="10"/>
      <c r="C7" s="25">
        <v>52565</v>
      </c>
      <c r="D7" s="26">
        <v>0.77075910203961895</v>
      </c>
      <c r="E7" s="25">
        <v>54991</v>
      </c>
      <c r="F7" s="26">
        <v>0.750054558350155</v>
      </c>
      <c r="G7" s="25">
        <v>33515</v>
      </c>
      <c r="H7" s="26">
        <v>0.54635410723309896</v>
      </c>
      <c r="I7" s="25">
        <v>34152</v>
      </c>
      <c r="J7" s="26">
        <v>0.56183065458074899</v>
      </c>
      <c r="K7" s="25">
        <v>36834</v>
      </c>
      <c r="L7" s="26">
        <v>0.59116004365410502</v>
      </c>
      <c r="M7" s="25">
        <v>42121</v>
      </c>
      <c r="N7" s="26">
        <v>0.61996438085986405</v>
      </c>
      <c r="O7" s="25">
        <v>40919</v>
      </c>
      <c r="P7" s="26">
        <v>0.58774777362826802</v>
      </c>
      <c r="Q7" s="25">
        <v>40484</v>
      </c>
      <c r="R7" s="26">
        <v>0.59673948291618795</v>
      </c>
      <c r="S7" s="25">
        <v>42114</v>
      </c>
      <c r="T7" s="26">
        <v>0.59248733821046695</v>
      </c>
      <c r="U7" s="25">
        <v>51835</v>
      </c>
      <c r="V7" s="26">
        <v>0.74158058885805</v>
      </c>
    </row>
    <row r="8" spans="1:22" x14ac:dyDescent="0.3">
      <c r="A8" s="10" t="s">
        <v>355</v>
      </c>
      <c r="B8" s="10"/>
      <c r="C8" s="25">
        <v>47481</v>
      </c>
      <c r="D8" s="26">
        <v>0.69621255443628205</v>
      </c>
      <c r="E8" s="25">
        <v>49404</v>
      </c>
      <c r="F8" s="26">
        <v>0.67385018277047304</v>
      </c>
      <c r="G8" s="25">
        <v>28738</v>
      </c>
      <c r="H8" s="26">
        <v>0.46848051122377399</v>
      </c>
      <c r="I8" s="25">
        <v>29480</v>
      </c>
      <c r="J8" s="26">
        <v>0.48497211574843302</v>
      </c>
      <c r="K8" s="25">
        <v>31846</v>
      </c>
      <c r="L8" s="26">
        <v>0.51110611799447903</v>
      </c>
      <c r="M8" s="25">
        <v>37037</v>
      </c>
      <c r="N8" s="26">
        <v>0.54513474926774697</v>
      </c>
      <c r="O8" s="25">
        <v>35787</v>
      </c>
      <c r="P8" s="26">
        <v>0.51403332375754096</v>
      </c>
      <c r="Q8" s="25">
        <v>36195</v>
      </c>
      <c r="R8" s="26">
        <v>0.53351905899000596</v>
      </c>
      <c r="S8" s="25">
        <v>37084</v>
      </c>
      <c r="T8" s="26">
        <v>0.52172200337647701</v>
      </c>
      <c r="U8" s="25">
        <v>45802</v>
      </c>
      <c r="V8" s="26">
        <v>0.65526910641220104</v>
      </c>
    </row>
    <row r="9" spans="1:22" x14ac:dyDescent="0.3">
      <c r="A9" s="10" t="s">
        <v>356</v>
      </c>
      <c r="B9" s="10"/>
      <c r="C9" s="25">
        <v>5084</v>
      </c>
      <c r="D9" s="26">
        <v>7.4546547603337301E-2</v>
      </c>
      <c r="E9" s="25">
        <v>5587</v>
      </c>
      <c r="F9" s="26">
        <v>7.6204375579682501E-2</v>
      </c>
      <c r="G9" s="25">
        <v>4777</v>
      </c>
      <c r="H9" s="26">
        <v>7.78735960093246E-2</v>
      </c>
      <c r="I9" s="25">
        <v>4672</v>
      </c>
      <c r="J9" s="26">
        <v>7.6858538832316095E-2</v>
      </c>
      <c r="K9" s="25">
        <v>4988</v>
      </c>
      <c r="L9" s="26">
        <v>8.0053925659626393E-2</v>
      </c>
      <c r="M9" s="25">
        <v>5084</v>
      </c>
      <c r="N9" s="26">
        <v>7.4829631592116697E-2</v>
      </c>
      <c r="O9" s="25">
        <v>5132</v>
      </c>
      <c r="P9" s="26">
        <v>7.3714449870726798E-2</v>
      </c>
      <c r="Q9" s="25">
        <v>4289</v>
      </c>
      <c r="R9" s="26">
        <v>6.3220423926181393E-2</v>
      </c>
      <c r="S9" s="25">
        <v>5030</v>
      </c>
      <c r="T9" s="26">
        <v>7.0765334833989904E-2</v>
      </c>
      <c r="U9" s="25">
        <v>6033</v>
      </c>
      <c r="V9" s="26">
        <v>8.6311482445849699E-2</v>
      </c>
    </row>
    <row r="10" spans="1:22" x14ac:dyDescent="0.3">
      <c r="A10" s="10" t="s">
        <v>298</v>
      </c>
      <c r="B10" s="10"/>
      <c r="C10" s="25">
        <v>12530</v>
      </c>
      <c r="D10" s="26">
        <v>0.18372703412073499</v>
      </c>
      <c r="E10" s="25">
        <v>12221</v>
      </c>
      <c r="F10" s="26">
        <v>0.16668939931256499</v>
      </c>
      <c r="G10" s="25">
        <v>11259</v>
      </c>
      <c r="H10" s="26">
        <v>0.18354172440213201</v>
      </c>
      <c r="I10" s="25">
        <v>11158</v>
      </c>
      <c r="J10" s="26">
        <v>0.183558984651323</v>
      </c>
      <c r="K10" s="25">
        <v>11367</v>
      </c>
      <c r="L10" s="26">
        <v>0.18243243243243201</v>
      </c>
      <c r="M10" s="25">
        <v>11764</v>
      </c>
      <c r="N10" s="26">
        <v>0.17315023329064899</v>
      </c>
      <c r="O10" s="25">
        <v>12053</v>
      </c>
      <c r="P10" s="26">
        <v>0.173125538638322</v>
      </c>
      <c r="Q10" s="25">
        <v>12462</v>
      </c>
      <c r="R10" s="26">
        <v>0.183691518528345</v>
      </c>
      <c r="S10" s="25">
        <v>13360</v>
      </c>
      <c r="T10" s="26">
        <v>0.18795723128868899</v>
      </c>
      <c r="U10" s="25">
        <v>11407</v>
      </c>
      <c r="V10" s="26">
        <v>0.163194941200034</v>
      </c>
    </row>
    <row r="11" spans="1:22" x14ac:dyDescent="0.3">
      <c r="A11" s="10" t="s">
        <v>303</v>
      </c>
      <c r="B11" s="10"/>
      <c r="C11" s="25">
        <v>-817</v>
      </c>
      <c r="D11" s="26">
        <v>-1.19796477954222E-2</v>
      </c>
      <c r="E11" s="25">
        <v>2236</v>
      </c>
      <c r="F11" s="26">
        <v>3.04981177369196E-2</v>
      </c>
      <c r="G11" s="25">
        <v>13489</v>
      </c>
      <c r="H11" s="26">
        <v>0.21989469051073501</v>
      </c>
      <c r="I11" s="25">
        <v>12338</v>
      </c>
      <c r="J11" s="26">
        <v>0.202971029989965</v>
      </c>
      <c r="K11" s="25">
        <v>10920</v>
      </c>
      <c r="L11" s="26">
        <v>0.17525839378571001</v>
      </c>
      <c r="M11" s="25">
        <v>10506</v>
      </c>
      <c r="N11" s="26">
        <v>0.15463416788095599</v>
      </c>
      <c r="O11" s="25">
        <v>13052</v>
      </c>
      <c r="P11" s="26">
        <v>0.18747486354495799</v>
      </c>
      <c r="Q11" s="25">
        <v>11472</v>
      </c>
      <c r="R11" s="26">
        <v>0.16909878836119199</v>
      </c>
      <c r="S11" s="25">
        <v>11977</v>
      </c>
      <c r="T11" s="26">
        <v>0.168500281373101</v>
      </c>
      <c r="U11" s="25">
        <v>3599</v>
      </c>
      <c r="V11" s="26">
        <v>5.14893129989413E-2</v>
      </c>
    </row>
    <row r="12" spans="1:22" x14ac:dyDescent="0.3">
      <c r="A12" s="10" t="s">
        <v>301</v>
      </c>
      <c r="B12" s="10"/>
      <c r="C12" s="25">
        <v>3278</v>
      </c>
      <c r="D12" s="26">
        <v>4.8065220897667099E-2</v>
      </c>
      <c r="E12" s="25">
        <v>3343</v>
      </c>
      <c r="F12" s="26">
        <v>4.5597141142451898E-2</v>
      </c>
      <c r="G12" s="25">
        <v>2847</v>
      </c>
      <c r="H12" s="26">
        <v>4.6411163457933301E-2</v>
      </c>
      <c r="I12" s="25">
        <v>2809</v>
      </c>
      <c r="J12" s="26">
        <v>4.6210538437494897E-2</v>
      </c>
      <c r="K12" s="25">
        <v>2833</v>
      </c>
      <c r="L12" s="26">
        <v>4.5467676702831097E-2</v>
      </c>
      <c r="M12" s="25">
        <v>2921</v>
      </c>
      <c r="N12" s="26">
        <v>4.2993185263684702E-2</v>
      </c>
      <c r="O12" s="25">
        <v>2945</v>
      </c>
      <c r="P12" s="26">
        <v>4.2301062912956003E-2</v>
      </c>
      <c r="Q12" s="25">
        <v>3013</v>
      </c>
      <c r="R12" s="26">
        <v>4.44120161551841E-2</v>
      </c>
      <c r="S12" s="25">
        <v>2928</v>
      </c>
      <c r="T12" s="26">
        <v>4.11930219471019E-2</v>
      </c>
      <c r="U12" s="25">
        <v>2459</v>
      </c>
      <c r="V12" s="26">
        <v>3.5179833471630097E-2</v>
      </c>
    </row>
    <row r="13" spans="1:22" x14ac:dyDescent="0.3">
      <c r="A13" s="10" t="s">
        <v>302</v>
      </c>
      <c r="B13" s="10"/>
      <c r="C13" s="25">
        <v>643</v>
      </c>
      <c r="D13" s="26">
        <v>9.4282907374008407E-3</v>
      </c>
      <c r="E13" s="25">
        <v>525</v>
      </c>
      <c r="F13" s="26">
        <v>7.16078345790823E-3</v>
      </c>
      <c r="G13" s="25">
        <v>233</v>
      </c>
      <c r="H13" s="26">
        <v>3.7983143961006199E-3</v>
      </c>
      <c r="I13" s="25">
        <v>330</v>
      </c>
      <c r="J13" s="26">
        <v>5.42879234046753E-3</v>
      </c>
      <c r="K13" s="25">
        <v>354</v>
      </c>
      <c r="L13" s="26">
        <v>5.6814534249213598E-3</v>
      </c>
      <c r="M13" s="25">
        <v>629</v>
      </c>
      <c r="N13" s="26">
        <v>9.2580327048468504E-3</v>
      </c>
      <c r="O13" s="25">
        <v>651</v>
      </c>
      <c r="P13" s="26">
        <v>9.3507612754955508E-3</v>
      </c>
      <c r="Q13" s="25">
        <v>411</v>
      </c>
      <c r="R13" s="26">
        <v>6.0581940390908298E-3</v>
      </c>
      <c r="S13" s="25">
        <v>701</v>
      </c>
      <c r="T13" s="26">
        <v>9.8621271806415296E-3</v>
      </c>
      <c r="U13" s="25">
        <v>598</v>
      </c>
      <c r="V13" s="26">
        <v>8.5553234713439605E-3</v>
      </c>
    </row>
    <row r="14" spans="1:22" x14ac:dyDescent="0.3">
      <c r="A14" s="6" t="s">
        <v>357</v>
      </c>
      <c r="B14" s="6"/>
      <c r="C14" s="29" t="s">
        <v>294</v>
      </c>
      <c r="D14" s="30"/>
      <c r="E14" s="29" t="s">
        <v>294</v>
      </c>
      <c r="F14" s="30"/>
      <c r="G14" s="29" t="s">
        <v>294</v>
      </c>
      <c r="H14" s="30"/>
      <c r="I14" s="29" t="s">
        <v>294</v>
      </c>
      <c r="J14" s="30"/>
      <c r="K14" s="29" t="s">
        <v>294</v>
      </c>
      <c r="L14" s="30"/>
      <c r="M14" s="29" t="s">
        <v>294</v>
      </c>
      <c r="N14" s="30"/>
      <c r="O14" s="29" t="s">
        <v>294</v>
      </c>
      <c r="P14" s="30"/>
      <c r="Q14" s="29" t="s">
        <v>294</v>
      </c>
      <c r="R14" s="30"/>
      <c r="S14" s="29">
        <v>825</v>
      </c>
      <c r="T14" s="30">
        <v>1</v>
      </c>
      <c r="U14" s="29">
        <v>915</v>
      </c>
      <c r="V14" s="30">
        <v>1</v>
      </c>
    </row>
    <row r="15" spans="1:22" x14ac:dyDescent="0.3">
      <c r="A15" s="10" t="s">
        <v>358</v>
      </c>
      <c r="B15" s="10"/>
      <c r="C15" s="25" t="s">
        <v>294</v>
      </c>
      <c r="D15" s="26"/>
      <c r="E15" s="25" t="s">
        <v>294</v>
      </c>
      <c r="F15" s="26"/>
      <c r="G15" s="25" t="s">
        <v>294</v>
      </c>
      <c r="H15" s="26"/>
      <c r="I15" s="25" t="s">
        <v>294</v>
      </c>
      <c r="J15" s="26"/>
      <c r="K15" s="25" t="s">
        <v>294</v>
      </c>
      <c r="L15" s="26"/>
      <c r="M15" s="25" t="s">
        <v>294</v>
      </c>
      <c r="N15" s="26"/>
      <c r="O15" s="25" t="s">
        <v>294</v>
      </c>
      <c r="P15" s="26"/>
      <c r="Q15" s="25" t="s">
        <v>294</v>
      </c>
      <c r="R15" s="26"/>
      <c r="S15" s="25">
        <v>340</v>
      </c>
      <c r="T15" s="26">
        <v>0.412121212121212</v>
      </c>
      <c r="U15" s="25">
        <v>430</v>
      </c>
      <c r="V15" s="26">
        <v>0.46994535519125702</v>
      </c>
    </row>
    <row r="16" spans="1:22" x14ac:dyDescent="0.3">
      <c r="A16" s="10" t="s">
        <v>351</v>
      </c>
      <c r="B16" s="10"/>
      <c r="C16" s="25" t="s">
        <v>294</v>
      </c>
      <c r="D16" s="26"/>
      <c r="E16" s="25" t="s">
        <v>294</v>
      </c>
      <c r="F16" s="26"/>
      <c r="G16" s="25" t="s">
        <v>294</v>
      </c>
      <c r="H16" s="26"/>
      <c r="I16" s="25" t="s">
        <v>294</v>
      </c>
      <c r="J16" s="26"/>
      <c r="K16" s="25" t="s">
        <v>294</v>
      </c>
      <c r="L16" s="26"/>
      <c r="M16" s="25" t="s">
        <v>294</v>
      </c>
      <c r="N16" s="26"/>
      <c r="O16" s="25" t="s">
        <v>294</v>
      </c>
      <c r="P16" s="26"/>
      <c r="Q16" s="25" t="s">
        <v>294</v>
      </c>
      <c r="R16" s="26"/>
      <c r="S16" s="25">
        <v>71</v>
      </c>
      <c r="T16" s="26">
        <v>8.6060606060606101E-2</v>
      </c>
      <c r="U16" s="25">
        <v>267</v>
      </c>
      <c r="V16" s="26">
        <v>0.29180327868852501</v>
      </c>
    </row>
    <row r="17" spans="1:22" x14ac:dyDescent="0.3">
      <c r="A17" s="10" t="s">
        <v>359</v>
      </c>
      <c r="B17" s="10"/>
      <c r="C17" s="25" t="s">
        <v>294</v>
      </c>
      <c r="D17" s="26"/>
      <c r="E17" s="25" t="s">
        <v>294</v>
      </c>
      <c r="F17" s="26"/>
      <c r="G17" s="25" t="s">
        <v>294</v>
      </c>
      <c r="H17" s="26"/>
      <c r="I17" s="25" t="s">
        <v>294</v>
      </c>
      <c r="J17" s="26"/>
      <c r="K17" s="25" t="s">
        <v>294</v>
      </c>
      <c r="L17" s="26"/>
      <c r="M17" s="25" t="s">
        <v>294</v>
      </c>
      <c r="N17" s="26"/>
      <c r="O17" s="25" t="s">
        <v>294</v>
      </c>
      <c r="P17" s="26"/>
      <c r="Q17" s="25" t="s">
        <v>294</v>
      </c>
      <c r="R17" s="26"/>
      <c r="S17" s="25">
        <v>193</v>
      </c>
      <c r="T17" s="26">
        <v>0.233939393939394</v>
      </c>
      <c r="U17" s="25">
        <v>101</v>
      </c>
      <c r="V17" s="26">
        <v>0.110382513661202</v>
      </c>
    </row>
    <row r="18" spans="1:22" x14ac:dyDescent="0.3">
      <c r="A18" s="10" t="s">
        <v>360</v>
      </c>
      <c r="B18" s="10"/>
      <c r="C18" s="25" t="s">
        <v>294</v>
      </c>
      <c r="D18" s="26"/>
      <c r="E18" s="25" t="s">
        <v>294</v>
      </c>
      <c r="F18" s="26"/>
      <c r="G18" s="25" t="s">
        <v>294</v>
      </c>
      <c r="H18" s="26"/>
      <c r="I18" s="25" t="s">
        <v>294</v>
      </c>
      <c r="J18" s="26"/>
      <c r="K18" s="25" t="s">
        <v>294</v>
      </c>
      <c r="L18" s="26"/>
      <c r="M18" s="25" t="s">
        <v>294</v>
      </c>
      <c r="N18" s="26"/>
      <c r="O18" s="25" t="s">
        <v>294</v>
      </c>
      <c r="P18" s="26"/>
      <c r="Q18" s="25" t="s">
        <v>294</v>
      </c>
      <c r="R18" s="26"/>
      <c r="S18" s="25">
        <v>74</v>
      </c>
      <c r="T18" s="26">
        <v>8.9696969696969706E-2</v>
      </c>
      <c r="U18" s="25">
        <v>61</v>
      </c>
      <c r="V18" s="26">
        <v>6.6666666666666693E-2</v>
      </c>
    </row>
    <row r="19" spans="1:22" x14ac:dyDescent="0.3">
      <c r="A19" s="10" t="s">
        <v>361</v>
      </c>
      <c r="B19" s="10"/>
      <c r="C19" s="25" t="s">
        <v>294</v>
      </c>
      <c r="D19" s="26"/>
      <c r="E19" s="25" t="s">
        <v>294</v>
      </c>
      <c r="F19" s="26"/>
      <c r="G19" s="25" t="s">
        <v>294</v>
      </c>
      <c r="H19" s="26"/>
      <c r="I19" s="25" t="s">
        <v>294</v>
      </c>
      <c r="J19" s="26"/>
      <c r="K19" s="25" t="s">
        <v>294</v>
      </c>
      <c r="L19" s="26"/>
      <c r="M19" s="25" t="s">
        <v>294</v>
      </c>
      <c r="N19" s="26"/>
      <c r="O19" s="25" t="s">
        <v>294</v>
      </c>
      <c r="P19" s="26"/>
      <c r="Q19" s="25" t="s">
        <v>294</v>
      </c>
      <c r="R19" s="26"/>
      <c r="S19" s="25">
        <v>2</v>
      </c>
      <c r="T19" s="26">
        <v>2.4242424242424199E-3</v>
      </c>
      <c r="U19" s="25">
        <v>1</v>
      </c>
      <c r="V19" s="26">
        <v>1.0928961748633899E-3</v>
      </c>
    </row>
    <row r="20" spans="1:22" x14ac:dyDescent="0.3">
      <c r="A20" s="10" t="s">
        <v>362</v>
      </c>
      <c r="B20" s="10"/>
      <c r="C20" s="25" t="s">
        <v>294</v>
      </c>
      <c r="D20" s="26"/>
      <c r="E20" s="25" t="s">
        <v>294</v>
      </c>
      <c r="F20" s="26"/>
      <c r="G20" s="25" t="s">
        <v>294</v>
      </c>
      <c r="H20" s="26"/>
      <c r="I20" s="25" t="s">
        <v>294</v>
      </c>
      <c r="J20" s="26"/>
      <c r="K20" s="25" t="s">
        <v>294</v>
      </c>
      <c r="L20" s="26"/>
      <c r="M20" s="25" t="s">
        <v>294</v>
      </c>
      <c r="N20" s="26"/>
      <c r="O20" s="25" t="s">
        <v>294</v>
      </c>
      <c r="P20" s="26"/>
      <c r="Q20" s="25" t="s">
        <v>294</v>
      </c>
      <c r="R20" s="26"/>
      <c r="S20" s="25">
        <v>265</v>
      </c>
      <c r="T20" s="26">
        <v>0.321212121212121</v>
      </c>
      <c r="U20" s="25">
        <v>188</v>
      </c>
      <c r="V20" s="26">
        <v>0.20546448087431701</v>
      </c>
    </row>
    <row r="21" spans="1:22" x14ac:dyDescent="0.3">
      <c r="A21" s="10" t="s">
        <v>363</v>
      </c>
      <c r="B21" s="10"/>
      <c r="C21" s="25" t="s">
        <v>294</v>
      </c>
      <c r="D21" s="26"/>
      <c r="E21" s="25" t="s">
        <v>294</v>
      </c>
      <c r="F21" s="26"/>
      <c r="G21" s="25" t="s">
        <v>294</v>
      </c>
      <c r="H21" s="26"/>
      <c r="I21" s="25" t="s">
        <v>294</v>
      </c>
      <c r="J21" s="26"/>
      <c r="K21" s="25" t="s">
        <v>294</v>
      </c>
      <c r="L21" s="26"/>
      <c r="M21" s="25" t="s">
        <v>294</v>
      </c>
      <c r="N21" s="26"/>
      <c r="O21" s="25" t="s">
        <v>294</v>
      </c>
      <c r="P21" s="26"/>
      <c r="Q21" s="25" t="s">
        <v>294</v>
      </c>
      <c r="R21" s="26"/>
      <c r="S21" s="25">
        <v>96</v>
      </c>
      <c r="T21" s="26">
        <v>0.116363636363636</v>
      </c>
      <c r="U21" s="25">
        <v>131</v>
      </c>
      <c r="V21" s="26">
        <v>0.14316939890710401</v>
      </c>
    </row>
    <row r="22" spans="1:22" x14ac:dyDescent="0.3">
      <c r="A22" s="10" t="s">
        <v>364</v>
      </c>
      <c r="B22" s="10"/>
      <c r="C22" s="25" t="s">
        <v>294</v>
      </c>
      <c r="D22" s="26"/>
      <c r="E22" s="25" t="s">
        <v>294</v>
      </c>
      <c r="F22" s="26"/>
      <c r="G22" s="25" t="s">
        <v>294</v>
      </c>
      <c r="H22" s="26"/>
      <c r="I22" s="25" t="s">
        <v>294</v>
      </c>
      <c r="J22" s="26"/>
      <c r="K22" s="25" t="s">
        <v>294</v>
      </c>
      <c r="L22" s="26"/>
      <c r="M22" s="25" t="s">
        <v>294</v>
      </c>
      <c r="N22" s="26"/>
      <c r="O22" s="25" t="s">
        <v>294</v>
      </c>
      <c r="P22" s="26"/>
      <c r="Q22" s="25" t="s">
        <v>294</v>
      </c>
      <c r="R22" s="26"/>
      <c r="S22" s="25">
        <v>64</v>
      </c>
      <c r="T22" s="26">
        <v>7.7575757575757603E-2</v>
      </c>
      <c r="U22" s="25">
        <v>85</v>
      </c>
      <c r="V22" s="26">
        <v>9.2896174863387998E-2</v>
      </c>
    </row>
    <row r="23" spans="1:22" x14ac:dyDescent="0.3">
      <c r="A23" s="10" t="s">
        <v>365</v>
      </c>
      <c r="B23" s="10"/>
      <c r="C23" s="25" t="s">
        <v>294</v>
      </c>
      <c r="D23" s="26"/>
      <c r="E23" s="25" t="s">
        <v>294</v>
      </c>
      <c r="F23" s="26"/>
      <c r="G23" s="25" t="s">
        <v>294</v>
      </c>
      <c r="H23" s="26"/>
      <c r="I23" s="25" t="s">
        <v>294</v>
      </c>
      <c r="J23" s="26"/>
      <c r="K23" s="25" t="s">
        <v>294</v>
      </c>
      <c r="L23" s="26"/>
      <c r="M23" s="25" t="s">
        <v>294</v>
      </c>
      <c r="N23" s="26"/>
      <c r="O23" s="25" t="s">
        <v>294</v>
      </c>
      <c r="P23" s="26"/>
      <c r="Q23" s="25" t="s">
        <v>294</v>
      </c>
      <c r="R23" s="26"/>
      <c r="S23" s="25">
        <v>60</v>
      </c>
      <c r="T23" s="26">
        <v>7.2727272727272696E-2</v>
      </c>
      <c r="U23" s="25">
        <v>81</v>
      </c>
      <c r="V23" s="26">
        <v>8.8524590163934394E-2</v>
      </c>
    </row>
    <row r="24" spans="1:22" x14ac:dyDescent="0.3">
      <c r="A24" s="6" t="s">
        <v>330</v>
      </c>
      <c r="B24" s="6"/>
      <c r="C24" s="29">
        <v>5334</v>
      </c>
      <c r="D24" s="30">
        <v>1</v>
      </c>
      <c r="E24" s="29">
        <v>10020</v>
      </c>
      <c r="F24" s="30">
        <v>1</v>
      </c>
      <c r="G24" s="29">
        <v>6819</v>
      </c>
      <c r="H24" s="30">
        <v>1</v>
      </c>
      <c r="I24" s="29">
        <v>5438</v>
      </c>
      <c r="J24" s="30">
        <v>1</v>
      </c>
      <c r="K24" s="29">
        <v>4665</v>
      </c>
      <c r="L24" s="30">
        <v>1</v>
      </c>
      <c r="M24" s="29">
        <v>7429</v>
      </c>
      <c r="N24" s="30">
        <v>1</v>
      </c>
      <c r="O24" s="29">
        <v>7750</v>
      </c>
      <c r="P24" s="30">
        <v>1</v>
      </c>
      <c r="Q24" s="29">
        <v>7840</v>
      </c>
      <c r="R24" s="30">
        <v>1</v>
      </c>
      <c r="S24" s="29">
        <v>8149</v>
      </c>
      <c r="T24" s="30">
        <v>1</v>
      </c>
      <c r="U24" s="29">
        <v>5730</v>
      </c>
      <c r="V24" s="30">
        <v>1</v>
      </c>
    </row>
    <row r="25" spans="1:22" x14ac:dyDescent="0.3">
      <c r="A25" s="10" t="s">
        <v>354</v>
      </c>
      <c r="B25" s="10"/>
      <c r="C25" s="25">
        <v>5367</v>
      </c>
      <c r="D25" s="26">
        <v>1.00618672665917</v>
      </c>
      <c r="E25" s="25">
        <v>8518</v>
      </c>
      <c r="F25" s="26">
        <v>0.85009980039920197</v>
      </c>
      <c r="G25" s="25">
        <v>2572</v>
      </c>
      <c r="H25" s="26">
        <v>0.377181404898079</v>
      </c>
      <c r="I25" s="25">
        <v>2439</v>
      </c>
      <c r="J25" s="26">
        <v>0.44851048179477698</v>
      </c>
      <c r="K25" s="25">
        <v>2612</v>
      </c>
      <c r="L25" s="26">
        <v>0.55991425509110404</v>
      </c>
      <c r="M25" s="25">
        <v>3396</v>
      </c>
      <c r="N25" s="26">
        <v>0.45712747341499499</v>
      </c>
      <c r="O25" s="25">
        <v>3447</v>
      </c>
      <c r="P25" s="26">
        <v>0.44477419354838699</v>
      </c>
      <c r="Q25" s="25">
        <v>3504</v>
      </c>
      <c r="R25" s="26">
        <v>0.446938775510204</v>
      </c>
      <c r="S25" s="25">
        <v>3512</v>
      </c>
      <c r="T25" s="26">
        <v>0.430973125536876</v>
      </c>
      <c r="U25" s="25">
        <v>3757</v>
      </c>
      <c r="V25" s="26">
        <v>0.65567190226876104</v>
      </c>
    </row>
    <row r="26" spans="1:22" x14ac:dyDescent="0.3">
      <c r="A26" s="10" t="s">
        <v>355</v>
      </c>
      <c r="B26" s="10"/>
      <c r="C26" s="25">
        <v>4793</v>
      </c>
      <c r="D26" s="26">
        <v>0.89857517810273702</v>
      </c>
      <c r="E26" s="25">
        <v>7680</v>
      </c>
      <c r="F26" s="26">
        <v>0.76646706586826396</v>
      </c>
      <c r="G26" s="25">
        <v>1947</v>
      </c>
      <c r="H26" s="26">
        <v>0.28552573691157102</v>
      </c>
      <c r="I26" s="25">
        <v>1896</v>
      </c>
      <c r="J26" s="26">
        <v>0.34865759470393498</v>
      </c>
      <c r="K26" s="25">
        <v>2027</v>
      </c>
      <c r="L26" s="26">
        <v>0.43451232583065402</v>
      </c>
      <c r="M26" s="25">
        <v>2804</v>
      </c>
      <c r="N26" s="26">
        <v>0.37743976309059102</v>
      </c>
      <c r="O26" s="25">
        <v>2838</v>
      </c>
      <c r="P26" s="26">
        <v>0.366193548387097</v>
      </c>
      <c r="Q26" s="25">
        <v>3224</v>
      </c>
      <c r="R26" s="26">
        <v>0.41122448979591802</v>
      </c>
      <c r="S26" s="25">
        <v>3221</v>
      </c>
      <c r="T26" s="26">
        <v>0.39526322248128598</v>
      </c>
      <c r="U26" s="25">
        <v>2996</v>
      </c>
      <c r="V26" s="26">
        <v>0.52286212914485197</v>
      </c>
    </row>
    <row r="27" spans="1:22" x14ac:dyDescent="0.3">
      <c r="A27" s="10" t="s">
        <v>356</v>
      </c>
      <c r="B27" s="10"/>
      <c r="C27" s="25">
        <v>574</v>
      </c>
      <c r="D27" s="26">
        <v>0.10761154855643</v>
      </c>
      <c r="E27" s="25">
        <v>838</v>
      </c>
      <c r="F27" s="26">
        <v>8.3632734530938099E-2</v>
      </c>
      <c r="G27" s="25">
        <v>625</v>
      </c>
      <c r="H27" s="26">
        <v>9.1655667986508302E-2</v>
      </c>
      <c r="I27" s="25">
        <v>543</v>
      </c>
      <c r="J27" s="26">
        <v>9.9852887090842196E-2</v>
      </c>
      <c r="K27" s="25">
        <v>585</v>
      </c>
      <c r="L27" s="26">
        <v>0.12540192926044999</v>
      </c>
      <c r="M27" s="25">
        <v>592</v>
      </c>
      <c r="N27" s="26">
        <v>7.9687710324404401E-2</v>
      </c>
      <c r="O27" s="25">
        <v>609</v>
      </c>
      <c r="P27" s="26">
        <v>7.8580645161290305E-2</v>
      </c>
      <c r="Q27" s="25">
        <v>280</v>
      </c>
      <c r="R27" s="26">
        <v>3.5714285714285698E-2</v>
      </c>
      <c r="S27" s="25">
        <v>291</v>
      </c>
      <c r="T27" s="26">
        <v>3.5709903055589597E-2</v>
      </c>
      <c r="U27" s="25">
        <v>761</v>
      </c>
      <c r="V27" s="26">
        <v>0.13280977312390899</v>
      </c>
    </row>
    <row r="28" spans="1:22" x14ac:dyDescent="0.3">
      <c r="A28" s="10" t="s">
        <v>298</v>
      </c>
      <c r="B28" s="10"/>
      <c r="C28" s="25">
        <v>1259</v>
      </c>
      <c r="D28" s="26">
        <v>0.23603299587551599</v>
      </c>
      <c r="E28" s="25">
        <v>1863</v>
      </c>
      <c r="F28" s="26">
        <v>0.18592814371257499</v>
      </c>
      <c r="G28" s="25">
        <v>1388</v>
      </c>
      <c r="H28" s="26">
        <v>0.20354890746443799</v>
      </c>
      <c r="I28" s="25">
        <v>1224</v>
      </c>
      <c r="J28" s="26">
        <v>0.22508275101140099</v>
      </c>
      <c r="K28" s="25">
        <v>1229</v>
      </c>
      <c r="L28" s="26">
        <v>0.26345123258306502</v>
      </c>
      <c r="M28" s="25">
        <v>1237</v>
      </c>
      <c r="N28" s="26">
        <v>0.16650962444474399</v>
      </c>
      <c r="O28" s="25">
        <v>1405</v>
      </c>
      <c r="P28" s="26">
        <v>0.18129032258064501</v>
      </c>
      <c r="Q28" s="25">
        <v>1565</v>
      </c>
      <c r="R28" s="26">
        <v>0.199617346938776</v>
      </c>
      <c r="S28" s="25">
        <v>2298</v>
      </c>
      <c r="T28" s="26">
        <v>0.281997791140017</v>
      </c>
      <c r="U28" s="25">
        <v>1378</v>
      </c>
      <c r="V28" s="26">
        <v>0.240488656195462</v>
      </c>
    </row>
    <row r="29" spans="1:22" x14ac:dyDescent="0.3">
      <c r="A29" s="10" t="s">
        <v>303</v>
      </c>
      <c r="B29" s="10"/>
      <c r="C29" s="25">
        <v>-1042</v>
      </c>
      <c r="D29" s="26">
        <v>-0.19535058117735299</v>
      </c>
      <c r="E29" s="25">
        <v>-119</v>
      </c>
      <c r="F29" s="26">
        <v>-1.1876247504990001E-2</v>
      </c>
      <c r="G29" s="25">
        <v>1240</v>
      </c>
      <c r="H29" s="26">
        <v>0.18184484528523201</v>
      </c>
      <c r="I29" s="25">
        <v>706</v>
      </c>
      <c r="J29" s="26">
        <v>0.12982714233174</v>
      </c>
      <c r="K29" s="25">
        <v>1182</v>
      </c>
      <c r="L29" s="26">
        <v>0.25337620578778097</v>
      </c>
      <c r="M29" s="25">
        <v>3082</v>
      </c>
      <c r="N29" s="26">
        <v>0.41486068111455099</v>
      </c>
      <c r="O29" s="25">
        <v>2839</v>
      </c>
      <c r="P29" s="26">
        <v>0.36632258064516099</v>
      </c>
      <c r="Q29" s="25">
        <v>3193</v>
      </c>
      <c r="R29" s="26">
        <v>0.40727040816326499</v>
      </c>
      <c r="S29" s="25">
        <v>2242</v>
      </c>
      <c r="T29" s="26">
        <v>0.27512578230457702</v>
      </c>
      <c r="U29" s="25">
        <v>1008</v>
      </c>
      <c r="V29" s="26">
        <v>0.17591623036649201</v>
      </c>
    </row>
    <row r="30" spans="1:22" x14ac:dyDescent="0.3">
      <c r="A30" s="10" t="s">
        <v>301</v>
      </c>
      <c r="B30" s="10"/>
      <c r="C30" s="25">
        <v>281</v>
      </c>
      <c r="D30" s="26">
        <v>5.26809148856393E-2</v>
      </c>
      <c r="E30" s="25">
        <v>430</v>
      </c>
      <c r="F30" s="26">
        <v>4.2914171656686602E-2</v>
      </c>
      <c r="G30" s="25">
        <v>3029</v>
      </c>
      <c r="H30" s="26">
        <v>0.44420002932981401</v>
      </c>
      <c r="I30" s="25">
        <v>1575</v>
      </c>
      <c r="J30" s="26">
        <v>0.28962853990437698</v>
      </c>
      <c r="K30" s="25">
        <v>624</v>
      </c>
      <c r="L30" s="26">
        <v>0.13376205787781401</v>
      </c>
      <c r="M30" s="25">
        <v>277</v>
      </c>
      <c r="N30" s="26">
        <v>3.7286310405168901E-2</v>
      </c>
      <c r="O30" s="25">
        <v>282</v>
      </c>
      <c r="P30" s="26">
        <v>3.6387096774193599E-2</v>
      </c>
      <c r="Q30" s="25">
        <v>327</v>
      </c>
      <c r="R30" s="26">
        <v>4.1709183673469402E-2</v>
      </c>
      <c r="S30" s="25">
        <v>301</v>
      </c>
      <c r="T30" s="26">
        <v>3.6937047490489601E-2</v>
      </c>
      <c r="U30" s="25">
        <v>246</v>
      </c>
      <c r="V30" s="26">
        <v>4.2931937172774902E-2</v>
      </c>
    </row>
    <row r="31" spans="1:22" x14ac:dyDescent="0.3">
      <c r="A31" s="10" t="s">
        <v>302</v>
      </c>
      <c r="B31" s="10"/>
      <c r="C31" s="25">
        <v>-531</v>
      </c>
      <c r="D31" s="26">
        <v>-9.9550056242969601E-2</v>
      </c>
      <c r="E31" s="25">
        <v>-672</v>
      </c>
      <c r="F31" s="26">
        <v>-6.7065868263472994E-2</v>
      </c>
      <c r="G31" s="25">
        <v>-1410</v>
      </c>
      <c r="H31" s="26">
        <v>-0.206775186977563</v>
      </c>
      <c r="I31" s="25">
        <v>-506</v>
      </c>
      <c r="J31" s="26">
        <v>-9.3048915042294997E-2</v>
      </c>
      <c r="K31" s="25">
        <v>-982</v>
      </c>
      <c r="L31" s="26">
        <v>-0.21050375133976401</v>
      </c>
      <c r="M31" s="25">
        <v>-563</v>
      </c>
      <c r="N31" s="26">
        <v>-7.5784089379458894E-2</v>
      </c>
      <c r="O31" s="25">
        <v>-223</v>
      </c>
      <c r="P31" s="26">
        <v>-2.87741935483871E-2</v>
      </c>
      <c r="Q31" s="25">
        <v>-749</v>
      </c>
      <c r="R31" s="26">
        <v>-9.5535714285714293E-2</v>
      </c>
      <c r="S31" s="25">
        <v>-204</v>
      </c>
      <c r="T31" s="26">
        <v>-2.50337464719598E-2</v>
      </c>
      <c r="U31" s="25">
        <v>-659</v>
      </c>
      <c r="V31" s="26">
        <v>-0.11500872600349001</v>
      </c>
    </row>
    <row r="32" spans="1:22" x14ac:dyDescent="0.3">
      <c r="A32" s="6" t="s">
        <v>331</v>
      </c>
      <c r="B32" s="6"/>
      <c r="C32" s="29">
        <v>22641</v>
      </c>
      <c r="D32" s="30">
        <v>1</v>
      </c>
      <c r="E32" s="29">
        <v>22555</v>
      </c>
      <c r="F32" s="30">
        <v>1</v>
      </c>
      <c r="G32" s="29">
        <v>16205</v>
      </c>
      <c r="H32" s="30">
        <v>1</v>
      </c>
      <c r="I32" s="29">
        <v>16790</v>
      </c>
      <c r="J32" s="30">
        <v>1</v>
      </c>
      <c r="K32" s="29">
        <v>17363</v>
      </c>
      <c r="L32" s="30">
        <v>1</v>
      </c>
      <c r="M32" s="29">
        <v>17383</v>
      </c>
      <c r="N32" s="30">
        <v>1</v>
      </c>
      <c r="O32" s="29">
        <v>17830</v>
      </c>
      <c r="P32" s="30">
        <v>1</v>
      </c>
      <c r="Q32" s="29">
        <v>17328</v>
      </c>
      <c r="R32" s="30">
        <v>1</v>
      </c>
      <c r="S32" s="29">
        <v>21280</v>
      </c>
      <c r="T32" s="30">
        <v>1</v>
      </c>
      <c r="U32" s="29">
        <v>15491</v>
      </c>
      <c r="V32" s="30">
        <v>1</v>
      </c>
    </row>
    <row r="33" spans="1:22" x14ac:dyDescent="0.3">
      <c r="A33" s="10" t="s">
        <v>354</v>
      </c>
      <c r="B33" s="10"/>
      <c r="C33" s="25">
        <v>16689</v>
      </c>
      <c r="D33" s="26">
        <v>0.737114085066914</v>
      </c>
      <c r="E33" s="25">
        <v>16943</v>
      </c>
      <c r="F33" s="26">
        <v>0.75118598980270401</v>
      </c>
      <c r="G33" s="25">
        <v>7221</v>
      </c>
      <c r="H33" s="26">
        <v>0.44560320888614602</v>
      </c>
      <c r="I33" s="25">
        <v>7290</v>
      </c>
      <c r="J33" s="26">
        <v>0.43418701608100102</v>
      </c>
      <c r="K33" s="25">
        <v>7615</v>
      </c>
      <c r="L33" s="26">
        <v>0.43857628290042</v>
      </c>
      <c r="M33" s="25">
        <v>8216</v>
      </c>
      <c r="N33" s="26">
        <v>0.47264568831617099</v>
      </c>
      <c r="O33" s="25">
        <v>8292</v>
      </c>
      <c r="P33" s="26">
        <v>0.46505888951205798</v>
      </c>
      <c r="Q33" s="25">
        <v>7895</v>
      </c>
      <c r="R33" s="26">
        <v>0.455620960295476</v>
      </c>
      <c r="S33" s="25">
        <v>9319</v>
      </c>
      <c r="T33" s="26">
        <v>0.43792293233082702</v>
      </c>
      <c r="U33" s="25">
        <v>8933</v>
      </c>
      <c r="V33" s="26">
        <v>0.57665741398231196</v>
      </c>
    </row>
    <row r="34" spans="1:22" x14ac:dyDescent="0.3">
      <c r="A34" s="10" t="s">
        <v>355</v>
      </c>
      <c r="B34" s="10"/>
      <c r="C34" s="25">
        <v>15544</v>
      </c>
      <c r="D34" s="26">
        <v>0.68654211386422903</v>
      </c>
      <c r="E34" s="25">
        <v>15596</v>
      </c>
      <c r="F34" s="26">
        <v>0.69146530702726705</v>
      </c>
      <c r="G34" s="25">
        <v>6183</v>
      </c>
      <c r="H34" s="26">
        <v>0.381548904659056</v>
      </c>
      <c r="I34" s="25">
        <v>6206</v>
      </c>
      <c r="J34" s="26">
        <v>0.36962477665276899</v>
      </c>
      <c r="K34" s="25">
        <v>6396</v>
      </c>
      <c r="L34" s="26">
        <v>0.36836952139607199</v>
      </c>
      <c r="M34" s="25">
        <v>6977</v>
      </c>
      <c r="N34" s="26">
        <v>0.40136915377092602</v>
      </c>
      <c r="O34" s="25">
        <v>7021</v>
      </c>
      <c r="P34" s="26">
        <v>0.39377453729669099</v>
      </c>
      <c r="Q34" s="25">
        <v>6903</v>
      </c>
      <c r="R34" s="26">
        <v>0.398372576177285</v>
      </c>
      <c r="S34" s="25">
        <v>8048</v>
      </c>
      <c r="T34" s="26">
        <v>0.37819548872180497</v>
      </c>
      <c r="U34" s="25">
        <v>7340</v>
      </c>
      <c r="V34" s="26">
        <v>0.47382351042540799</v>
      </c>
    </row>
    <row r="35" spans="1:22" x14ac:dyDescent="0.3">
      <c r="A35" s="10" t="s">
        <v>356</v>
      </c>
      <c r="B35" s="10"/>
      <c r="C35" s="25">
        <v>1145</v>
      </c>
      <c r="D35" s="26">
        <v>5.0571971202685403E-2</v>
      </c>
      <c r="E35" s="25">
        <v>1347</v>
      </c>
      <c r="F35" s="26">
        <v>5.9720682775437801E-2</v>
      </c>
      <c r="G35" s="25">
        <v>1038</v>
      </c>
      <c r="H35" s="26">
        <v>6.4054304227090395E-2</v>
      </c>
      <c r="I35" s="25">
        <v>1084</v>
      </c>
      <c r="J35" s="26">
        <v>6.4562239428231097E-2</v>
      </c>
      <c r="K35" s="25">
        <v>1219</v>
      </c>
      <c r="L35" s="26">
        <v>7.0206761504348306E-2</v>
      </c>
      <c r="M35" s="25">
        <v>1239</v>
      </c>
      <c r="N35" s="26">
        <v>7.1276534545245407E-2</v>
      </c>
      <c r="O35" s="25">
        <v>1271</v>
      </c>
      <c r="P35" s="26">
        <v>7.12843522153674E-2</v>
      </c>
      <c r="Q35" s="25">
        <v>992</v>
      </c>
      <c r="R35" s="26">
        <v>5.72483841181902E-2</v>
      </c>
      <c r="S35" s="25">
        <v>1271</v>
      </c>
      <c r="T35" s="26">
        <v>5.9727443609022601E-2</v>
      </c>
      <c r="U35" s="25">
        <v>1593</v>
      </c>
      <c r="V35" s="26">
        <v>0.102833903556904</v>
      </c>
    </row>
    <row r="36" spans="1:22" x14ac:dyDescent="0.3">
      <c r="A36" s="10" t="s">
        <v>298</v>
      </c>
      <c r="B36" s="10"/>
      <c r="C36" s="25">
        <v>2943</v>
      </c>
      <c r="D36" s="26">
        <v>0.12998542467205501</v>
      </c>
      <c r="E36" s="25">
        <v>2886</v>
      </c>
      <c r="F36" s="26">
        <v>0.12795389048991401</v>
      </c>
      <c r="G36" s="25">
        <v>2675</v>
      </c>
      <c r="H36" s="26">
        <v>0.16507250848503499</v>
      </c>
      <c r="I36" s="25">
        <v>2707</v>
      </c>
      <c r="J36" s="26">
        <v>0.161226920786182</v>
      </c>
      <c r="K36" s="25">
        <v>2985</v>
      </c>
      <c r="L36" s="26">
        <v>0.17191729539826101</v>
      </c>
      <c r="M36" s="25">
        <v>3317</v>
      </c>
      <c r="N36" s="26">
        <v>0.190818615889087</v>
      </c>
      <c r="O36" s="25">
        <v>3691</v>
      </c>
      <c r="P36" s="26">
        <v>0.20701065619742001</v>
      </c>
      <c r="Q36" s="25">
        <v>3938</v>
      </c>
      <c r="R36" s="26">
        <v>0.22726223453370301</v>
      </c>
      <c r="S36" s="25">
        <v>5052</v>
      </c>
      <c r="T36" s="26">
        <v>0.23740601503759401</v>
      </c>
      <c r="U36" s="25">
        <v>3909</v>
      </c>
      <c r="V36" s="26">
        <v>0.25234006842682799</v>
      </c>
    </row>
    <row r="37" spans="1:22" x14ac:dyDescent="0.3">
      <c r="A37" s="10" t="s">
        <v>303</v>
      </c>
      <c r="B37" s="10"/>
      <c r="C37" s="25">
        <v>1838</v>
      </c>
      <c r="D37" s="26">
        <v>8.1180159886930794E-2</v>
      </c>
      <c r="E37" s="25">
        <v>1789</v>
      </c>
      <c r="F37" s="26">
        <v>7.9317224562181293E-2</v>
      </c>
      <c r="G37" s="25">
        <v>5723</v>
      </c>
      <c r="H37" s="26">
        <v>0.35316260413452599</v>
      </c>
      <c r="I37" s="25">
        <v>6297</v>
      </c>
      <c r="J37" s="26">
        <v>0.37504466944609899</v>
      </c>
      <c r="K37" s="25">
        <v>6426</v>
      </c>
      <c r="L37" s="26">
        <v>0.37009733341012502</v>
      </c>
      <c r="M37" s="25">
        <v>5379</v>
      </c>
      <c r="N37" s="26">
        <v>0.30944025772306299</v>
      </c>
      <c r="O37" s="25">
        <v>5281</v>
      </c>
      <c r="P37" s="26">
        <v>0.29618620302860299</v>
      </c>
      <c r="Q37" s="25">
        <v>5184</v>
      </c>
      <c r="R37" s="26">
        <v>0.299168975069252</v>
      </c>
      <c r="S37" s="25">
        <v>6450</v>
      </c>
      <c r="T37" s="26">
        <v>0.30310150375939798</v>
      </c>
      <c r="U37" s="25">
        <v>2273</v>
      </c>
      <c r="V37" s="26">
        <v>0.14673035956361799</v>
      </c>
    </row>
    <row r="38" spans="1:22" x14ac:dyDescent="0.3">
      <c r="A38" s="10" t="s">
        <v>302</v>
      </c>
      <c r="B38" s="10"/>
      <c r="C38" s="25">
        <v>746</v>
      </c>
      <c r="D38" s="26">
        <v>3.2949074687513798E-2</v>
      </c>
      <c r="E38" s="25">
        <v>509</v>
      </c>
      <c r="F38" s="26">
        <v>2.2567058301928601E-2</v>
      </c>
      <c r="G38" s="25">
        <v>260</v>
      </c>
      <c r="H38" s="26">
        <v>1.6044430731255801E-2</v>
      </c>
      <c r="I38" s="25">
        <v>178</v>
      </c>
      <c r="J38" s="26">
        <v>1.06015485407981E-2</v>
      </c>
      <c r="K38" s="25">
        <v>28</v>
      </c>
      <c r="L38" s="26">
        <v>1.61262454644935E-3</v>
      </c>
      <c r="M38" s="25">
        <v>178</v>
      </c>
      <c r="N38" s="26">
        <v>1.0239889547258799E-2</v>
      </c>
      <c r="O38" s="25">
        <v>275</v>
      </c>
      <c r="P38" s="26">
        <v>1.5423443634324199E-2</v>
      </c>
      <c r="Q38" s="25">
        <v>42</v>
      </c>
      <c r="R38" s="26">
        <v>2.4238227146814399E-3</v>
      </c>
      <c r="S38" s="25">
        <v>244</v>
      </c>
      <c r="T38" s="26">
        <v>1.14661654135338E-2</v>
      </c>
      <c r="U38" s="25">
        <v>216</v>
      </c>
      <c r="V38" s="26">
        <v>1.3943580143309001E-2</v>
      </c>
    </row>
    <row r="39" spans="1:22" x14ac:dyDescent="0.3">
      <c r="A39" s="10" t="s">
        <v>301</v>
      </c>
      <c r="B39" s="10"/>
      <c r="C39" s="25">
        <v>425</v>
      </c>
      <c r="D39" s="26">
        <v>1.8771255686586299E-2</v>
      </c>
      <c r="E39" s="25">
        <v>428</v>
      </c>
      <c r="F39" s="26">
        <v>1.8975836843272E-2</v>
      </c>
      <c r="G39" s="25">
        <v>326</v>
      </c>
      <c r="H39" s="26">
        <v>2.0117247763036101E-2</v>
      </c>
      <c r="I39" s="25">
        <v>318</v>
      </c>
      <c r="J39" s="26">
        <v>1.89398451459202E-2</v>
      </c>
      <c r="K39" s="25">
        <v>309</v>
      </c>
      <c r="L39" s="26">
        <v>1.7796463744744601E-2</v>
      </c>
      <c r="M39" s="25">
        <v>293</v>
      </c>
      <c r="N39" s="26">
        <v>1.6855548524420401E-2</v>
      </c>
      <c r="O39" s="25">
        <v>291</v>
      </c>
      <c r="P39" s="26">
        <v>1.63208076275939E-2</v>
      </c>
      <c r="Q39" s="25">
        <v>269</v>
      </c>
      <c r="R39" s="26">
        <v>1.55240073868883E-2</v>
      </c>
      <c r="S39" s="25">
        <v>215</v>
      </c>
      <c r="T39" s="26">
        <v>1.01033834586466E-2</v>
      </c>
      <c r="U39" s="25">
        <v>160</v>
      </c>
      <c r="V39" s="26">
        <v>1.0328577883932599E-2</v>
      </c>
    </row>
    <row r="40" spans="1:22" x14ac:dyDescent="0.3">
      <c r="A40" s="6" t="s">
        <v>332</v>
      </c>
      <c r="B40" s="6"/>
      <c r="C40" s="29">
        <v>4052</v>
      </c>
      <c r="D40" s="30">
        <v>1</v>
      </c>
      <c r="E40" s="29">
        <v>8804</v>
      </c>
      <c r="F40" s="30">
        <v>1</v>
      </c>
      <c r="G40" s="29">
        <v>5651</v>
      </c>
      <c r="H40" s="30">
        <v>1</v>
      </c>
      <c r="I40" s="29">
        <v>4281</v>
      </c>
      <c r="J40" s="30">
        <v>1</v>
      </c>
      <c r="K40" s="29">
        <v>4277</v>
      </c>
      <c r="L40" s="30">
        <v>1</v>
      </c>
      <c r="M40" s="29">
        <v>6307</v>
      </c>
      <c r="N40" s="30">
        <v>1</v>
      </c>
      <c r="O40" s="29">
        <v>6795</v>
      </c>
      <c r="P40" s="30">
        <v>1</v>
      </c>
      <c r="Q40" s="29">
        <v>6927</v>
      </c>
      <c r="R40" s="30">
        <v>1</v>
      </c>
      <c r="S40" s="29">
        <v>7268</v>
      </c>
      <c r="T40" s="30">
        <v>1</v>
      </c>
      <c r="U40" s="29">
        <v>6028</v>
      </c>
      <c r="V40" s="30">
        <v>1</v>
      </c>
    </row>
    <row r="41" spans="1:22" x14ac:dyDescent="0.3">
      <c r="A41" s="10" t="s">
        <v>354</v>
      </c>
      <c r="B41" s="10"/>
      <c r="C41" s="25">
        <v>8016</v>
      </c>
      <c r="D41" s="26">
        <v>1.97828232971372</v>
      </c>
      <c r="E41" s="25">
        <v>8184</v>
      </c>
      <c r="F41" s="26">
        <v>0.92957746478873204</v>
      </c>
      <c r="G41" s="25">
        <v>3044</v>
      </c>
      <c r="H41" s="26">
        <v>0.53866572288090597</v>
      </c>
      <c r="I41" s="25">
        <v>2872</v>
      </c>
      <c r="J41" s="26">
        <v>0.67087129175426297</v>
      </c>
      <c r="K41" s="25">
        <v>3792</v>
      </c>
      <c r="L41" s="26">
        <v>0.88660275894318397</v>
      </c>
      <c r="M41" s="25">
        <v>4370</v>
      </c>
      <c r="N41" s="26">
        <v>0.69288092595528805</v>
      </c>
      <c r="O41" s="25">
        <v>4398</v>
      </c>
      <c r="P41" s="26">
        <v>0.64724061810154498</v>
      </c>
      <c r="Q41" s="25">
        <v>4484</v>
      </c>
      <c r="R41" s="26">
        <v>0.64732207304749501</v>
      </c>
      <c r="S41" s="25">
        <v>4432</v>
      </c>
      <c r="T41" s="26">
        <v>0.60979636763896505</v>
      </c>
      <c r="U41" s="25">
        <v>4779</v>
      </c>
      <c r="V41" s="26">
        <v>0.79280026542800297</v>
      </c>
    </row>
    <row r="42" spans="1:22" x14ac:dyDescent="0.3">
      <c r="A42" s="10" t="s">
        <v>355</v>
      </c>
      <c r="B42" s="10"/>
      <c r="C42" s="25">
        <v>7299</v>
      </c>
      <c r="D42" s="26">
        <v>1.8013326752221099</v>
      </c>
      <c r="E42" s="25">
        <v>7520</v>
      </c>
      <c r="F42" s="26">
        <v>0.854157201272149</v>
      </c>
      <c r="G42" s="25">
        <v>2382</v>
      </c>
      <c r="H42" s="26">
        <v>0.42151831534241702</v>
      </c>
      <c r="I42" s="25">
        <v>2171</v>
      </c>
      <c r="J42" s="26">
        <v>0.50712450362064898</v>
      </c>
      <c r="K42" s="25">
        <v>3051</v>
      </c>
      <c r="L42" s="26">
        <v>0.71335047930792606</v>
      </c>
      <c r="M42" s="25">
        <v>3540</v>
      </c>
      <c r="N42" s="26">
        <v>0.56128111622007304</v>
      </c>
      <c r="O42" s="25">
        <v>3562</v>
      </c>
      <c r="P42" s="26">
        <v>0.52420897718910997</v>
      </c>
      <c r="Q42" s="25">
        <v>4077</v>
      </c>
      <c r="R42" s="26">
        <v>0.58856647899523595</v>
      </c>
      <c r="S42" s="25">
        <v>4071</v>
      </c>
      <c r="T42" s="26">
        <v>0.560126582278481</v>
      </c>
      <c r="U42" s="25">
        <v>3787</v>
      </c>
      <c r="V42" s="26">
        <v>0.62823490378234903</v>
      </c>
    </row>
    <row r="43" spans="1:22" x14ac:dyDescent="0.3">
      <c r="A43" s="10" t="s">
        <v>356</v>
      </c>
      <c r="B43" s="10"/>
      <c r="C43" s="25">
        <v>717</v>
      </c>
      <c r="D43" s="26">
        <v>0.17694965449160899</v>
      </c>
      <c r="E43" s="25">
        <v>664</v>
      </c>
      <c r="F43" s="26">
        <v>7.5420263516583402E-2</v>
      </c>
      <c r="G43" s="25">
        <v>662</v>
      </c>
      <c r="H43" s="26">
        <v>0.117147407538489</v>
      </c>
      <c r="I43" s="25">
        <v>701</v>
      </c>
      <c r="J43" s="26">
        <v>0.16374678813361401</v>
      </c>
      <c r="K43" s="25">
        <v>741</v>
      </c>
      <c r="L43" s="26">
        <v>0.17325227963525799</v>
      </c>
      <c r="M43" s="25">
        <v>830</v>
      </c>
      <c r="N43" s="26">
        <v>0.13159980973521501</v>
      </c>
      <c r="O43" s="25">
        <v>836</v>
      </c>
      <c r="P43" s="26">
        <v>0.123031640912436</v>
      </c>
      <c r="Q43" s="25">
        <v>407</v>
      </c>
      <c r="R43" s="26">
        <v>5.8755594052259302E-2</v>
      </c>
      <c r="S43" s="25">
        <v>361</v>
      </c>
      <c r="T43" s="26">
        <v>4.9669785360484303E-2</v>
      </c>
      <c r="U43" s="25">
        <v>992</v>
      </c>
      <c r="V43" s="26">
        <v>0.164565361645654</v>
      </c>
    </row>
    <row r="44" spans="1:22" x14ac:dyDescent="0.3">
      <c r="A44" s="10" t="s">
        <v>298</v>
      </c>
      <c r="B44" s="10"/>
      <c r="C44" s="25">
        <v>1801</v>
      </c>
      <c r="D44" s="26">
        <v>0.444471865745311</v>
      </c>
      <c r="E44" s="25">
        <v>1889</v>
      </c>
      <c r="F44" s="26">
        <v>0.214561562925943</v>
      </c>
      <c r="G44" s="25">
        <v>1837</v>
      </c>
      <c r="H44" s="26">
        <v>0.32507520792779998</v>
      </c>
      <c r="I44" s="25">
        <v>1703</v>
      </c>
      <c r="J44" s="26">
        <v>0.39780425134314401</v>
      </c>
      <c r="K44" s="25">
        <v>1849</v>
      </c>
      <c r="L44" s="26">
        <v>0.43231236848258098</v>
      </c>
      <c r="M44" s="25">
        <v>1785</v>
      </c>
      <c r="N44" s="26">
        <v>0.28301886792452802</v>
      </c>
      <c r="O44" s="25">
        <v>1990</v>
      </c>
      <c r="P44" s="26">
        <v>0.29286239882266402</v>
      </c>
      <c r="Q44" s="25">
        <v>2208</v>
      </c>
      <c r="R44" s="26">
        <v>0.31875270679947998</v>
      </c>
      <c r="S44" s="25">
        <v>3234</v>
      </c>
      <c r="T44" s="26">
        <v>0.444964226747386</v>
      </c>
      <c r="U44" s="25">
        <v>1954</v>
      </c>
      <c r="V44" s="26">
        <v>0.32415394824153898</v>
      </c>
    </row>
    <row r="45" spans="1:22" x14ac:dyDescent="0.3">
      <c r="A45" s="10" t="s">
        <v>301</v>
      </c>
      <c r="B45" s="10"/>
      <c r="C45" s="25">
        <v>407</v>
      </c>
      <c r="D45" s="26">
        <v>0.100444225074038</v>
      </c>
      <c r="E45" s="25">
        <v>314</v>
      </c>
      <c r="F45" s="26">
        <v>3.5665606542480702E-2</v>
      </c>
      <c r="G45" s="25">
        <v>261</v>
      </c>
      <c r="H45" s="26">
        <v>4.6186515660944998E-2</v>
      </c>
      <c r="I45" s="25">
        <v>315</v>
      </c>
      <c r="J45" s="26">
        <v>7.3580939032936193E-2</v>
      </c>
      <c r="K45" s="25">
        <v>356</v>
      </c>
      <c r="L45" s="26">
        <v>8.3235913023147104E-2</v>
      </c>
      <c r="M45" s="25">
        <v>365</v>
      </c>
      <c r="N45" s="26">
        <v>5.7872205485967998E-2</v>
      </c>
      <c r="O45" s="25">
        <v>357</v>
      </c>
      <c r="P45" s="26">
        <v>5.25386313465784E-2</v>
      </c>
      <c r="Q45" s="25">
        <v>408</v>
      </c>
      <c r="R45" s="26">
        <v>5.8899956691208302E-2</v>
      </c>
      <c r="S45" s="25">
        <v>397</v>
      </c>
      <c r="T45" s="26">
        <v>5.4623004953219603E-2</v>
      </c>
      <c r="U45" s="25">
        <v>310</v>
      </c>
      <c r="V45" s="26">
        <v>5.1426675514266801E-2</v>
      </c>
    </row>
    <row r="46" spans="1:22" x14ac:dyDescent="0.3">
      <c r="A46" s="10" t="s">
        <v>302</v>
      </c>
      <c r="B46" s="10"/>
      <c r="C46" s="25">
        <v>-1477</v>
      </c>
      <c r="D46" s="26">
        <v>-0.36451135241855898</v>
      </c>
      <c r="E46" s="25">
        <v>-1327</v>
      </c>
      <c r="F46" s="26">
        <v>-0.150726942298955</v>
      </c>
      <c r="G46" s="25">
        <v>-1769</v>
      </c>
      <c r="H46" s="26">
        <v>-0.31304193947973802</v>
      </c>
      <c r="I46" s="25">
        <v>-1454</v>
      </c>
      <c r="J46" s="26">
        <v>-0.33964027096472799</v>
      </c>
      <c r="K46" s="25">
        <v>-1670</v>
      </c>
      <c r="L46" s="26">
        <v>-0.39046060322656101</v>
      </c>
      <c r="M46" s="25">
        <v>-1388</v>
      </c>
      <c r="N46" s="26">
        <v>-0.22007293483431101</v>
      </c>
      <c r="O46" s="25">
        <v>-1424</v>
      </c>
      <c r="P46" s="26">
        <v>-0.209565857247976</v>
      </c>
      <c r="Q46" s="25">
        <v>-1103</v>
      </c>
      <c r="R46" s="26">
        <v>-0.159231990760791</v>
      </c>
      <c r="S46" s="25">
        <v>-795</v>
      </c>
      <c r="T46" s="26">
        <v>-0.10938359933957099</v>
      </c>
      <c r="U46" s="25">
        <v>-1015</v>
      </c>
      <c r="V46" s="26">
        <v>-0.168380889183809</v>
      </c>
    </row>
    <row r="47" spans="1:22" x14ac:dyDescent="0.3">
      <c r="A47" s="10" t="s">
        <v>303</v>
      </c>
      <c r="B47" s="10"/>
      <c r="C47" s="25">
        <v>-4695</v>
      </c>
      <c r="D47" s="26">
        <v>-1.1586870681145101</v>
      </c>
      <c r="E47" s="25">
        <v>-256</v>
      </c>
      <c r="F47" s="26">
        <v>-2.9077691958200799E-2</v>
      </c>
      <c r="G47" s="25">
        <v>2278</v>
      </c>
      <c r="H47" s="26">
        <v>0.403114493010087</v>
      </c>
      <c r="I47" s="25">
        <v>845</v>
      </c>
      <c r="J47" s="26">
        <v>0.19738378883438401</v>
      </c>
      <c r="K47" s="25">
        <v>-50</v>
      </c>
      <c r="L47" s="26">
        <v>-1.16904372223521E-2</v>
      </c>
      <c r="M47" s="25">
        <v>1175</v>
      </c>
      <c r="N47" s="26">
        <v>0.186300935468527</v>
      </c>
      <c r="O47" s="25">
        <v>1474</v>
      </c>
      <c r="P47" s="26">
        <v>0.216924208977189</v>
      </c>
      <c r="Q47" s="25">
        <v>930</v>
      </c>
      <c r="R47" s="26">
        <v>0.13425725422260701</v>
      </c>
      <c r="S47" s="25" t="s">
        <v>294</v>
      </c>
      <c r="T47" s="26"/>
      <c r="U47" s="25" t="s">
        <v>294</v>
      </c>
      <c r="V47" s="26"/>
    </row>
    <row r="48" spans="1:22" x14ac:dyDescent="0.3">
      <c r="A48" s="6" t="s">
        <v>333</v>
      </c>
      <c r="B48" s="6"/>
      <c r="C48" s="29">
        <v>661</v>
      </c>
      <c r="D48" s="30">
        <v>1</v>
      </c>
      <c r="E48" s="29">
        <v>2465</v>
      </c>
      <c r="F48" s="30">
        <v>1</v>
      </c>
      <c r="G48" s="29">
        <v>1590</v>
      </c>
      <c r="H48" s="30">
        <v>1</v>
      </c>
      <c r="I48" s="29">
        <v>693</v>
      </c>
      <c r="J48" s="30">
        <v>1</v>
      </c>
      <c r="K48" s="29">
        <v>-1470</v>
      </c>
      <c r="L48" s="30"/>
      <c r="M48" s="29">
        <v>1179</v>
      </c>
      <c r="N48" s="30">
        <v>1</v>
      </c>
      <c r="O48" s="29">
        <v>886</v>
      </c>
      <c r="P48" s="30">
        <v>1</v>
      </c>
      <c r="Q48" s="29">
        <v>1509</v>
      </c>
      <c r="R48" s="30">
        <v>1</v>
      </c>
      <c r="S48" s="29">
        <v>1931</v>
      </c>
      <c r="T48" s="30">
        <v>1</v>
      </c>
      <c r="U48" s="29">
        <v>1553</v>
      </c>
      <c r="V48" s="30">
        <v>1</v>
      </c>
    </row>
    <row r="49" spans="1:22" x14ac:dyDescent="0.3">
      <c r="A49" s="10" t="s">
        <v>354</v>
      </c>
      <c r="B49" s="10"/>
      <c r="C49" s="25">
        <v>2337</v>
      </c>
      <c r="D49" s="26">
        <v>3.5355521936459899</v>
      </c>
      <c r="E49" s="25">
        <v>2464</v>
      </c>
      <c r="F49" s="26">
        <v>0.99959432048681496</v>
      </c>
      <c r="G49" s="25">
        <v>1046</v>
      </c>
      <c r="H49" s="26">
        <v>0.65786163522012597</v>
      </c>
      <c r="I49" s="25">
        <v>1134</v>
      </c>
      <c r="J49" s="26">
        <v>1.63636363636364</v>
      </c>
      <c r="K49" s="25">
        <v>1180</v>
      </c>
      <c r="L49" s="26">
        <v>-0.80272108843537404</v>
      </c>
      <c r="M49" s="25">
        <v>974</v>
      </c>
      <c r="N49" s="26">
        <v>0.82612383375742204</v>
      </c>
      <c r="O49" s="25">
        <v>951</v>
      </c>
      <c r="P49" s="26">
        <v>1.0733634311512401</v>
      </c>
      <c r="Q49" s="25">
        <v>980</v>
      </c>
      <c r="R49" s="26">
        <v>0.64943671305500295</v>
      </c>
      <c r="S49" s="25">
        <v>920</v>
      </c>
      <c r="T49" s="26">
        <v>0.47643707923355799</v>
      </c>
      <c r="U49" s="25">
        <v>1022</v>
      </c>
      <c r="V49" s="26">
        <v>0.65808113329040596</v>
      </c>
    </row>
    <row r="50" spans="1:22" x14ac:dyDescent="0.3">
      <c r="A50" s="10" t="s">
        <v>355</v>
      </c>
      <c r="B50" s="10"/>
      <c r="C50" s="25">
        <v>2254</v>
      </c>
      <c r="D50" s="26">
        <v>3.40998487140696</v>
      </c>
      <c r="E50" s="25">
        <v>2368</v>
      </c>
      <c r="F50" s="26">
        <v>0.96064908722109499</v>
      </c>
      <c r="G50" s="25">
        <v>1009</v>
      </c>
      <c r="H50" s="26">
        <v>0.63459119496855299</v>
      </c>
      <c r="I50" s="25">
        <v>976</v>
      </c>
      <c r="J50" s="26">
        <v>1.40836940836941</v>
      </c>
      <c r="K50" s="25">
        <v>1024</v>
      </c>
      <c r="L50" s="26">
        <v>-0.69659863945578204</v>
      </c>
      <c r="M50" s="25">
        <v>736</v>
      </c>
      <c r="N50" s="26">
        <v>0.62425784563189102</v>
      </c>
      <c r="O50" s="25">
        <v>724</v>
      </c>
      <c r="P50" s="26">
        <v>0.817155756207675</v>
      </c>
      <c r="Q50" s="25">
        <v>853</v>
      </c>
      <c r="R50" s="26">
        <v>0.56527501656726298</v>
      </c>
      <c r="S50" s="25">
        <v>850</v>
      </c>
      <c r="T50" s="26">
        <v>0.44018643190057</v>
      </c>
      <c r="U50" s="25">
        <v>791</v>
      </c>
      <c r="V50" s="26">
        <v>0.509336767546684</v>
      </c>
    </row>
    <row r="51" spans="1:22" x14ac:dyDescent="0.3">
      <c r="A51" s="10" t="s">
        <v>356</v>
      </c>
      <c r="B51" s="10"/>
      <c r="C51" s="25">
        <v>83</v>
      </c>
      <c r="D51" s="26">
        <v>0.125567322239032</v>
      </c>
      <c r="E51" s="25">
        <v>96</v>
      </c>
      <c r="F51" s="26">
        <v>3.8945233265720101E-2</v>
      </c>
      <c r="G51" s="25">
        <v>37</v>
      </c>
      <c r="H51" s="26">
        <v>2.3270440251572301E-2</v>
      </c>
      <c r="I51" s="25">
        <v>158</v>
      </c>
      <c r="J51" s="26">
        <v>0.227994227994228</v>
      </c>
      <c r="K51" s="25">
        <v>156</v>
      </c>
      <c r="L51" s="26">
        <v>-0.106122448979592</v>
      </c>
      <c r="M51" s="25">
        <v>238</v>
      </c>
      <c r="N51" s="26">
        <v>0.20186598812553</v>
      </c>
      <c r="O51" s="25">
        <v>227</v>
      </c>
      <c r="P51" s="26">
        <v>0.256207674943567</v>
      </c>
      <c r="Q51" s="25">
        <v>127</v>
      </c>
      <c r="R51" s="26">
        <v>8.4161696487740204E-2</v>
      </c>
      <c r="S51" s="25">
        <v>70</v>
      </c>
      <c r="T51" s="26">
        <v>3.6250647332988099E-2</v>
      </c>
      <c r="U51" s="25">
        <v>231</v>
      </c>
      <c r="V51" s="26">
        <v>0.14874436574372199</v>
      </c>
    </row>
    <row r="52" spans="1:22" x14ac:dyDescent="0.3">
      <c r="A52" s="10" t="s">
        <v>298</v>
      </c>
      <c r="B52" s="10"/>
      <c r="C52" s="25">
        <v>565</v>
      </c>
      <c r="D52" s="26">
        <v>0.854765506807867</v>
      </c>
      <c r="E52" s="25">
        <v>582</v>
      </c>
      <c r="F52" s="26">
        <v>0.23610547667342799</v>
      </c>
      <c r="G52" s="25">
        <v>461</v>
      </c>
      <c r="H52" s="26">
        <v>0.28993710691823898</v>
      </c>
      <c r="I52" s="25">
        <v>479</v>
      </c>
      <c r="J52" s="26">
        <v>0.69119769119769103</v>
      </c>
      <c r="K52" s="25">
        <v>620</v>
      </c>
      <c r="L52" s="26">
        <v>-0.421768707482993</v>
      </c>
      <c r="M52" s="25">
        <v>548</v>
      </c>
      <c r="N52" s="26">
        <v>0.46480067854113699</v>
      </c>
      <c r="O52" s="25">
        <v>585</v>
      </c>
      <c r="P52" s="26">
        <v>0.66027088036117398</v>
      </c>
      <c r="Q52" s="25">
        <v>643</v>
      </c>
      <c r="R52" s="26">
        <v>0.42611000662690501</v>
      </c>
      <c r="S52" s="25">
        <v>936</v>
      </c>
      <c r="T52" s="26">
        <v>0.48472294148109801</v>
      </c>
      <c r="U52" s="25">
        <v>576</v>
      </c>
      <c r="V52" s="26">
        <v>0.37089504185447503</v>
      </c>
    </row>
    <row r="53" spans="1:22" x14ac:dyDescent="0.3">
      <c r="A53" s="10" t="s">
        <v>303</v>
      </c>
      <c r="B53" s="10"/>
      <c r="C53" s="25">
        <v>-1683</v>
      </c>
      <c r="D53" s="26">
        <v>-2.54614220877458</v>
      </c>
      <c r="E53" s="25">
        <v>87</v>
      </c>
      <c r="F53" s="26">
        <v>3.5294117647058802E-2</v>
      </c>
      <c r="G53" s="25">
        <v>428</v>
      </c>
      <c r="H53" s="26">
        <v>0.26918238993710703</v>
      </c>
      <c r="I53" s="25">
        <v>-14</v>
      </c>
      <c r="J53" s="26">
        <v>-2.02020202020202E-2</v>
      </c>
      <c r="K53" s="25">
        <v>547</v>
      </c>
      <c r="L53" s="26">
        <v>-0.37210884353741502</v>
      </c>
      <c r="M53" s="25">
        <v>394</v>
      </c>
      <c r="N53" s="26">
        <v>0.33418150975402899</v>
      </c>
      <c r="O53" s="25">
        <v>476</v>
      </c>
      <c r="P53" s="26">
        <v>0.53724604966139999</v>
      </c>
      <c r="Q53" s="25">
        <v>361</v>
      </c>
      <c r="R53" s="26">
        <v>0.23923127899270999</v>
      </c>
      <c r="S53" s="25">
        <v>570</v>
      </c>
      <c r="T53" s="26">
        <v>0.29518384256861702</v>
      </c>
      <c r="U53" s="25">
        <v>247</v>
      </c>
      <c r="V53" s="26">
        <v>0.15904700579523501</v>
      </c>
    </row>
    <row r="54" spans="1:22" x14ac:dyDescent="0.3">
      <c r="A54" s="10" t="s">
        <v>301</v>
      </c>
      <c r="B54" s="10"/>
      <c r="C54" s="25">
        <v>51</v>
      </c>
      <c r="D54" s="26">
        <v>7.7155824508320703E-2</v>
      </c>
      <c r="E54" s="25">
        <v>29</v>
      </c>
      <c r="F54" s="26">
        <v>1.1764705882352899E-2</v>
      </c>
      <c r="G54" s="25">
        <v>21</v>
      </c>
      <c r="H54" s="26">
        <v>1.32075471698113E-2</v>
      </c>
      <c r="I54" s="25">
        <v>42</v>
      </c>
      <c r="J54" s="26">
        <v>6.0606060606060601E-2</v>
      </c>
      <c r="K54" s="25">
        <v>59</v>
      </c>
      <c r="L54" s="26">
        <v>-4.0136054421768701E-2</v>
      </c>
      <c r="M54" s="25">
        <v>88</v>
      </c>
      <c r="N54" s="26">
        <v>7.4639525021204398E-2</v>
      </c>
      <c r="O54" s="25">
        <v>75</v>
      </c>
      <c r="P54" s="26">
        <v>8.4650112866817201E-2</v>
      </c>
      <c r="Q54" s="25">
        <v>81</v>
      </c>
      <c r="R54" s="26">
        <v>5.3677932405566599E-2</v>
      </c>
      <c r="S54" s="25">
        <v>96</v>
      </c>
      <c r="T54" s="26">
        <v>4.97151734852408E-2</v>
      </c>
      <c r="U54" s="25">
        <v>64</v>
      </c>
      <c r="V54" s="26">
        <v>4.12105602060528E-2</v>
      </c>
    </row>
    <row r="55" spans="1:22" x14ac:dyDescent="0.3">
      <c r="A55" s="10" t="s">
        <v>302</v>
      </c>
      <c r="B55" s="10"/>
      <c r="C55" s="25">
        <v>-609</v>
      </c>
      <c r="D55" s="26">
        <v>-0.92133131618759401</v>
      </c>
      <c r="E55" s="25">
        <v>-697</v>
      </c>
      <c r="F55" s="26">
        <v>-0.28275862068965502</v>
      </c>
      <c r="G55" s="25">
        <v>-366</v>
      </c>
      <c r="H55" s="26">
        <v>-0.230188679245283</v>
      </c>
      <c r="I55" s="25">
        <v>-948</v>
      </c>
      <c r="J55" s="26">
        <v>-1.36796536796537</v>
      </c>
      <c r="K55" s="25">
        <v>-3876</v>
      </c>
      <c r="L55" s="26">
        <v>2.6367346938775502</v>
      </c>
      <c r="M55" s="25">
        <v>-825</v>
      </c>
      <c r="N55" s="26">
        <v>-0.699745547073791</v>
      </c>
      <c r="O55" s="25">
        <v>-1201</v>
      </c>
      <c r="P55" s="26">
        <v>-1.35553047404063</v>
      </c>
      <c r="Q55" s="25">
        <v>-556</v>
      </c>
      <c r="R55" s="26">
        <v>-0.36845593108018598</v>
      </c>
      <c r="S55" s="25">
        <v>-591</v>
      </c>
      <c r="T55" s="26">
        <v>-0.30605903676851398</v>
      </c>
      <c r="U55" s="25">
        <v>-356</v>
      </c>
      <c r="V55" s="26">
        <v>-0.22923374114616901</v>
      </c>
    </row>
    <row r="56" spans="1:22" x14ac:dyDescent="0.3">
      <c r="A56" s="6" t="s">
        <v>147</v>
      </c>
      <c r="B56" s="6"/>
      <c r="C56" s="29">
        <v>3368</v>
      </c>
      <c r="D56" s="30">
        <v>1</v>
      </c>
      <c r="E56" s="29">
        <v>6309</v>
      </c>
      <c r="F56" s="30">
        <v>1</v>
      </c>
      <c r="G56" s="29">
        <v>5373</v>
      </c>
      <c r="H56" s="30">
        <v>1</v>
      </c>
      <c r="I56" s="29">
        <v>854</v>
      </c>
      <c r="J56" s="30">
        <v>1</v>
      </c>
      <c r="K56" s="29">
        <v>4020</v>
      </c>
      <c r="L56" s="30">
        <v>1</v>
      </c>
      <c r="M56" s="29">
        <v>5128</v>
      </c>
      <c r="N56" s="30">
        <v>1</v>
      </c>
      <c r="O56" s="29">
        <v>5909</v>
      </c>
      <c r="P56" s="30">
        <v>1</v>
      </c>
      <c r="Q56" s="29">
        <v>5407</v>
      </c>
      <c r="R56" s="30">
        <v>1</v>
      </c>
      <c r="S56" s="29">
        <v>8149</v>
      </c>
      <c r="T56" s="30">
        <v>1</v>
      </c>
      <c r="U56" s="29">
        <v>5730</v>
      </c>
      <c r="V56" s="30">
        <v>1</v>
      </c>
    </row>
    <row r="57" spans="1:22" x14ac:dyDescent="0.3">
      <c r="A57" s="10" t="s">
        <v>354</v>
      </c>
      <c r="B57" s="10"/>
      <c r="C57" s="25">
        <v>3735</v>
      </c>
      <c r="D57" s="26">
        <v>1.10896674584323</v>
      </c>
      <c r="E57" s="25">
        <v>5359</v>
      </c>
      <c r="F57" s="26">
        <v>0.84942146140434305</v>
      </c>
      <c r="G57" s="25">
        <v>2583</v>
      </c>
      <c r="H57" s="26">
        <v>0.48073701842546102</v>
      </c>
      <c r="I57" s="25">
        <v>2385</v>
      </c>
      <c r="J57" s="26">
        <v>2.7927400468384098</v>
      </c>
      <c r="K57" s="25">
        <v>2614</v>
      </c>
      <c r="L57" s="26">
        <v>0.65024875621890499</v>
      </c>
      <c r="M57" s="25">
        <v>3232</v>
      </c>
      <c r="N57" s="26">
        <v>0.630265210608424</v>
      </c>
      <c r="O57" s="25">
        <v>3559</v>
      </c>
      <c r="P57" s="26">
        <v>0.60230157387036698</v>
      </c>
      <c r="Q57" s="25">
        <v>3504</v>
      </c>
      <c r="R57" s="26">
        <v>0.64804882559644905</v>
      </c>
      <c r="S57" s="25">
        <v>3512</v>
      </c>
      <c r="T57" s="26">
        <v>0.430973125536876</v>
      </c>
      <c r="U57" s="25">
        <v>3757</v>
      </c>
      <c r="V57" s="26">
        <v>0.65567190226876104</v>
      </c>
    </row>
    <row r="58" spans="1:22" x14ac:dyDescent="0.3">
      <c r="A58" s="10" t="s">
        <v>355</v>
      </c>
      <c r="B58" s="10"/>
      <c r="C58" s="25">
        <v>3074</v>
      </c>
      <c r="D58" s="26">
        <v>0.91270783847980996</v>
      </c>
      <c r="E58" s="25">
        <v>5015</v>
      </c>
      <c r="F58" s="26">
        <v>0.79489618006023199</v>
      </c>
      <c r="G58" s="25">
        <v>2080</v>
      </c>
      <c r="H58" s="26">
        <v>0.38712078913083903</v>
      </c>
      <c r="I58" s="25">
        <v>1756</v>
      </c>
      <c r="J58" s="26">
        <v>2.0562060889929699</v>
      </c>
      <c r="K58" s="25">
        <v>2001</v>
      </c>
      <c r="L58" s="26">
        <v>0.49776119402985097</v>
      </c>
      <c r="M58" s="25">
        <v>2755</v>
      </c>
      <c r="N58" s="26">
        <v>0.537246489859594</v>
      </c>
      <c r="O58" s="25">
        <v>3148</v>
      </c>
      <c r="P58" s="26">
        <v>0.53274665764088702</v>
      </c>
      <c r="Q58" s="25">
        <v>3224</v>
      </c>
      <c r="R58" s="26">
        <v>0.59626410208988301</v>
      </c>
      <c r="S58" s="25">
        <v>3221</v>
      </c>
      <c r="T58" s="26">
        <v>0.39526322248128598</v>
      </c>
      <c r="U58" s="25">
        <v>2996</v>
      </c>
      <c r="V58" s="26">
        <v>0.52286212914485197</v>
      </c>
    </row>
    <row r="59" spans="1:22" x14ac:dyDescent="0.3">
      <c r="A59" s="10" t="s">
        <v>356</v>
      </c>
      <c r="B59" s="10"/>
      <c r="C59" s="25">
        <v>661</v>
      </c>
      <c r="D59" s="26">
        <v>0.19625890736342</v>
      </c>
      <c r="E59" s="25">
        <v>344</v>
      </c>
      <c r="F59" s="26">
        <v>5.4525281344111602E-2</v>
      </c>
      <c r="G59" s="25">
        <v>503</v>
      </c>
      <c r="H59" s="26">
        <v>9.3616229294621295E-2</v>
      </c>
      <c r="I59" s="25">
        <v>629</v>
      </c>
      <c r="J59" s="26">
        <v>0.73653395784543296</v>
      </c>
      <c r="K59" s="25">
        <v>613</v>
      </c>
      <c r="L59" s="26">
        <v>0.15248756218905499</v>
      </c>
      <c r="M59" s="25">
        <v>477</v>
      </c>
      <c r="N59" s="26">
        <v>9.3018720748829997E-2</v>
      </c>
      <c r="O59" s="25">
        <v>411</v>
      </c>
      <c r="P59" s="26">
        <v>6.9554916229480498E-2</v>
      </c>
      <c r="Q59" s="25">
        <v>280</v>
      </c>
      <c r="R59" s="26">
        <v>5.17847235065656E-2</v>
      </c>
      <c r="S59" s="25">
        <v>291</v>
      </c>
      <c r="T59" s="26">
        <v>3.5709903055589597E-2</v>
      </c>
      <c r="U59" s="25">
        <v>761</v>
      </c>
      <c r="V59" s="26">
        <v>0.13280977312390899</v>
      </c>
    </row>
    <row r="60" spans="1:22" x14ac:dyDescent="0.3">
      <c r="A60" s="10" t="s">
        <v>298</v>
      </c>
      <c r="B60" s="10"/>
      <c r="C60" s="25">
        <v>597</v>
      </c>
      <c r="D60" s="26">
        <v>0.17725653206650799</v>
      </c>
      <c r="E60" s="25">
        <v>1162</v>
      </c>
      <c r="F60" s="26">
        <v>0.184181328261214</v>
      </c>
      <c r="G60" s="25">
        <v>1813</v>
      </c>
      <c r="H60" s="26">
        <v>0.33742788014144798</v>
      </c>
      <c r="I60" s="25">
        <v>1420</v>
      </c>
      <c r="J60" s="26">
        <v>1.66276346604215</v>
      </c>
      <c r="K60" s="25">
        <v>1298</v>
      </c>
      <c r="L60" s="26">
        <v>0.32288557213930302</v>
      </c>
      <c r="M60" s="25">
        <v>1547</v>
      </c>
      <c r="N60" s="26">
        <v>0.30167706708268299</v>
      </c>
      <c r="O60" s="25">
        <v>1755</v>
      </c>
      <c r="P60" s="26">
        <v>0.297004569301066</v>
      </c>
      <c r="Q60" s="25">
        <v>1565</v>
      </c>
      <c r="R60" s="26">
        <v>0.289439615313483</v>
      </c>
      <c r="S60" s="25">
        <v>2298</v>
      </c>
      <c r="T60" s="26">
        <v>0.281997791140017</v>
      </c>
      <c r="U60" s="25">
        <v>1378</v>
      </c>
      <c r="V60" s="26">
        <v>0.240488656195462</v>
      </c>
    </row>
    <row r="61" spans="1:22" x14ac:dyDescent="0.3">
      <c r="A61" s="10" t="s">
        <v>303</v>
      </c>
      <c r="B61" s="10"/>
      <c r="C61" s="25">
        <v>64</v>
      </c>
      <c r="D61" s="26">
        <v>1.9002375296912101E-2</v>
      </c>
      <c r="E61" s="25">
        <v>65</v>
      </c>
      <c r="F61" s="26">
        <v>1.0302742114439699E-2</v>
      </c>
      <c r="G61" s="25">
        <v>1163</v>
      </c>
      <c r="H61" s="26">
        <v>0.21645263353806099</v>
      </c>
      <c r="I61" s="25">
        <v>300</v>
      </c>
      <c r="J61" s="26">
        <v>0.35128805620608899</v>
      </c>
      <c r="K61" s="25">
        <v>914</v>
      </c>
      <c r="L61" s="26">
        <v>0.22736318407960199</v>
      </c>
      <c r="M61" s="25">
        <v>1016</v>
      </c>
      <c r="N61" s="26">
        <v>0.198127925117005</v>
      </c>
      <c r="O61" s="25">
        <v>780</v>
      </c>
      <c r="P61" s="26">
        <v>0.13200203080047401</v>
      </c>
      <c r="Q61" s="25">
        <v>760</v>
      </c>
      <c r="R61" s="26">
        <v>0.14055853523210701</v>
      </c>
      <c r="S61" s="25">
        <v>2242</v>
      </c>
      <c r="T61" s="26">
        <v>0.27512578230457702</v>
      </c>
      <c r="U61" s="25">
        <v>1008</v>
      </c>
      <c r="V61" s="26">
        <v>0.17591623036649201</v>
      </c>
    </row>
    <row r="62" spans="1:22" x14ac:dyDescent="0.3">
      <c r="A62" s="10" t="s">
        <v>301</v>
      </c>
      <c r="B62" s="10"/>
      <c r="C62" s="25">
        <v>301</v>
      </c>
      <c r="D62" s="26">
        <v>8.9370546318289806E-2</v>
      </c>
      <c r="E62" s="25">
        <v>406</v>
      </c>
      <c r="F62" s="26">
        <v>6.4352512284038696E-2</v>
      </c>
      <c r="G62" s="25">
        <v>288</v>
      </c>
      <c r="H62" s="26">
        <v>5.3601340033500797E-2</v>
      </c>
      <c r="I62" s="25">
        <v>311</v>
      </c>
      <c r="J62" s="26">
        <v>0.36416861826697899</v>
      </c>
      <c r="K62" s="25">
        <v>301</v>
      </c>
      <c r="L62" s="26">
        <v>7.4875621890547306E-2</v>
      </c>
      <c r="M62" s="25">
        <v>296</v>
      </c>
      <c r="N62" s="26">
        <v>5.7722308892355703E-2</v>
      </c>
      <c r="O62" s="25">
        <v>275</v>
      </c>
      <c r="P62" s="26">
        <v>4.6539177525808099E-2</v>
      </c>
      <c r="Q62" s="25">
        <v>327</v>
      </c>
      <c r="R62" s="26">
        <v>6.0477159238024797E-2</v>
      </c>
      <c r="S62" s="25">
        <v>301</v>
      </c>
      <c r="T62" s="26">
        <v>3.6937047490489601E-2</v>
      </c>
      <c r="U62" s="25">
        <v>246</v>
      </c>
      <c r="V62" s="26">
        <v>4.2931937172774902E-2</v>
      </c>
    </row>
    <row r="63" spans="1:22" x14ac:dyDescent="0.3">
      <c r="A63" s="10" t="s">
        <v>302</v>
      </c>
      <c r="B63" s="10"/>
      <c r="C63" s="25">
        <v>-1329</v>
      </c>
      <c r="D63" s="26">
        <v>-0.39459619952494102</v>
      </c>
      <c r="E63" s="25">
        <v>-683</v>
      </c>
      <c r="F63" s="26">
        <v>-0.108258044064036</v>
      </c>
      <c r="G63" s="25">
        <v>-474</v>
      </c>
      <c r="H63" s="26">
        <v>-8.82188721384701E-2</v>
      </c>
      <c r="I63" s="25">
        <v>-3562</v>
      </c>
      <c r="J63" s="26">
        <v>-4.1709601873536304</v>
      </c>
      <c r="K63" s="25">
        <v>-1107</v>
      </c>
      <c r="L63" s="26">
        <v>-0.27537313432835803</v>
      </c>
      <c r="M63" s="25">
        <v>-963</v>
      </c>
      <c r="N63" s="26">
        <v>-0.18779251170046801</v>
      </c>
      <c r="O63" s="25">
        <v>-460</v>
      </c>
      <c r="P63" s="26">
        <v>-7.7847351497715406E-2</v>
      </c>
      <c r="Q63" s="25">
        <v>-749</v>
      </c>
      <c r="R63" s="26">
        <v>-0.138524135380063</v>
      </c>
      <c r="S63" s="25">
        <v>-204</v>
      </c>
      <c r="T63" s="26">
        <v>-2.50337464719598E-2</v>
      </c>
      <c r="U63" s="25">
        <v>-659</v>
      </c>
      <c r="V63" s="26">
        <v>-0.11500872600349001</v>
      </c>
    </row>
    <row r="64" spans="1:22" x14ac:dyDescent="0.3">
      <c r="A64" s="6" t="s">
        <v>344</v>
      </c>
      <c r="B64" s="6"/>
      <c r="C64" s="29">
        <v>10542</v>
      </c>
      <c r="D64" s="30">
        <v>1</v>
      </c>
      <c r="E64" s="29">
        <v>9872</v>
      </c>
      <c r="F64" s="30">
        <v>1</v>
      </c>
      <c r="G64" s="29">
        <v>9477</v>
      </c>
      <c r="H64" s="30">
        <v>1</v>
      </c>
      <c r="I64" s="29">
        <v>9220</v>
      </c>
      <c r="J64" s="30">
        <v>1</v>
      </c>
      <c r="K64" s="29">
        <v>9590</v>
      </c>
      <c r="L64" s="30">
        <v>1</v>
      </c>
      <c r="M64" s="29">
        <v>9422</v>
      </c>
      <c r="N64" s="30">
        <v>1</v>
      </c>
      <c r="O64" s="29">
        <v>9308</v>
      </c>
      <c r="P64" s="30">
        <v>1</v>
      </c>
      <c r="Q64" s="29">
        <v>10112</v>
      </c>
      <c r="R64" s="30">
        <v>1</v>
      </c>
      <c r="S64" s="29">
        <v>10215</v>
      </c>
      <c r="T64" s="30">
        <v>1</v>
      </c>
      <c r="U64" s="29">
        <v>9297</v>
      </c>
      <c r="V64" s="30">
        <v>1</v>
      </c>
    </row>
    <row r="65" spans="1:22" x14ac:dyDescent="0.3">
      <c r="A65" s="10" t="s">
        <v>298</v>
      </c>
      <c r="B65" s="10"/>
      <c r="C65" s="25">
        <v>5387</v>
      </c>
      <c r="D65" s="26">
        <v>0.51100360462910299</v>
      </c>
      <c r="E65" s="25">
        <v>4615</v>
      </c>
      <c r="F65" s="26">
        <v>0.46748379254457101</v>
      </c>
      <c r="G65" s="25">
        <v>4508</v>
      </c>
      <c r="H65" s="26">
        <v>0.475677957159439</v>
      </c>
      <c r="I65" s="25">
        <v>4596</v>
      </c>
      <c r="J65" s="26">
        <v>0.498481561822126</v>
      </c>
      <c r="K65" s="25">
        <v>4673</v>
      </c>
      <c r="L65" s="26">
        <v>0.48727841501564101</v>
      </c>
      <c r="M65" s="25">
        <v>4690</v>
      </c>
      <c r="N65" s="26">
        <v>0.49777117384844</v>
      </c>
      <c r="O65" s="25">
        <v>4636</v>
      </c>
      <c r="P65" s="26">
        <v>0.49806617963042499</v>
      </c>
      <c r="Q65" s="25">
        <v>4763</v>
      </c>
      <c r="R65" s="26">
        <v>0.471024525316456</v>
      </c>
      <c r="S65" s="25">
        <v>4552</v>
      </c>
      <c r="T65" s="26">
        <v>0.44561918746940798</v>
      </c>
      <c r="U65" s="25">
        <v>4309</v>
      </c>
      <c r="V65" s="26">
        <v>0.46348284392814898</v>
      </c>
    </row>
    <row r="66" spans="1:22" x14ac:dyDescent="0.3">
      <c r="A66" s="10" t="s">
        <v>354</v>
      </c>
      <c r="B66" s="10"/>
      <c r="C66" s="25">
        <v>3587</v>
      </c>
      <c r="D66" s="26">
        <v>0.34025801555682</v>
      </c>
      <c r="E66" s="25">
        <v>2836</v>
      </c>
      <c r="F66" s="26">
        <v>0.287277147487844</v>
      </c>
      <c r="G66" s="25">
        <v>2637</v>
      </c>
      <c r="H66" s="26">
        <v>0.278252611585945</v>
      </c>
      <c r="I66" s="25">
        <v>2677</v>
      </c>
      <c r="J66" s="26">
        <v>0.29034707158351403</v>
      </c>
      <c r="K66" s="25">
        <v>2757</v>
      </c>
      <c r="L66" s="26">
        <v>0.28748696558915499</v>
      </c>
      <c r="M66" s="25">
        <v>2623</v>
      </c>
      <c r="N66" s="26">
        <v>0.27839099978773102</v>
      </c>
      <c r="O66" s="25">
        <v>2565</v>
      </c>
      <c r="P66" s="26">
        <v>0.27556940266437502</v>
      </c>
      <c r="Q66" s="25">
        <v>3213</v>
      </c>
      <c r="R66" s="26">
        <v>0.317741297468354</v>
      </c>
      <c r="S66" s="25">
        <v>3047</v>
      </c>
      <c r="T66" s="26">
        <v>0.29828683308859499</v>
      </c>
      <c r="U66" s="25">
        <v>3050</v>
      </c>
      <c r="V66" s="26">
        <v>0.32806281596213799</v>
      </c>
    </row>
    <row r="67" spans="1:22" x14ac:dyDescent="0.3">
      <c r="A67" s="10" t="s">
        <v>355</v>
      </c>
      <c r="B67" s="10"/>
      <c r="C67" s="25">
        <v>1999</v>
      </c>
      <c r="D67" s="26">
        <v>0.18962246253082901</v>
      </c>
      <c r="E67" s="25">
        <v>1451</v>
      </c>
      <c r="F67" s="26">
        <v>0.14698136142625601</v>
      </c>
      <c r="G67" s="25">
        <v>1451</v>
      </c>
      <c r="H67" s="26">
        <v>0.153107523477894</v>
      </c>
      <c r="I67" s="25">
        <v>1451</v>
      </c>
      <c r="J67" s="26">
        <v>0.15737527114967501</v>
      </c>
      <c r="K67" s="25">
        <v>1451</v>
      </c>
      <c r="L67" s="26">
        <v>0.151303441084463</v>
      </c>
      <c r="M67" s="25">
        <v>1451</v>
      </c>
      <c r="N67" s="26">
        <v>0.15400127361494401</v>
      </c>
      <c r="O67" s="25">
        <v>1466</v>
      </c>
      <c r="P67" s="26">
        <v>0.15749892565535001</v>
      </c>
      <c r="Q67" s="25">
        <v>2070</v>
      </c>
      <c r="R67" s="26">
        <v>0.204707278481013</v>
      </c>
      <c r="S67" s="25">
        <v>2070</v>
      </c>
      <c r="T67" s="26">
        <v>0.20264317180616701</v>
      </c>
      <c r="U67" s="25">
        <v>2070</v>
      </c>
      <c r="V67" s="26">
        <v>0.222652468538238</v>
      </c>
    </row>
    <row r="68" spans="1:22" x14ac:dyDescent="0.3">
      <c r="A68" s="10" t="s">
        <v>356</v>
      </c>
      <c r="B68" s="10"/>
      <c r="C68" s="25">
        <v>1588</v>
      </c>
      <c r="D68" s="26">
        <v>0.15063555302599099</v>
      </c>
      <c r="E68" s="25">
        <v>1385</v>
      </c>
      <c r="F68" s="26">
        <v>0.14029578606158799</v>
      </c>
      <c r="G68" s="25">
        <v>1186</v>
      </c>
      <c r="H68" s="26">
        <v>0.125145088108051</v>
      </c>
      <c r="I68" s="25">
        <v>1226</v>
      </c>
      <c r="J68" s="26">
        <v>0.13297180043383899</v>
      </c>
      <c r="K68" s="25">
        <v>1306</v>
      </c>
      <c r="L68" s="26">
        <v>0.13618352450469201</v>
      </c>
      <c r="M68" s="25">
        <v>1172</v>
      </c>
      <c r="N68" s="26">
        <v>0.124389726172787</v>
      </c>
      <c r="O68" s="25">
        <v>1099</v>
      </c>
      <c r="P68" s="26">
        <v>0.118070477009024</v>
      </c>
      <c r="Q68" s="25">
        <v>1143</v>
      </c>
      <c r="R68" s="26">
        <v>0.113034018987342</v>
      </c>
      <c r="S68" s="25">
        <v>977</v>
      </c>
      <c r="T68" s="26">
        <v>9.5643661282427794E-2</v>
      </c>
      <c r="U68" s="25">
        <v>980</v>
      </c>
      <c r="V68" s="26">
        <v>0.1054103474239</v>
      </c>
    </row>
    <row r="69" spans="1:22" x14ac:dyDescent="0.3">
      <c r="A69" s="10" t="s">
        <v>301</v>
      </c>
      <c r="B69" s="10"/>
      <c r="C69" s="25">
        <v>1339</v>
      </c>
      <c r="D69" s="26">
        <v>0.12701574653765901</v>
      </c>
      <c r="E69" s="25">
        <v>1232</v>
      </c>
      <c r="F69" s="26">
        <v>0.124797406807131</v>
      </c>
      <c r="G69" s="25">
        <v>1403</v>
      </c>
      <c r="H69" s="26">
        <v>0.14804262952411101</v>
      </c>
      <c r="I69" s="25">
        <v>1060</v>
      </c>
      <c r="J69" s="26">
        <v>0.114967462039046</v>
      </c>
      <c r="K69" s="25">
        <v>1170</v>
      </c>
      <c r="L69" s="26">
        <v>0.12200208550573501</v>
      </c>
      <c r="M69" s="25">
        <v>1119</v>
      </c>
      <c r="N69" s="26">
        <v>0.118764593504564</v>
      </c>
      <c r="O69" s="25">
        <v>1117</v>
      </c>
      <c r="P69" s="26">
        <v>0.120004297378599</v>
      </c>
      <c r="Q69" s="25">
        <v>1146</v>
      </c>
      <c r="R69" s="26">
        <v>0.113330696202532</v>
      </c>
      <c r="S69" s="25">
        <v>946</v>
      </c>
      <c r="T69" s="26">
        <v>9.2608908467939302E-2</v>
      </c>
      <c r="U69" s="25">
        <v>908</v>
      </c>
      <c r="V69" s="26">
        <v>9.7665913735613605E-2</v>
      </c>
    </row>
    <row r="70" spans="1:22" x14ac:dyDescent="0.3">
      <c r="A70" s="10" t="s">
        <v>303</v>
      </c>
      <c r="B70" s="10"/>
      <c r="C70" s="25" t="s">
        <v>294</v>
      </c>
      <c r="D70" s="26"/>
      <c r="E70" s="25">
        <v>1147</v>
      </c>
      <c r="F70" s="26">
        <v>0.116187196110211</v>
      </c>
      <c r="G70" s="25">
        <v>887</v>
      </c>
      <c r="H70" s="26">
        <v>9.3595019520945399E-2</v>
      </c>
      <c r="I70" s="25">
        <v>887</v>
      </c>
      <c r="J70" s="26">
        <v>9.6203904555314496E-2</v>
      </c>
      <c r="K70" s="25">
        <v>887</v>
      </c>
      <c r="L70" s="26">
        <v>9.2492179353493201E-2</v>
      </c>
      <c r="M70" s="25">
        <v>887</v>
      </c>
      <c r="N70" s="26">
        <v>9.4141371258756101E-2</v>
      </c>
      <c r="O70" s="25">
        <v>887</v>
      </c>
      <c r="P70" s="26">
        <v>9.52943704340352E-2</v>
      </c>
      <c r="Q70" s="25">
        <v>887</v>
      </c>
      <c r="R70" s="26">
        <v>8.7717563291139194E-2</v>
      </c>
      <c r="S70" s="25">
        <v>1567</v>
      </c>
      <c r="T70" s="26">
        <v>0.15340186000979</v>
      </c>
      <c r="U70" s="25">
        <v>887</v>
      </c>
      <c r="V70" s="26">
        <v>9.5407120576530099E-2</v>
      </c>
    </row>
    <row r="71" spans="1:22" x14ac:dyDescent="0.3">
      <c r="A71" s="10" t="s">
        <v>302</v>
      </c>
      <c r="B71" s="10"/>
      <c r="C71" s="25">
        <v>229</v>
      </c>
      <c r="D71" s="26">
        <v>2.1722633276418098E-2</v>
      </c>
      <c r="E71" s="25">
        <v>42</v>
      </c>
      <c r="F71" s="26">
        <v>4.2544570502431097E-3</v>
      </c>
      <c r="G71" s="25">
        <v>42</v>
      </c>
      <c r="H71" s="26">
        <v>4.4317822095599896E-3</v>
      </c>
      <c r="I71" s="25">
        <v>0</v>
      </c>
      <c r="J71" s="26"/>
      <c r="K71" s="25">
        <v>103</v>
      </c>
      <c r="L71" s="26">
        <v>1.0740354535974999E-2</v>
      </c>
      <c r="M71" s="25">
        <v>103</v>
      </c>
      <c r="N71" s="26">
        <v>1.09318616005094E-2</v>
      </c>
      <c r="O71" s="25">
        <v>103</v>
      </c>
      <c r="P71" s="26">
        <v>1.10657498925655E-2</v>
      </c>
      <c r="Q71" s="25">
        <v>103</v>
      </c>
      <c r="R71" s="26">
        <v>1.0185917721519E-2</v>
      </c>
      <c r="S71" s="25">
        <v>103</v>
      </c>
      <c r="T71" s="26">
        <v>1.00832109642682E-2</v>
      </c>
      <c r="U71" s="25">
        <v>143</v>
      </c>
      <c r="V71" s="26">
        <v>1.5381305797569101E-2</v>
      </c>
    </row>
    <row r="72" spans="1:22" x14ac:dyDescent="0.3">
      <c r="A72" s="6" t="s">
        <v>149</v>
      </c>
      <c r="B72" s="6"/>
      <c r="C72" s="29">
        <v>885296</v>
      </c>
      <c r="D72" s="30">
        <v>1</v>
      </c>
      <c r="E72" s="29">
        <v>902337</v>
      </c>
      <c r="F72" s="30">
        <v>1</v>
      </c>
      <c r="G72" s="29">
        <v>877933</v>
      </c>
      <c r="H72" s="30">
        <v>1</v>
      </c>
      <c r="I72" s="29">
        <v>898764</v>
      </c>
      <c r="J72" s="30">
        <v>1</v>
      </c>
      <c r="K72" s="29">
        <v>719892</v>
      </c>
      <c r="L72" s="30">
        <v>1</v>
      </c>
      <c r="M72" s="29">
        <v>687538</v>
      </c>
      <c r="N72" s="30">
        <v>1</v>
      </c>
      <c r="O72" s="29">
        <v>740463</v>
      </c>
      <c r="P72" s="30">
        <v>1</v>
      </c>
      <c r="Q72" s="29">
        <v>795146</v>
      </c>
      <c r="R72" s="30">
        <v>1</v>
      </c>
      <c r="S72" s="29">
        <v>759708</v>
      </c>
      <c r="T72" s="30">
        <v>1</v>
      </c>
      <c r="U72" s="29">
        <v>666611</v>
      </c>
      <c r="V72" s="30">
        <v>1</v>
      </c>
    </row>
    <row r="73" spans="1:22" x14ac:dyDescent="0.3">
      <c r="A73" s="10" t="s">
        <v>354</v>
      </c>
      <c r="B73" s="10"/>
      <c r="C73" s="25">
        <v>683406</v>
      </c>
      <c r="D73" s="26">
        <v>0.77195197990276698</v>
      </c>
      <c r="E73" s="25">
        <v>706150</v>
      </c>
      <c r="F73" s="26">
        <v>0.78257901427072196</v>
      </c>
      <c r="G73" s="25">
        <v>302666</v>
      </c>
      <c r="H73" s="26">
        <v>0.34474840335196399</v>
      </c>
      <c r="I73" s="25">
        <v>321159</v>
      </c>
      <c r="J73" s="26">
        <v>0.35733407212571899</v>
      </c>
      <c r="K73" s="25">
        <v>335098</v>
      </c>
      <c r="L73" s="26">
        <v>0.46548371144560602</v>
      </c>
      <c r="M73" s="25">
        <v>318591</v>
      </c>
      <c r="N73" s="26">
        <v>0.463379478661543</v>
      </c>
      <c r="O73" s="25">
        <v>341243</v>
      </c>
      <c r="P73" s="26">
        <v>0.46085084602471699</v>
      </c>
      <c r="Q73" s="25">
        <v>366530</v>
      </c>
      <c r="R73" s="26">
        <v>0.46095937098344197</v>
      </c>
      <c r="S73" s="25">
        <v>342504</v>
      </c>
      <c r="T73" s="26">
        <v>0.45083637397526399</v>
      </c>
      <c r="U73" s="25">
        <v>316369</v>
      </c>
      <c r="V73" s="26">
        <v>0.47459312852623198</v>
      </c>
    </row>
    <row r="74" spans="1:22" x14ac:dyDescent="0.3">
      <c r="A74" s="10" t="s">
        <v>355</v>
      </c>
      <c r="B74" s="10"/>
      <c r="C74" s="25">
        <v>613532</v>
      </c>
      <c r="D74" s="26">
        <v>0.69302470586109099</v>
      </c>
      <c r="E74" s="25">
        <v>634731</v>
      </c>
      <c r="F74" s="26">
        <v>0.70343009319134597</v>
      </c>
      <c r="G74" s="25">
        <v>237858</v>
      </c>
      <c r="H74" s="26">
        <v>0.27092955840593802</v>
      </c>
      <c r="I74" s="25">
        <v>253926</v>
      </c>
      <c r="J74" s="26">
        <v>0.28252800512704102</v>
      </c>
      <c r="K74" s="25">
        <v>255428</v>
      </c>
      <c r="L74" s="26">
        <v>0.35481433326110001</v>
      </c>
      <c r="M74" s="25">
        <v>248174</v>
      </c>
      <c r="N74" s="26">
        <v>0.36096041236993398</v>
      </c>
      <c r="O74" s="25">
        <v>266174</v>
      </c>
      <c r="P74" s="26">
        <v>0.3594696831577</v>
      </c>
      <c r="Q74" s="25">
        <v>291483</v>
      </c>
      <c r="R74" s="26">
        <v>0.36657796178311902</v>
      </c>
      <c r="S74" s="25">
        <v>282741</v>
      </c>
      <c r="T74" s="26">
        <v>0.37217062345006202</v>
      </c>
      <c r="U74" s="25">
        <v>252559</v>
      </c>
      <c r="V74" s="26">
        <v>0.37887013565632699</v>
      </c>
    </row>
    <row r="75" spans="1:22" x14ac:dyDescent="0.3">
      <c r="A75" s="10" t="s">
        <v>356</v>
      </c>
      <c r="B75" s="10"/>
      <c r="C75" s="25">
        <v>69874</v>
      </c>
      <c r="D75" s="26">
        <v>7.8927274041676501E-2</v>
      </c>
      <c r="E75" s="25">
        <v>71419</v>
      </c>
      <c r="F75" s="26">
        <v>7.9148921079375004E-2</v>
      </c>
      <c r="G75" s="25">
        <v>64808</v>
      </c>
      <c r="H75" s="26">
        <v>7.3818844946026599E-2</v>
      </c>
      <c r="I75" s="25">
        <v>67233</v>
      </c>
      <c r="J75" s="26">
        <v>7.48060669986782E-2</v>
      </c>
      <c r="K75" s="25">
        <v>79670</v>
      </c>
      <c r="L75" s="26">
        <v>0.11066937818450499</v>
      </c>
      <c r="M75" s="25">
        <v>70417</v>
      </c>
      <c r="N75" s="26">
        <v>0.102419066291609</v>
      </c>
      <c r="O75" s="25">
        <v>75069</v>
      </c>
      <c r="P75" s="26">
        <v>0.101381162867017</v>
      </c>
      <c r="Q75" s="25">
        <v>75047</v>
      </c>
      <c r="R75" s="26">
        <v>9.4381409200322994E-2</v>
      </c>
      <c r="S75" s="25">
        <v>59763</v>
      </c>
      <c r="T75" s="26">
        <v>7.8665750525201805E-2</v>
      </c>
      <c r="U75" s="25">
        <v>63810</v>
      </c>
      <c r="V75" s="26">
        <v>9.57229928699046E-2</v>
      </c>
    </row>
    <row r="76" spans="1:22" x14ac:dyDescent="0.3">
      <c r="A76" s="10" t="s">
        <v>298</v>
      </c>
      <c r="B76" s="10"/>
      <c r="C76" s="25">
        <v>119717</v>
      </c>
      <c r="D76" s="26">
        <v>0.135228217454953</v>
      </c>
      <c r="E76" s="25">
        <v>116915</v>
      </c>
      <c r="F76" s="26">
        <v>0.12956910777237299</v>
      </c>
      <c r="G76" s="25">
        <v>113895</v>
      </c>
      <c r="H76" s="26">
        <v>0.129730856454878</v>
      </c>
      <c r="I76" s="25">
        <v>120656</v>
      </c>
      <c r="J76" s="26">
        <v>0.13424658753577101</v>
      </c>
      <c r="K76" s="25">
        <v>136928</v>
      </c>
      <c r="L76" s="26">
        <v>0.190206308724086</v>
      </c>
      <c r="M76" s="25">
        <v>146278</v>
      </c>
      <c r="N76" s="26">
        <v>0.21275624038235</v>
      </c>
      <c r="O76" s="25">
        <v>161018</v>
      </c>
      <c r="P76" s="26">
        <v>0.21745583506535801</v>
      </c>
      <c r="Q76" s="25">
        <v>173884</v>
      </c>
      <c r="R76" s="26">
        <v>0.21868185213784599</v>
      </c>
      <c r="S76" s="25">
        <v>169291</v>
      </c>
      <c r="T76" s="26">
        <v>0.222836932084432</v>
      </c>
      <c r="U76" s="25">
        <v>150134</v>
      </c>
      <c r="V76" s="26">
        <v>0.22521980585378901</v>
      </c>
    </row>
    <row r="77" spans="1:22" x14ac:dyDescent="0.3">
      <c r="A77" s="10" t="s">
        <v>303</v>
      </c>
      <c r="B77" s="10"/>
      <c r="C77" s="25" t="s">
        <v>294</v>
      </c>
      <c r="D77" s="26"/>
      <c r="E77" s="25" t="s">
        <v>294</v>
      </c>
      <c r="F77" s="26"/>
      <c r="G77" s="25">
        <v>414469</v>
      </c>
      <c r="H77" s="26">
        <v>0.47209639004343201</v>
      </c>
      <c r="I77" s="25">
        <v>183832</v>
      </c>
      <c r="J77" s="26">
        <v>0.204538677561629</v>
      </c>
      <c r="K77" s="25">
        <v>183160</v>
      </c>
      <c r="L77" s="26">
        <v>0.25442705294683099</v>
      </c>
      <c r="M77" s="25">
        <v>166872</v>
      </c>
      <c r="N77" s="26">
        <v>0.24270949387524801</v>
      </c>
      <c r="O77" s="25">
        <v>175199</v>
      </c>
      <c r="P77" s="26">
        <v>0.236607365931856</v>
      </c>
      <c r="Q77" s="25">
        <v>184566</v>
      </c>
      <c r="R77" s="26">
        <v>0.23211586299874501</v>
      </c>
      <c r="S77" s="25">
        <v>179551</v>
      </c>
      <c r="T77" s="26">
        <v>0.23634212092014301</v>
      </c>
      <c r="U77" s="25">
        <v>149739</v>
      </c>
      <c r="V77" s="26">
        <v>0.224627256375907</v>
      </c>
    </row>
    <row r="78" spans="1:22" x14ac:dyDescent="0.3">
      <c r="A78" s="10" t="s">
        <v>302</v>
      </c>
      <c r="B78" s="10"/>
      <c r="C78" s="25">
        <v>48791</v>
      </c>
      <c r="D78" s="26">
        <v>5.5112640292060498E-2</v>
      </c>
      <c r="E78" s="25">
        <v>51574</v>
      </c>
      <c r="F78" s="26">
        <v>5.7156029288392203E-2</v>
      </c>
      <c r="G78" s="25">
        <v>20136</v>
      </c>
      <c r="H78" s="26">
        <v>2.2935690992365001E-2</v>
      </c>
      <c r="I78" s="25">
        <v>247521</v>
      </c>
      <c r="J78" s="26">
        <v>0.27540155146401102</v>
      </c>
      <c r="K78" s="25">
        <v>34206</v>
      </c>
      <c r="L78" s="26">
        <v>4.7515460652431202E-2</v>
      </c>
      <c r="M78" s="25">
        <v>27968</v>
      </c>
      <c r="N78" s="26">
        <v>4.0678478862259303E-2</v>
      </c>
      <c r="O78" s="25">
        <v>35722</v>
      </c>
      <c r="P78" s="26">
        <v>4.8242788633598203E-2</v>
      </c>
      <c r="Q78" s="25">
        <v>41794</v>
      </c>
      <c r="R78" s="26">
        <v>5.2561416393970398E-2</v>
      </c>
      <c r="S78" s="25">
        <v>41324</v>
      </c>
      <c r="T78" s="26">
        <v>5.4394583181959402E-2</v>
      </c>
      <c r="U78" s="25">
        <v>33604</v>
      </c>
      <c r="V78" s="26">
        <v>5.0410209252472603E-2</v>
      </c>
    </row>
    <row r="79" spans="1:22" x14ac:dyDescent="0.3">
      <c r="A79" s="10" t="s">
        <v>301</v>
      </c>
      <c r="B79" s="10"/>
      <c r="C79" s="25">
        <v>33382</v>
      </c>
      <c r="D79" s="26">
        <v>3.7707162350219599E-2</v>
      </c>
      <c r="E79" s="25">
        <v>27698</v>
      </c>
      <c r="F79" s="26">
        <v>3.0695848668513E-2</v>
      </c>
      <c r="G79" s="25">
        <v>26767</v>
      </c>
      <c r="H79" s="26">
        <v>3.0488659157361701E-2</v>
      </c>
      <c r="I79" s="25">
        <v>25596</v>
      </c>
      <c r="J79" s="26">
        <v>2.84791113128697E-2</v>
      </c>
      <c r="K79" s="25">
        <v>30500</v>
      </c>
      <c r="L79" s="26">
        <v>4.23674662310458E-2</v>
      </c>
      <c r="M79" s="25">
        <v>27829</v>
      </c>
      <c r="N79" s="26">
        <v>4.04763082186003E-2</v>
      </c>
      <c r="O79" s="25">
        <v>27281</v>
      </c>
      <c r="P79" s="26">
        <v>3.6843164344470998E-2</v>
      </c>
      <c r="Q79" s="25">
        <v>28372</v>
      </c>
      <c r="R79" s="26">
        <v>3.5681497485996298E-2</v>
      </c>
      <c r="S79" s="25">
        <v>27038</v>
      </c>
      <c r="T79" s="26">
        <v>3.5589989838200997E-2</v>
      </c>
      <c r="U79" s="25">
        <v>16765</v>
      </c>
      <c r="V79" s="26">
        <v>2.5149599991599301E-2</v>
      </c>
    </row>
    <row r="80" spans="1:22" x14ac:dyDescent="0.3">
      <c r="A80" s="6" t="s">
        <v>345</v>
      </c>
      <c r="B80" s="6"/>
      <c r="C80" s="29">
        <v>37674</v>
      </c>
      <c r="D80" s="30">
        <v>1</v>
      </c>
      <c r="E80" s="29">
        <v>39022</v>
      </c>
      <c r="F80" s="30">
        <v>1</v>
      </c>
      <c r="G80" s="29">
        <v>36403</v>
      </c>
      <c r="H80" s="30">
        <v>1</v>
      </c>
      <c r="I80" s="29">
        <v>37202</v>
      </c>
      <c r="J80" s="30">
        <v>1</v>
      </c>
      <c r="K80" s="29">
        <v>38992</v>
      </c>
      <c r="L80" s="30">
        <v>1</v>
      </c>
      <c r="M80" s="29">
        <v>43840</v>
      </c>
      <c r="N80" s="30">
        <v>1</v>
      </c>
      <c r="O80" s="29">
        <v>42235</v>
      </c>
      <c r="P80" s="30">
        <v>1</v>
      </c>
      <c r="Q80" s="29">
        <v>42034</v>
      </c>
      <c r="R80" s="30">
        <v>1</v>
      </c>
      <c r="S80" s="29">
        <v>42009</v>
      </c>
      <c r="T80" s="30">
        <v>1</v>
      </c>
      <c r="U80" s="29">
        <v>49356</v>
      </c>
      <c r="V80" s="30">
        <v>1</v>
      </c>
    </row>
    <row r="81" spans="1:22" x14ac:dyDescent="0.3">
      <c r="A81" s="10" t="s">
        <v>354</v>
      </c>
      <c r="B81" s="10"/>
      <c r="C81" s="25">
        <v>27415</v>
      </c>
      <c r="D81" s="26">
        <v>0.727690184211923</v>
      </c>
      <c r="E81" s="25">
        <v>29066</v>
      </c>
      <c r="F81" s="26">
        <v>0.74486187278970895</v>
      </c>
      <c r="G81" s="25">
        <v>23442</v>
      </c>
      <c r="H81" s="26">
        <v>0.64395791555641002</v>
      </c>
      <c r="I81" s="25">
        <v>24030</v>
      </c>
      <c r="J81" s="26">
        <v>0.64593301435406703</v>
      </c>
      <c r="K81" s="25">
        <v>26325</v>
      </c>
      <c r="L81" s="26">
        <v>0.67513848994665604</v>
      </c>
      <c r="M81" s="25">
        <v>30946</v>
      </c>
      <c r="N81" s="26">
        <v>0.70588503649635004</v>
      </c>
      <c r="O81" s="25">
        <v>29524</v>
      </c>
      <c r="P81" s="26">
        <v>0.69904107967325702</v>
      </c>
      <c r="Q81" s="25">
        <v>29530</v>
      </c>
      <c r="R81" s="26">
        <v>0.70252652614550104</v>
      </c>
      <c r="S81" s="25">
        <v>28967</v>
      </c>
      <c r="T81" s="26">
        <v>0.68954271703682501</v>
      </c>
      <c r="U81" s="25">
        <v>38774</v>
      </c>
      <c r="V81" s="26">
        <v>0.78559850879325699</v>
      </c>
    </row>
    <row r="82" spans="1:22" x14ac:dyDescent="0.3">
      <c r="A82" s="10" t="s">
        <v>355</v>
      </c>
      <c r="B82" s="10"/>
      <c r="C82" s="25">
        <v>24545</v>
      </c>
      <c r="D82" s="26">
        <v>0.65151032542336895</v>
      </c>
      <c r="E82" s="25">
        <v>26027</v>
      </c>
      <c r="F82" s="26">
        <v>0.66698272769207101</v>
      </c>
      <c r="G82" s="25">
        <v>20861</v>
      </c>
      <c r="H82" s="26">
        <v>0.57305716561821796</v>
      </c>
      <c r="I82" s="25">
        <v>21501</v>
      </c>
      <c r="J82" s="26">
        <v>0.57795279823665402</v>
      </c>
      <c r="K82" s="25">
        <v>23632</v>
      </c>
      <c r="L82" s="26">
        <v>0.60607304062371803</v>
      </c>
      <c r="M82" s="25">
        <v>28186</v>
      </c>
      <c r="N82" s="26">
        <v>0.64292883211678797</v>
      </c>
      <c r="O82" s="25">
        <v>26801</v>
      </c>
      <c r="P82" s="26">
        <v>0.63456848585296599</v>
      </c>
      <c r="Q82" s="25">
        <v>27265</v>
      </c>
      <c r="R82" s="26">
        <v>0.64864157586715498</v>
      </c>
      <c r="S82" s="25">
        <v>26358</v>
      </c>
      <c r="T82" s="26">
        <v>0.62743697779047303</v>
      </c>
      <c r="U82" s="25">
        <v>35548</v>
      </c>
      <c r="V82" s="26">
        <v>0.72023664802658205</v>
      </c>
    </row>
    <row r="83" spans="1:22" x14ac:dyDescent="0.3">
      <c r="A83" s="10" t="s">
        <v>356</v>
      </c>
      <c r="B83" s="10"/>
      <c r="C83" s="25">
        <v>2870</v>
      </c>
      <c r="D83" s="26">
        <v>7.6179858788554405E-2</v>
      </c>
      <c r="E83" s="25">
        <v>3039</v>
      </c>
      <c r="F83" s="26">
        <v>7.7879145097637201E-2</v>
      </c>
      <c r="G83" s="25">
        <v>2581</v>
      </c>
      <c r="H83" s="26">
        <v>7.0900749938191898E-2</v>
      </c>
      <c r="I83" s="25">
        <v>2529</v>
      </c>
      <c r="J83" s="26">
        <v>6.7980216117413006E-2</v>
      </c>
      <c r="K83" s="25">
        <v>2693</v>
      </c>
      <c r="L83" s="26">
        <v>6.9065449322937997E-2</v>
      </c>
      <c r="M83" s="25">
        <v>2760</v>
      </c>
      <c r="N83" s="26">
        <v>6.2956204379562106E-2</v>
      </c>
      <c r="O83" s="25">
        <v>2723</v>
      </c>
      <c r="P83" s="26">
        <v>6.4472593820291205E-2</v>
      </c>
      <c r="Q83" s="25">
        <v>2265</v>
      </c>
      <c r="R83" s="26">
        <v>5.3884950278346097E-2</v>
      </c>
      <c r="S83" s="25">
        <v>2609</v>
      </c>
      <c r="T83" s="26">
        <v>6.2105739246352001E-2</v>
      </c>
      <c r="U83" s="25">
        <v>3226</v>
      </c>
      <c r="V83" s="26">
        <v>6.5361860766674801E-2</v>
      </c>
    </row>
    <row r="84" spans="1:22" x14ac:dyDescent="0.3">
      <c r="A84" s="10" t="s">
        <v>298</v>
      </c>
      <c r="B84" s="10"/>
      <c r="C84" s="25">
        <v>7801</v>
      </c>
      <c r="D84" s="26">
        <v>0.20706588097892401</v>
      </c>
      <c r="E84" s="25">
        <v>7566</v>
      </c>
      <c r="F84" s="26">
        <v>0.19389062580083</v>
      </c>
      <c r="G84" s="25">
        <v>6937</v>
      </c>
      <c r="H84" s="26">
        <v>0.190561217482076</v>
      </c>
      <c r="I84" s="25">
        <v>6902</v>
      </c>
      <c r="J84" s="26">
        <v>0.18552765980323599</v>
      </c>
      <c r="K84" s="25">
        <v>6755</v>
      </c>
      <c r="L84" s="26">
        <v>0.17324066475174399</v>
      </c>
      <c r="M84" s="25">
        <v>6766</v>
      </c>
      <c r="N84" s="26">
        <v>0.15433394160583899</v>
      </c>
      <c r="O84" s="25">
        <v>6632</v>
      </c>
      <c r="P84" s="26">
        <v>0.157026163134841</v>
      </c>
      <c r="Q84" s="25">
        <v>6571</v>
      </c>
      <c r="R84" s="26">
        <v>0.156325831469763</v>
      </c>
      <c r="S84" s="25">
        <v>6421</v>
      </c>
      <c r="T84" s="26">
        <v>0.15284819919541101</v>
      </c>
      <c r="U84" s="25">
        <v>5568</v>
      </c>
      <c r="V84" s="26">
        <v>0.112813031850231</v>
      </c>
    </row>
    <row r="85" spans="1:22" x14ac:dyDescent="0.3">
      <c r="A85" s="10" t="s">
        <v>303</v>
      </c>
      <c r="B85" s="10"/>
      <c r="C85" s="25">
        <v>91</v>
      </c>
      <c r="D85" s="26">
        <v>2.4154589371980701E-3</v>
      </c>
      <c r="E85" s="25" t="s">
        <v>294</v>
      </c>
      <c r="F85" s="26"/>
      <c r="G85" s="25">
        <v>4080</v>
      </c>
      <c r="H85" s="26">
        <v>0.11207867483449201</v>
      </c>
      <c r="I85" s="25">
        <v>4203</v>
      </c>
      <c r="J85" s="26">
        <v>0.11297779689264</v>
      </c>
      <c r="K85" s="25">
        <v>3797</v>
      </c>
      <c r="L85" s="26">
        <v>9.73789495281083E-2</v>
      </c>
      <c r="M85" s="25">
        <v>3879</v>
      </c>
      <c r="N85" s="26">
        <v>8.8480839416058402E-2</v>
      </c>
      <c r="O85" s="25">
        <v>3819</v>
      </c>
      <c r="P85" s="26">
        <v>9.0422635255120204E-2</v>
      </c>
      <c r="Q85" s="25">
        <v>3652</v>
      </c>
      <c r="R85" s="26">
        <v>8.6882047866013196E-2</v>
      </c>
      <c r="S85" s="25">
        <v>982</v>
      </c>
      <c r="T85" s="26">
        <v>2.3375943250255899E-2</v>
      </c>
      <c r="U85" s="25">
        <v>3066</v>
      </c>
      <c r="V85" s="26">
        <v>6.2120106977874998E-2</v>
      </c>
    </row>
    <row r="86" spans="1:22" x14ac:dyDescent="0.3">
      <c r="A86" s="10" t="s">
        <v>301</v>
      </c>
      <c r="B86" s="10"/>
      <c r="C86" s="25">
        <v>2297</v>
      </c>
      <c r="D86" s="26">
        <v>6.09704305356479E-2</v>
      </c>
      <c r="E86" s="25">
        <v>2309</v>
      </c>
      <c r="F86" s="26">
        <v>5.9171749269642797E-2</v>
      </c>
      <c r="G86" s="25">
        <v>2036</v>
      </c>
      <c r="H86" s="26">
        <v>5.59294563634865E-2</v>
      </c>
      <c r="I86" s="25">
        <v>2027</v>
      </c>
      <c r="J86" s="26">
        <v>5.4486317939895702E-2</v>
      </c>
      <c r="K86" s="25">
        <v>2061</v>
      </c>
      <c r="L86" s="26">
        <v>5.28569963069348E-2</v>
      </c>
      <c r="M86" s="25">
        <v>2131</v>
      </c>
      <c r="N86" s="26">
        <v>4.8608576642335803E-2</v>
      </c>
      <c r="O86" s="25">
        <v>2177</v>
      </c>
      <c r="P86" s="26">
        <v>5.1544927193086301E-2</v>
      </c>
      <c r="Q86" s="25">
        <v>2259</v>
      </c>
      <c r="R86" s="26">
        <v>5.3742208688204798E-2</v>
      </c>
      <c r="S86" s="25">
        <v>2271</v>
      </c>
      <c r="T86" s="26">
        <v>5.4059844319074499E-2</v>
      </c>
      <c r="U86" s="25">
        <v>1964</v>
      </c>
      <c r="V86" s="26">
        <v>3.97925277575168E-2</v>
      </c>
    </row>
    <row r="87" spans="1:22" x14ac:dyDescent="0.3">
      <c r="A87" s="10" t="s">
        <v>302</v>
      </c>
      <c r="B87" s="10"/>
      <c r="C87" s="25">
        <v>70</v>
      </c>
      <c r="D87" s="26">
        <v>1.8580453363062101E-3</v>
      </c>
      <c r="E87" s="25">
        <v>81</v>
      </c>
      <c r="F87" s="26">
        <v>2.0757521398185601E-3</v>
      </c>
      <c r="G87" s="25">
        <v>-92</v>
      </c>
      <c r="H87" s="26">
        <v>-2.5272642364640302E-3</v>
      </c>
      <c r="I87" s="25">
        <v>40</v>
      </c>
      <c r="J87" s="26">
        <v>1.07521101016074E-3</v>
      </c>
      <c r="K87" s="25">
        <v>54</v>
      </c>
      <c r="L87" s="26">
        <v>1.3848994665572401E-3</v>
      </c>
      <c r="M87" s="25">
        <v>118</v>
      </c>
      <c r="N87" s="26">
        <v>2.6916058394160598E-3</v>
      </c>
      <c r="O87" s="25">
        <v>83</v>
      </c>
      <c r="P87" s="26">
        <v>1.9651947436959902E-3</v>
      </c>
      <c r="Q87" s="25">
        <v>22</v>
      </c>
      <c r="R87" s="26">
        <v>5.2338583051815199E-4</v>
      </c>
      <c r="S87" s="25">
        <v>3368</v>
      </c>
      <c r="T87" s="26">
        <v>8.0173296198433705E-2</v>
      </c>
      <c r="U87" s="25">
        <v>-16</v>
      </c>
      <c r="V87" s="26">
        <v>-3.24175378879974E-4</v>
      </c>
    </row>
    <row r="88" spans="1:22" x14ac:dyDescent="0.3">
      <c r="A88" s="6" t="s">
        <v>346</v>
      </c>
      <c r="B88" s="6"/>
      <c r="C88" s="29">
        <v>46286</v>
      </c>
      <c r="D88" s="30">
        <v>1</v>
      </c>
      <c r="E88" s="29">
        <v>46045</v>
      </c>
      <c r="F88" s="30">
        <v>1</v>
      </c>
      <c r="G88" s="29">
        <v>39559</v>
      </c>
      <c r="H88" s="30">
        <v>1</v>
      </c>
      <c r="I88" s="29">
        <v>33752</v>
      </c>
      <c r="J88" s="30">
        <v>1</v>
      </c>
      <c r="K88" s="29">
        <v>43920</v>
      </c>
      <c r="L88" s="30">
        <v>1</v>
      </c>
      <c r="M88" s="29">
        <v>46669</v>
      </c>
      <c r="N88" s="30">
        <v>1</v>
      </c>
      <c r="O88" s="29">
        <v>47925</v>
      </c>
      <c r="P88" s="30">
        <v>1</v>
      </c>
      <c r="Q88" s="29">
        <v>46675</v>
      </c>
      <c r="R88" s="30">
        <v>1</v>
      </c>
      <c r="S88" s="29">
        <v>43651</v>
      </c>
      <c r="T88" s="30">
        <v>1</v>
      </c>
      <c r="U88" s="29">
        <v>51366</v>
      </c>
      <c r="V88" s="30">
        <v>1</v>
      </c>
    </row>
    <row r="89" spans="1:22" x14ac:dyDescent="0.3">
      <c r="A89" s="10" t="s">
        <v>354</v>
      </c>
      <c r="B89" s="10"/>
      <c r="C89" s="25">
        <v>30922</v>
      </c>
      <c r="D89" s="26">
        <v>0.66806377738408995</v>
      </c>
      <c r="E89" s="25">
        <v>32640</v>
      </c>
      <c r="F89" s="26">
        <v>0.70887175589097595</v>
      </c>
      <c r="G89" s="25">
        <v>23307</v>
      </c>
      <c r="H89" s="26">
        <v>0.58917060593038295</v>
      </c>
      <c r="I89" s="25">
        <v>24034</v>
      </c>
      <c r="J89" s="26">
        <v>0.712076321403176</v>
      </c>
      <c r="K89" s="25">
        <v>26162</v>
      </c>
      <c r="L89" s="26">
        <v>0.59567395264116596</v>
      </c>
      <c r="M89" s="25">
        <v>30367</v>
      </c>
      <c r="N89" s="26">
        <v>0.65068889412672204</v>
      </c>
      <c r="O89" s="25">
        <v>28788</v>
      </c>
      <c r="P89" s="26">
        <v>0.60068857589984304</v>
      </c>
      <c r="Q89" s="25">
        <v>28715</v>
      </c>
      <c r="R89" s="26">
        <v>0.61521156936261401</v>
      </c>
      <c r="S89" s="25">
        <v>31100</v>
      </c>
      <c r="T89" s="26">
        <v>0.71246935923575605</v>
      </c>
      <c r="U89" s="25">
        <v>39574</v>
      </c>
      <c r="V89" s="26">
        <v>0.77043180313826298</v>
      </c>
    </row>
    <row r="90" spans="1:22" x14ac:dyDescent="0.3">
      <c r="A90" s="10" t="s">
        <v>355</v>
      </c>
      <c r="B90" s="10"/>
      <c r="C90" s="25">
        <v>28435</v>
      </c>
      <c r="D90" s="26">
        <v>0.61433262757637297</v>
      </c>
      <c r="E90" s="25">
        <v>29854</v>
      </c>
      <c r="F90" s="26">
        <v>0.64836572917797797</v>
      </c>
      <c r="G90" s="25">
        <v>20899</v>
      </c>
      <c r="H90" s="26">
        <v>0.52829950200965603</v>
      </c>
      <c r="I90" s="25">
        <v>21591</v>
      </c>
      <c r="J90" s="26">
        <v>0.63969542545626901</v>
      </c>
      <c r="K90" s="25">
        <v>23627</v>
      </c>
      <c r="L90" s="26">
        <v>0.53795537340619304</v>
      </c>
      <c r="M90" s="25">
        <v>27765</v>
      </c>
      <c r="N90" s="26">
        <v>0.59493453898733595</v>
      </c>
      <c r="O90" s="25">
        <v>26165</v>
      </c>
      <c r="P90" s="26">
        <v>0.54595722483046405</v>
      </c>
      <c r="Q90" s="25">
        <v>26309</v>
      </c>
      <c r="R90" s="26">
        <v>0.56366363149437604</v>
      </c>
      <c r="S90" s="25">
        <v>27957</v>
      </c>
      <c r="T90" s="26">
        <v>0.64046642688598199</v>
      </c>
      <c r="U90" s="25">
        <v>36273</v>
      </c>
      <c r="V90" s="26">
        <v>0.70616750379628501</v>
      </c>
    </row>
    <row r="91" spans="1:22" x14ac:dyDescent="0.3">
      <c r="A91" s="10" t="s">
        <v>356</v>
      </c>
      <c r="B91" s="10"/>
      <c r="C91" s="25">
        <v>2487</v>
      </c>
      <c r="D91" s="26">
        <v>5.3731149807717198E-2</v>
      </c>
      <c r="E91" s="25">
        <v>2786</v>
      </c>
      <c r="F91" s="26">
        <v>6.05060267129982E-2</v>
      </c>
      <c r="G91" s="25">
        <v>2408</v>
      </c>
      <c r="H91" s="26">
        <v>6.0871103920725998E-2</v>
      </c>
      <c r="I91" s="25">
        <v>2443</v>
      </c>
      <c r="J91" s="26">
        <v>7.2380895946906804E-2</v>
      </c>
      <c r="K91" s="25">
        <v>2535</v>
      </c>
      <c r="L91" s="26">
        <v>5.77185792349727E-2</v>
      </c>
      <c r="M91" s="25">
        <v>2602</v>
      </c>
      <c r="N91" s="26">
        <v>5.5754355139385897E-2</v>
      </c>
      <c r="O91" s="25">
        <v>2623</v>
      </c>
      <c r="P91" s="26">
        <v>5.4731351069379201E-2</v>
      </c>
      <c r="Q91" s="25">
        <v>2406</v>
      </c>
      <c r="R91" s="26">
        <v>5.1547937868237803E-2</v>
      </c>
      <c r="S91" s="25">
        <v>3143</v>
      </c>
      <c r="T91" s="26">
        <v>7.2002932349774298E-2</v>
      </c>
      <c r="U91" s="25">
        <v>3301</v>
      </c>
      <c r="V91" s="26">
        <v>6.4264299341977194E-2</v>
      </c>
    </row>
    <row r="92" spans="1:22" x14ac:dyDescent="0.3">
      <c r="A92" s="10" t="s">
        <v>303</v>
      </c>
      <c r="B92" s="10"/>
      <c r="C92" s="25">
        <v>8540</v>
      </c>
      <c r="D92" s="26">
        <v>0.18450503391954401</v>
      </c>
      <c r="E92" s="25">
        <v>6567</v>
      </c>
      <c r="F92" s="26">
        <v>0.142621348680638</v>
      </c>
      <c r="G92" s="25">
        <v>7053</v>
      </c>
      <c r="H92" s="26">
        <v>0.17829065446548201</v>
      </c>
      <c r="I92" s="25">
        <v>3399</v>
      </c>
      <c r="J92" s="26">
        <v>0.10070514339891</v>
      </c>
      <c r="K92" s="25">
        <v>7204</v>
      </c>
      <c r="L92" s="26">
        <v>0.164025500910747</v>
      </c>
      <c r="M92" s="25">
        <v>9769</v>
      </c>
      <c r="N92" s="26">
        <v>0.20932524802331301</v>
      </c>
      <c r="O92" s="25">
        <v>12703</v>
      </c>
      <c r="P92" s="26">
        <v>0.26505998956703197</v>
      </c>
      <c r="Q92" s="25">
        <v>11554</v>
      </c>
      <c r="R92" s="26">
        <v>0.24754151044456299</v>
      </c>
      <c r="S92" s="25">
        <v>6268</v>
      </c>
      <c r="T92" s="26">
        <v>0.14359350301253099</v>
      </c>
      <c r="U92" s="25">
        <v>6056</v>
      </c>
      <c r="V92" s="26">
        <v>0.117898999338084</v>
      </c>
    </row>
    <row r="93" spans="1:22" x14ac:dyDescent="0.3">
      <c r="A93" s="10" t="s">
        <v>298</v>
      </c>
      <c r="B93" s="10"/>
      <c r="C93" s="25">
        <v>5755</v>
      </c>
      <c r="D93" s="26">
        <v>0.12433565224906</v>
      </c>
      <c r="E93" s="25">
        <v>5724</v>
      </c>
      <c r="F93" s="26">
        <v>0.124313171897057</v>
      </c>
      <c r="G93" s="25">
        <v>5266</v>
      </c>
      <c r="H93" s="26">
        <v>0.13311762178012601</v>
      </c>
      <c r="I93" s="25">
        <v>5211</v>
      </c>
      <c r="J93" s="26">
        <v>0.15439085091253901</v>
      </c>
      <c r="K93" s="25">
        <v>5075</v>
      </c>
      <c r="L93" s="26">
        <v>0.115551001821494</v>
      </c>
      <c r="M93" s="25">
        <v>5326</v>
      </c>
      <c r="N93" s="26">
        <v>0.114122865285307</v>
      </c>
      <c r="O93" s="25">
        <v>5185</v>
      </c>
      <c r="P93" s="26">
        <v>0.10818988002086601</v>
      </c>
      <c r="Q93" s="25">
        <v>5213</v>
      </c>
      <c r="R93" s="26">
        <v>0.111687198714515</v>
      </c>
      <c r="S93" s="25">
        <v>5008</v>
      </c>
      <c r="T93" s="26">
        <v>0.114728184921308</v>
      </c>
      <c r="U93" s="25">
        <v>4752</v>
      </c>
      <c r="V93" s="26">
        <v>9.2512556944282204E-2</v>
      </c>
    </row>
    <row r="94" spans="1:22" x14ac:dyDescent="0.3">
      <c r="A94" s="10" t="s">
        <v>301</v>
      </c>
      <c r="B94" s="10"/>
      <c r="C94" s="25">
        <v>1039</v>
      </c>
      <c r="D94" s="26">
        <v>2.2447392300047501E-2</v>
      </c>
      <c r="E94" s="25">
        <v>1053</v>
      </c>
      <c r="F94" s="26">
        <v>2.28689325659681E-2</v>
      </c>
      <c r="G94" s="25">
        <v>4047</v>
      </c>
      <c r="H94" s="26">
        <v>0.10230288935513999</v>
      </c>
      <c r="I94" s="25">
        <v>1067</v>
      </c>
      <c r="J94" s="26">
        <v>3.1612941455321203E-2</v>
      </c>
      <c r="K94" s="25">
        <v>5453</v>
      </c>
      <c r="L94" s="26">
        <v>0.124157559198543</v>
      </c>
      <c r="M94" s="25">
        <v>1127</v>
      </c>
      <c r="N94" s="26">
        <v>2.4148792560372001E-2</v>
      </c>
      <c r="O94" s="25">
        <v>1176</v>
      </c>
      <c r="P94" s="26">
        <v>2.4538341158059501E-2</v>
      </c>
      <c r="Q94" s="25">
        <v>1196</v>
      </c>
      <c r="R94" s="26">
        <v>2.5623995715050901E-2</v>
      </c>
      <c r="S94" s="25">
        <v>1241</v>
      </c>
      <c r="T94" s="26">
        <v>2.8430047421593999E-2</v>
      </c>
      <c r="U94" s="25">
        <v>990</v>
      </c>
      <c r="V94" s="26">
        <v>1.9273449363392099E-2</v>
      </c>
    </row>
    <row r="95" spans="1:22" x14ac:dyDescent="0.3">
      <c r="A95" s="10" t="s">
        <v>302</v>
      </c>
      <c r="B95" s="10"/>
      <c r="C95" s="25">
        <v>30</v>
      </c>
      <c r="D95" s="26">
        <v>6.4814414725834996E-4</v>
      </c>
      <c r="E95" s="25">
        <v>61</v>
      </c>
      <c r="F95" s="26">
        <v>1.3247909653599701E-3</v>
      </c>
      <c r="G95" s="25">
        <v>-114</v>
      </c>
      <c r="H95" s="26">
        <v>-2.8817715311307201E-3</v>
      </c>
      <c r="I95" s="25">
        <v>41</v>
      </c>
      <c r="J95" s="26">
        <v>1.2147428300545199E-3</v>
      </c>
      <c r="K95" s="25">
        <v>26</v>
      </c>
      <c r="L95" s="26">
        <v>5.9198542805100204E-4</v>
      </c>
      <c r="M95" s="25">
        <v>80</v>
      </c>
      <c r="N95" s="26">
        <v>1.7142000042855E-3</v>
      </c>
      <c r="O95" s="25">
        <v>73</v>
      </c>
      <c r="P95" s="26">
        <v>1.52321335419927E-3</v>
      </c>
      <c r="Q95" s="25">
        <v>-3</v>
      </c>
      <c r="R95" s="26">
        <v>-6.4274236743438697E-5</v>
      </c>
      <c r="S95" s="25">
        <v>34</v>
      </c>
      <c r="T95" s="26">
        <v>7.7890540881079499E-4</v>
      </c>
      <c r="U95" s="25">
        <v>-6</v>
      </c>
      <c r="V95" s="26">
        <v>-1.16808784020558E-4</v>
      </c>
    </row>
    <row r="96" spans="1:22" x14ac:dyDescent="0.3">
      <c r="A96" s="6" t="s">
        <v>349</v>
      </c>
      <c r="B96" s="6"/>
      <c r="C96" s="29">
        <v>2547</v>
      </c>
      <c r="D96" s="30">
        <v>1</v>
      </c>
      <c r="E96" s="29">
        <v>3046</v>
      </c>
      <c r="F96" s="30">
        <v>1</v>
      </c>
      <c r="G96" s="29">
        <v>3715</v>
      </c>
      <c r="H96" s="30">
        <v>1</v>
      </c>
      <c r="I96" s="29">
        <v>4507</v>
      </c>
      <c r="J96" s="30">
        <v>1</v>
      </c>
      <c r="K96" s="29">
        <v>1241</v>
      </c>
      <c r="L96" s="30">
        <v>1</v>
      </c>
      <c r="M96" s="29">
        <v>1322</v>
      </c>
      <c r="N96" s="30">
        <v>1</v>
      </c>
      <c r="O96" s="29">
        <v>1271</v>
      </c>
      <c r="P96" s="30">
        <v>1</v>
      </c>
      <c r="Q96" s="29">
        <v>1661</v>
      </c>
      <c r="R96" s="30">
        <v>1</v>
      </c>
      <c r="S96" s="29">
        <v>1822</v>
      </c>
      <c r="T96" s="30">
        <v>1</v>
      </c>
      <c r="U96" s="29">
        <v>1820</v>
      </c>
      <c r="V96" s="30">
        <v>1</v>
      </c>
    </row>
    <row r="97" spans="1:22" x14ac:dyDescent="0.3">
      <c r="A97" s="10" t="s">
        <v>299</v>
      </c>
      <c r="B97" s="10"/>
      <c r="C97" s="25" t="s">
        <v>294</v>
      </c>
      <c r="D97" s="26"/>
      <c r="E97" s="25" t="s">
        <v>294</v>
      </c>
      <c r="F97" s="26"/>
      <c r="G97" s="25">
        <v>742</v>
      </c>
      <c r="H97" s="26">
        <v>0.19973082099596201</v>
      </c>
      <c r="I97" s="25">
        <v>889</v>
      </c>
      <c r="J97" s="26">
        <v>0.19724872420678899</v>
      </c>
      <c r="K97" s="25">
        <v>1068</v>
      </c>
      <c r="L97" s="26">
        <v>0.86059629331184495</v>
      </c>
      <c r="M97" s="25">
        <v>1161</v>
      </c>
      <c r="N97" s="26">
        <v>0.87821482602117995</v>
      </c>
      <c r="O97" s="25">
        <v>1216</v>
      </c>
      <c r="P97" s="26">
        <v>0.95672698662470501</v>
      </c>
      <c r="Q97" s="25">
        <v>1583</v>
      </c>
      <c r="R97" s="26">
        <v>0.95304033714629699</v>
      </c>
      <c r="S97" s="25">
        <v>1764</v>
      </c>
      <c r="T97" s="26">
        <v>0.96816684961580701</v>
      </c>
      <c r="U97" s="25">
        <v>1772</v>
      </c>
      <c r="V97" s="26">
        <v>0.97362637362637405</v>
      </c>
    </row>
    <row r="98" spans="1:22" x14ac:dyDescent="0.3">
      <c r="A98" s="10" t="s">
        <v>366</v>
      </c>
      <c r="B98" s="10"/>
      <c r="C98" s="25" t="s">
        <v>294</v>
      </c>
      <c r="D98" s="26"/>
      <c r="E98" s="25" t="s">
        <v>294</v>
      </c>
      <c r="F98" s="26"/>
      <c r="G98" s="25">
        <v>406</v>
      </c>
      <c r="H98" s="26">
        <v>0.1092866756393</v>
      </c>
      <c r="I98" s="25">
        <v>471</v>
      </c>
      <c r="J98" s="26">
        <v>0.104504104725982</v>
      </c>
      <c r="K98" s="25">
        <v>581</v>
      </c>
      <c r="L98" s="26">
        <v>0.46817082997582599</v>
      </c>
      <c r="M98" s="25">
        <v>743</v>
      </c>
      <c r="N98" s="26">
        <v>0.56202723146747402</v>
      </c>
      <c r="O98" s="25">
        <v>756</v>
      </c>
      <c r="P98" s="26">
        <v>0.59480723839496497</v>
      </c>
      <c r="Q98" s="25">
        <v>954</v>
      </c>
      <c r="R98" s="26">
        <v>0.57435279951836204</v>
      </c>
      <c r="S98" s="25">
        <v>1029</v>
      </c>
      <c r="T98" s="26">
        <v>0.56476399560922097</v>
      </c>
      <c r="U98" s="25">
        <v>828</v>
      </c>
      <c r="V98" s="26">
        <v>0.45494505494505499</v>
      </c>
    </row>
    <row r="99" spans="1:22" x14ac:dyDescent="0.3">
      <c r="A99" s="10" t="s">
        <v>367</v>
      </c>
      <c r="B99" s="10"/>
      <c r="C99" s="25" t="s">
        <v>294</v>
      </c>
      <c r="D99" s="26"/>
      <c r="E99" s="25" t="s">
        <v>294</v>
      </c>
      <c r="F99" s="26"/>
      <c r="G99" s="25">
        <v>209</v>
      </c>
      <c r="H99" s="26">
        <v>5.6258411843876199E-2</v>
      </c>
      <c r="I99" s="25">
        <v>257</v>
      </c>
      <c r="J99" s="26">
        <v>5.7022409585089903E-2</v>
      </c>
      <c r="K99" s="25">
        <v>304</v>
      </c>
      <c r="L99" s="26">
        <v>0.24496373892022599</v>
      </c>
      <c r="M99" s="25">
        <v>289</v>
      </c>
      <c r="N99" s="26">
        <v>0.218608169440242</v>
      </c>
      <c r="O99" s="25">
        <v>335</v>
      </c>
      <c r="P99" s="26">
        <v>0.26357199055861502</v>
      </c>
      <c r="Q99" s="25">
        <v>450</v>
      </c>
      <c r="R99" s="26">
        <v>0.27092113184828398</v>
      </c>
      <c r="S99" s="25">
        <v>561</v>
      </c>
      <c r="T99" s="26">
        <v>0.30790340285400702</v>
      </c>
      <c r="U99" s="25">
        <v>737</v>
      </c>
      <c r="V99" s="26">
        <v>0.40494505494505501</v>
      </c>
    </row>
    <row r="100" spans="1:22" x14ac:dyDescent="0.3">
      <c r="A100" s="10" t="s">
        <v>368</v>
      </c>
      <c r="B100" s="10"/>
      <c r="C100" s="25" t="s">
        <v>294</v>
      </c>
      <c r="D100" s="26"/>
      <c r="E100" s="25" t="s">
        <v>294</v>
      </c>
      <c r="F100" s="26"/>
      <c r="G100" s="25">
        <v>127</v>
      </c>
      <c r="H100" s="26">
        <v>3.4185733512785997E-2</v>
      </c>
      <c r="I100" s="25">
        <v>161</v>
      </c>
      <c r="J100" s="26">
        <v>3.5722209895717803E-2</v>
      </c>
      <c r="K100" s="25">
        <v>183</v>
      </c>
      <c r="L100" s="26">
        <v>0.147461724415794</v>
      </c>
      <c r="M100" s="25">
        <v>129</v>
      </c>
      <c r="N100" s="26">
        <v>9.7579425113464402E-2</v>
      </c>
      <c r="O100" s="25">
        <v>125</v>
      </c>
      <c r="P100" s="26">
        <v>9.8347757671125094E-2</v>
      </c>
      <c r="Q100" s="25">
        <v>179</v>
      </c>
      <c r="R100" s="26">
        <v>0.10776640577965101</v>
      </c>
      <c r="S100" s="25">
        <v>174</v>
      </c>
      <c r="T100" s="26">
        <v>9.5499451152579601E-2</v>
      </c>
      <c r="U100" s="25">
        <v>207</v>
      </c>
      <c r="V100" s="26">
        <v>0.113736263736264</v>
      </c>
    </row>
    <row r="101" spans="1:22" x14ac:dyDescent="0.3">
      <c r="A101" s="10" t="s">
        <v>369</v>
      </c>
      <c r="B101" s="10"/>
      <c r="C101" s="25" t="s">
        <v>294</v>
      </c>
      <c r="D101" s="26"/>
      <c r="E101" s="25" t="s">
        <v>294</v>
      </c>
      <c r="F101" s="26"/>
      <c r="G101" s="25">
        <v>0</v>
      </c>
      <c r="H101" s="26"/>
      <c r="I101" s="25">
        <v>0</v>
      </c>
      <c r="J101" s="26"/>
      <c r="K101" s="25">
        <v>0</v>
      </c>
      <c r="L101" s="26"/>
      <c r="M101" s="25">
        <v>0</v>
      </c>
      <c r="N101" s="26"/>
      <c r="O101" s="25">
        <v>0</v>
      </c>
      <c r="P101" s="26"/>
      <c r="Q101" s="25">
        <v>0</v>
      </c>
      <c r="R101" s="26"/>
      <c r="S101" s="25">
        <v>0</v>
      </c>
      <c r="T101" s="26"/>
      <c r="U101" s="25">
        <v>0</v>
      </c>
      <c r="V101" s="26"/>
    </row>
    <row r="102" spans="1:22" x14ac:dyDescent="0.3">
      <c r="A102" s="10" t="s">
        <v>298</v>
      </c>
      <c r="B102" s="10"/>
      <c r="C102" s="25">
        <v>237</v>
      </c>
      <c r="D102" s="26">
        <v>9.3050647820965796E-2</v>
      </c>
      <c r="E102" s="25">
        <v>120</v>
      </c>
      <c r="F102" s="26">
        <v>3.93959290873276E-2</v>
      </c>
      <c r="G102" s="25">
        <v>114</v>
      </c>
      <c r="H102" s="26">
        <v>3.0686406460296099E-2</v>
      </c>
      <c r="I102" s="25">
        <v>127</v>
      </c>
      <c r="J102" s="26">
        <v>2.81783891723985E-2</v>
      </c>
      <c r="K102" s="25">
        <v>130</v>
      </c>
      <c r="L102" s="26">
        <v>0.104754230459307</v>
      </c>
      <c r="M102" s="25">
        <v>84</v>
      </c>
      <c r="N102" s="26">
        <v>6.35400907715582E-2</v>
      </c>
      <c r="O102" s="25">
        <v>37</v>
      </c>
      <c r="P102" s="26">
        <v>2.9110936270653E-2</v>
      </c>
      <c r="Q102" s="25">
        <v>41</v>
      </c>
      <c r="R102" s="26">
        <v>2.4683925346176999E-2</v>
      </c>
      <c r="S102" s="25">
        <v>36</v>
      </c>
      <c r="T102" s="26">
        <v>1.97585071350165E-2</v>
      </c>
      <c r="U102" s="25">
        <v>34</v>
      </c>
      <c r="V102" s="26">
        <v>1.8681318681318702E-2</v>
      </c>
    </row>
    <row r="103" spans="1:22" x14ac:dyDescent="0.3">
      <c r="A103" s="10" t="s">
        <v>368</v>
      </c>
      <c r="B103" s="10"/>
      <c r="C103" s="25">
        <v>204</v>
      </c>
      <c r="D103" s="26">
        <v>8.0094228504122497E-2</v>
      </c>
      <c r="E103" s="25">
        <v>91</v>
      </c>
      <c r="F103" s="26">
        <v>2.9875246224556801E-2</v>
      </c>
      <c r="G103" s="25">
        <v>89</v>
      </c>
      <c r="H103" s="26">
        <v>2.3956931359353999E-2</v>
      </c>
      <c r="I103" s="25">
        <v>98</v>
      </c>
      <c r="J103" s="26">
        <v>2.1743953849567298E-2</v>
      </c>
      <c r="K103" s="25">
        <v>92</v>
      </c>
      <c r="L103" s="26">
        <v>7.4133763094278798E-2</v>
      </c>
      <c r="M103" s="25">
        <v>81</v>
      </c>
      <c r="N103" s="26">
        <v>6.1270801815431201E-2</v>
      </c>
      <c r="O103" s="25">
        <v>34</v>
      </c>
      <c r="P103" s="26">
        <v>2.6750590086546001E-2</v>
      </c>
      <c r="Q103" s="25">
        <v>35</v>
      </c>
      <c r="R103" s="26">
        <v>2.10716435881999E-2</v>
      </c>
      <c r="S103" s="25">
        <v>32</v>
      </c>
      <c r="T103" s="26">
        <v>1.7563117453348001E-2</v>
      </c>
      <c r="U103" s="25">
        <v>29</v>
      </c>
      <c r="V103" s="26">
        <v>1.5934065934065898E-2</v>
      </c>
    </row>
    <row r="104" spans="1:22" x14ac:dyDescent="0.3">
      <c r="A104" s="10" t="s">
        <v>369</v>
      </c>
      <c r="B104" s="10"/>
      <c r="C104" s="25">
        <v>0</v>
      </c>
      <c r="D104" s="26"/>
      <c r="E104" s="25">
        <v>0</v>
      </c>
      <c r="F104" s="26"/>
      <c r="G104" s="25">
        <v>0</v>
      </c>
      <c r="H104" s="26"/>
      <c r="I104" s="25">
        <v>0</v>
      </c>
      <c r="J104" s="26"/>
      <c r="K104" s="25">
        <v>0</v>
      </c>
      <c r="L104" s="26"/>
      <c r="M104" s="25">
        <v>0</v>
      </c>
      <c r="N104" s="26"/>
      <c r="O104" s="25">
        <v>0</v>
      </c>
      <c r="P104" s="26"/>
      <c r="Q104" s="25">
        <v>0</v>
      </c>
      <c r="R104" s="26"/>
      <c r="S104" s="25">
        <v>0</v>
      </c>
      <c r="T104" s="26"/>
      <c r="U104" s="25">
        <v>5</v>
      </c>
      <c r="V104" s="26">
        <v>2.7472527472527501E-3</v>
      </c>
    </row>
    <row r="105" spans="1:22" x14ac:dyDescent="0.3">
      <c r="A105" s="10" t="s">
        <v>367</v>
      </c>
      <c r="B105" s="10"/>
      <c r="C105" s="25">
        <v>33</v>
      </c>
      <c r="D105" s="26">
        <v>1.29564193168433E-2</v>
      </c>
      <c r="E105" s="25">
        <v>29</v>
      </c>
      <c r="F105" s="26">
        <v>9.5206828627708504E-3</v>
      </c>
      <c r="G105" s="25">
        <v>25</v>
      </c>
      <c r="H105" s="26">
        <v>6.72947510094213E-3</v>
      </c>
      <c r="I105" s="25">
        <v>29</v>
      </c>
      <c r="J105" s="26">
        <v>6.4344353228311503E-3</v>
      </c>
      <c r="K105" s="25">
        <v>38</v>
      </c>
      <c r="L105" s="26">
        <v>3.0620467365028201E-2</v>
      </c>
      <c r="M105" s="25">
        <v>3</v>
      </c>
      <c r="N105" s="26">
        <v>2.2692889561270798E-3</v>
      </c>
      <c r="O105" s="25">
        <v>3</v>
      </c>
      <c r="P105" s="26">
        <v>2.3603461841070002E-3</v>
      </c>
      <c r="Q105" s="25">
        <v>6</v>
      </c>
      <c r="R105" s="26">
        <v>3.61228175797712E-3</v>
      </c>
      <c r="S105" s="25">
        <v>4</v>
      </c>
      <c r="T105" s="26">
        <v>2.1953896816685001E-3</v>
      </c>
      <c r="U105" s="25">
        <v>0</v>
      </c>
      <c r="V105" s="26"/>
    </row>
    <row r="106" spans="1:22" x14ac:dyDescent="0.3">
      <c r="A106" s="10" t="s">
        <v>370</v>
      </c>
      <c r="B106" s="10"/>
      <c r="C106" s="25">
        <v>25</v>
      </c>
      <c r="D106" s="26">
        <v>9.8154691794267793E-3</v>
      </c>
      <c r="E106" s="25">
        <v>28</v>
      </c>
      <c r="F106" s="26">
        <v>9.19238345370978E-3</v>
      </c>
      <c r="G106" s="25">
        <v>10</v>
      </c>
      <c r="H106" s="26">
        <v>2.6917900403768502E-3</v>
      </c>
      <c r="I106" s="25">
        <v>31</v>
      </c>
      <c r="J106" s="26">
        <v>6.8781894830264E-3</v>
      </c>
      <c r="K106" s="25">
        <v>43</v>
      </c>
      <c r="L106" s="26">
        <v>3.4649476228847703E-2</v>
      </c>
      <c r="M106" s="25">
        <v>77</v>
      </c>
      <c r="N106" s="26">
        <v>5.8245083207261697E-2</v>
      </c>
      <c r="O106" s="25">
        <v>18</v>
      </c>
      <c r="P106" s="26">
        <v>1.4162077104642E-2</v>
      </c>
      <c r="Q106" s="25">
        <v>37</v>
      </c>
      <c r="R106" s="26">
        <v>2.2275737507525602E-2</v>
      </c>
      <c r="S106" s="25">
        <v>22</v>
      </c>
      <c r="T106" s="26">
        <v>1.20746432491767E-2</v>
      </c>
      <c r="U106" s="25">
        <v>14</v>
      </c>
      <c r="V106" s="26">
        <v>7.6923076923076901E-3</v>
      </c>
    </row>
    <row r="107" spans="1:22" x14ac:dyDescent="0.3">
      <c r="A107" s="10" t="s">
        <v>367</v>
      </c>
      <c r="B107" s="10"/>
      <c r="C107" s="25">
        <v>6</v>
      </c>
      <c r="D107" s="26">
        <v>2.3557126030624301E-3</v>
      </c>
      <c r="E107" s="25">
        <v>2</v>
      </c>
      <c r="F107" s="26">
        <v>6.56598818122127E-4</v>
      </c>
      <c r="G107" s="25">
        <v>2</v>
      </c>
      <c r="H107" s="26">
        <v>5.3835800807536997E-4</v>
      </c>
      <c r="I107" s="25">
        <v>0</v>
      </c>
      <c r="J107" s="26"/>
      <c r="K107" s="25">
        <v>1</v>
      </c>
      <c r="L107" s="26">
        <v>8.0580177276390005E-4</v>
      </c>
      <c r="M107" s="25">
        <v>7</v>
      </c>
      <c r="N107" s="26">
        <v>5.2950075642965201E-3</v>
      </c>
      <c r="O107" s="25">
        <v>3</v>
      </c>
      <c r="P107" s="26">
        <v>2.3603461841070002E-3</v>
      </c>
      <c r="Q107" s="25">
        <v>6</v>
      </c>
      <c r="R107" s="26">
        <v>3.61228175797712E-3</v>
      </c>
      <c r="S107" s="25">
        <v>3</v>
      </c>
      <c r="T107" s="26">
        <v>1.6465422612513699E-3</v>
      </c>
      <c r="U107" s="25">
        <v>12</v>
      </c>
      <c r="V107" s="26">
        <v>6.5934065934065899E-3</v>
      </c>
    </row>
    <row r="108" spans="1:22" x14ac:dyDescent="0.3">
      <c r="A108" s="10" t="s">
        <v>369</v>
      </c>
      <c r="B108" s="10"/>
      <c r="C108" s="25">
        <v>0</v>
      </c>
      <c r="D108" s="26"/>
      <c r="E108" s="25">
        <v>0</v>
      </c>
      <c r="F108" s="26"/>
      <c r="G108" s="25">
        <v>0</v>
      </c>
      <c r="H108" s="26"/>
      <c r="I108" s="25">
        <v>1</v>
      </c>
      <c r="J108" s="26">
        <v>2.21877080097626E-4</v>
      </c>
      <c r="K108" s="25">
        <v>0</v>
      </c>
      <c r="L108" s="26"/>
      <c r="M108" s="25">
        <v>0</v>
      </c>
      <c r="N108" s="26"/>
      <c r="O108" s="25">
        <v>0</v>
      </c>
      <c r="P108" s="26"/>
      <c r="Q108" s="25">
        <v>0</v>
      </c>
      <c r="R108" s="26"/>
      <c r="S108" s="25">
        <v>0</v>
      </c>
      <c r="T108" s="26"/>
      <c r="U108" s="25">
        <v>2</v>
      </c>
      <c r="V108" s="26">
        <v>1.0989010989011E-3</v>
      </c>
    </row>
    <row r="109" spans="1:22" x14ac:dyDescent="0.3">
      <c r="A109" s="10" t="s">
        <v>368</v>
      </c>
      <c r="B109" s="10"/>
      <c r="C109" s="25">
        <v>19</v>
      </c>
      <c r="D109" s="26">
        <v>7.45975657636435E-3</v>
      </c>
      <c r="E109" s="25">
        <v>26</v>
      </c>
      <c r="F109" s="26">
        <v>8.53578463558766E-3</v>
      </c>
      <c r="G109" s="25">
        <v>8</v>
      </c>
      <c r="H109" s="26">
        <v>2.1534320323014799E-3</v>
      </c>
      <c r="I109" s="25">
        <v>30</v>
      </c>
      <c r="J109" s="26">
        <v>6.6563124029287799E-3</v>
      </c>
      <c r="K109" s="25">
        <v>42</v>
      </c>
      <c r="L109" s="26">
        <v>3.38436744560838E-2</v>
      </c>
      <c r="M109" s="25">
        <v>70</v>
      </c>
      <c r="N109" s="26">
        <v>5.2950075642965201E-2</v>
      </c>
      <c r="O109" s="25">
        <v>15</v>
      </c>
      <c r="P109" s="26">
        <v>1.1801730920535001E-2</v>
      </c>
      <c r="Q109" s="25">
        <v>31</v>
      </c>
      <c r="R109" s="26">
        <v>1.8663455749548499E-2</v>
      </c>
      <c r="S109" s="25">
        <v>19</v>
      </c>
      <c r="T109" s="26">
        <v>1.04281009879254E-2</v>
      </c>
      <c r="U109" s="25">
        <v>0</v>
      </c>
      <c r="V109" s="26"/>
    </row>
    <row r="110" spans="1:22" x14ac:dyDescent="0.3">
      <c r="A110" s="10" t="s">
        <v>302</v>
      </c>
      <c r="B110" s="10"/>
      <c r="C110" s="25">
        <v>120</v>
      </c>
      <c r="D110" s="26">
        <v>4.7114252061248502E-2</v>
      </c>
      <c r="E110" s="25">
        <v>91</v>
      </c>
      <c r="F110" s="26">
        <v>2.9875246224556801E-2</v>
      </c>
      <c r="G110" s="25" t="s">
        <v>294</v>
      </c>
      <c r="H110" s="26"/>
      <c r="I110" s="25" t="s">
        <v>294</v>
      </c>
      <c r="J110" s="26"/>
      <c r="K110" s="25" t="s">
        <v>294</v>
      </c>
      <c r="L110" s="26"/>
      <c r="M110" s="25" t="s">
        <v>294</v>
      </c>
      <c r="N110" s="26"/>
      <c r="O110" s="25" t="s">
        <v>294</v>
      </c>
      <c r="P110" s="26"/>
      <c r="Q110" s="25" t="s">
        <v>294</v>
      </c>
      <c r="R110" s="26"/>
      <c r="S110" s="25" t="s">
        <v>294</v>
      </c>
      <c r="T110" s="26"/>
      <c r="U110" s="25" t="s">
        <v>294</v>
      </c>
      <c r="V110" s="26"/>
    </row>
    <row r="111" spans="1:22" x14ac:dyDescent="0.3">
      <c r="A111" s="10" t="s">
        <v>368</v>
      </c>
      <c r="B111" s="10"/>
      <c r="C111" s="25">
        <v>109</v>
      </c>
      <c r="D111" s="26">
        <v>4.2795445622300698E-2</v>
      </c>
      <c r="E111" s="25">
        <v>74</v>
      </c>
      <c r="F111" s="26">
        <v>2.4294156270518698E-2</v>
      </c>
      <c r="G111" s="25" t="s">
        <v>294</v>
      </c>
      <c r="H111" s="26"/>
      <c r="I111" s="25" t="s">
        <v>294</v>
      </c>
      <c r="J111" s="26"/>
      <c r="K111" s="25" t="s">
        <v>294</v>
      </c>
      <c r="L111" s="26"/>
      <c r="M111" s="25" t="s">
        <v>294</v>
      </c>
      <c r="N111" s="26"/>
      <c r="O111" s="25" t="s">
        <v>294</v>
      </c>
      <c r="P111" s="26"/>
      <c r="Q111" s="25" t="s">
        <v>294</v>
      </c>
      <c r="R111" s="26"/>
      <c r="S111" s="25" t="s">
        <v>294</v>
      </c>
      <c r="T111" s="26"/>
      <c r="U111" s="25" t="s">
        <v>294</v>
      </c>
      <c r="V111" s="26"/>
    </row>
    <row r="112" spans="1:22" x14ac:dyDescent="0.3">
      <c r="A112" s="10" t="s">
        <v>369</v>
      </c>
      <c r="B112" s="10"/>
      <c r="C112" s="25">
        <v>0</v>
      </c>
      <c r="D112" s="26"/>
      <c r="E112" s="25">
        <v>17</v>
      </c>
      <c r="F112" s="26">
        <v>5.5810899540380803E-3</v>
      </c>
      <c r="G112" s="25" t="s">
        <v>294</v>
      </c>
      <c r="H112" s="26"/>
      <c r="I112" s="25" t="s">
        <v>294</v>
      </c>
      <c r="J112" s="26"/>
      <c r="K112" s="25" t="s">
        <v>294</v>
      </c>
      <c r="L112" s="26"/>
      <c r="M112" s="25" t="s">
        <v>294</v>
      </c>
      <c r="N112" s="26"/>
      <c r="O112" s="25" t="s">
        <v>294</v>
      </c>
      <c r="P112" s="26"/>
      <c r="Q112" s="25" t="s">
        <v>294</v>
      </c>
      <c r="R112" s="26"/>
      <c r="S112" s="25" t="s">
        <v>294</v>
      </c>
      <c r="T112" s="26"/>
      <c r="U112" s="25" t="s">
        <v>294</v>
      </c>
      <c r="V112" s="26"/>
    </row>
    <row r="113" spans="1:22" x14ac:dyDescent="0.3">
      <c r="A113" s="10" t="s">
        <v>367</v>
      </c>
      <c r="B113" s="10"/>
      <c r="C113" s="25">
        <v>11</v>
      </c>
      <c r="D113" s="26">
        <v>4.3188064389477797E-3</v>
      </c>
      <c r="E113" s="25">
        <v>0</v>
      </c>
      <c r="F113" s="26"/>
      <c r="G113" s="25" t="s">
        <v>294</v>
      </c>
      <c r="H113" s="26"/>
      <c r="I113" s="25" t="s">
        <v>294</v>
      </c>
      <c r="J113" s="26"/>
      <c r="K113" s="25" t="s">
        <v>294</v>
      </c>
      <c r="L113" s="26"/>
      <c r="M113" s="25" t="s">
        <v>294</v>
      </c>
      <c r="N113" s="26"/>
      <c r="O113" s="25" t="s">
        <v>294</v>
      </c>
      <c r="P113" s="26"/>
      <c r="Q113" s="25" t="s">
        <v>294</v>
      </c>
      <c r="R113" s="26"/>
      <c r="S113" s="25" t="s">
        <v>294</v>
      </c>
      <c r="T113" s="26"/>
      <c r="U113" s="25" t="s">
        <v>294</v>
      </c>
      <c r="V113" s="26"/>
    </row>
    <row r="114" spans="1:22" x14ac:dyDescent="0.3">
      <c r="A114" s="10" t="s">
        <v>354</v>
      </c>
      <c r="B114" s="10"/>
      <c r="C114" s="25">
        <v>2165</v>
      </c>
      <c r="D114" s="26">
        <v>0.85001963093835897</v>
      </c>
      <c r="E114" s="25">
        <v>2807</v>
      </c>
      <c r="F114" s="26">
        <v>0.92153644123440603</v>
      </c>
      <c r="G114" s="25" t="s">
        <v>294</v>
      </c>
      <c r="H114" s="26"/>
      <c r="I114" s="25" t="s">
        <v>294</v>
      </c>
      <c r="J114" s="26"/>
      <c r="K114" s="25" t="s">
        <v>294</v>
      </c>
      <c r="L114" s="26"/>
      <c r="M114" s="25" t="s">
        <v>294</v>
      </c>
      <c r="N114" s="26"/>
      <c r="O114" s="25" t="s">
        <v>294</v>
      </c>
      <c r="P114" s="26"/>
      <c r="Q114" s="25" t="s">
        <v>294</v>
      </c>
      <c r="R114" s="26"/>
      <c r="S114" s="25" t="s">
        <v>294</v>
      </c>
      <c r="T114" s="26"/>
      <c r="U114" s="25" t="s">
        <v>294</v>
      </c>
      <c r="V114" s="26"/>
    </row>
    <row r="115" spans="1:22" x14ac:dyDescent="0.3">
      <c r="A115" s="10" t="s">
        <v>366</v>
      </c>
      <c r="B115" s="10"/>
      <c r="C115" s="25">
        <v>1608</v>
      </c>
      <c r="D115" s="26">
        <v>0.63133097762072998</v>
      </c>
      <c r="E115" s="25">
        <v>1993</v>
      </c>
      <c r="F115" s="26">
        <v>0.65430072225869995</v>
      </c>
      <c r="G115" s="25" t="s">
        <v>294</v>
      </c>
      <c r="H115" s="26"/>
      <c r="I115" s="25" t="s">
        <v>294</v>
      </c>
      <c r="J115" s="26"/>
      <c r="K115" s="25" t="s">
        <v>294</v>
      </c>
      <c r="L115" s="26"/>
      <c r="M115" s="25" t="s">
        <v>294</v>
      </c>
      <c r="N115" s="26"/>
      <c r="O115" s="25" t="s">
        <v>294</v>
      </c>
      <c r="P115" s="26"/>
      <c r="Q115" s="25" t="s">
        <v>294</v>
      </c>
      <c r="R115" s="26"/>
      <c r="S115" s="25" t="s">
        <v>294</v>
      </c>
      <c r="T115" s="26"/>
      <c r="U115" s="25" t="s">
        <v>294</v>
      </c>
      <c r="V115" s="26"/>
    </row>
    <row r="116" spans="1:22" x14ac:dyDescent="0.3">
      <c r="A116" s="10" t="s">
        <v>368</v>
      </c>
      <c r="B116" s="10"/>
      <c r="C116" s="25">
        <v>62</v>
      </c>
      <c r="D116" s="26">
        <v>2.43423635649784E-2</v>
      </c>
      <c r="E116" s="25">
        <v>104</v>
      </c>
      <c r="F116" s="26">
        <v>3.4143138542350598E-2</v>
      </c>
      <c r="G116" s="25" t="s">
        <v>294</v>
      </c>
      <c r="H116" s="26"/>
      <c r="I116" s="25" t="s">
        <v>294</v>
      </c>
      <c r="J116" s="26"/>
      <c r="K116" s="25" t="s">
        <v>294</v>
      </c>
      <c r="L116" s="26"/>
      <c r="M116" s="25" t="s">
        <v>294</v>
      </c>
      <c r="N116" s="26"/>
      <c r="O116" s="25" t="s">
        <v>294</v>
      </c>
      <c r="P116" s="26"/>
      <c r="Q116" s="25" t="s">
        <v>294</v>
      </c>
      <c r="R116" s="26"/>
      <c r="S116" s="25" t="s">
        <v>294</v>
      </c>
      <c r="T116" s="26"/>
      <c r="U116" s="25" t="s">
        <v>294</v>
      </c>
      <c r="V116" s="26"/>
    </row>
    <row r="117" spans="1:22" x14ac:dyDescent="0.3">
      <c r="A117" s="10" t="s">
        <v>369</v>
      </c>
      <c r="B117" s="10"/>
      <c r="C117" s="25">
        <v>0</v>
      </c>
      <c r="D117" s="26"/>
      <c r="E117" s="25">
        <v>0</v>
      </c>
      <c r="F117" s="26"/>
      <c r="G117" s="25" t="s">
        <v>294</v>
      </c>
      <c r="H117" s="26"/>
      <c r="I117" s="25" t="s">
        <v>294</v>
      </c>
      <c r="J117" s="26"/>
      <c r="K117" s="25" t="s">
        <v>294</v>
      </c>
      <c r="L117" s="26"/>
      <c r="M117" s="25" t="s">
        <v>294</v>
      </c>
      <c r="N117" s="26"/>
      <c r="O117" s="25" t="s">
        <v>294</v>
      </c>
      <c r="P117" s="26"/>
      <c r="Q117" s="25" t="s">
        <v>294</v>
      </c>
      <c r="R117" s="26"/>
      <c r="S117" s="25" t="s">
        <v>294</v>
      </c>
      <c r="T117" s="26"/>
      <c r="U117" s="25" t="s">
        <v>294</v>
      </c>
      <c r="V117" s="26"/>
    </row>
    <row r="118" spans="1:22" x14ac:dyDescent="0.3">
      <c r="A118" s="10" t="s">
        <v>367</v>
      </c>
      <c r="B118" s="10"/>
      <c r="C118" s="25">
        <v>495</v>
      </c>
      <c r="D118" s="26">
        <v>0.19434628975265</v>
      </c>
      <c r="E118" s="25">
        <v>710</v>
      </c>
      <c r="F118" s="26">
        <v>0.23309258043335501</v>
      </c>
      <c r="G118" s="25" t="s">
        <v>294</v>
      </c>
      <c r="H118" s="26"/>
      <c r="I118" s="25" t="s">
        <v>294</v>
      </c>
      <c r="J118" s="26"/>
      <c r="K118" s="25" t="s">
        <v>294</v>
      </c>
      <c r="L118" s="26"/>
      <c r="M118" s="25" t="s">
        <v>294</v>
      </c>
      <c r="N118" s="26"/>
      <c r="O118" s="25" t="s">
        <v>294</v>
      </c>
      <c r="P118" s="26"/>
      <c r="Q118" s="25" t="s">
        <v>294</v>
      </c>
      <c r="R118" s="26"/>
      <c r="S118" s="25" t="s">
        <v>294</v>
      </c>
      <c r="T118" s="26"/>
      <c r="U118" s="25" t="s">
        <v>294</v>
      </c>
      <c r="V118" s="26"/>
    </row>
    <row r="119" spans="1:22" x14ac:dyDescent="0.3">
      <c r="A119" s="10" t="s">
        <v>304</v>
      </c>
      <c r="B119" s="10"/>
      <c r="C119" s="25" t="s">
        <v>294</v>
      </c>
      <c r="D119" s="26"/>
      <c r="E119" s="25" t="s">
        <v>294</v>
      </c>
      <c r="F119" s="26"/>
      <c r="G119" s="25">
        <v>2849</v>
      </c>
      <c r="H119" s="26">
        <v>0.76689098250336496</v>
      </c>
      <c r="I119" s="25">
        <v>3460</v>
      </c>
      <c r="J119" s="26">
        <v>0.76769469713778604</v>
      </c>
      <c r="K119" s="25" t="s">
        <v>294</v>
      </c>
      <c r="L119" s="26"/>
      <c r="M119" s="25" t="s">
        <v>294</v>
      </c>
      <c r="N119" s="26"/>
      <c r="O119" s="25" t="s">
        <v>294</v>
      </c>
      <c r="P119" s="26"/>
      <c r="Q119" s="25" t="s">
        <v>294</v>
      </c>
      <c r="R119" s="26"/>
      <c r="S119" s="25" t="s">
        <v>294</v>
      </c>
      <c r="T119" s="26"/>
      <c r="U119" s="25" t="s">
        <v>294</v>
      </c>
      <c r="V119" s="26"/>
    </row>
    <row r="120" spans="1:22" x14ac:dyDescent="0.3">
      <c r="A120" s="10" t="s">
        <v>368</v>
      </c>
      <c r="B120" s="10"/>
      <c r="C120" s="25" t="s">
        <v>294</v>
      </c>
      <c r="D120" s="26"/>
      <c r="E120" s="25" t="s">
        <v>294</v>
      </c>
      <c r="F120" s="26"/>
      <c r="G120" s="25">
        <v>104</v>
      </c>
      <c r="H120" s="26">
        <v>2.79946164199192E-2</v>
      </c>
      <c r="I120" s="25">
        <v>138</v>
      </c>
      <c r="J120" s="26">
        <v>3.0619037053472398E-2</v>
      </c>
      <c r="K120" s="25" t="s">
        <v>294</v>
      </c>
      <c r="L120" s="26"/>
      <c r="M120" s="25" t="s">
        <v>294</v>
      </c>
      <c r="N120" s="26"/>
      <c r="O120" s="25" t="s">
        <v>294</v>
      </c>
      <c r="P120" s="26"/>
      <c r="Q120" s="25" t="s">
        <v>294</v>
      </c>
      <c r="R120" s="26"/>
      <c r="S120" s="25" t="s">
        <v>294</v>
      </c>
      <c r="T120" s="26"/>
      <c r="U120" s="25" t="s">
        <v>294</v>
      </c>
      <c r="V120" s="26"/>
    </row>
    <row r="121" spans="1:22" x14ac:dyDescent="0.3">
      <c r="A121" s="10" t="s">
        <v>369</v>
      </c>
      <c r="B121" s="10"/>
      <c r="C121" s="25" t="s">
        <v>294</v>
      </c>
      <c r="D121" s="26"/>
      <c r="E121" s="25" t="s">
        <v>294</v>
      </c>
      <c r="F121" s="26"/>
      <c r="G121" s="25">
        <v>0</v>
      </c>
      <c r="H121" s="26"/>
      <c r="I121" s="25">
        <v>0</v>
      </c>
      <c r="J121" s="26"/>
      <c r="K121" s="25" t="s">
        <v>294</v>
      </c>
      <c r="L121" s="26"/>
      <c r="M121" s="25" t="s">
        <v>294</v>
      </c>
      <c r="N121" s="26"/>
      <c r="O121" s="25" t="s">
        <v>294</v>
      </c>
      <c r="P121" s="26"/>
      <c r="Q121" s="25" t="s">
        <v>294</v>
      </c>
      <c r="R121" s="26"/>
      <c r="S121" s="25" t="s">
        <v>294</v>
      </c>
      <c r="T121" s="26"/>
      <c r="U121" s="25" t="s">
        <v>294</v>
      </c>
      <c r="V121" s="26"/>
    </row>
    <row r="122" spans="1:22" x14ac:dyDescent="0.3">
      <c r="A122" s="10" t="s">
        <v>366</v>
      </c>
      <c r="B122" s="10"/>
      <c r="C122" s="25" t="s">
        <v>294</v>
      </c>
      <c r="D122" s="26"/>
      <c r="E122" s="25" t="s">
        <v>294</v>
      </c>
      <c r="F122" s="26"/>
      <c r="G122" s="25">
        <v>2004</v>
      </c>
      <c r="H122" s="26">
        <v>0.53943472409152105</v>
      </c>
      <c r="I122" s="25">
        <v>2335</v>
      </c>
      <c r="J122" s="26">
        <v>0.518082982027957</v>
      </c>
      <c r="K122" s="25" t="s">
        <v>294</v>
      </c>
      <c r="L122" s="26"/>
      <c r="M122" s="25" t="s">
        <v>294</v>
      </c>
      <c r="N122" s="26"/>
      <c r="O122" s="25" t="s">
        <v>294</v>
      </c>
      <c r="P122" s="26"/>
      <c r="Q122" s="25" t="s">
        <v>294</v>
      </c>
      <c r="R122" s="26"/>
      <c r="S122" s="25" t="s">
        <v>294</v>
      </c>
      <c r="T122" s="26"/>
      <c r="U122" s="25" t="s">
        <v>294</v>
      </c>
      <c r="V122" s="26"/>
    </row>
    <row r="123" spans="1:22" x14ac:dyDescent="0.3">
      <c r="A123" s="10" t="s">
        <v>367</v>
      </c>
      <c r="B123" s="10"/>
      <c r="C123" s="25" t="s">
        <v>294</v>
      </c>
      <c r="D123" s="26"/>
      <c r="E123" s="25" t="s">
        <v>294</v>
      </c>
      <c r="F123" s="26"/>
      <c r="G123" s="25">
        <v>741</v>
      </c>
      <c r="H123" s="26">
        <v>0.19946164199192501</v>
      </c>
      <c r="I123" s="25">
        <v>987</v>
      </c>
      <c r="J123" s="26">
        <v>0.218992678056357</v>
      </c>
      <c r="K123" s="25" t="s">
        <v>294</v>
      </c>
      <c r="L123" s="26"/>
      <c r="M123" s="25" t="s">
        <v>294</v>
      </c>
      <c r="N123" s="26"/>
      <c r="O123" s="25" t="s">
        <v>294</v>
      </c>
      <c r="P123" s="26"/>
      <c r="Q123" s="25" t="s">
        <v>294</v>
      </c>
      <c r="R123" s="26"/>
      <c r="S123" s="25" t="s">
        <v>294</v>
      </c>
      <c r="T123" s="26"/>
      <c r="U123" s="25" t="s">
        <v>294</v>
      </c>
      <c r="V123" s="26"/>
    </row>
    <row r="124" spans="1:22" x14ac:dyDescent="0.3">
      <c r="A124" s="6" t="s">
        <v>352</v>
      </c>
      <c r="B124" s="6"/>
      <c r="C124" s="29">
        <v>-1040</v>
      </c>
      <c r="D124" s="30"/>
      <c r="E124" s="29">
        <v>-153</v>
      </c>
      <c r="F124" s="30"/>
      <c r="G124" s="29">
        <v>945</v>
      </c>
      <c r="H124" s="30">
        <v>1</v>
      </c>
      <c r="I124" s="29">
        <v>3925</v>
      </c>
      <c r="J124" s="30">
        <v>1</v>
      </c>
      <c r="K124" s="29">
        <v>323</v>
      </c>
      <c r="L124" s="30">
        <v>1</v>
      </c>
      <c r="M124" s="29">
        <v>793</v>
      </c>
      <c r="N124" s="30">
        <v>1</v>
      </c>
      <c r="O124" s="29">
        <v>624</v>
      </c>
      <c r="P124" s="30">
        <v>1</v>
      </c>
      <c r="Q124" s="29">
        <v>934</v>
      </c>
      <c r="R124" s="30">
        <v>1</v>
      </c>
      <c r="S124" s="29">
        <v>422</v>
      </c>
      <c r="T124" s="30">
        <v>1</v>
      </c>
      <c r="U124" s="29">
        <v>561</v>
      </c>
      <c r="V124" s="30">
        <v>1</v>
      </c>
    </row>
    <row r="125" spans="1:22" x14ac:dyDescent="0.3">
      <c r="A125" s="10" t="s">
        <v>299</v>
      </c>
      <c r="B125" s="10"/>
      <c r="C125" s="25" t="s">
        <v>294</v>
      </c>
      <c r="D125" s="26"/>
      <c r="E125" s="25" t="s">
        <v>294</v>
      </c>
      <c r="F125" s="26"/>
      <c r="G125" s="25">
        <v>668</v>
      </c>
      <c r="H125" s="26">
        <v>0.70687830687830699</v>
      </c>
      <c r="I125" s="25">
        <v>1374</v>
      </c>
      <c r="J125" s="26">
        <v>0.35006369426751599</v>
      </c>
      <c r="K125" s="25">
        <v>197</v>
      </c>
      <c r="L125" s="26">
        <v>0.60990712074303399</v>
      </c>
      <c r="M125" s="25">
        <v>674</v>
      </c>
      <c r="N125" s="26">
        <v>0.84993694829760402</v>
      </c>
      <c r="O125" s="25">
        <v>484</v>
      </c>
      <c r="P125" s="26">
        <v>0.77564102564102599</v>
      </c>
      <c r="Q125" s="25">
        <v>766</v>
      </c>
      <c r="R125" s="26">
        <v>0.820128479657388</v>
      </c>
      <c r="S125" s="25">
        <v>353</v>
      </c>
      <c r="T125" s="26">
        <v>0.83649289099526103</v>
      </c>
      <c r="U125" s="25">
        <v>539</v>
      </c>
      <c r="V125" s="26">
        <v>0.96078431372549</v>
      </c>
    </row>
    <row r="126" spans="1:22" x14ac:dyDescent="0.3">
      <c r="A126" s="10" t="s">
        <v>366</v>
      </c>
      <c r="B126" s="10"/>
      <c r="C126" s="25" t="s">
        <v>294</v>
      </c>
      <c r="D126" s="26"/>
      <c r="E126" s="25" t="s">
        <v>294</v>
      </c>
      <c r="F126" s="26"/>
      <c r="G126" s="25">
        <v>-354</v>
      </c>
      <c r="H126" s="26">
        <v>-0.37460317460317499</v>
      </c>
      <c r="I126" s="25">
        <v>93</v>
      </c>
      <c r="J126" s="26">
        <v>2.36942675159236E-2</v>
      </c>
      <c r="K126" s="25">
        <v>-125</v>
      </c>
      <c r="L126" s="26">
        <v>-0.386996904024768</v>
      </c>
      <c r="M126" s="25">
        <v>106</v>
      </c>
      <c r="N126" s="26">
        <v>0.133669609079445</v>
      </c>
      <c r="O126" s="25">
        <v>110</v>
      </c>
      <c r="P126" s="26">
        <v>0.17628205128205099</v>
      </c>
      <c r="Q126" s="25">
        <v>323</v>
      </c>
      <c r="R126" s="26">
        <v>0.34582441113490398</v>
      </c>
      <c r="S126" s="25">
        <v>180</v>
      </c>
      <c r="T126" s="26">
        <v>0.42654028436018998</v>
      </c>
      <c r="U126" s="25">
        <v>407</v>
      </c>
      <c r="V126" s="26">
        <v>0.72549019607843102</v>
      </c>
    </row>
    <row r="127" spans="1:22" x14ac:dyDescent="0.3">
      <c r="A127" s="10" t="s">
        <v>368</v>
      </c>
      <c r="B127" s="10"/>
      <c r="C127" s="25" t="s">
        <v>294</v>
      </c>
      <c r="D127" s="26"/>
      <c r="E127" s="25" t="s">
        <v>294</v>
      </c>
      <c r="F127" s="26"/>
      <c r="G127" s="25">
        <v>1009</v>
      </c>
      <c r="H127" s="26">
        <v>1.0677248677248701</v>
      </c>
      <c r="I127" s="25">
        <v>1268</v>
      </c>
      <c r="J127" s="26">
        <v>0.32305732484076399</v>
      </c>
      <c r="K127" s="25">
        <v>322</v>
      </c>
      <c r="L127" s="26">
        <v>0.99690402476780204</v>
      </c>
      <c r="M127" s="25">
        <v>563</v>
      </c>
      <c r="N127" s="26">
        <v>0.70996216897856201</v>
      </c>
      <c r="O127" s="25">
        <v>375</v>
      </c>
      <c r="P127" s="26">
        <v>0.60096153846153799</v>
      </c>
      <c r="Q127" s="25">
        <v>443</v>
      </c>
      <c r="R127" s="26">
        <v>0.47430406852248402</v>
      </c>
      <c r="S127" s="25">
        <v>173</v>
      </c>
      <c r="T127" s="26">
        <v>0.40995260663507099</v>
      </c>
      <c r="U127" s="25">
        <v>133</v>
      </c>
      <c r="V127" s="26">
        <v>0.23707664884135499</v>
      </c>
    </row>
    <row r="128" spans="1:22" x14ac:dyDescent="0.3">
      <c r="A128" s="10" t="s">
        <v>367</v>
      </c>
      <c r="B128" s="10"/>
      <c r="C128" s="25" t="s">
        <v>294</v>
      </c>
      <c r="D128" s="26"/>
      <c r="E128" s="25" t="s">
        <v>294</v>
      </c>
      <c r="F128" s="26"/>
      <c r="G128" s="25">
        <v>0</v>
      </c>
      <c r="H128" s="26"/>
      <c r="I128" s="25">
        <v>0</v>
      </c>
      <c r="J128" s="26"/>
      <c r="K128" s="25">
        <v>0</v>
      </c>
      <c r="L128" s="26"/>
      <c r="M128" s="25">
        <v>0</v>
      </c>
      <c r="N128" s="26"/>
      <c r="O128" s="25">
        <v>0</v>
      </c>
      <c r="P128" s="26"/>
      <c r="Q128" s="25">
        <v>0</v>
      </c>
      <c r="R128" s="26"/>
      <c r="S128" s="25">
        <v>0</v>
      </c>
      <c r="T128" s="26"/>
      <c r="U128" s="25">
        <v>0</v>
      </c>
      <c r="V128" s="26"/>
    </row>
    <row r="129" spans="1:22" x14ac:dyDescent="0.3">
      <c r="A129" s="10" t="s">
        <v>369</v>
      </c>
      <c r="B129" s="10"/>
      <c r="C129" s="25" t="s">
        <v>294</v>
      </c>
      <c r="D129" s="26"/>
      <c r="E129" s="25" t="s">
        <v>294</v>
      </c>
      <c r="F129" s="26"/>
      <c r="G129" s="25">
        <v>13</v>
      </c>
      <c r="H129" s="26">
        <v>1.37566137566138E-2</v>
      </c>
      <c r="I129" s="25">
        <v>13</v>
      </c>
      <c r="J129" s="26">
        <v>3.3121019108280302E-3</v>
      </c>
      <c r="K129" s="25">
        <v>0</v>
      </c>
      <c r="L129" s="26"/>
      <c r="M129" s="25">
        <v>5</v>
      </c>
      <c r="N129" s="26">
        <v>6.30517023959647E-3</v>
      </c>
      <c r="O129" s="25">
        <v>-1</v>
      </c>
      <c r="P129" s="26">
        <v>-1.6025641025640999E-3</v>
      </c>
      <c r="Q129" s="25">
        <v>0</v>
      </c>
      <c r="R129" s="26"/>
      <c r="S129" s="25">
        <v>0</v>
      </c>
      <c r="T129" s="26"/>
      <c r="U129" s="25">
        <v>-1</v>
      </c>
      <c r="V129" s="26">
        <v>-1.7825311942959001E-3</v>
      </c>
    </row>
    <row r="130" spans="1:22" x14ac:dyDescent="0.3">
      <c r="A130" s="10" t="s">
        <v>298</v>
      </c>
      <c r="B130" s="10"/>
      <c r="C130" s="25">
        <v>132</v>
      </c>
      <c r="D130" s="26">
        <v>-0.126923076923077</v>
      </c>
      <c r="E130" s="25">
        <v>151</v>
      </c>
      <c r="F130" s="26">
        <v>-0.986928104575163</v>
      </c>
      <c r="G130" s="25">
        <v>188</v>
      </c>
      <c r="H130" s="26">
        <v>0.198941798941799</v>
      </c>
      <c r="I130" s="25">
        <v>225</v>
      </c>
      <c r="J130" s="26">
        <v>5.7324840764331197E-2</v>
      </c>
      <c r="K130" s="25">
        <v>201</v>
      </c>
      <c r="L130" s="26">
        <v>0.62229102167182704</v>
      </c>
      <c r="M130" s="25">
        <v>177</v>
      </c>
      <c r="N130" s="26">
        <v>0.223203026481715</v>
      </c>
      <c r="O130" s="25">
        <v>177</v>
      </c>
      <c r="P130" s="26">
        <v>0.28365384615384598</v>
      </c>
      <c r="Q130" s="25">
        <v>160</v>
      </c>
      <c r="R130" s="26">
        <v>0.171306209850107</v>
      </c>
      <c r="S130" s="25">
        <v>121</v>
      </c>
      <c r="T130" s="26">
        <v>0.28672985781990501</v>
      </c>
      <c r="U130" s="25">
        <v>67</v>
      </c>
      <c r="V130" s="26">
        <v>0.11942959001782499</v>
      </c>
    </row>
    <row r="131" spans="1:22" x14ac:dyDescent="0.3">
      <c r="A131" s="10" t="s">
        <v>368</v>
      </c>
      <c r="B131" s="10"/>
      <c r="C131" s="25">
        <v>129</v>
      </c>
      <c r="D131" s="26">
        <v>-0.124038461538462</v>
      </c>
      <c r="E131" s="25">
        <v>129</v>
      </c>
      <c r="F131" s="26">
        <v>-0.84313725490196101</v>
      </c>
      <c r="G131" s="25">
        <v>151</v>
      </c>
      <c r="H131" s="26">
        <v>0.15978835978836001</v>
      </c>
      <c r="I131" s="25">
        <v>189</v>
      </c>
      <c r="J131" s="26">
        <v>4.8152866242038198E-2</v>
      </c>
      <c r="K131" s="25">
        <v>182</v>
      </c>
      <c r="L131" s="26">
        <v>0.56346749226006199</v>
      </c>
      <c r="M131" s="25">
        <v>143</v>
      </c>
      <c r="N131" s="26">
        <v>0.18032786885245899</v>
      </c>
      <c r="O131" s="25">
        <v>143</v>
      </c>
      <c r="P131" s="26">
        <v>0.22916666666666699</v>
      </c>
      <c r="Q131" s="25">
        <v>134</v>
      </c>
      <c r="R131" s="26">
        <v>0.143468950749465</v>
      </c>
      <c r="S131" s="25">
        <v>107</v>
      </c>
      <c r="T131" s="26">
        <v>0.25355450236966798</v>
      </c>
      <c r="U131" s="25">
        <v>56</v>
      </c>
      <c r="V131" s="26">
        <v>9.9821746880570397E-2</v>
      </c>
    </row>
    <row r="132" spans="1:22" x14ac:dyDescent="0.3">
      <c r="A132" s="10" t="s">
        <v>369</v>
      </c>
      <c r="B132" s="10"/>
      <c r="C132" s="25">
        <v>3</v>
      </c>
      <c r="D132" s="26">
        <v>-2.88461538461538E-3</v>
      </c>
      <c r="E132" s="25">
        <v>22</v>
      </c>
      <c r="F132" s="26">
        <v>-0.14379084967320299</v>
      </c>
      <c r="G132" s="25">
        <v>37</v>
      </c>
      <c r="H132" s="26">
        <v>3.9153439153439197E-2</v>
      </c>
      <c r="I132" s="25">
        <v>36</v>
      </c>
      <c r="J132" s="26">
        <v>9.1719745222929895E-3</v>
      </c>
      <c r="K132" s="25">
        <v>19</v>
      </c>
      <c r="L132" s="26">
        <v>5.8823529411764698E-2</v>
      </c>
      <c r="M132" s="25">
        <v>34</v>
      </c>
      <c r="N132" s="26">
        <v>4.2875157629255999E-2</v>
      </c>
      <c r="O132" s="25">
        <v>34</v>
      </c>
      <c r="P132" s="26">
        <v>5.4487179487179502E-2</v>
      </c>
      <c r="Q132" s="25">
        <v>26</v>
      </c>
      <c r="R132" s="26">
        <v>2.78372591006424E-2</v>
      </c>
      <c r="S132" s="25">
        <v>14</v>
      </c>
      <c r="T132" s="26">
        <v>3.3175355450236997E-2</v>
      </c>
      <c r="U132" s="25">
        <v>11</v>
      </c>
      <c r="V132" s="26">
        <v>1.9607843137254902E-2</v>
      </c>
    </row>
    <row r="133" spans="1:22" x14ac:dyDescent="0.3">
      <c r="A133" s="10" t="s">
        <v>367</v>
      </c>
      <c r="B133" s="10"/>
      <c r="C133" s="25">
        <v>0</v>
      </c>
      <c r="D133" s="26"/>
      <c r="E133" s="25">
        <v>0</v>
      </c>
      <c r="F133" s="26"/>
      <c r="G133" s="25">
        <v>0</v>
      </c>
      <c r="H133" s="26"/>
      <c r="I133" s="25">
        <v>0</v>
      </c>
      <c r="J133" s="26"/>
      <c r="K133" s="25">
        <v>0</v>
      </c>
      <c r="L133" s="26"/>
      <c r="M133" s="25">
        <v>0</v>
      </c>
      <c r="N133" s="26"/>
      <c r="O133" s="25">
        <v>0</v>
      </c>
      <c r="P133" s="26"/>
      <c r="Q133" s="25">
        <v>0</v>
      </c>
      <c r="R133" s="26"/>
      <c r="S133" s="25">
        <v>0</v>
      </c>
      <c r="T133" s="26"/>
      <c r="U133" s="25">
        <v>0</v>
      </c>
      <c r="V133" s="26"/>
    </row>
    <row r="134" spans="1:22" x14ac:dyDescent="0.3">
      <c r="A134" s="10" t="s">
        <v>370</v>
      </c>
      <c r="B134" s="10"/>
      <c r="C134" s="25">
        <v>-91</v>
      </c>
      <c r="D134" s="26">
        <v>8.7499999999999994E-2</v>
      </c>
      <c r="E134" s="25">
        <v>-38</v>
      </c>
      <c r="F134" s="26">
        <v>0.24836601307189499</v>
      </c>
      <c r="G134" s="25">
        <v>-47</v>
      </c>
      <c r="H134" s="26">
        <v>-4.9735449735449702E-2</v>
      </c>
      <c r="I134" s="25">
        <v>-33</v>
      </c>
      <c r="J134" s="26">
        <v>-8.4076433121019097E-3</v>
      </c>
      <c r="K134" s="25">
        <v>-75</v>
      </c>
      <c r="L134" s="26">
        <v>-0.232198142414861</v>
      </c>
      <c r="M134" s="25">
        <v>-58</v>
      </c>
      <c r="N134" s="26">
        <v>-7.3139974779318995E-2</v>
      </c>
      <c r="O134" s="25">
        <v>-37</v>
      </c>
      <c r="P134" s="26">
        <v>-5.9294871794871799E-2</v>
      </c>
      <c r="Q134" s="25">
        <v>8</v>
      </c>
      <c r="R134" s="26">
        <v>8.5653104925053503E-3</v>
      </c>
      <c r="S134" s="25">
        <v>-52</v>
      </c>
      <c r="T134" s="26">
        <v>-0.123222748815166</v>
      </c>
      <c r="U134" s="25">
        <v>-45</v>
      </c>
      <c r="V134" s="26">
        <v>-8.0213903743315496E-2</v>
      </c>
    </row>
    <row r="135" spans="1:22" x14ac:dyDescent="0.3">
      <c r="A135" s="10" t="s">
        <v>369</v>
      </c>
      <c r="B135" s="10"/>
      <c r="C135" s="25">
        <v>11</v>
      </c>
      <c r="D135" s="26">
        <v>-1.05769230769231E-2</v>
      </c>
      <c r="E135" s="25">
        <v>23</v>
      </c>
      <c r="F135" s="26">
        <v>-0.15032679738562099</v>
      </c>
      <c r="G135" s="25">
        <v>16</v>
      </c>
      <c r="H135" s="26">
        <v>1.6931216931216901E-2</v>
      </c>
      <c r="I135" s="25">
        <v>17</v>
      </c>
      <c r="J135" s="26">
        <v>4.3312101910828E-3</v>
      </c>
      <c r="K135" s="25">
        <v>15</v>
      </c>
      <c r="L135" s="26">
        <v>4.6439628482972103E-2</v>
      </c>
      <c r="M135" s="25">
        <v>24</v>
      </c>
      <c r="N135" s="26">
        <v>3.02648171500631E-2</v>
      </c>
      <c r="O135" s="25">
        <v>25</v>
      </c>
      <c r="P135" s="26">
        <v>4.0064102564102602E-2</v>
      </c>
      <c r="Q135" s="25">
        <v>31</v>
      </c>
      <c r="R135" s="26">
        <v>3.3190578158458203E-2</v>
      </c>
      <c r="S135" s="25">
        <v>6</v>
      </c>
      <c r="T135" s="26">
        <v>1.4218009478673001E-2</v>
      </c>
      <c r="U135" s="25">
        <v>4</v>
      </c>
      <c r="V135" s="26">
        <v>7.1301247771836003E-3</v>
      </c>
    </row>
    <row r="136" spans="1:22" x14ac:dyDescent="0.3">
      <c r="A136" s="10" t="s">
        <v>367</v>
      </c>
      <c r="B136" s="10"/>
      <c r="C136" s="25">
        <v>0</v>
      </c>
      <c r="D136" s="26"/>
      <c r="E136" s="25">
        <v>0</v>
      </c>
      <c r="F136" s="26"/>
      <c r="G136" s="25">
        <v>0</v>
      </c>
      <c r="H136" s="26"/>
      <c r="I136" s="25">
        <v>0</v>
      </c>
      <c r="J136" s="26"/>
      <c r="K136" s="25">
        <v>0</v>
      </c>
      <c r="L136" s="26"/>
      <c r="M136" s="25">
        <v>0</v>
      </c>
      <c r="N136" s="26"/>
      <c r="O136" s="25">
        <v>0</v>
      </c>
      <c r="P136" s="26"/>
      <c r="Q136" s="25">
        <v>0</v>
      </c>
      <c r="R136" s="26"/>
      <c r="S136" s="25">
        <v>0</v>
      </c>
      <c r="T136" s="26"/>
      <c r="U136" s="25">
        <v>0</v>
      </c>
      <c r="V136" s="26"/>
    </row>
    <row r="137" spans="1:22" x14ac:dyDescent="0.3">
      <c r="A137" s="10" t="s">
        <v>368</v>
      </c>
      <c r="B137" s="10"/>
      <c r="C137" s="25">
        <v>-102</v>
      </c>
      <c r="D137" s="26">
        <v>9.8076923076923103E-2</v>
      </c>
      <c r="E137" s="25">
        <v>-61</v>
      </c>
      <c r="F137" s="26">
        <v>0.39869281045751598</v>
      </c>
      <c r="G137" s="25">
        <v>-63</v>
      </c>
      <c r="H137" s="26">
        <v>-6.6666666666666693E-2</v>
      </c>
      <c r="I137" s="25">
        <v>-50</v>
      </c>
      <c r="J137" s="26">
        <v>-1.27388535031847E-2</v>
      </c>
      <c r="K137" s="25">
        <v>-90</v>
      </c>
      <c r="L137" s="26">
        <v>-0.27863777089783298</v>
      </c>
      <c r="M137" s="25">
        <v>-82</v>
      </c>
      <c r="N137" s="26">
        <v>-0.103404791929382</v>
      </c>
      <c r="O137" s="25">
        <v>-62</v>
      </c>
      <c r="P137" s="26">
        <v>-9.9358974358974395E-2</v>
      </c>
      <c r="Q137" s="25">
        <v>-23</v>
      </c>
      <c r="R137" s="26">
        <v>-2.46252676659529E-2</v>
      </c>
      <c r="S137" s="25">
        <v>-58</v>
      </c>
      <c r="T137" s="26">
        <v>-0.137440758293839</v>
      </c>
      <c r="U137" s="25">
        <v>-49</v>
      </c>
      <c r="V137" s="26">
        <v>-8.7344028520499106E-2</v>
      </c>
    </row>
    <row r="138" spans="1:22" x14ac:dyDescent="0.3">
      <c r="A138" s="10" t="s">
        <v>302</v>
      </c>
      <c r="B138" s="10"/>
      <c r="C138" s="25">
        <v>1262</v>
      </c>
      <c r="D138" s="26">
        <v>-1.2134615384615399</v>
      </c>
      <c r="E138" s="25">
        <v>972</v>
      </c>
      <c r="F138" s="26">
        <v>-6.3529411764705896</v>
      </c>
      <c r="G138" s="25" t="s">
        <v>294</v>
      </c>
      <c r="H138" s="26"/>
      <c r="I138" s="25" t="s">
        <v>294</v>
      </c>
      <c r="J138" s="26"/>
      <c r="K138" s="25" t="s">
        <v>294</v>
      </c>
      <c r="L138" s="26"/>
      <c r="M138" s="25" t="s">
        <v>294</v>
      </c>
      <c r="N138" s="26"/>
      <c r="O138" s="25" t="s">
        <v>294</v>
      </c>
      <c r="P138" s="26"/>
      <c r="Q138" s="25" t="s">
        <v>294</v>
      </c>
      <c r="R138" s="26"/>
      <c r="S138" s="25" t="s">
        <v>294</v>
      </c>
      <c r="T138" s="26"/>
      <c r="U138" s="25" t="s">
        <v>294</v>
      </c>
      <c r="V138" s="26"/>
    </row>
    <row r="139" spans="1:22" x14ac:dyDescent="0.3">
      <c r="A139" s="10" t="s">
        <v>368</v>
      </c>
      <c r="B139" s="10"/>
      <c r="C139" s="25">
        <v>1179</v>
      </c>
      <c r="D139" s="26">
        <v>-1.1336538461538499</v>
      </c>
      <c r="E139" s="25">
        <v>23</v>
      </c>
      <c r="F139" s="26">
        <v>-0.15032679738562099</v>
      </c>
      <c r="G139" s="25" t="s">
        <v>294</v>
      </c>
      <c r="H139" s="26"/>
      <c r="I139" s="25" t="s">
        <v>294</v>
      </c>
      <c r="J139" s="26"/>
      <c r="K139" s="25" t="s">
        <v>294</v>
      </c>
      <c r="L139" s="26"/>
      <c r="M139" s="25" t="s">
        <v>294</v>
      </c>
      <c r="N139" s="26"/>
      <c r="O139" s="25" t="s">
        <v>294</v>
      </c>
      <c r="P139" s="26"/>
      <c r="Q139" s="25" t="s">
        <v>294</v>
      </c>
      <c r="R139" s="26"/>
      <c r="S139" s="25" t="s">
        <v>294</v>
      </c>
      <c r="T139" s="26"/>
      <c r="U139" s="25" t="s">
        <v>294</v>
      </c>
      <c r="V139" s="26"/>
    </row>
    <row r="140" spans="1:22" x14ac:dyDescent="0.3">
      <c r="A140" s="10" t="s">
        <v>369</v>
      </c>
      <c r="B140" s="10"/>
      <c r="C140" s="25">
        <v>83</v>
      </c>
      <c r="D140" s="26">
        <v>-7.9807692307692302E-2</v>
      </c>
      <c r="E140" s="25">
        <v>949</v>
      </c>
      <c r="F140" s="26">
        <v>-6.2026143790849702</v>
      </c>
      <c r="G140" s="25" t="s">
        <v>294</v>
      </c>
      <c r="H140" s="26"/>
      <c r="I140" s="25" t="s">
        <v>294</v>
      </c>
      <c r="J140" s="26"/>
      <c r="K140" s="25" t="s">
        <v>294</v>
      </c>
      <c r="L140" s="26"/>
      <c r="M140" s="25" t="s">
        <v>294</v>
      </c>
      <c r="N140" s="26"/>
      <c r="O140" s="25" t="s">
        <v>294</v>
      </c>
      <c r="P140" s="26"/>
      <c r="Q140" s="25" t="s">
        <v>294</v>
      </c>
      <c r="R140" s="26"/>
      <c r="S140" s="25" t="s">
        <v>294</v>
      </c>
      <c r="T140" s="26"/>
      <c r="U140" s="25" t="s">
        <v>294</v>
      </c>
      <c r="V140" s="26"/>
    </row>
    <row r="141" spans="1:22" x14ac:dyDescent="0.3">
      <c r="A141" s="10" t="s">
        <v>367</v>
      </c>
      <c r="B141" s="10"/>
      <c r="C141" s="25">
        <v>0</v>
      </c>
      <c r="D141" s="26"/>
      <c r="E141" s="25">
        <v>0</v>
      </c>
      <c r="F141" s="26"/>
      <c r="G141" s="25" t="s">
        <v>294</v>
      </c>
      <c r="H141" s="26"/>
      <c r="I141" s="25" t="s">
        <v>294</v>
      </c>
      <c r="J141" s="26"/>
      <c r="K141" s="25" t="s">
        <v>294</v>
      </c>
      <c r="L141" s="26"/>
      <c r="M141" s="25" t="s">
        <v>294</v>
      </c>
      <c r="N141" s="26"/>
      <c r="O141" s="25" t="s">
        <v>294</v>
      </c>
      <c r="P141" s="26"/>
      <c r="Q141" s="25" t="s">
        <v>294</v>
      </c>
      <c r="R141" s="26"/>
      <c r="S141" s="25" t="s">
        <v>294</v>
      </c>
      <c r="T141" s="26"/>
      <c r="U141" s="25" t="s">
        <v>294</v>
      </c>
      <c r="V141" s="26"/>
    </row>
    <row r="142" spans="1:22" x14ac:dyDescent="0.3">
      <c r="A142" s="10" t="s">
        <v>354</v>
      </c>
      <c r="B142" s="10"/>
      <c r="C142" s="25">
        <v>-2343</v>
      </c>
      <c r="D142" s="26">
        <v>2.25288461538462</v>
      </c>
      <c r="E142" s="25">
        <v>-1238</v>
      </c>
      <c r="F142" s="26">
        <v>8.0915032679738594</v>
      </c>
      <c r="G142" s="25" t="s">
        <v>294</v>
      </c>
      <c r="H142" s="26"/>
      <c r="I142" s="25" t="s">
        <v>294</v>
      </c>
      <c r="J142" s="26"/>
      <c r="K142" s="25" t="s">
        <v>294</v>
      </c>
      <c r="L142" s="26"/>
      <c r="M142" s="25" t="s">
        <v>294</v>
      </c>
      <c r="N142" s="26"/>
      <c r="O142" s="25" t="s">
        <v>294</v>
      </c>
      <c r="P142" s="26"/>
      <c r="Q142" s="25" t="s">
        <v>294</v>
      </c>
      <c r="R142" s="26"/>
      <c r="S142" s="25" t="s">
        <v>294</v>
      </c>
      <c r="T142" s="26"/>
      <c r="U142" s="25" t="s">
        <v>294</v>
      </c>
      <c r="V142" s="26"/>
    </row>
    <row r="143" spans="1:22" x14ac:dyDescent="0.3">
      <c r="A143" s="10" t="s">
        <v>366</v>
      </c>
      <c r="B143" s="10"/>
      <c r="C143" s="25">
        <v>-1904</v>
      </c>
      <c r="D143" s="26">
        <v>1.83076923076923</v>
      </c>
      <c r="E143" s="25">
        <v>-1278</v>
      </c>
      <c r="F143" s="26">
        <v>8.3529411764705905</v>
      </c>
      <c r="G143" s="25" t="s">
        <v>294</v>
      </c>
      <c r="H143" s="26"/>
      <c r="I143" s="25" t="s">
        <v>294</v>
      </c>
      <c r="J143" s="26"/>
      <c r="K143" s="25" t="s">
        <v>294</v>
      </c>
      <c r="L143" s="26"/>
      <c r="M143" s="25" t="s">
        <v>294</v>
      </c>
      <c r="N143" s="26"/>
      <c r="O143" s="25" t="s">
        <v>294</v>
      </c>
      <c r="P143" s="26"/>
      <c r="Q143" s="25" t="s">
        <v>294</v>
      </c>
      <c r="R143" s="26"/>
      <c r="S143" s="25" t="s">
        <v>294</v>
      </c>
      <c r="T143" s="26"/>
      <c r="U143" s="25" t="s">
        <v>294</v>
      </c>
      <c r="V143" s="26"/>
    </row>
    <row r="144" spans="1:22" x14ac:dyDescent="0.3">
      <c r="A144" s="10" t="s">
        <v>368</v>
      </c>
      <c r="B144" s="10"/>
      <c r="C144" s="25">
        <v>-441</v>
      </c>
      <c r="D144" s="26">
        <v>0.42403846153846197</v>
      </c>
      <c r="E144" s="25">
        <v>38</v>
      </c>
      <c r="F144" s="26">
        <v>-0.24836601307189499</v>
      </c>
      <c r="G144" s="25" t="s">
        <v>294</v>
      </c>
      <c r="H144" s="26"/>
      <c r="I144" s="25" t="s">
        <v>294</v>
      </c>
      <c r="J144" s="26"/>
      <c r="K144" s="25" t="s">
        <v>294</v>
      </c>
      <c r="L144" s="26"/>
      <c r="M144" s="25" t="s">
        <v>294</v>
      </c>
      <c r="N144" s="26"/>
      <c r="O144" s="25" t="s">
        <v>294</v>
      </c>
      <c r="P144" s="26"/>
      <c r="Q144" s="25" t="s">
        <v>294</v>
      </c>
      <c r="R144" s="26"/>
      <c r="S144" s="25" t="s">
        <v>294</v>
      </c>
      <c r="T144" s="26"/>
      <c r="U144" s="25" t="s">
        <v>294</v>
      </c>
      <c r="V144" s="26"/>
    </row>
    <row r="145" spans="1:22" x14ac:dyDescent="0.3">
      <c r="A145" s="10" t="s">
        <v>369</v>
      </c>
      <c r="B145" s="10"/>
      <c r="C145" s="25">
        <v>2</v>
      </c>
      <c r="D145" s="26">
        <v>-1.9230769230769199E-3</v>
      </c>
      <c r="E145" s="25">
        <v>2</v>
      </c>
      <c r="F145" s="26">
        <v>-1.30718954248366E-2</v>
      </c>
      <c r="G145" s="25" t="s">
        <v>294</v>
      </c>
      <c r="H145" s="26"/>
      <c r="I145" s="25" t="s">
        <v>294</v>
      </c>
      <c r="J145" s="26"/>
      <c r="K145" s="25" t="s">
        <v>294</v>
      </c>
      <c r="L145" s="26"/>
      <c r="M145" s="25" t="s">
        <v>294</v>
      </c>
      <c r="N145" s="26"/>
      <c r="O145" s="25" t="s">
        <v>294</v>
      </c>
      <c r="P145" s="26"/>
      <c r="Q145" s="25" t="s">
        <v>294</v>
      </c>
      <c r="R145" s="26"/>
      <c r="S145" s="25" t="s">
        <v>294</v>
      </c>
      <c r="T145" s="26"/>
      <c r="U145" s="25" t="s">
        <v>294</v>
      </c>
      <c r="V145" s="26"/>
    </row>
    <row r="146" spans="1:22" x14ac:dyDescent="0.3">
      <c r="A146" s="10" t="s">
        <v>367</v>
      </c>
      <c r="B146" s="10"/>
      <c r="C146" s="25">
        <v>0</v>
      </c>
      <c r="D146" s="26"/>
      <c r="E146" s="25">
        <v>0</v>
      </c>
      <c r="F146" s="26"/>
      <c r="G146" s="25" t="s">
        <v>294</v>
      </c>
      <c r="H146" s="26"/>
      <c r="I146" s="25" t="s">
        <v>294</v>
      </c>
      <c r="J146" s="26"/>
      <c r="K146" s="25" t="s">
        <v>294</v>
      </c>
      <c r="L146" s="26"/>
      <c r="M146" s="25" t="s">
        <v>294</v>
      </c>
      <c r="N146" s="26"/>
      <c r="O146" s="25" t="s">
        <v>294</v>
      </c>
      <c r="P146" s="26"/>
      <c r="Q146" s="25" t="s">
        <v>294</v>
      </c>
      <c r="R146" s="26"/>
      <c r="S146" s="25" t="s">
        <v>294</v>
      </c>
      <c r="T146" s="26"/>
      <c r="U146" s="25" t="s">
        <v>294</v>
      </c>
      <c r="V146" s="26"/>
    </row>
    <row r="147" spans="1:22" x14ac:dyDescent="0.3">
      <c r="A147" s="10" t="s">
        <v>304</v>
      </c>
      <c r="B147" s="10"/>
      <c r="C147" s="25" t="s">
        <v>294</v>
      </c>
      <c r="D147" s="26"/>
      <c r="E147" s="25" t="s">
        <v>294</v>
      </c>
      <c r="F147" s="26"/>
      <c r="G147" s="25">
        <v>136</v>
      </c>
      <c r="H147" s="26">
        <v>0.143915343915344</v>
      </c>
      <c r="I147" s="25">
        <v>2359</v>
      </c>
      <c r="J147" s="26">
        <v>0.60101910828025495</v>
      </c>
      <c r="K147" s="25" t="s">
        <v>294</v>
      </c>
      <c r="L147" s="26"/>
      <c r="M147" s="25" t="s">
        <v>294</v>
      </c>
      <c r="N147" s="26"/>
      <c r="O147" s="25" t="s">
        <v>294</v>
      </c>
      <c r="P147" s="26"/>
      <c r="Q147" s="25" t="s">
        <v>294</v>
      </c>
      <c r="R147" s="26"/>
      <c r="S147" s="25" t="s">
        <v>294</v>
      </c>
      <c r="T147" s="26"/>
      <c r="U147" s="25" t="s">
        <v>294</v>
      </c>
      <c r="V147" s="26"/>
    </row>
    <row r="148" spans="1:22" x14ac:dyDescent="0.3">
      <c r="A148" s="10" t="s">
        <v>368</v>
      </c>
      <c r="B148" s="10"/>
      <c r="C148" s="25" t="s">
        <v>294</v>
      </c>
      <c r="D148" s="26"/>
      <c r="E148" s="25" t="s">
        <v>294</v>
      </c>
      <c r="F148" s="26"/>
      <c r="G148" s="25">
        <v>280</v>
      </c>
      <c r="H148" s="26">
        <v>0.296296296296296</v>
      </c>
      <c r="I148" s="25">
        <v>334</v>
      </c>
      <c r="J148" s="26">
        <v>8.50955414012739E-2</v>
      </c>
      <c r="K148" s="25" t="s">
        <v>294</v>
      </c>
      <c r="L148" s="26"/>
      <c r="M148" s="25" t="s">
        <v>294</v>
      </c>
      <c r="N148" s="26"/>
      <c r="O148" s="25" t="s">
        <v>294</v>
      </c>
      <c r="P148" s="26"/>
      <c r="Q148" s="25" t="s">
        <v>294</v>
      </c>
      <c r="R148" s="26"/>
      <c r="S148" s="25" t="s">
        <v>294</v>
      </c>
      <c r="T148" s="26"/>
      <c r="U148" s="25" t="s">
        <v>294</v>
      </c>
      <c r="V148" s="26"/>
    </row>
    <row r="149" spans="1:22" x14ac:dyDescent="0.3">
      <c r="A149" s="10" t="s">
        <v>369</v>
      </c>
      <c r="B149" s="10"/>
      <c r="C149" s="25" t="s">
        <v>294</v>
      </c>
      <c r="D149" s="26"/>
      <c r="E149" s="25" t="s">
        <v>294</v>
      </c>
      <c r="F149" s="26"/>
      <c r="G149" s="25">
        <v>9</v>
      </c>
      <c r="H149" s="26">
        <v>9.5238095238095195E-3</v>
      </c>
      <c r="I149" s="25">
        <v>1</v>
      </c>
      <c r="J149" s="26">
        <v>2.5477707006369403E-4</v>
      </c>
      <c r="K149" s="25" t="s">
        <v>294</v>
      </c>
      <c r="L149" s="26"/>
      <c r="M149" s="25" t="s">
        <v>294</v>
      </c>
      <c r="N149" s="26"/>
      <c r="O149" s="25" t="s">
        <v>294</v>
      </c>
      <c r="P149" s="26"/>
      <c r="Q149" s="25" t="s">
        <v>294</v>
      </c>
      <c r="R149" s="26"/>
      <c r="S149" s="25" t="s">
        <v>294</v>
      </c>
      <c r="T149" s="26"/>
      <c r="U149" s="25" t="s">
        <v>294</v>
      </c>
      <c r="V149" s="26"/>
    </row>
    <row r="150" spans="1:22" x14ac:dyDescent="0.3">
      <c r="A150" s="10" t="s">
        <v>366</v>
      </c>
      <c r="B150" s="10"/>
      <c r="C150" s="25" t="s">
        <v>294</v>
      </c>
      <c r="D150" s="26"/>
      <c r="E150" s="25" t="s">
        <v>294</v>
      </c>
      <c r="F150" s="26"/>
      <c r="G150" s="25">
        <v>-153</v>
      </c>
      <c r="H150" s="26">
        <v>-0.161904761904762</v>
      </c>
      <c r="I150" s="25">
        <v>2024</v>
      </c>
      <c r="J150" s="26">
        <v>0.51566878980891695</v>
      </c>
      <c r="K150" s="25" t="s">
        <v>294</v>
      </c>
      <c r="L150" s="26"/>
      <c r="M150" s="25" t="s">
        <v>294</v>
      </c>
      <c r="N150" s="26"/>
      <c r="O150" s="25" t="s">
        <v>294</v>
      </c>
      <c r="P150" s="26"/>
      <c r="Q150" s="25" t="s">
        <v>294</v>
      </c>
      <c r="R150" s="26"/>
      <c r="S150" s="25" t="s">
        <v>294</v>
      </c>
      <c r="T150" s="26"/>
      <c r="U150" s="25" t="s">
        <v>294</v>
      </c>
      <c r="V150" s="26"/>
    </row>
    <row r="151" spans="1:22" x14ac:dyDescent="0.3">
      <c r="A151" s="10" t="s">
        <v>367</v>
      </c>
      <c r="B151" s="10"/>
      <c r="C151" s="25" t="s">
        <v>294</v>
      </c>
      <c r="D151" s="26"/>
      <c r="E151" s="25" t="s">
        <v>294</v>
      </c>
      <c r="F151" s="26"/>
      <c r="G151" s="25">
        <v>0</v>
      </c>
      <c r="H151" s="26"/>
      <c r="I151" s="25">
        <v>0</v>
      </c>
      <c r="J151" s="26"/>
      <c r="K151" s="25" t="s">
        <v>294</v>
      </c>
      <c r="L151" s="26"/>
      <c r="M151" s="25" t="s">
        <v>294</v>
      </c>
      <c r="N151" s="26"/>
      <c r="O151" s="25" t="s">
        <v>294</v>
      </c>
      <c r="P151" s="26"/>
      <c r="Q151" s="25" t="s">
        <v>294</v>
      </c>
      <c r="R151" s="26"/>
      <c r="S151" s="25" t="s">
        <v>294</v>
      </c>
      <c r="T151" s="26"/>
      <c r="U151" s="25" t="s">
        <v>294</v>
      </c>
      <c r="V151" s="26"/>
    </row>
    <row r="152" spans="1:22" x14ac:dyDescent="0.3">
      <c r="A152" s="7" t="s">
        <v>137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</sheetData>
  <pageMargins left="0.7" right="0.7" top="0.75" bottom="0.75" header="0.3" footer="0.3"/>
  <pageSetup scale="60" orientation="portrait" r:id="rId1"/>
  <rowBreaks count="2" manualBreakCount="2">
    <brk id="71" max="16383" man="1"/>
    <brk id="12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93F-8A06-483D-AA95-23D01C0758F2}">
  <dimension ref="A1:N1260"/>
  <sheetViews>
    <sheetView workbookViewId="0">
      <selection activeCell="I8" sqref="I8"/>
    </sheetView>
  </sheetViews>
  <sheetFormatPr defaultRowHeight="14.4" x14ac:dyDescent="0.3"/>
  <cols>
    <col min="1" max="1" width="10.5546875" bestFit="1" customWidth="1"/>
  </cols>
  <sheetData>
    <row r="1" spans="1:14" x14ac:dyDescent="0.3">
      <c r="A1" s="207" t="s">
        <v>595</v>
      </c>
      <c r="B1" s="275" t="s">
        <v>550</v>
      </c>
      <c r="C1" s="275"/>
    </row>
    <row r="3" spans="1:14" x14ac:dyDescent="0.3">
      <c r="A3" t="s">
        <v>588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  <c r="G3" t="s">
        <v>594</v>
      </c>
      <c r="J3" s="209" t="s">
        <v>492</v>
      </c>
      <c r="K3" s="209" t="s">
        <v>596</v>
      </c>
      <c r="L3" s="209" t="s">
        <v>494</v>
      </c>
      <c r="M3" s="209" t="s">
        <v>495</v>
      </c>
      <c r="N3" s="209" t="s">
        <v>496</v>
      </c>
    </row>
    <row r="4" spans="1:14" x14ac:dyDescent="0.3">
      <c r="A4" s="206">
        <v>43411</v>
      </c>
      <c r="B4">
        <v>44.959999000000003</v>
      </c>
      <c r="C4">
        <v>45.419998</v>
      </c>
      <c r="D4">
        <v>44.32</v>
      </c>
      <c r="E4">
        <v>45.18</v>
      </c>
      <c r="F4">
        <v>38.091873</v>
      </c>
      <c r="G4">
        <v>6086800</v>
      </c>
      <c r="J4" s="208">
        <f>MIN(E4:E1260)</f>
        <v>23.530000999999999</v>
      </c>
      <c r="K4" s="208">
        <f>QUARTILE(E4:E1260,1)</f>
        <v>45.57</v>
      </c>
      <c r="L4" s="208">
        <f>MEDIAN(E4:E1260)</f>
        <v>57.110000999999997</v>
      </c>
      <c r="M4" s="208">
        <f>QUARTILE(E4:E1260,3)</f>
        <v>63.630001</v>
      </c>
      <c r="N4" s="208">
        <f>MAX(E4:E1260)</f>
        <v>76.949996999999996</v>
      </c>
    </row>
    <row r="5" spans="1:14" x14ac:dyDescent="0.3">
      <c r="A5" s="206">
        <v>43412</v>
      </c>
      <c r="B5">
        <v>44.75</v>
      </c>
      <c r="C5">
        <v>45.939999</v>
      </c>
      <c r="D5">
        <v>44.68</v>
      </c>
      <c r="E5">
        <v>45.439999</v>
      </c>
      <c r="F5">
        <v>38.311076999999997</v>
      </c>
      <c r="G5">
        <v>7667200</v>
      </c>
    </row>
    <row r="6" spans="1:14" x14ac:dyDescent="0.3">
      <c r="A6" s="206">
        <v>43413</v>
      </c>
      <c r="B6">
        <v>45.279998999999997</v>
      </c>
      <c r="C6">
        <v>45.619999</v>
      </c>
      <c r="D6">
        <v>44.799999</v>
      </c>
      <c r="E6">
        <v>45.189999</v>
      </c>
      <c r="F6">
        <v>38.100299999999997</v>
      </c>
      <c r="G6">
        <v>6927600</v>
      </c>
    </row>
    <row r="7" spans="1:14" x14ac:dyDescent="0.3">
      <c r="A7" s="206">
        <v>43416</v>
      </c>
      <c r="B7">
        <v>45.23</v>
      </c>
      <c r="C7">
        <v>45.41</v>
      </c>
      <c r="D7">
        <v>44.630001</v>
      </c>
      <c r="E7">
        <v>44.73</v>
      </c>
      <c r="F7">
        <v>37.712466999999997</v>
      </c>
      <c r="G7">
        <v>5472600</v>
      </c>
    </row>
    <row r="8" spans="1:14" x14ac:dyDescent="0.3">
      <c r="A8" s="206">
        <v>43417</v>
      </c>
      <c r="B8">
        <v>45.16</v>
      </c>
      <c r="C8">
        <v>46.169998</v>
      </c>
      <c r="D8">
        <v>45.07</v>
      </c>
      <c r="E8">
        <v>45.459999000000003</v>
      </c>
      <c r="F8">
        <v>38.327938000000003</v>
      </c>
      <c r="G8">
        <v>6212400</v>
      </c>
    </row>
    <row r="9" spans="1:14" x14ac:dyDescent="0.3">
      <c r="A9" s="206">
        <v>43418</v>
      </c>
      <c r="B9">
        <v>45.990001999999997</v>
      </c>
      <c r="C9">
        <v>46.349997999999999</v>
      </c>
      <c r="D9">
        <v>44.720001000000003</v>
      </c>
      <c r="E9">
        <v>45.040000999999997</v>
      </c>
      <c r="F9">
        <v>37.973830999999997</v>
      </c>
      <c r="G9">
        <v>6885800</v>
      </c>
    </row>
    <row r="10" spans="1:14" x14ac:dyDescent="0.3">
      <c r="A10" s="206">
        <v>43419</v>
      </c>
      <c r="B10">
        <v>44.549999</v>
      </c>
      <c r="C10">
        <v>44.919998</v>
      </c>
      <c r="D10">
        <v>44.02</v>
      </c>
      <c r="E10">
        <v>44.799999</v>
      </c>
      <c r="F10">
        <v>37.771487999999998</v>
      </c>
      <c r="G10">
        <v>8768500</v>
      </c>
    </row>
    <row r="11" spans="1:14" x14ac:dyDescent="0.3">
      <c r="A11" s="206">
        <v>43420</v>
      </c>
      <c r="B11">
        <v>44.540000999999997</v>
      </c>
      <c r="C11">
        <v>44.700001</v>
      </c>
      <c r="D11">
        <v>43.82</v>
      </c>
      <c r="E11">
        <v>43.959999000000003</v>
      </c>
      <c r="F11">
        <v>37.063267000000003</v>
      </c>
      <c r="G11">
        <v>8171900</v>
      </c>
    </row>
    <row r="12" spans="1:14" x14ac:dyDescent="0.3">
      <c r="A12" s="206">
        <v>43423</v>
      </c>
      <c r="B12">
        <v>43.939999</v>
      </c>
      <c r="C12">
        <v>44.169998</v>
      </c>
      <c r="D12">
        <v>43.360000999999997</v>
      </c>
      <c r="E12">
        <v>43.669998</v>
      </c>
      <c r="F12">
        <v>36.818770999999998</v>
      </c>
      <c r="G12">
        <v>7902200</v>
      </c>
    </row>
    <row r="13" spans="1:14" x14ac:dyDescent="0.3">
      <c r="A13" s="206">
        <v>43424</v>
      </c>
      <c r="B13">
        <v>43.290000999999997</v>
      </c>
      <c r="C13">
        <v>43.330002</v>
      </c>
      <c r="D13">
        <v>42.23</v>
      </c>
      <c r="E13">
        <v>42.84</v>
      </c>
      <c r="F13">
        <v>36.118983999999998</v>
      </c>
      <c r="G13">
        <v>9635800</v>
      </c>
    </row>
    <row r="14" spans="1:14" x14ac:dyDescent="0.3">
      <c r="A14" s="206">
        <v>43425</v>
      </c>
      <c r="B14">
        <v>43.27</v>
      </c>
      <c r="C14">
        <v>43.939999</v>
      </c>
      <c r="D14">
        <v>42.75</v>
      </c>
      <c r="E14">
        <v>42.990001999999997</v>
      </c>
      <c r="F14">
        <v>36.245449000000001</v>
      </c>
      <c r="G14">
        <v>6577800</v>
      </c>
    </row>
    <row r="15" spans="1:14" x14ac:dyDescent="0.3">
      <c r="A15" s="206">
        <v>43427</v>
      </c>
      <c r="B15">
        <v>42.43</v>
      </c>
      <c r="C15">
        <v>43.349997999999999</v>
      </c>
      <c r="D15">
        <v>42.41</v>
      </c>
      <c r="E15">
        <v>42.799999</v>
      </c>
      <c r="F15">
        <v>36.085262</v>
      </c>
      <c r="G15">
        <v>2702800</v>
      </c>
    </row>
    <row r="16" spans="1:14" x14ac:dyDescent="0.3">
      <c r="A16" s="206">
        <v>43430</v>
      </c>
      <c r="B16">
        <v>43.459999000000003</v>
      </c>
      <c r="C16">
        <v>44.220001000000003</v>
      </c>
      <c r="D16">
        <v>43.41</v>
      </c>
      <c r="E16">
        <v>43.790000999999997</v>
      </c>
      <c r="F16">
        <v>36.919941000000001</v>
      </c>
      <c r="G16">
        <v>6395900</v>
      </c>
    </row>
    <row r="17" spans="1:7" x14ac:dyDescent="0.3">
      <c r="A17" s="206">
        <v>43431</v>
      </c>
      <c r="B17">
        <v>43.619999</v>
      </c>
      <c r="C17">
        <v>44.360000999999997</v>
      </c>
      <c r="D17">
        <v>43.599997999999999</v>
      </c>
      <c r="E17">
        <v>44.009998000000003</v>
      </c>
      <c r="F17">
        <v>37.105423000000002</v>
      </c>
      <c r="G17">
        <v>7301800</v>
      </c>
    </row>
    <row r="18" spans="1:7" x14ac:dyDescent="0.3">
      <c r="A18" s="206">
        <v>43432</v>
      </c>
      <c r="B18">
        <v>43.970001000000003</v>
      </c>
      <c r="C18">
        <v>45.09</v>
      </c>
      <c r="D18">
        <v>43.720001000000003</v>
      </c>
      <c r="E18">
        <v>45.09</v>
      </c>
      <c r="F18">
        <v>38.015991</v>
      </c>
      <c r="G18">
        <v>6869700</v>
      </c>
    </row>
    <row r="19" spans="1:7" x14ac:dyDescent="0.3">
      <c r="A19" s="206">
        <v>43433</v>
      </c>
      <c r="B19">
        <v>44.639999000000003</v>
      </c>
      <c r="C19">
        <v>45.07</v>
      </c>
      <c r="D19">
        <v>44.279998999999997</v>
      </c>
      <c r="E19">
        <v>44.389999000000003</v>
      </c>
      <c r="F19">
        <v>37.425808000000004</v>
      </c>
      <c r="G19">
        <v>5673100</v>
      </c>
    </row>
    <row r="20" spans="1:7" x14ac:dyDescent="0.3">
      <c r="A20" s="206">
        <v>43434</v>
      </c>
      <c r="B20">
        <v>44.369999</v>
      </c>
      <c r="C20">
        <v>44.810001</v>
      </c>
      <c r="D20">
        <v>44.25</v>
      </c>
      <c r="E20">
        <v>44.630001</v>
      </c>
      <c r="F20">
        <v>37.628158999999997</v>
      </c>
      <c r="G20">
        <v>6116100</v>
      </c>
    </row>
    <row r="21" spans="1:7" x14ac:dyDescent="0.3">
      <c r="A21" s="206">
        <v>43437</v>
      </c>
      <c r="B21">
        <v>45.299999</v>
      </c>
      <c r="C21">
        <v>45.849997999999999</v>
      </c>
      <c r="D21">
        <v>44.509998000000003</v>
      </c>
      <c r="E21">
        <v>44.82</v>
      </c>
      <c r="F21">
        <v>37.788342</v>
      </c>
      <c r="G21">
        <v>8031500</v>
      </c>
    </row>
    <row r="22" spans="1:7" x14ac:dyDescent="0.3">
      <c r="A22" s="206">
        <v>43438</v>
      </c>
      <c r="B22">
        <v>44.540000999999997</v>
      </c>
      <c r="C22">
        <v>44.619999</v>
      </c>
      <c r="D22">
        <v>42.099997999999999</v>
      </c>
      <c r="E22">
        <v>42.419998</v>
      </c>
      <c r="F22">
        <v>35.764873999999999</v>
      </c>
      <c r="G22">
        <v>9803500</v>
      </c>
    </row>
    <row r="23" spans="1:7" x14ac:dyDescent="0.3">
      <c r="A23" s="206">
        <v>43440</v>
      </c>
      <c r="B23">
        <v>41.580002</v>
      </c>
      <c r="C23">
        <v>41.59</v>
      </c>
      <c r="D23">
        <v>40.130001</v>
      </c>
      <c r="E23">
        <v>41.169998</v>
      </c>
      <c r="F23">
        <v>34.710982999999999</v>
      </c>
      <c r="G23">
        <v>11420500</v>
      </c>
    </row>
    <row r="24" spans="1:7" x14ac:dyDescent="0.3">
      <c r="A24" s="206">
        <v>43441</v>
      </c>
      <c r="B24">
        <v>41.080002</v>
      </c>
      <c r="C24">
        <v>41.919998</v>
      </c>
      <c r="D24">
        <v>40.229999999999997</v>
      </c>
      <c r="E24">
        <v>40.630001</v>
      </c>
      <c r="F24">
        <v>34.255699</v>
      </c>
      <c r="G24">
        <v>8767900</v>
      </c>
    </row>
    <row r="25" spans="1:7" x14ac:dyDescent="0.3">
      <c r="A25" s="206">
        <v>43444</v>
      </c>
      <c r="B25">
        <v>40.5</v>
      </c>
      <c r="C25">
        <v>40.650002000000001</v>
      </c>
      <c r="D25">
        <v>38.900002000000001</v>
      </c>
      <c r="E25">
        <v>39.610000999999997</v>
      </c>
      <c r="F25">
        <v>33.395718000000002</v>
      </c>
      <c r="G25">
        <v>8352300</v>
      </c>
    </row>
    <row r="26" spans="1:7" x14ac:dyDescent="0.3">
      <c r="A26" s="206">
        <v>43445</v>
      </c>
      <c r="B26">
        <v>40.229999999999997</v>
      </c>
      <c r="C26">
        <v>40.709999000000003</v>
      </c>
      <c r="D26">
        <v>39.040000999999997</v>
      </c>
      <c r="E26">
        <v>39.229999999999997</v>
      </c>
      <c r="F26">
        <v>33.075336</v>
      </c>
      <c r="G26">
        <v>7960400</v>
      </c>
    </row>
    <row r="27" spans="1:7" x14ac:dyDescent="0.3">
      <c r="A27" s="206">
        <v>43446</v>
      </c>
      <c r="B27">
        <v>39.849997999999999</v>
      </c>
      <c r="C27">
        <v>40.310001</v>
      </c>
      <c r="D27">
        <v>39.409999999999997</v>
      </c>
      <c r="E27">
        <v>39.57</v>
      </c>
      <c r="F27">
        <v>33.362000000000002</v>
      </c>
      <c r="G27">
        <v>6148600</v>
      </c>
    </row>
    <row r="28" spans="1:7" x14ac:dyDescent="0.3">
      <c r="A28" s="206">
        <v>43447</v>
      </c>
      <c r="B28">
        <v>39.659999999999997</v>
      </c>
      <c r="C28">
        <v>39.82</v>
      </c>
      <c r="D28">
        <v>39.130001</v>
      </c>
      <c r="E28">
        <v>39.520000000000003</v>
      </c>
      <c r="F28">
        <v>33.319839000000002</v>
      </c>
      <c r="G28">
        <v>7424200</v>
      </c>
    </row>
    <row r="29" spans="1:7" x14ac:dyDescent="0.3">
      <c r="A29" s="206">
        <v>43448</v>
      </c>
      <c r="B29">
        <v>38.860000999999997</v>
      </c>
      <c r="C29">
        <v>39.880001</v>
      </c>
      <c r="D29">
        <v>38.810001</v>
      </c>
      <c r="E29">
        <v>38.889999000000003</v>
      </c>
      <c r="F29">
        <v>32.788680999999997</v>
      </c>
      <c r="G29">
        <v>6918900</v>
      </c>
    </row>
    <row r="30" spans="1:7" x14ac:dyDescent="0.3">
      <c r="A30" s="206">
        <v>43451</v>
      </c>
      <c r="B30">
        <v>38.759998000000003</v>
      </c>
      <c r="C30">
        <v>39.810001</v>
      </c>
      <c r="D30">
        <v>38.619999</v>
      </c>
      <c r="E30">
        <v>38.880001</v>
      </c>
      <c r="F30">
        <v>32.780258000000003</v>
      </c>
      <c r="G30">
        <v>10100100</v>
      </c>
    </row>
    <row r="31" spans="1:7" x14ac:dyDescent="0.3">
      <c r="A31" s="206">
        <v>43452</v>
      </c>
      <c r="B31">
        <v>39.080002</v>
      </c>
      <c r="C31">
        <v>40.07</v>
      </c>
      <c r="D31">
        <v>39.040000999999997</v>
      </c>
      <c r="E31">
        <v>39.619999</v>
      </c>
      <c r="F31">
        <v>33.404156</v>
      </c>
      <c r="G31">
        <v>9614900</v>
      </c>
    </row>
    <row r="32" spans="1:7" x14ac:dyDescent="0.3">
      <c r="A32" s="206">
        <v>43453</v>
      </c>
      <c r="B32">
        <v>39.709999000000003</v>
      </c>
      <c r="C32">
        <v>40.950001</v>
      </c>
      <c r="D32">
        <v>38.919998</v>
      </c>
      <c r="E32">
        <v>39.240001999999997</v>
      </c>
      <c r="F32">
        <v>33.083775000000003</v>
      </c>
      <c r="G32">
        <v>11306800</v>
      </c>
    </row>
    <row r="33" spans="1:7" x14ac:dyDescent="0.3">
      <c r="A33" s="206">
        <v>43454</v>
      </c>
      <c r="B33">
        <v>39.090000000000003</v>
      </c>
      <c r="C33">
        <v>40.150002000000001</v>
      </c>
      <c r="D33">
        <v>38.950001</v>
      </c>
      <c r="E33">
        <v>39.349997999999999</v>
      </c>
      <c r="F33">
        <v>33.176516999999997</v>
      </c>
      <c r="G33">
        <v>11172600</v>
      </c>
    </row>
    <row r="34" spans="1:7" x14ac:dyDescent="0.3">
      <c r="A34" s="206">
        <v>43455</v>
      </c>
      <c r="B34">
        <v>39.07</v>
      </c>
      <c r="C34">
        <v>40.07</v>
      </c>
      <c r="D34">
        <v>38.529998999999997</v>
      </c>
      <c r="E34">
        <v>38.630001</v>
      </c>
      <c r="F34">
        <v>32.569468999999998</v>
      </c>
      <c r="G34">
        <v>12359600</v>
      </c>
    </row>
    <row r="35" spans="1:7" x14ac:dyDescent="0.3">
      <c r="A35" s="206">
        <v>43458</v>
      </c>
      <c r="B35">
        <v>38.090000000000003</v>
      </c>
      <c r="C35">
        <v>39.240001999999997</v>
      </c>
      <c r="D35">
        <v>37.909999999999997</v>
      </c>
      <c r="E35">
        <v>38.240001999999997</v>
      </c>
      <c r="F35">
        <v>32.240665</v>
      </c>
      <c r="G35">
        <v>6613000</v>
      </c>
    </row>
    <row r="36" spans="1:7" x14ac:dyDescent="0.3">
      <c r="A36" s="206">
        <v>43460</v>
      </c>
      <c r="B36">
        <v>38.330002</v>
      </c>
      <c r="C36">
        <v>40.240001999999997</v>
      </c>
      <c r="D36">
        <v>37.759998000000003</v>
      </c>
      <c r="E36">
        <v>40.189999</v>
      </c>
      <c r="F36">
        <v>33.884723999999999</v>
      </c>
      <c r="G36">
        <v>8995100</v>
      </c>
    </row>
    <row r="37" spans="1:7" x14ac:dyDescent="0.3">
      <c r="A37" s="206">
        <v>43461</v>
      </c>
      <c r="B37">
        <v>39.520000000000003</v>
      </c>
      <c r="C37">
        <v>40.950001</v>
      </c>
      <c r="D37">
        <v>39.330002</v>
      </c>
      <c r="E37">
        <v>40.950001</v>
      </c>
      <c r="F37">
        <v>34.525494000000002</v>
      </c>
      <c r="G37">
        <v>10421600</v>
      </c>
    </row>
    <row r="38" spans="1:7" x14ac:dyDescent="0.3">
      <c r="A38" s="206">
        <v>43462</v>
      </c>
      <c r="B38">
        <v>41.09</v>
      </c>
      <c r="C38">
        <v>41.23</v>
      </c>
      <c r="D38">
        <v>40.349997999999999</v>
      </c>
      <c r="E38">
        <v>40.619999</v>
      </c>
      <c r="F38">
        <v>34.247275999999999</v>
      </c>
      <c r="G38">
        <v>6361600</v>
      </c>
    </row>
    <row r="39" spans="1:7" x14ac:dyDescent="0.3">
      <c r="A39" s="206">
        <v>43465</v>
      </c>
      <c r="B39">
        <v>40.849997999999999</v>
      </c>
      <c r="C39">
        <v>41.299999</v>
      </c>
      <c r="D39">
        <v>40.520000000000003</v>
      </c>
      <c r="E39">
        <v>41.060001</v>
      </c>
      <c r="F39">
        <v>34.618248000000001</v>
      </c>
      <c r="G39">
        <v>4665400</v>
      </c>
    </row>
    <row r="40" spans="1:7" x14ac:dyDescent="0.3">
      <c r="A40" s="206">
        <v>43467</v>
      </c>
      <c r="B40">
        <v>40.610000999999997</v>
      </c>
      <c r="C40">
        <v>41.779998999999997</v>
      </c>
      <c r="D40">
        <v>40.25</v>
      </c>
      <c r="E40">
        <v>41.669998</v>
      </c>
      <c r="F40">
        <v>35.132537999999997</v>
      </c>
      <c r="G40">
        <v>5226900</v>
      </c>
    </row>
    <row r="41" spans="1:7" x14ac:dyDescent="0.3">
      <c r="A41" s="206">
        <v>43468</v>
      </c>
      <c r="B41">
        <v>41.360000999999997</v>
      </c>
      <c r="C41">
        <v>41.66</v>
      </c>
      <c r="D41">
        <v>40.740001999999997</v>
      </c>
      <c r="E41">
        <v>40.869999</v>
      </c>
      <c r="F41">
        <v>34.458041999999999</v>
      </c>
      <c r="G41">
        <v>6627500</v>
      </c>
    </row>
    <row r="42" spans="1:7" x14ac:dyDescent="0.3">
      <c r="A42" s="206">
        <v>43469</v>
      </c>
      <c r="B42">
        <v>41.700001</v>
      </c>
      <c r="C42">
        <v>42.549999</v>
      </c>
      <c r="D42">
        <v>41.639999000000003</v>
      </c>
      <c r="E42">
        <v>42.279998999999997</v>
      </c>
      <c r="F42">
        <v>35.646842999999997</v>
      </c>
      <c r="G42">
        <v>5962400</v>
      </c>
    </row>
    <row r="43" spans="1:7" x14ac:dyDescent="0.3">
      <c r="A43" s="206">
        <v>43472</v>
      </c>
      <c r="B43">
        <v>42.139999000000003</v>
      </c>
      <c r="C43">
        <v>42.950001</v>
      </c>
      <c r="D43">
        <v>41.759998000000003</v>
      </c>
      <c r="E43">
        <v>42.549999</v>
      </c>
      <c r="F43">
        <v>35.874481000000003</v>
      </c>
      <c r="G43">
        <v>5590200</v>
      </c>
    </row>
    <row r="44" spans="1:7" x14ac:dyDescent="0.3">
      <c r="A44" s="206">
        <v>43473</v>
      </c>
      <c r="B44">
        <v>42.959999000000003</v>
      </c>
      <c r="C44">
        <v>43.299999</v>
      </c>
      <c r="D44">
        <v>42.259998000000003</v>
      </c>
      <c r="E44">
        <v>42.77</v>
      </c>
      <c r="F44">
        <v>36.059963000000003</v>
      </c>
      <c r="G44">
        <v>4462100</v>
      </c>
    </row>
    <row r="45" spans="1:7" x14ac:dyDescent="0.3">
      <c r="A45" s="206">
        <v>43474</v>
      </c>
      <c r="B45">
        <v>43.029998999999997</v>
      </c>
      <c r="C45">
        <v>43.860000999999997</v>
      </c>
      <c r="D45">
        <v>42.75</v>
      </c>
      <c r="E45">
        <v>43.5</v>
      </c>
      <c r="F45">
        <v>36.675434000000003</v>
      </c>
      <c r="G45">
        <v>6868200</v>
      </c>
    </row>
    <row r="46" spans="1:7" x14ac:dyDescent="0.3">
      <c r="A46" s="206">
        <v>43475</v>
      </c>
      <c r="B46">
        <v>43.369999</v>
      </c>
      <c r="C46">
        <v>43.77</v>
      </c>
      <c r="D46">
        <v>42.93</v>
      </c>
      <c r="E46">
        <v>43.369999</v>
      </c>
      <c r="F46">
        <v>36.565834000000002</v>
      </c>
      <c r="G46">
        <v>6056600</v>
      </c>
    </row>
    <row r="47" spans="1:7" x14ac:dyDescent="0.3">
      <c r="A47" s="206">
        <v>43476</v>
      </c>
      <c r="B47">
        <v>42.990001999999997</v>
      </c>
      <c r="C47">
        <v>43.799999</v>
      </c>
      <c r="D47">
        <v>42.869999</v>
      </c>
      <c r="E47">
        <v>43.720001000000003</v>
      </c>
      <c r="F47">
        <v>36.860928000000001</v>
      </c>
      <c r="G47">
        <v>3563500</v>
      </c>
    </row>
    <row r="48" spans="1:7" x14ac:dyDescent="0.3">
      <c r="A48" s="206">
        <v>43479</v>
      </c>
      <c r="B48">
        <v>43.299999</v>
      </c>
      <c r="C48">
        <v>44.169998</v>
      </c>
      <c r="D48">
        <v>43.150002000000001</v>
      </c>
      <c r="E48">
        <v>43.970001000000003</v>
      </c>
      <c r="F48">
        <v>37.071708999999998</v>
      </c>
      <c r="G48">
        <v>3969900</v>
      </c>
    </row>
    <row r="49" spans="1:7" x14ac:dyDescent="0.3">
      <c r="A49" s="206">
        <v>43480</v>
      </c>
      <c r="B49">
        <v>43.82</v>
      </c>
      <c r="C49">
        <v>44.32</v>
      </c>
      <c r="D49">
        <v>43.619999</v>
      </c>
      <c r="E49">
        <v>44.060001</v>
      </c>
      <c r="F49">
        <v>37.147587000000001</v>
      </c>
      <c r="G49">
        <v>4189700</v>
      </c>
    </row>
    <row r="50" spans="1:7" x14ac:dyDescent="0.3">
      <c r="A50" s="206">
        <v>43481</v>
      </c>
      <c r="B50">
        <v>44.639999000000003</v>
      </c>
      <c r="C50">
        <v>45.290000999999997</v>
      </c>
      <c r="D50">
        <v>44.290000999999997</v>
      </c>
      <c r="E50">
        <v>44.869999</v>
      </c>
      <c r="F50">
        <v>37.830502000000003</v>
      </c>
      <c r="G50">
        <v>5861000</v>
      </c>
    </row>
    <row r="51" spans="1:7" x14ac:dyDescent="0.3">
      <c r="A51" s="206">
        <v>43482</v>
      </c>
      <c r="B51">
        <v>44.700001</v>
      </c>
      <c r="C51">
        <v>45.290000999999997</v>
      </c>
      <c r="D51">
        <v>44.259998000000003</v>
      </c>
      <c r="E51">
        <v>45.049999</v>
      </c>
      <c r="F51">
        <v>37.982264999999998</v>
      </c>
      <c r="G51">
        <v>4797700</v>
      </c>
    </row>
    <row r="52" spans="1:7" x14ac:dyDescent="0.3">
      <c r="A52" s="206">
        <v>43483</v>
      </c>
      <c r="B52">
        <v>45.43</v>
      </c>
      <c r="C52">
        <v>45.459999000000003</v>
      </c>
      <c r="D52">
        <v>45.049999</v>
      </c>
      <c r="E52">
        <v>45.310001</v>
      </c>
      <c r="F52">
        <v>38.201473</v>
      </c>
      <c r="G52">
        <v>6458900</v>
      </c>
    </row>
    <row r="53" spans="1:7" x14ac:dyDescent="0.3">
      <c r="A53" s="206">
        <v>43487</v>
      </c>
      <c r="B53">
        <v>44.98</v>
      </c>
      <c r="C53">
        <v>45.189999</v>
      </c>
      <c r="D53">
        <v>44.610000999999997</v>
      </c>
      <c r="E53">
        <v>44.869999</v>
      </c>
      <c r="F53">
        <v>37.830502000000003</v>
      </c>
      <c r="G53">
        <v>5713200</v>
      </c>
    </row>
    <row r="54" spans="1:7" x14ac:dyDescent="0.3">
      <c r="A54" s="206">
        <v>43488</v>
      </c>
      <c r="B54">
        <v>45.09</v>
      </c>
      <c r="C54">
        <v>45.189999</v>
      </c>
      <c r="D54">
        <v>43.799999</v>
      </c>
      <c r="E54">
        <v>44.48</v>
      </c>
      <c r="F54">
        <v>37.501690000000004</v>
      </c>
      <c r="G54">
        <v>6537500</v>
      </c>
    </row>
    <row r="55" spans="1:7" x14ac:dyDescent="0.3">
      <c r="A55" s="206">
        <v>43489</v>
      </c>
      <c r="B55">
        <v>44.509998000000003</v>
      </c>
      <c r="C55">
        <v>45.240001999999997</v>
      </c>
      <c r="D55">
        <v>44.389999000000003</v>
      </c>
      <c r="E55">
        <v>45.02</v>
      </c>
      <c r="F55">
        <v>37.956969999999998</v>
      </c>
      <c r="G55">
        <v>4332900</v>
      </c>
    </row>
    <row r="56" spans="1:7" x14ac:dyDescent="0.3">
      <c r="A56" s="206">
        <v>43490</v>
      </c>
      <c r="B56">
        <v>45.52</v>
      </c>
      <c r="C56">
        <v>45.98</v>
      </c>
      <c r="D56">
        <v>45.290000999999997</v>
      </c>
      <c r="E56">
        <v>45.470001000000003</v>
      </c>
      <c r="F56">
        <v>38.336376000000001</v>
      </c>
      <c r="G56">
        <v>4281800</v>
      </c>
    </row>
    <row r="57" spans="1:7" x14ac:dyDescent="0.3">
      <c r="A57" s="206">
        <v>43493</v>
      </c>
      <c r="B57">
        <v>45.049999</v>
      </c>
      <c r="C57">
        <v>45.369999</v>
      </c>
      <c r="D57">
        <v>44.630001</v>
      </c>
      <c r="E57">
        <v>45.130001</v>
      </c>
      <c r="F57">
        <v>38.049712999999997</v>
      </c>
      <c r="G57">
        <v>3752200</v>
      </c>
    </row>
    <row r="58" spans="1:7" x14ac:dyDescent="0.3">
      <c r="A58" s="206">
        <v>43494</v>
      </c>
      <c r="B58">
        <v>44.889999000000003</v>
      </c>
      <c r="C58">
        <v>45.209999000000003</v>
      </c>
      <c r="D58">
        <v>44.759998000000003</v>
      </c>
      <c r="E58">
        <v>44.860000999999997</v>
      </c>
      <c r="F58">
        <v>37.822071000000001</v>
      </c>
      <c r="G58">
        <v>3427400</v>
      </c>
    </row>
    <row r="59" spans="1:7" x14ac:dyDescent="0.3">
      <c r="A59" s="206">
        <v>43495</v>
      </c>
      <c r="B59">
        <v>44.950001</v>
      </c>
      <c r="C59">
        <v>45.48</v>
      </c>
      <c r="D59">
        <v>44.349997999999999</v>
      </c>
      <c r="E59">
        <v>45.23</v>
      </c>
      <c r="F59">
        <v>38.134025999999999</v>
      </c>
      <c r="G59">
        <v>4604000</v>
      </c>
    </row>
    <row r="60" spans="1:7" x14ac:dyDescent="0.3">
      <c r="A60" s="206">
        <v>43496</v>
      </c>
      <c r="B60">
        <v>44.759998000000003</v>
      </c>
      <c r="C60">
        <v>45.77</v>
      </c>
      <c r="D60">
        <v>44.75</v>
      </c>
      <c r="E60">
        <v>45.669998</v>
      </c>
      <c r="F60">
        <v>38.504986000000002</v>
      </c>
      <c r="G60">
        <v>6478400</v>
      </c>
    </row>
    <row r="61" spans="1:7" x14ac:dyDescent="0.3">
      <c r="A61" s="206">
        <v>43497</v>
      </c>
      <c r="B61">
        <v>45.919998</v>
      </c>
      <c r="C61">
        <v>45.919998</v>
      </c>
      <c r="D61">
        <v>45.330002</v>
      </c>
      <c r="E61">
        <v>45.540000999999997</v>
      </c>
      <c r="F61">
        <v>38.395386000000002</v>
      </c>
      <c r="G61">
        <v>5550600</v>
      </c>
    </row>
    <row r="62" spans="1:7" x14ac:dyDescent="0.3">
      <c r="A62" s="206">
        <v>43500</v>
      </c>
      <c r="B62">
        <v>45.040000999999997</v>
      </c>
      <c r="C62">
        <v>45.310001</v>
      </c>
      <c r="D62">
        <v>44.84</v>
      </c>
      <c r="E62">
        <v>45.16</v>
      </c>
      <c r="F62">
        <v>38.429428000000001</v>
      </c>
      <c r="G62">
        <v>5666700</v>
      </c>
    </row>
    <row r="63" spans="1:7" x14ac:dyDescent="0.3">
      <c r="A63" s="206">
        <v>43501</v>
      </c>
      <c r="B63">
        <v>45.18</v>
      </c>
      <c r="C63">
        <v>45.27</v>
      </c>
      <c r="D63">
        <v>44.860000999999997</v>
      </c>
      <c r="E63">
        <v>45.200001</v>
      </c>
      <c r="F63">
        <v>38.463470000000001</v>
      </c>
      <c r="G63">
        <v>4053300</v>
      </c>
    </row>
    <row r="64" spans="1:7" x14ac:dyDescent="0.3">
      <c r="A64" s="206">
        <v>43502</v>
      </c>
      <c r="B64">
        <v>44.830002</v>
      </c>
      <c r="C64">
        <v>45.549999</v>
      </c>
      <c r="D64">
        <v>44.779998999999997</v>
      </c>
      <c r="E64">
        <v>45.200001</v>
      </c>
      <c r="F64">
        <v>38.463470000000001</v>
      </c>
      <c r="G64">
        <v>6372600</v>
      </c>
    </row>
    <row r="65" spans="1:7" x14ac:dyDescent="0.3">
      <c r="A65" s="206">
        <v>43503</v>
      </c>
      <c r="B65">
        <v>43.860000999999997</v>
      </c>
      <c r="C65">
        <v>43.950001</v>
      </c>
      <c r="D65">
        <v>42.68</v>
      </c>
      <c r="E65">
        <v>43.52</v>
      </c>
      <c r="F65">
        <v>37.033852000000003</v>
      </c>
      <c r="G65">
        <v>7179900</v>
      </c>
    </row>
    <row r="66" spans="1:7" x14ac:dyDescent="0.3">
      <c r="A66" s="206">
        <v>43504</v>
      </c>
      <c r="B66">
        <v>43.209999000000003</v>
      </c>
      <c r="C66">
        <v>43.689999</v>
      </c>
      <c r="D66">
        <v>42.040000999999997</v>
      </c>
      <c r="E66">
        <v>42.709999000000003</v>
      </c>
      <c r="F66">
        <v>36.344574000000001</v>
      </c>
      <c r="G66">
        <v>9363300</v>
      </c>
    </row>
    <row r="67" spans="1:7" x14ac:dyDescent="0.3">
      <c r="A67" s="206">
        <v>43507</v>
      </c>
      <c r="B67">
        <v>43.009998000000003</v>
      </c>
      <c r="C67">
        <v>43.419998</v>
      </c>
      <c r="D67">
        <v>42.82</v>
      </c>
      <c r="E67">
        <v>43.279998999999997</v>
      </c>
      <c r="F67">
        <v>36.829616999999999</v>
      </c>
      <c r="G67">
        <v>8454000</v>
      </c>
    </row>
    <row r="68" spans="1:7" x14ac:dyDescent="0.3">
      <c r="A68" s="206">
        <v>43508</v>
      </c>
      <c r="B68">
        <v>43.689999</v>
      </c>
      <c r="C68">
        <v>44.68</v>
      </c>
      <c r="D68">
        <v>43.639999000000003</v>
      </c>
      <c r="E68">
        <v>44.310001</v>
      </c>
      <c r="F68">
        <v>37.706111999999997</v>
      </c>
      <c r="G68">
        <v>7482400</v>
      </c>
    </row>
    <row r="69" spans="1:7" x14ac:dyDescent="0.3">
      <c r="A69" s="206">
        <v>43509</v>
      </c>
      <c r="B69">
        <v>44.52</v>
      </c>
      <c r="C69">
        <v>44.799999</v>
      </c>
      <c r="D69">
        <v>44.02</v>
      </c>
      <c r="E69">
        <v>44.220001000000003</v>
      </c>
      <c r="F69">
        <v>37.629536000000002</v>
      </c>
      <c r="G69">
        <v>5678200</v>
      </c>
    </row>
    <row r="70" spans="1:7" x14ac:dyDescent="0.3">
      <c r="A70" s="206">
        <v>43510</v>
      </c>
      <c r="B70">
        <v>43.560001</v>
      </c>
      <c r="C70">
        <v>44.25</v>
      </c>
      <c r="D70">
        <v>43.48</v>
      </c>
      <c r="E70">
        <v>43.799999</v>
      </c>
      <c r="F70">
        <v>37.272117999999999</v>
      </c>
      <c r="G70">
        <v>6061800</v>
      </c>
    </row>
    <row r="71" spans="1:7" x14ac:dyDescent="0.3">
      <c r="A71" s="206">
        <v>43511</v>
      </c>
      <c r="B71">
        <v>44.259998000000003</v>
      </c>
      <c r="C71">
        <v>45.02</v>
      </c>
      <c r="D71">
        <v>44.23</v>
      </c>
      <c r="E71">
        <v>44.860000999999997</v>
      </c>
      <c r="F71">
        <v>38.174140999999999</v>
      </c>
      <c r="G71">
        <v>6035000</v>
      </c>
    </row>
    <row r="72" spans="1:7" x14ac:dyDescent="0.3">
      <c r="A72" s="206">
        <v>43515</v>
      </c>
      <c r="B72">
        <v>44.459999000000003</v>
      </c>
      <c r="C72">
        <v>45.080002</v>
      </c>
      <c r="D72">
        <v>44.400002000000001</v>
      </c>
      <c r="E72">
        <v>44.740001999999997</v>
      </c>
      <c r="F72">
        <v>38.072024999999996</v>
      </c>
      <c r="G72">
        <v>6014400</v>
      </c>
    </row>
    <row r="73" spans="1:7" x14ac:dyDescent="0.3">
      <c r="A73" s="206">
        <v>43516</v>
      </c>
      <c r="B73">
        <v>44.810001</v>
      </c>
      <c r="C73">
        <v>45.23</v>
      </c>
      <c r="D73">
        <v>44.689999</v>
      </c>
      <c r="E73">
        <v>45.049999</v>
      </c>
      <c r="F73">
        <v>38.335822999999998</v>
      </c>
      <c r="G73">
        <v>8517600</v>
      </c>
    </row>
    <row r="74" spans="1:7" x14ac:dyDescent="0.3">
      <c r="A74" s="206">
        <v>43517</v>
      </c>
      <c r="B74">
        <v>45</v>
      </c>
      <c r="C74">
        <v>45.279998999999997</v>
      </c>
      <c r="D74">
        <v>44.549999</v>
      </c>
      <c r="E74">
        <v>44.759998000000003</v>
      </c>
      <c r="F74">
        <v>38.089046000000003</v>
      </c>
      <c r="G74">
        <v>6258300</v>
      </c>
    </row>
    <row r="75" spans="1:7" x14ac:dyDescent="0.3">
      <c r="A75" s="206">
        <v>43518</v>
      </c>
      <c r="B75">
        <v>44.759998000000003</v>
      </c>
      <c r="C75">
        <v>45.080002</v>
      </c>
      <c r="D75">
        <v>44.669998</v>
      </c>
      <c r="E75">
        <v>44.740001999999997</v>
      </c>
      <c r="F75">
        <v>38.072024999999996</v>
      </c>
      <c r="G75">
        <v>4876500</v>
      </c>
    </row>
    <row r="76" spans="1:7" x14ac:dyDescent="0.3">
      <c r="A76" s="206">
        <v>43521</v>
      </c>
      <c r="B76">
        <v>45.139999000000003</v>
      </c>
      <c r="C76">
        <v>45.66</v>
      </c>
      <c r="D76">
        <v>45.09</v>
      </c>
      <c r="E76">
        <v>45.259998000000003</v>
      </c>
      <c r="F76">
        <v>38.514525999999996</v>
      </c>
      <c r="G76">
        <v>6204900</v>
      </c>
    </row>
    <row r="77" spans="1:7" x14ac:dyDescent="0.3">
      <c r="A77" s="206">
        <v>43522</v>
      </c>
      <c r="B77">
        <v>44.950001</v>
      </c>
      <c r="C77">
        <v>45.509998000000003</v>
      </c>
      <c r="D77">
        <v>44.630001</v>
      </c>
      <c r="E77">
        <v>44.650002000000001</v>
      </c>
      <c r="F77">
        <v>37.995438</v>
      </c>
      <c r="G77">
        <v>7127400</v>
      </c>
    </row>
    <row r="78" spans="1:7" x14ac:dyDescent="0.3">
      <c r="A78" s="206">
        <v>43523</v>
      </c>
      <c r="B78">
        <v>44.619999</v>
      </c>
      <c r="C78">
        <v>45.119999</v>
      </c>
      <c r="D78">
        <v>44.509998000000003</v>
      </c>
      <c r="E78">
        <v>45</v>
      </c>
      <c r="F78">
        <v>38.29327</v>
      </c>
      <c r="G78">
        <v>10978800</v>
      </c>
    </row>
    <row r="79" spans="1:7" x14ac:dyDescent="0.3">
      <c r="A79" s="206">
        <v>43524</v>
      </c>
      <c r="B79">
        <v>45</v>
      </c>
      <c r="C79">
        <v>45.419998</v>
      </c>
      <c r="D79">
        <v>44.810001</v>
      </c>
      <c r="E79">
        <v>45.189999</v>
      </c>
      <c r="F79">
        <v>38.45496</v>
      </c>
      <c r="G79">
        <v>8992700</v>
      </c>
    </row>
    <row r="80" spans="1:7" x14ac:dyDescent="0.3">
      <c r="A80" s="206">
        <v>43525</v>
      </c>
      <c r="B80">
        <v>45.639999000000003</v>
      </c>
      <c r="C80">
        <v>46.060001</v>
      </c>
      <c r="D80">
        <v>45.299999</v>
      </c>
      <c r="E80">
        <v>45.549999</v>
      </c>
      <c r="F80">
        <v>38.761302999999998</v>
      </c>
      <c r="G80">
        <v>5917900</v>
      </c>
    </row>
    <row r="81" spans="1:7" x14ac:dyDescent="0.3">
      <c r="A81" s="206">
        <v>43528</v>
      </c>
      <c r="B81">
        <v>45.619999</v>
      </c>
      <c r="C81">
        <v>46.119999</v>
      </c>
      <c r="D81">
        <v>45.220001000000003</v>
      </c>
      <c r="E81">
        <v>45.66</v>
      </c>
      <c r="F81">
        <v>38.854911999999999</v>
      </c>
      <c r="G81">
        <v>4948400</v>
      </c>
    </row>
    <row r="82" spans="1:7" x14ac:dyDescent="0.3">
      <c r="A82" s="206">
        <v>43529</v>
      </c>
      <c r="B82">
        <v>45.779998999999997</v>
      </c>
      <c r="C82">
        <v>45.830002</v>
      </c>
      <c r="D82">
        <v>44.880001</v>
      </c>
      <c r="E82">
        <v>45.549999</v>
      </c>
      <c r="F82">
        <v>38.761302999999998</v>
      </c>
      <c r="G82">
        <v>6130100</v>
      </c>
    </row>
    <row r="83" spans="1:7" x14ac:dyDescent="0.3">
      <c r="A83" s="206">
        <v>43530</v>
      </c>
      <c r="B83">
        <v>45.43</v>
      </c>
      <c r="C83">
        <v>45.619999</v>
      </c>
      <c r="D83">
        <v>44.82</v>
      </c>
      <c r="E83">
        <v>44.939999</v>
      </c>
      <c r="F83">
        <v>38.242213999999997</v>
      </c>
      <c r="G83">
        <v>4215700</v>
      </c>
    </row>
    <row r="84" spans="1:7" x14ac:dyDescent="0.3">
      <c r="A84" s="206">
        <v>43531</v>
      </c>
      <c r="B84">
        <v>44.529998999999997</v>
      </c>
      <c r="C84">
        <v>44.790000999999997</v>
      </c>
      <c r="D84">
        <v>43.849997999999999</v>
      </c>
      <c r="E84">
        <v>44.32</v>
      </c>
      <c r="F84">
        <v>37.714618999999999</v>
      </c>
      <c r="G84">
        <v>5357700</v>
      </c>
    </row>
    <row r="85" spans="1:7" x14ac:dyDescent="0.3">
      <c r="A85" s="206">
        <v>43532</v>
      </c>
      <c r="B85">
        <v>43.849997999999999</v>
      </c>
      <c r="C85">
        <v>44.189999</v>
      </c>
      <c r="D85">
        <v>43.5</v>
      </c>
      <c r="E85">
        <v>44.16</v>
      </c>
      <c r="F85">
        <v>37.578465000000001</v>
      </c>
      <c r="G85">
        <v>6448600</v>
      </c>
    </row>
    <row r="86" spans="1:7" x14ac:dyDescent="0.3">
      <c r="A86" s="206">
        <v>43535</v>
      </c>
      <c r="B86">
        <v>44.439999</v>
      </c>
      <c r="C86">
        <v>44.84</v>
      </c>
      <c r="D86">
        <v>44.259998000000003</v>
      </c>
      <c r="E86">
        <v>44.57</v>
      </c>
      <c r="F86">
        <v>37.927357000000001</v>
      </c>
      <c r="G86">
        <v>4186600</v>
      </c>
    </row>
    <row r="87" spans="1:7" x14ac:dyDescent="0.3">
      <c r="A87" s="206">
        <v>43536</v>
      </c>
      <c r="B87">
        <v>44.669998</v>
      </c>
      <c r="C87">
        <v>44.98</v>
      </c>
      <c r="D87">
        <v>44.43</v>
      </c>
      <c r="E87">
        <v>44.57</v>
      </c>
      <c r="F87">
        <v>37.927357000000001</v>
      </c>
      <c r="G87">
        <v>4231300</v>
      </c>
    </row>
    <row r="88" spans="1:7" x14ac:dyDescent="0.3">
      <c r="A88" s="206">
        <v>43537</v>
      </c>
      <c r="B88">
        <v>44.630001</v>
      </c>
      <c r="C88">
        <v>44.959999000000003</v>
      </c>
      <c r="D88">
        <v>44.490001999999997</v>
      </c>
      <c r="E88">
        <v>44.700001</v>
      </c>
      <c r="F88">
        <v>38.037982999999997</v>
      </c>
      <c r="G88">
        <v>3452500</v>
      </c>
    </row>
    <row r="89" spans="1:7" x14ac:dyDescent="0.3">
      <c r="A89" s="206">
        <v>43538</v>
      </c>
      <c r="B89">
        <v>44.740001999999997</v>
      </c>
      <c r="C89">
        <v>44.849997999999999</v>
      </c>
      <c r="D89">
        <v>44.529998999999997</v>
      </c>
      <c r="E89">
        <v>44.84</v>
      </c>
      <c r="F89">
        <v>38.157119999999999</v>
      </c>
      <c r="G89">
        <v>3414100</v>
      </c>
    </row>
    <row r="90" spans="1:7" x14ac:dyDescent="0.3">
      <c r="A90" s="206">
        <v>43539</v>
      </c>
      <c r="B90">
        <v>44.759998000000003</v>
      </c>
      <c r="C90">
        <v>45.450001</v>
      </c>
      <c r="D90">
        <v>44.59</v>
      </c>
      <c r="E90">
        <v>45.310001</v>
      </c>
      <c r="F90">
        <v>38.557071999999998</v>
      </c>
      <c r="G90">
        <v>11798900</v>
      </c>
    </row>
    <row r="91" spans="1:7" x14ac:dyDescent="0.3">
      <c r="A91" s="206">
        <v>43542</v>
      </c>
      <c r="B91">
        <v>45.380001</v>
      </c>
      <c r="C91">
        <v>45.990001999999997</v>
      </c>
      <c r="D91">
        <v>44.959999000000003</v>
      </c>
      <c r="E91">
        <v>45.720001000000003</v>
      </c>
      <c r="F91">
        <v>38.905968000000001</v>
      </c>
      <c r="G91">
        <v>4307600</v>
      </c>
    </row>
    <row r="92" spans="1:7" x14ac:dyDescent="0.3">
      <c r="A92" s="206">
        <v>43543</v>
      </c>
      <c r="B92">
        <v>45.919998</v>
      </c>
      <c r="C92">
        <v>46.220001000000003</v>
      </c>
      <c r="D92">
        <v>44.939999</v>
      </c>
      <c r="E92">
        <v>45.040000999999997</v>
      </c>
      <c r="F92">
        <v>38.327316000000003</v>
      </c>
      <c r="G92">
        <v>4972600</v>
      </c>
    </row>
    <row r="93" spans="1:7" x14ac:dyDescent="0.3">
      <c r="A93" s="206">
        <v>43544</v>
      </c>
      <c r="B93">
        <v>44.889999000000003</v>
      </c>
      <c r="C93">
        <v>45.02</v>
      </c>
      <c r="D93">
        <v>43.299999</v>
      </c>
      <c r="E93">
        <v>43.380001</v>
      </c>
      <c r="F93">
        <v>36.914715000000001</v>
      </c>
      <c r="G93">
        <v>6150900</v>
      </c>
    </row>
    <row r="94" spans="1:7" x14ac:dyDescent="0.3">
      <c r="A94" s="206">
        <v>43545</v>
      </c>
      <c r="B94">
        <v>43.099997999999999</v>
      </c>
      <c r="C94">
        <v>43.560001</v>
      </c>
      <c r="D94">
        <v>42.68</v>
      </c>
      <c r="E94">
        <v>43.220001000000003</v>
      </c>
      <c r="F94">
        <v>36.778568</v>
      </c>
      <c r="G94">
        <v>6523800</v>
      </c>
    </row>
    <row r="95" spans="1:7" x14ac:dyDescent="0.3">
      <c r="A95" s="206">
        <v>43546</v>
      </c>
      <c r="B95">
        <v>42.669998</v>
      </c>
      <c r="C95">
        <v>42.790000999999997</v>
      </c>
      <c r="D95">
        <v>41.41</v>
      </c>
      <c r="E95">
        <v>41.790000999999997</v>
      </c>
      <c r="F95">
        <v>35.561691000000003</v>
      </c>
      <c r="G95">
        <v>8601300</v>
      </c>
    </row>
    <row r="96" spans="1:7" x14ac:dyDescent="0.3">
      <c r="A96" s="206">
        <v>43549</v>
      </c>
      <c r="B96">
        <v>41.880001</v>
      </c>
      <c r="C96">
        <v>42.299999</v>
      </c>
      <c r="D96">
        <v>41.419998</v>
      </c>
      <c r="E96">
        <v>41.869999</v>
      </c>
      <c r="F96">
        <v>35.629764999999999</v>
      </c>
      <c r="G96">
        <v>5364700</v>
      </c>
    </row>
    <row r="97" spans="1:7" x14ac:dyDescent="0.3">
      <c r="A97" s="206">
        <v>43550</v>
      </c>
      <c r="B97">
        <v>42.330002</v>
      </c>
      <c r="C97">
        <v>42.689999</v>
      </c>
      <c r="D97">
        <v>42.119999</v>
      </c>
      <c r="E97">
        <v>42.459999000000003</v>
      </c>
      <c r="F97">
        <v>36.131832000000003</v>
      </c>
      <c r="G97">
        <v>4456200</v>
      </c>
    </row>
    <row r="98" spans="1:7" x14ac:dyDescent="0.3">
      <c r="A98" s="206">
        <v>43551</v>
      </c>
      <c r="B98">
        <v>42.360000999999997</v>
      </c>
      <c r="C98">
        <v>42.77</v>
      </c>
      <c r="D98">
        <v>42.060001</v>
      </c>
      <c r="E98">
        <v>42.5</v>
      </c>
      <c r="F98">
        <v>36.165863000000002</v>
      </c>
      <c r="G98">
        <v>5448300</v>
      </c>
    </row>
    <row r="99" spans="1:7" x14ac:dyDescent="0.3">
      <c r="A99" s="206">
        <v>43552</v>
      </c>
      <c r="B99">
        <v>42.48</v>
      </c>
      <c r="C99">
        <v>42.869999</v>
      </c>
      <c r="D99">
        <v>41.950001</v>
      </c>
      <c r="E99">
        <v>42.470001000000003</v>
      </c>
      <c r="F99">
        <v>36.140346999999998</v>
      </c>
      <c r="G99">
        <v>4130300</v>
      </c>
    </row>
    <row r="100" spans="1:7" x14ac:dyDescent="0.3">
      <c r="A100" s="206">
        <v>43553</v>
      </c>
      <c r="B100">
        <v>42.93</v>
      </c>
      <c r="C100">
        <v>43</v>
      </c>
      <c r="D100">
        <v>42.419998</v>
      </c>
      <c r="E100">
        <v>42.57</v>
      </c>
      <c r="F100">
        <v>36.225445000000001</v>
      </c>
      <c r="G100">
        <v>5756400</v>
      </c>
    </row>
    <row r="101" spans="1:7" x14ac:dyDescent="0.3">
      <c r="A101" s="206">
        <v>43556</v>
      </c>
      <c r="B101">
        <v>42.75</v>
      </c>
      <c r="C101">
        <v>44.189999</v>
      </c>
      <c r="D101">
        <v>42.740001999999997</v>
      </c>
      <c r="E101">
        <v>44.130001</v>
      </c>
      <c r="F101">
        <v>37.552933000000003</v>
      </c>
      <c r="G101">
        <v>6164500</v>
      </c>
    </row>
    <row r="102" spans="1:7" x14ac:dyDescent="0.3">
      <c r="A102" s="206">
        <v>43557</v>
      </c>
      <c r="B102">
        <v>44.110000999999997</v>
      </c>
      <c r="C102">
        <v>44.439999</v>
      </c>
      <c r="D102">
        <v>43.84</v>
      </c>
      <c r="E102">
        <v>43.93</v>
      </c>
      <c r="F102">
        <v>37.382755000000003</v>
      </c>
      <c r="G102">
        <v>5029600</v>
      </c>
    </row>
    <row r="103" spans="1:7" x14ac:dyDescent="0.3">
      <c r="A103" s="206">
        <v>43558</v>
      </c>
      <c r="B103">
        <v>44.349997999999999</v>
      </c>
      <c r="C103">
        <v>44.84</v>
      </c>
      <c r="D103">
        <v>44.009998000000003</v>
      </c>
      <c r="E103">
        <v>44.189999</v>
      </c>
      <c r="F103">
        <v>37.603996000000002</v>
      </c>
      <c r="G103">
        <v>4013600</v>
      </c>
    </row>
    <row r="104" spans="1:7" x14ac:dyDescent="0.3">
      <c r="A104" s="206">
        <v>43559</v>
      </c>
      <c r="B104">
        <v>44.349997999999999</v>
      </c>
      <c r="C104">
        <v>44.919998</v>
      </c>
      <c r="D104">
        <v>44.119999</v>
      </c>
      <c r="E104">
        <v>44.740001999999997</v>
      </c>
      <c r="F104">
        <v>38.072024999999996</v>
      </c>
      <c r="G104">
        <v>4042900</v>
      </c>
    </row>
    <row r="105" spans="1:7" x14ac:dyDescent="0.3">
      <c r="A105" s="206">
        <v>43560</v>
      </c>
      <c r="B105">
        <v>44.860000999999997</v>
      </c>
      <c r="C105">
        <v>45.169998</v>
      </c>
      <c r="D105">
        <v>44.560001</v>
      </c>
      <c r="E105">
        <v>45.060001</v>
      </c>
      <c r="F105">
        <v>38.344337000000003</v>
      </c>
      <c r="G105">
        <v>4505300</v>
      </c>
    </row>
    <row r="106" spans="1:7" x14ac:dyDescent="0.3">
      <c r="A106" s="206">
        <v>43563</v>
      </c>
      <c r="B106">
        <v>44.900002000000001</v>
      </c>
      <c r="C106">
        <v>45.139999000000003</v>
      </c>
      <c r="D106">
        <v>44.810001</v>
      </c>
      <c r="E106">
        <v>45.009998000000003</v>
      </c>
      <c r="F106">
        <v>38.301780999999998</v>
      </c>
      <c r="G106">
        <v>3243000</v>
      </c>
    </row>
    <row r="107" spans="1:7" x14ac:dyDescent="0.3">
      <c r="A107" s="206">
        <v>43564</v>
      </c>
      <c r="B107">
        <v>44.759998000000003</v>
      </c>
      <c r="C107">
        <v>44.869999</v>
      </c>
      <c r="D107">
        <v>44.119999</v>
      </c>
      <c r="E107">
        <v>44.299999</v>
      </c>
      <c r="F107">
        <v>37.697600999999999</v>
      </c>
      <c r="G107">
        <v>6128800</v>
      </c>
    </row>
    <row r="108" spans="1:7" x14ac:dyDescent="0.3">
      <c r="A108" s="206">
        <v>43565</v>
      </c>
      <c r="B108">
        <v>44.25</v>
      </c>
      <c r="C108">
        <v>44.880001</v>
      </c>
      <c r="D108">
        <v>43.950001</v>
      </c>
      <c r="E108">
        <v>44.830002</v>
      </c>
      <c r="F108">
        <v>38.148612999999997</v>
      </c>
      <c r="G108">
        <v>3240400</v>
      </c>
    </row>
    <row r="109" spans="1:7" x14ac:dyDescent="0.3">
      <c r="A109" s="206">
        <v>43566</v>
      </c>
      <c r="B109">
        <v>45.07</v>
      </c>
      <c r="C109">
        <v>45.68</v>
      </c>
      <c r="D109">
        <v>45</v>
      </c>
      <c r="E109">
        <v>45.279998999999997</v>
      </c>
      <c r="F109">
        <v>38.531548000000001</v>
      </c>
      <c r="G109">
        <v>4251500</v>
      </c>
    </row>
    <row r="110" spans="1:7" x14ac:dyDescent="0.3">
      <c r="A110" s="206">
        <v>43567</v>
      </c>
      <c r="B110">
        <v>45.970001000000003</v>
      </c>
      <c r="C110">
        <v>46.529998999999997</v>
      </c>
      <c r="D110">
        <v>45.630001</v>
      </c>
      <c r="E110">
        <v>45.860000999999997</v>
      </c>
      <c r="F110">
        <v>39.025112</v>
      </c>
      <c r="G110">
        <v>5493400</v>
      </c>
    </row>
    <row r="111" spans="1:7" x14ac:dyDescent="0.3">
      <c r="A111" s="206">
        <v>43570</v>
      </c>
      <c r="B111">
        <v>45.790000999999997</v>
      </c>
      <c r="C111">
        <v>46.02</v>
      </c>
      <c r="D111">
        <v>45.099997999999999</v>
      </c>
      <c r="E111">
        <v>45.25</v>
      </c>
      <c r="F111">
        <v>38.506011999999998</v>
      </c>
      <c r="G111">
        <v>4355700</v>
      </c>
    </row>
    <row r="112" spans="1:7" x14ac:dyDescent="0.3">
      <c r="A112" s="206">
        <v>43571</v>
      </c>
      <c r="B112">
        <v>45.490001999999997</v>
      </c>
      <c r="C112">
        <v>46.34</v>
      </c>
      <c r="D112">
        <v>45.389999000000003</v>
      </c>
      <c r="E112">
        <v>46.189999</v>
      </c>
      <c r="F112">
        <v>39.305916000000003</v>
      </c>
      <c r="G112">
        <v>5209200</v>
      </c>
    </row>
    <row r="113" spans="1:7" x14ac:dyDescent="0.3">
      <c r="A113" s="206">
        <v>43572</v>
      </c>
      <c r="B113">
        <v>46.369999</v>
      </c>
      <c r="C113">
        <v>46.369999</v>
      </c>
      <c r="D113">
        <v>45.509998000000003</v>
      </c>
      <c r="E113">
        <v>45.810001</v>
      </c>
      <c r="F113">
        <v>38.982554999999998</v>
      </c>
      <c r="G113">
        <v>5176600</v>
      </c>
    </row>
    <row r="114" spans="1:7" x14ac:dyDescent="0.3">
      <c r="A114" s="206">
        <v>43573</v>
      </c>
      <c r="B114">
        <v>45.669998</v>
      </c>
      <c r="C114">
        <v>45.880001</v>
      </c>
      <c r="D114">
        <v>45.259998000000003</v>
      </c>
      <c r="E114">
        <v>45.32</v>
      </c>
      <c r="F114">
        <v>38.565578000000002</v>
      </c>
      <c r="G114">
        <v>6078000</v>
      </c>
    </row>
    <row r="115" spans="1:7" x14ac:dyDescent="0.3">
      <c r="A115" s="206">
        <v>43577</v>
      </c>
      <c r="B115">
        <v>45.259998000000003</v>
      </c>
      <c r="C115">
        <v>45.419998</v>
      </c>
      <c r="D115">
        <v>45.049999</v>
      </c>
      <c r="E115">
        <v>45.209999000000003</v>
      </c>
      <c r="F115">
        <v>38.471972999999998</v>
      </c>
      <c r="G115">
        <v>2460600</v>
      </c>
    </row>
    <row r="116" spans="1:7" x14ac:dyDescent="0.3">
      <c r="A116" s="206">
        <v>43578</v>
      </c>
      <c r="B116">
        <v>45.049999</v>
      </c>
      <c r="C116">
        <v>45.619999</v>
      </c>
      <c r="D116">
        <v>45.009998000000003</v>
      </c>
      <c r="E116">
        <v>45.43</v>
      </c>
      <c r="F116">
        <v>38.659191</v>
      </c>
      <c r="G116">
        <v>4035900</v>
      </c>
    </row>
    <row r="117" spans="1:7" x14ac:dyDescent="0.3">
      <c r="A117" s="206">
        <v>43579</v>
      </c>
      <c r="B117">
        <v>45.25</v>
      </c>
      <c r="C117">
        <v>45.400002000000001</v>
      </c>
      <c r="D117">
        <v>44.860000999999997</v>
      </c>
      <c r="E117">
        <v>44.93</v>
      </c>
      <c r="F117">
        <v>38.233704000000003</v>
      </c>
      <c r="G117">
        <v>3491600</v>
      </c>
    </row>
    <row r="118" spans="1:7" x14ac:dyDescent="0.3">
      <c r="A118" s="206">
        <v>43580</v>
      </c>
      <c r="B118">
        <v>44.75</v>
      </c>
      <c r="C118">
        <v>45.119999</v>
      </c>
      <c r="D118">
        <v>44.41</v>
      </c>
      <c r="E118">
        <v>44.709999000000003</v>
      </c>
      <c r="F118">
        <v>38.046494000000003</v>
      </c>
      <c r="G118">
        <v>4337100</v>
      </c>
    </row>
    <row r="119" spans="1:7" x14ac:dyDescent="0.3">
      <c r="A119" s="206">
        <v>43581</v>
      </c>
      <c r="B119">
        <v>44.799999</v>
      </c>
      <c r="C119">
        <v>45.130001</v>
      </c>
      <c r="D119">
        <v>44.549999</v>
      </c>
      <c r="E119">
        <v>45.099997999999999</v>
      </c>
      <c r="F119">
        <v>38.378371999999999</v>
      </c>
      <c r="G119">
        <v>3087400</v>
      </c>
    </row>
    <row r="120" spans="1:7" x14ac:dyDescent="0.3">
      <c r="A120" s="206">
        <v>43584</v>
      </c>
      <c r="B120">
        <v>45.299999</v>
      </c>
      <c r="C120">
        <v>45.900002000000001</v>
      </c>
      <c r="D120">
        <v>45.18</v>
      </c>
      <c r="E120">
        <v>45.720001000000003</v>
      </c>
      <c r="F120">
        <v>38.905968000000001</v>
      </c>
      <c r="G120">
        <v>4265500</v>
      </c>
    </row>
    <row r="121" spans="1:7" x14ac:dyDescent="0.3">
      <c r="A121" s="206">
        <v>43585</v>
      </c>
      <c r="B121">
        <v>45.84</v>
      </c>
      <c r="C121">
        <v>46.18</v>
      </c>
      <c r="D121">
        <v>45.279998999999997</v>
      </c>
      <c r="E121">
        <v>46.130001</v>
      </c>
      <c r="F121">
        <v>39.254860000000001</v>
      </c>
      <c r="G121">
        <v>5010400</v>
      </c>
    </row>
    <row r="122" spans="1:7" x14ac:dyDescent="0.3">
      <c r="A122" s="206">
        <v>43586</v>
      </c>
      <c r="B122">
        <v>46.029998999999997</v>
      </c>
      <c r="C122">
        <v>46.5</v>
      </c>
      <c r="D122">
        <v>45.560001</v>
      </c>
      <c r="E122">
        <v>45.709999000000003</v>
      </c>
      <c r="F122">
        <v>38.897449000000002</v>
      </c>
      <c r="G122">
        <v>5326300</v>
      </c>
    </row>
    <row r="123" spans="1:7" x14ac:dyDescent="0.3">
      <c r="A123" s="206">
        <v>43587</v>
      </c>
      <c r="B123">
        <v>46.700001</v>
      </c>
      <c r="C123">
        <v>48.130001</v>
      </c>
      <c r="D123">
        <v>46.57</v>
      </c>
      <c r="E123">
        <v>47.41</v>
      </c>
      <c r="F123">
        <v>40.344096999999998</v>
      </c>
      <c r="G123">
        <v>9433400</v>
      </c>
    </row>
    <row r="124" spans="1:7" x14ac:dyDescent="0.3">
      <c r="A124" s="206">
        <v>43588</v>
      </c>
      <c r="B124">
        <v>47.779998999999997</v>
      </c>
      <c r="C124">
        <v>48.290000999999997</v>
      </c>
      <c r="D124">
        <v>47.34</v>
      </c>
      <c r="E124">
        <v>48</v>
      </c>
      <c r="F124">
        <v>40.846161000000002</v>
      </c>
      <c r="G124">
        <v>6224900</v>
      </c>
    </row>
    <row r="125" spans="1:7" x14ac:dyDescent="0.3">
      <c r="A125" s="206">
        <v>43591</v>
      </c>
      <c r="B125">
        <v>46.68</v>
      </c>
      <c r="C125">
        <v>47.990001999999997</v>
      </c>
      <c r="D125">
        <v>46.599997999999999</v>
      </c>
      <c r="E125">
        <v>47.59</v>
      </c>
      <c r="F125">
        <v>40.871932999999999</v>
      </c>
      <c r="G125">
        <v>5457800</v>
      </c>
    </row>
    <row r="126" spans="1:7" x14ac:dyDescent="0.3">
      <c r="A126" s="206">
        <v>43592</v>
      </c>
      <c r="B126">
        <v>47.029998999999997</v>
      </c>
      <c r="C126">
        <v>47.73</v>
      </c>
      <c r="D126">
        <v>46.990001999999997</v>
      </c>
      <c r="E126">
        <v>47.290000999999997</v>
      </c>
      <c r="F126">
        <v>40.614272999999997</v>
      </c>
      <c r="G126">
        <v>6444100</v>
      </c>
    </row>
    <row r="127" spans="1:7" x14ac:dyDescent="0.3">
      <c r="A127" s="206">
        <v>43593</v>
      </c>
      <c r="B127">
        <v>46.98</v>
      </c>
      <c r="C127">
        <v>47.84</v>
      </c>
      <c r="D127">
        <v>46.919998</v>
      </c>
      <c r="E127">
        <v>47.279998999999997</v>
      </c>
      <c r="F127">
        <v>40.605690000000003</v>
      </c>
      <c r="G127">
        <v>6257900</v>
      </c>
    </row>
    <row r="128" spans="1:7" x14ac:dyDescent="0.3">
      <c r="A128" s="206">
        <v>43594</v>
      </c>
      <c r="B128">
        <v>46.669998</v>
      </c>
      <c r="C128">
        <v>47.529998999999997</v>
      </c>
      <c r="D128">
        <v>46.400002000000001</v>
      </c>
      <c r="E128">
        <v>47.48</v>
      </c>
      <c r="F128">
        <v>40.777453999999999</v>
      </c>
      <c r="G128">
        <v>5211200</v>
      </c>
    </row>
    <row r="129" spans="1:7" x14ac:dyDescent="0.3">
      <c r="A129" s="206">
        <v>43595</v>
      </c>
      <c r="B129">
        <v>47.169998</v>
      </c>
      <c r="C129">
        <v>48.07</v>
      </c>
      <c r="D129">
        <v>46.860000999999997</v>
      </c>
      <c r="E129">
        <v>47.919998</v>
      </c>
      <c r="F129">
        <v>41.155341999999997</v>
      </c>
      <c r="G129">
        <v>5940900</v>
      </c>
    </row>
    <row r="130" spans="1:7" x14ac:dyDescent="0.3">
      <c r="A130" s="206">
        <v>43598</v>
      </c>
      <c r="B130">
        <v>47</v>
      </c>
      <c r="C130">
        <v>47.189999</v>
      </c>
      <c r="D130">
        <v>46.330002</v>
      </c>
      <c r="E130">
        <v>46.73</v>
      </c>
      <c r="F130">
        <v>40.133327000000001</v>
      </c>
      <c r="G130">
        <v>6674300</v>
      </c>
    </row>
    <row r="131" spans="1:7" x14ac:dyDescent="0.3">
      <c r="A131" s="206">
        <v>43599</v>
      </c>
      <c r="B131">
        <v>46.779998999999997</v>
      </c>
      <c r="C131">
        <v>48.09</v>
      </c>
      <c r="D131">
        <v>46.779998999999997</v>
      </c>
      <c r="E131">
        <v>47.5</v>
      </c>
      <c r="F131">
        <v>40.794635999999997</v>
      </c>
      <c r="G131">
        <v>5858100</v>
      </c>
    </row>
    <row r="132" spans="1:7" x14ac:dyDescent="0.3">
      <c r="A132" s="206">
        <v>43600</v>
      </c>
      <c r="B132">
        <v>47.23</v>
      </c>
      <c r="C132">
        <v>47.349997999999999</v>
      </c>
      <c r="D132">
        <v>46.669998</v>
      </c>
      <c r="E132">
        <v>47.169998</v>
      </c>
      <c r="F132">
        <v>40.511211000000003</v>
      </c>
      <c r="G132">
        <v>5480300</v>
      </c>
    </row>
    <row r="133" spans="1:7" x14ac:dyDescent="0.3">
      <c r="A133" s="206">
        <v>43601</v>
      </c>
      <c r="B133">
        <v>47.380001</v>
      </c>
      <c r="C133">
        <v>48.060001</v>
      </c>
      <c r="D133">
        <v>47.380001</v>
      </c>
      <c r="E133">
        <v>47.639999000000003</v>
      </c>
      <c r="F133">
        <v>40.914867000000001</v>
      </c>
      <c r="G133">
        <v>3852800</v>
      </c>
    </row>
    <row r="134" spans="1:7" x14ac:dyDescent="0.3">
      <c r="A134" s="206">
        <v>43602</v>
      </c>
      <c r="B134">
        <v>47.060001</v>
      </c>
      <c r="C134">
        <v>47.82</v>
      </c>
      <c r="D134">
        <v>47.040000999999997</v>
      </c>
      <c r="E134">
        <v>47.330002</v>
      </c>
      <c r="F134">
        <v>40.648631999999999</v>
      </c>
      <c r="G134">
        <v>4074500</v>
      </c>
    </row>
    <row r="135" spans="1:7" x14ac:dyDescent="0.3">
      <c r="A135" s="206">
        <v>43605</v>
      </c>
      <c r="B135">
        <v>47.310001</v>
      </c>
      <c r="C135">
        <v>47.959999000000003</v>
      </c>
      <c r="D135">
        <v>47.23</v>
      </c>
      <c r="E135">
        <v>47.52</v>
      </c>
      <c r="F135">
        <v>40.811816999999998</v>
      </c>
      <c r="G135">
        <v>4224000</v>
      </c>
    </row>
    <row r="136" spans="1:7" x14ac:dyDescent="0.3">
      <c r="A136" s="206">
        <v>43606</v>
      </c>
      <c r="B136">
        <v>47.889999000000003</v>
      </c>
      <c r="C136">
        <v>50.400002000000001</v>
      </c>
      <c r="D136">
        <v>47.77</v>
      </c>
      <c r="E136">
        <v>48.130001</v>
      </c>
      <c r="F136">
        <v>41.335681999999998</v>
      </c>
      <c r="G136">
        <v>6469700</v>
      </c>
    </row>
    <row r="137" spans="1:7" x14ac:dyDescent="0.3">
      <c r="A137" s="206">
        <v>43607</v>
      </c>
      <c r="B137">
        <v>47.860000999999997</v>
      </c>
      <c r="C137">
        <v>48.330002</v>
      </c>
      <c r="D137">
        <v>47.700001</v>
      </c>
      <c r="E137">
        <v>48.130001</v>
      </c>
      <c r="F137">
        <v>41.335681999999998</v>
      </c>
      <c r="G137">
        <v>4790000</v>
      </c>
    </row>
    <row r="138" spans="1:7" x14ac:dyDescent="0.3">
      <c r="A138" s="206">
        <v>43608</v>
      </c>
      <c r="B138">
        <v>47.490001999999997</v>
      </c>
      <c r="C138">
        <v>47.549999</v>
      </c>
      <c r="D138">
        <v>46.720001000000003</v>
      </c>
      <c r="E138">
        <v>47.25</v>
      </c>
      <c r="F138">
        <v>40.579922000000003</v>
      </c>
      <c r="G138">
        <v>5682600</v>
      </c>
    </row>
    <row r="139" spans="1:7" x14ac:dyDescent="0.3">
      <c r="A139" s="206">
        <v>43609</v>
      </c>
      <c r="B139">
        <v>47.48</v>
      </c>
      <c r="C139">
        <v>47.939999</v>
      </c>
      <c r="D139">
        <v>47.389999000000003</v>
      </c>
      <c r="E139">
        <v>47.830002</v>
      </c>
      <c r="F139">
        <v>41.078052999999997</v>
      </c>
      <c r="G139">
        <v>3469500</v>
      </c>
    </row>
    <row r="140" spans="1:7" x14ac:dyDescent="0.3">
      <c r="A140" s="206">
        <v>43613</v>
      </c>
      <c r="B140">
        <v>47.709999000000003</v>
      </c>
      <c r="C140">
        <v>47.950001</v>
      </c>
      <c r="D140">
        <v>47.150002000000001</v>
      </c>
      <c r="E140">
        <v>47.18</v>
      </c>
      <c r="F140">
        <v>40.51981</v>
      </c>
      <c r="G140">
        <v>5178700</v>
      </c>
    </row>
    <row r="141" spans="1:7" x14ac:dyDescent="0.3">
      <c r="A141" s="206">
        <v>43614</v>
      </c>
      <c r="B141">
        <v>46.799999</v>
      </c>
      <c r="C141">
        <v>47.43</v>
      </c>
      <c r="D141">
        <v>46.669998</v>
      </c>
      <c r="E141">
        <v>47.34</v>
      </c>
      <c r="F141">
        <v>40.657218999999998</v>
      </c>
      <c r="G141">
        <v>3861100</v>
      </c>
    </row>
    <row r="142" spans="1:7" x14ac:dyDescent="0.3">
      <c r="A142" s="206">
        <v>43615</v>
      </c>
      <c r="B142">
        <v>47.540000999999997</v>
      </c>
      <c r="C142">
        <v>47.889999000000003</v>
      </c>
      <c r="D142">
        <v>47.150002000000001</v>
      </c>
      <c r="E142">
        <v>47.349997999999999</v>
      </c>
      <c r="F142">
        <v>40.665801999999999</v>
      </c>
      <c r="G142">
        <v>3313300</v>
      </c>
    </row>
    <row r="143" spans="1:7" x14ac:dyDescent="0.3">
      <c r="A143" s="206">
        <v>43616</v>
      </c>
      <c r="B143">
        <v>46.720001000000003</v>
      </c>
      <c r="C143">
        <v>46.880001</v>
      </c>
      <c r="D143">
        <v>46.049999</v>
      </c>
      <c r="E143">
        <v>46.209999000000003</v>
      </c>
      <c r="F143">
        <v>39.686729</v>
      </c>
      <c r="G143">
        <v>5355100</v>
      </c>
    </row>
    <row r="144" spans="1:7" x14ac:dyDescent="0.3">
      <c r="A144" s="206">
        <v>43619</v>
      </c>
      <c r="B144">
        <v>46.02</v>
      </c>
      <c r="C144">
        <v>47.169998</v>
      </c>
      <c r="D144">
        <v>45.700001</v>
      </c>
      <c r="E144">
        <v>47.060001</v>
      </c>
      <c r="F144">
        <v>40.416744000000001</v>
      </c>
      <c r="G144">
        <v>5626500</v>
      </c>
    </row>
    <row r="145" spans="1:7" x14ac:dyDescent="0.3">
      <c r="A145" s="206">
        <v>43620</v>
      </c>
      <c r="B145">
        <v>47.73</v>
      </c>
      <c r="C145">
        <v>48.32</v>
      </c>
      <c r="D145">
        <v>47.470001000000003</v>
      </c>
      <c r="E145">
        <v>48.02</v>
      </c>
      <c r="F145">
        <v>41.241225999999997</v>
      </c>
      <c r="G145">
        <v>6107600</v>
      </c>
    </row>
    <row r="146" spans="1:7" x14ac:dyDescent="0.3">
      <c r="A146" s="206">
        <v>43621</v>
      </c>
      <c r="B146">
        <v>48.07</v>
      </c>
      <c r="C146">
        <v>48.240001999999997</v>
      </c>
      <c r="D146">
        <v>47.400002000000001</v>
      </c>
      <c r="E146">
        <v>48.02</v>
      </c>
      <c r="F146">
        <v>41.241225999999997</v>
      </c>
      <c r="G146">
        <v>4266400</v>
      </c>
    </row>
    <row r="147" spans="1:7" x14ac:dyDescent="0.3">
      <c r="A147" s="206">
        <v>43622</v>
      </c>
      <c r="B147">
        <v>48.169998</v>
      </c>
      <c r="C147">
        <v>48.59</v>
      </c>
      <c r="D147">
        <v>47.950001</v>
      </c>
      <c r="E147">
        <v>48.380001</v>
      </c>
      <c r="F147">
        <v>41.550407</v>
      </c>
      <c r="G147">
        <v>4397000</v>
      </c>
    </row>
    <row r="148" spans="1:7" x14ac:dyDescent="0.3">
      <c r="A148" s="206">
        <v>43623</v>
      </c>
      <c r="B148">
        <v>47.669998</v>
      </c>
      <c r="C148">
        <v>48.650002000000001</v>
      </c>
      <c r="D148">
        <v>47.669998</v>
      </c>
      <c r="E148">
        <v>48.330002</v>
      </c>
      <c r="F148">
        <v>41.507469</v>
      </c>
      <c r="G148">
        <v>4289300</v>
      </c>
    </row>
    <row r="149" spans="1:7" x14ac:dyDescent="0.3">
      <c r="A149" s="206">
        <v>43626</v>
      </c>
      <c r="B149">
        <v>48.630001</v>
      </c>
      <c r="C149">
        <v>49.150002000000001</v>
      </c>
      <c r="D149">
        <v>48.240001999999997</v>
      </c>
      <c r="E149">
        <v>48.419998</v>
      </c>
      <c r="F149">
        <v>41.584763000000002</v>
      </c>
      <c r="G149">
        <v>5134200</v>
      </c>
    </row>
    <row r="150" spans="1:7" x14ac:dyDescent="0.3">
      <c r="A150" s="206">
        <v>43627</v>
      </c>
      <c r="B150">
        <v>48.869999</v>
      </c>
      <c r="C150">
        <v>49.040000999999997</v>
      </c>
      <c r="D150">
        <v>48.470001000000003</v>
      </c>
      <c r="E150">
        <v>48.549999</v>
      </c>
      <c r="F150">
        <v>41.696410999999998</v>
      </c>
      <c r="G150">
        <v>4669000</v>
      </c>
    </row>
    <row r="151" spans="1:7" x14ac:dyDescent="0.3">
      <c r="A151" s="206">
        <v>43628</v>
      </c>
      <c r="B151">
        <v>48.490001999999997</v>
      </c>
      <c r="C151">
        <v>48.66</v>
      </c>
      <c r="D151">
        <v>48.310001</v>
      </c>
      <c r="E151">
        <v>48.419998</v>
      </c>
      <c r="F151">
        <v>41.584763000000002</v>
      </c>
      <c r="G151">
        <v>3323400</v>
      </c>
    </row>
    <row r="152" spans="1:7" x14ac:dyDescent="0.3">
      <c r="A152" s="206">
        <v>43629</v>
      </c>
      <c r="B152">
        <v>48.439999</v>
      </c>
      <c r="C152">
        <v>48.720001000000003</v>
      </c>
      <c r="D152">
        <v>48.25</v>
      </c>
      <c r="E152">
        <v>48.509998000000003</v>
      </c>
      <c r="F152">
        <v>41.662047999999999</v>
      </c>
      <c r="G152">
        <v>3284900</v>
      </c>
    </row>
    <row r="153" spans="1:7" x14ac:dyDescent="0.3">
      <c r="A153" s="206">
        <v>43630</v>
      </c>
      <c r="B153">
        <v>48.52</v>
      </c>
      <c r="C153">
        <v>48.98</v>
      </c>
      <c r="D153">
        <v>48.27</v>
      </c>
      <c r="E153">
        <v>48.810001</v>
      </c>
      <c r="F153">
        <v>41.919701000000003</v>
      </c>
      <c r="G153">
        <v>3258700</v>
      </c>
    </row>
    <row r="154" spans="1:7" x14ac:dyDescent="0.3">
      <c r="A154" s="206">
        <v>43633</v>
      </c>
      <c r="B154">
        <v>48.869999</v>
      </c>
      <c r="C154">
        <v>48.950001</v>
      </c>
      <c r="D154">
        <v>48.16</v>
      </c>
      <c r="E154">
        <v>48.34</v>
      </c>
      <c r="F154">
        <v>41.516047999999998</v>
      </c>
      <c r="G154">
        <v>3125000</v>
      </c>
    </row>
    <row r="155" spans="1:7" x14ac:dyDescent="0.3">
      <c r="A155" s="206">
        <v>43634</v>
      </c>
      <c r="B155">
        <v>48.349997999999999</v>
      </c>
      <c r="C155">
        <v>49</v>
      </c>
      <c r="D155">
        <v>48.150002000000001</v>
      </c>
      <c r="E155">
        <v>48.709999000000003</v>
      </c>
      <c r="F155">
        <v>41.833817000000003</v>
      </c>
      <c r="G155">
        <v>3607200</v>
      </c>
    </row>
    <row r="156" spans="1:7" x14ac:dyDescent="0.3">
      <c r="A156" s="206">
        <v>43635</v>
      </c>
      <c r="B156">
        <v>49.040000999999997</v>
      </c>
      <c r="C156">
        <v>49.490001999999997</v>
      </c>
      <c r="D156">
        <v>48.52</v>
      </c>
      <c r="E156">
        <v>48.75</v>
      </c>
      <c r="F156">
        <v>41.868178999999998</v>
      </c>
      <c r="G156">
        <v>4318300</v>
      </c>
    </row>
    <row r="157" spans="1:7" x14ac:dyDescent="0.3">
      <c r="A157" s="206">
        <v>43636</v>
      </c>
      <c r="B157">
        <v>49.110000999999997</v>
      </c>
      <c r="C157">
        <v>49.48</v>
      </c>
      <c r="D157">
        <v>48.509998000000003</v>
      </c>
      <c r="E157">
        <v>49.360000999999997</v>
      </c>
      <c r="F157">
        <v>42.392063</v>
      </c>
      <c r="G157">
        <v>4062800</v>
      </c>
    </row>
    <row r="158" spans="1:7" x14ac:dyDescent="0.3">
      <c r="A158" s="206">
        <v>43637</v>
      </c>
      <c r="B158">
        <v>49.369999</v>
      </c>
      <c r="C158">
        <v>49.540000999999997</v>
      </c>
      <c r="D158">
        <v>48.880001</v>
      </c>
      <c r="E158">
        <v>48.91</v>
      </c>
      <c r="F158">
        <v>42.005585000000004</v>
      </c>
      <c r="G158">
        <v>5441100</v>
      </c>
    </row>
    <row r="159" spans="1:7" x14ac:dyDescent="0.3">
      <c r="A159" s="206">
        <v>43640</v>
      </c>
      <c r="B159">
        <v>48.900002000000001</v>
      </c>
      <c r="C159">
        <v>49.34</v>
      </c>
      <c r="D159">
        <v>48.790000999999997</v>
      </c>
      <c r="E159">
        <v>49.09</v>
      </c>
      <c r="F159">
        <v>42.160172000000003</v>
      </c>
      <c r="G159">
        <v>2930700</v>
      </c>
    </row>
    <row r="160" spans="1:7" x14ac:dyDescent="0.3">
      <c r="A160" s="206">
        <v>43641</v>
      </c>
      <c r="B160">
        <v>49.009998000000003</v>
      </c>
      <c r="C160">
        <v>49.029998999999997</v>
      </c>
      <c r="D160">
        <v>48.459999000000003</v>
      </c>
      <c r="E160">
        <v>48.73</v>
      </c>
      <c r="F160">
        <v>41.850990000000003</v>
      </c>
      <c r="G160">
        <v>4157400</v>
      </c>
    </row>
    <row r="161" spans="1:7" x14ac:dyDescent="0.3">
      <c r="A161" s="206">
        <v>43642</v>
      </c>
      <c r="B161">
        <v>48.889999000000003</v>
      </c>
      <c r="C161">
        <v>49.110000999999997</v>
      </c>
      <c r="D161">
        <v>48.470001000000003</v>
      </c>
      <c r="E161">
        <v>48.869999</v>
      </c>
      <c r="F161">
        <v>41.971232999999998</v>
      </c>
      <c r="G161">
        <v>3559000</v>
      </c>
    </row>
    <row r="162" spans="1:7" x14ac:dyDescent="0.3">
      <c r="A162" s="206">
        <v>43643</v>
      </c>
      <c r="B162">
        <v>48.970001000000003</v>
      </c>
      <c r="C162">
        <v>49.369999</v>
      </c>
      <c r="D162">
        <v>48.860000999999997</v>
      </c>
      <c r="E162">
        <v>49.150002000000001</v>
      </c>
      <c r="F162">
        <v>42.211708000000002</v>
      </c>
      <c r="G162">
        <v>3198700</v>
      </c>
    </row>
    <row r="163" spans="1:7" x14ac:dyDescent="0.3">
      <c r="A163" s="206">
        <v>43644</v>
      </c>
      <c r="B163">
        <v>49.57</v>
      </c>
      <c r="C163">
        <v>49.889999000000003</v>
      </c>
      <c r="D163">
        <v>49.470001000000003</v>
      </c>
      <c r="E163">
        <v>49.669998</v>
      </c>
      <c r="F163">
        <v>42.658298000000002</v>
      </c>
      <c r="G163">
        <v>4575400</v>
      </c>
    </row>
    <row r="164" spans="1:7" x14ac:dyDescent="0.3">
      <c r="A164" s="206">
        <v>43647</v>
      </c>
      <c r="B164">
        <v>50.040000999999997</v>
      </c>
      <c r="C164">
        <v>50.59</v>
      </c>
      <c r="D164">
        <v>49.970001000000003</v>
      </c>
      <c r="E164">
        <v>50.490001999999997</v>
      </c>
      <c r="F164">
        <v>43.362544999999997</v>
      </c>
      <c r="G164">
        <v>5062900</v>
      </c>
    </row>
    <row r="165" spans="1:7" x14ac:dyDescent="0.3">
      <c r="A165" s="206">
        <v>43648</v>
      </c>
      <c r="B165">
        <v>50.400002000000001</v>
      </c>
      <c r="C165">
        <v>50.490001999999997</v>
      </c>
      <c r="D165">
        <v>49.66</v>
      </c>
      <c r="E165">
        <v>50</v>
      </c>
      <c r="F165">
        <v>42.941715000000002</v>
      </c>
      <c r="G165">
        <v>4091600</v>
      </c>
    </row>
    <row r="166" spans="1:7" x14ac:dyDescent="0.3">
      <c r="A166" s="206">
        <v>43649</v>
      </c>
      <c r="B166">
        <v>50.119999</v>
      </c>
      <c r="C166">
        <v>50.75</v>
      </c>
      <c r="D166">
        <v>50.02</v>
      </c>
      <c r="E166">
        <v>50.470001000000003</v>
      </c>
      <c r="F166">
        <v>43.345367000000003</v>
      </c>
      <c r="G166">
        <v>2237100</v>
      </c>
    </row>
    <row r="167" spans="1:7" x14ac:dyDescent="0.3">
      <c r="A167" s="206">
        <v>43651</v>
      </c>
      <c r="B167">
        <v>50.66</v>
      </c>
      <c r="C167">
        <v>50.939999</v>
      </c>
      <c r="D167">
        <v>50.389999000000003</v>
      </c>
      <c r="E167">
        <v>50.700001</v>
      </c>
      <c r="F167">
        <v>43.542900000000003</v>
      </c>
      <c r="G167">
        <v>2282200</v>
      </c>
    </row>
    <row r="168" spans="1:7" x14ac:dyDescent="0.3">
      <c r="A168" s="206">
        <v>43654</v>
      </c>
      <c r="B168">
        <v>50.419998</v>
      </c>
      <c r="C168">
        <v>50.709999000000003</v>
      </c>
      <c r="D168">
        <v>50.240001999999997</v>
      </c>
      <c r="E168">
        <v>50.540000999999997</v>
      </c>
      <c r="F168">
        <v>43.405487000000001</v>
      </c>
      <c r="G168">
        <v>2423500</v>
      </c>
    </row>
    <row r="169" spans="1:7" x14ac:dyDescent="0.3">
      <c r="A169" s="206">
        <v>43655</v>
      </c>
      <c r="B169">
        <v>50.18</v>
      </c>
      <c r="C169">
        <v>50.549999</v>
      </c>
      <c r="D169">
        <v>50.07</v>
      </c>
      <c r="E169">
        <v>50.380001</v>
      </c>
      <c r="F169">
        <v>43.268065999999997</v>
      </c>
      <c r="G169">
        <v>3395400</v>
      </c>
    </row>
    <row r="170" spans="1:7" x14ac:dyDescent="0.3">
      <c r="A170" s="206">
        <v>43656</v>
      </c>
      <c r="B170">
        <v>50.549999</v>
      </c>
      <c r="C170">
        <v>50.779998999999997</v>
      </c>
      <c r="D170">
        <v>50.16</v>
      </c>
      <c r="E170">
        <v>50.32</v>
      </c>
      <c r="F170">
        <v>43.216540999999999</v>
      </c>
      <c r="G170">
        <v>3472800</v>
      </c>
    </row>
    <row r="171" spans="1:7" x14ac:dyDescent="0.3">
      <c r="A171" s="206">
        <v>43657</v>
      </c>
      <c r="B171">
        <v>50.470001000000003</v>
      </c>
      <c r="C171">
        <v>50.509998000000003</v>
      </c>
      <c r="D171">
        <v>49.900002000000001</v>
      </c>
      <c r="E171">
        <v>50.419998</v>
      </c>
      <c r="F171">
        <v>43.302433000000001</v>
      </c>
      <c r="G171">
        <v>4058600</v>
      </c>
    </row>
    <row r="172" spans="1:7" x14ac:dyDescent="0.3">
      <c r="A172" s="206">
        <v>43658</v>
      </c>
      <c r="B172">
        <v>50.52</v>
      </c>
      <c r="C172">
        <v>50.93</v>
      </c>
      <c r="D172">
        <v>50.419998</v>
      </c>
      <c r="E172">
        <v>50.919998</v>
      </c>
      <c r="F172">
        <v>43.731842</v>
      </c>
      <c r="G172">
        <v>3760000</v>
      </c>
    </row>
    <row r="173" spans="1:7" x14ac:dyDescent="0.3">
      <c r="A173" s="206">
        <v>43661</v>
      </c>
      <c r="B173">
        <v>50.900002000000001</v>
      </c>
      <c r="C173">
        <v>50.939999</v>
      </c>
      <c r="D173">
        <v>50.400002000000001</v>
      </c>
      <c r="E173">
        <v>50.779998999999997</v>
      </c>
      <c r="F173">
        <v>43.611606999999999</v>
      </c>
      <c r="G173">
        <v>3285100</v>
      </c>
    </row>
    <row r="174" spans="1:7" x14ac:dyDescent="0.3">
      <c r="A174" s="206">
        <v>43662</v>
      </c>
      <c r="B174">
        <v>50.450001</v>
      </c>
      <c r="C174">
        <v>50.669998</v>
      </c>
      <c r="D174">
        <v>50.07</v>
      </c>
      <c r="E174">
        <v>50.5</v>
      </c>
      <c r="F174">
        <v>43.371139999999997</v>
      </c>
      <c r="G174">
        <v>3886100</v>
      </c>
    </row>
    <row r="175" spans="1:7" x14ac:dyDescent="0.3">
      <c r="A175" s="206">
        <v>43663</v>
      </c>
      <c r="B175">
        <v>50.419998</v>
      </c>
      <c r="C175">
        <v>50.5</v>
      </c>
      <c r="D175">
        <v>49.759998000000003</v>
      </c>
      <c r="E175">
        <v>49.959999000000003</v>
      </c>
      <c r="F175">
        <v>42.907359999999997</v>
      </c>
      <c r="G175">
        <v>3922500</v>
      </c>
    </row>
    <row r="176" spans="1:7" x14ac:dyDescent="0.3">
      <c r="A176" s="206">
        <v>43664</v>
      </c>
      <c r="B176">
        <v>50.040000999999997</v>
      </c>
      <c r="C176">
        <v>50.220001000000003</v>
      </c>
      <c r="D176">
        <v>49.849997999999999</v>
      </c>
      <c r="E176">
        <v>50</v>
      </c>
      <c r="F176">
        <v>42.941715000000002</v>
      </c>
      <c r="G176">
        <v>4233100</v>
      </c>
    </row>
    <row r="177" spans="1:7" x14ac:dyDescent="0.3">
      <c r="A177" s="206">
        <v>43665</v>
      </c>
      <c r="B177">
        <v>50.200001</v>
      </c>
      <c r="C177">
        <v>50.43</v>
      </c>
      <c r="D177">
        <v>49.709999000000003</v>
      </c>
      <c r="E177">
        <v>49.720001000000003</v>
      </c>
      <c r="F177">
        <v>42.701241000000003</v>
      </c>
      <c r="G177">
        <v>4382100</v>
      </c>
    </row>
    <row r="178" spans="1:7" x14ac:dyDescent="0.3">
      <c r="A178" s="206">
        <v>43668</v>
      </c>
      <c r="B178">
        <v>49.66</v>
      </c>
      <c r="C178">
        <v>49.849997999999999</v>
      </c>
      <c r="D178">
        <v>49.279998999999997</v>
      </c>
      <c r="E178">
        <v>49.759998000000003</v>
      </c>
      <c r="F178">
        <v>42.735588</v>
      </c>
      <c r="G178">
        <v>3917400</v>
      </c>
    </row>
    <row r="179" spans="1:7" x14ac:dyDescent="0.3">
      <c r="A179" s="206">
        <v>43669</v>
      </c>
      <c r="B179">
        <v>49.900002000000001</v>
      </c>
      <c r="C179">
        <v>50.32</v>
      </c>
      <c r="D179">
        <v>49.849997999999999</v>
      </c>
      <c r="E179">
        <v>50.139999000000003</v>
      </c>
      <c r="F179">
        <v>43.061947000000004</v>
      </c>
      <c r="G179">
        <v>3336100</v>
      </c>
    </row>
    <row r="180" spans="1:7" x14ac:dyDescent="0.3">
      <c r="A180" s="206">
        <v>43670</v>
      </c>
      <c r="B180">
        <v>49.959999000000003</v>
      </c>
      <c r="C180">
        <v>50.439999</v>
      </c>
      <c r="D180">
        <v>49.860000999999997</v>
      </c>
      <c r="E180">
        <v>50.369999</v>
      </c>
      <c r="F180">
        <v>43.259480000000003</v>
      </c>
      <c r="G180">
        <v>2916800</v>
      </c>
    </row>
    <row r="181" spans="1:7" x14ac:dyDescent="0.3">
      <c r="A181" s="206">
        <v>43671</v>
      </c>
      <c r="B181">
        <v>50.369999</v>
      </c>
      <c r="C181">
        <v>50.400002000000001</v>
      </c>
      <c r="D181">
        <v>49.959999000000003</v>
      </c>
      <c r="E181">
        <v>50.139999000000003</v>
      </c>
      <c r="F181">
        <v>43.061947000000004</v>
      </c>
      <c r="G181">
        <v>3578800</v>
      </c>
    </row>
    <row r="182" spans="1:7" x14ac:dyDescent="0.3">
      <c r="A182" s="206">
        <v>43672</v>
      </c>
      <c r="B182">
        <v>50.16</v>
      </c>
      <c r="C182">
        <v>50.779998999999997</v>
      </c>
      <c r="D182">
        <v>49.779998999999997</v>
      </c>
      <c r="E182">
        <v>50.689999</v>
      </c>
      <c r="F182">
        <v>43.534306000000001</v>
      </c>
      <c r="G182">
        <v>3899800</v>
      </c>
    </row>
    <row r="183" spans="1:7" x14ac:dyDescent="0.3">
      <c r="A183" s="206">
        <v>43675</v>
      </c>
      <c r="B183">
        <v>50.299999</v>
      </c>
      <c r="C183">
        <v>50.580002</v>
      </c>
      <c r="D183">
        <v>49.900002000000001</v>
      </c>
      <c r="E183">
        <v>50</v>
      </c>
      <c r="F183">
        <v>42.941715000000002</v>
      </c>
      <c r="G183">
        <v>3815300</v>
      </c>
    </row>
    <row r="184" spans="1:7" x14ac:dyDescent="0.3">
      <c r="A184" s="206">
        <v>43676</v>
      </c>
      <c r="B184">
        <v>49.830002</v>
      </c>
      <c r="C184">
        <v>50.009998000000003</v>
      </c>
      <c r="D184">
        <v>49.43</v>
      </c>
      <c r="E184">
        <v>50.009998000000003</v>
      </c>
      <c r="F184">
        <v>42.950302000000001</v>
      </c>
      <c r="G184">
        <v>2920500</v>
      </c>
    </row>
    <row r="185" spans="1:7" x14ac:dyDescent="0.3">
      <c r="A185" s="206">
        <v>43677</v>
      </c>
      <c r="B185">
        <v>49.900002000000001</v>
      </c>
      <c r="C185">
        <v>50.110000999999997</v>
      </c>
      <c r="D185">
        <v>49.080002</v>
      </c>
      <c r="E185">
        <v>49.419998</v>
      </c>
      <c r="F185">
        <v>42.443587999999998</v>
      </c>
      <c r="G185">
        <v>6597200</v>
      </c>
    </row>
    <row r="186" spans="1:7" x14ac:dyDescent="0.3">
      <c r="A186" s="206">
        <v>43678</v>
      </c>
      <c r="B186">
        <v>49.849997999999999</v>
      </c>
      <c r="C186">
        <v>51.16</v>
      </c>
      <c r="D186">
        <v>47.91</v>
      </c>
      <c r="E186">
        <v>48.330002</v>
      </c>
      <c r="F186">
        <v>41.507469</v>
      </c>
      <c r="G186">
        <v>10900200</v>
      </c>
    </row>
    <row r="187" spans="1:7" x14ac:dyDescent="0.3">
      <c r="A187" s="206">
        <v>43679</v>
      </c>
      <c r="B187">
        <v>48.279998999999997</v>
      </c>
      <c r="C187">
        <v>48.299999</v>
      </c>
      <c r="D187">
        <v>47.029998999999997</v>
      </c>
      <c r="E187">
        <v>47.290000999999997</v>
      </c>
      <c r="F187">
        <v>40.614272999999997</v>
      </c>
      <c r="G187">
        <v>9084500</v>
      </c>
    </row>
    <row r="188" spans="1:7" x14ac:dyDescent="0.3">
      <c r="A188" s="206">
        <v>43682</v>
      </c>
      <c r="B188">
        <v>46.049999</v>
      </c>
      <c r="C188">
        <v>46.419998</v>
      </c>
      <c r="D188">
        <v>45.07</v>
      </c>
      <c r="E188">
        <v>45.57</v>
      </c>
      <c r="F188">
        <v>39.504641999999997</v>
      </c>
      <c r="G188">
        <v>8857500</v>
      </c>
    </row>
    <row r="189" spans="1:7" x14ac:dyDescent="0.3">
      <c r="A189" s="206">
        <v>43683</v>
      </c>
      <c r="B189">
        <v>45.799999</v>
      </c>
      <c r="C189">
        <v>46.990001999999997</v>
      </c>
      <c r="D189">
        <v>45.73</v>
      </c>
      <c r="E189">
        <v>46.849997999999999</v>
      </c>
      <c r="F189">
        <v>40.614269</v>
      </c>
      <c r="G189">
        <v>7893300</v>
      </c>
    </row>
    <row r="190" spans="1:7" x14ac:dyDescent="0.3">
      <c r="A190" s="206">
        <v>43684</v>
      </c>
      <c r="B190">
        <v>45.860000999999997</v>
      </c>
      <c r="C190">
        <v>46.540000999999997</v>
      </c>
      <c r="D190">
        <v>45.130001</v>
      </c>
      <c r="E190">
        <v>46.330002</v>
      </c>
      <c r="F190">
        <v>40.163490000000003</v>
      </c>
      <c r="G190">
        <v>6165200</v>
      </c>
    </row>
    <row r="191" spans="1:7" x14ac:dyDescent="0.3">
      <c r="A191" s="206">
        <v>43685</v>
      </c>
      <c r="B191">
        <v>46.950001</v>
      </c>
      <c r="C191">
        <v>47.529998999999997</v>
      </c>
      <c r="D191">
        <v>46.740001999999997</v>
      </c>
      <c r="E191">
        <v>47.169998</v>
      </c>
      <c r="F191">
        <v>40.891685000000003</v>
      </c>
      <c r="G191">
        <v>6431200</v>
      </c>
    </row>
    <row r="192" spans="1:7" x14ac:dyDescent="0.3">
      <c r="A192" s="206">
        <v>43686</v>
      </c>
      <c r="B192">
        <v>47.02</v>
      </c>
      <c r="C192">
        <v>47.25</v>
      </c>
      <c r="D192">
        <v>46.560001</v>
      </c>
      <c r="E192">
        <v>46.91</v>
      </c>
      <c r="F192">
        <v>40.666285999999999</v>
      </c>
      <c r="G192">
        <v>5330600</v>
      </c>
    </row>
    <row r="193" spans="1:7" x14ac:dyDescent="0.3">
      <c r="A193" s="206">
        <v>43689</v>
      </c>
      <c r="B193">
        <v>46.290000999999997</v>
      </c>
      <c r="C193">
        <v>46.91</v>
      </c>
      <c r="D193">
        <v>45.759998000000003</v>
      </c>
      <c r="E193">
        <v>45.889999000000003</v>
      </c>
      <c r="F193">
        <v>39.782043000000002</v>
      </c>
      <c r="G193">
        <v>9874900</v>
      </c>
    </row>
    <row r="194" spans="1:7" x14ac:dyDescent="0.3">
      <c r="A194" s="206">
        <v>43690</v>
      </c>
      <c r="B194">
        <v>45.98</v>
      </c>
      <c r="C194">
        <v>47.240001999999997</v>
      </c>
      <c r="D194">
        <v>45.529998999999997</v>
      </c>
      <c r="E194">
        <v>46.93</v>
      </c>
      <c r="F194">
        <v>40.683624000000002</v>
      </c>
      <c r="G194">
        <v>6273100</v>
      </c>
    </row>
    <row r="195" spans="1:7" x14ac:dyDescent="0.3">
      <c r="A195" s="206">
        <v>43691</v>
      </c>
      <c r="B195">
        <v>45.650002000000001</v>
      </c>
      <c r="C195">
        <v>45.98</v>
      </c>
      <c r="D195">
        <v>44.830002</v>
      </c>
      <c r="E195">
        <v>44.869999</v>
      </c>
      <c r="F195">
        <v>38.897807999999998</v>
      </c>
      <c r="G195">
        <v>9638300</v>
      </c>
    </row>
    <row r="196" spans="1:7" x14ac:dyDescent="0.3">
      <c r="A196" s="206">
        <v>43692</v>
      </c>
      <c r="B196">
        <v>45</v>
      </c>
      <c r="C196">
        <v>45.290000999999997</v>
      </c>
      <c r="D196">
        <v>44.490001999999997</v>
      </c>
      <c r="E196">
        <v>44.73</v>
      </c>
      <c r="F196">
        <v>38.776446999999997</v>
      </c>
      <c r="G196">
        <v>7453700</v>
      </c>
    </row>
    <row r="197" spans="1:7" x14ac:dyDescent="0.3">
      <c r="A197" s="206">
        <v>43693</v>
      </c>
      <c r="B197">
        <v>45.09</v>
      </c>
      <c r="C197">
        <v>45.650002000000001</v>
      </c>
      <c r="D197">
        <v>45.040000999999997</v>
      </c>
      <c r="E197">
        <v>45.349997999999999</v>
      </c>
      <c r="F197">
        <v>39.313918999999999</v>
      </c>
      <c r="G197">
        <v>7151400</v>
      </c>
    </row>
    <row r="198" spans="1:7" x14ac:dyDescent="0.3">
      <c r="A198" s="206">
        <v>43696</v>
      </c>
      <c r="B198">
        <v>46.23</v>
      </c>
      <c r="C198">
        <v>46.380001</v>
      </c>
      <c r="D198">
        <v>45.580002</v>
      </c>
      <c r="E198">
        <v>45.77</v>
      </c>
      <c r="F198">
        <v>39.678027999999998</v>
      </c>
      <c r="G198">
        <v>6315700</v>
      </c>
    </row>
    <row r="199" spans="1:7" x14ac:dyDescent="0.3">
      <c r="A199" s="206">
        <v>43697</v>
      </c>
      <c r="B199">
        <v>45.439999</v>
      </c>
      <c r="C199">
        <v>45.959999000000003</v>
      </c>
      <c r="D199">
        <v>45.27</v>
      </c>
      <c r="E199">
        <v>45.369999</v>
      </c>
      <c r="F199">
        <v>39.331260999999998</v>
      </c>
      <c r="G199">
        <v>5538100</v>
      </c>
    </row>
    <row r="200" spans="1:7" x14ac:dyDescent="0.3">
      <c r="A200" s="206">
        <v>43698</v>
      </c>
      <c r="B200">
        <v>45.84</v>
      </c>
      <c r="C200">
        <v>45.950001</v>
      </c>
      <c r="D200">
        <v>45.580002</v>
      </c>
      <c r="E200">
        <v>45.759998000000003</v>
      </c>
      <c r="F200">
        <v>39.669350000000001</v>
      </c>
      <c r="G200">
        <v>4838200</v>
      </c>
    </row>
    <row r="201" spans="1:7" x14ac:dyDescent="0.3">
      <c r="A201" s="206">
        <v>43699</v>
      </c>
      <c r="B201">
        <v>46.049999</v>
      </c>
      <c r="C201">
        <v>46.52</v>
      </c>
      <c r="D201">
        <v>45.82</v>
      </c>
      <c r="E201">
        <v>46.209999000000003</v>
      </c>
      <c r="F201">
        <v>40.059455999999997</v>
      </c>
      <c r="G201">
        <v>4840100</v>
      </c>
    </row>
    <row r="202" spans="1:7" x14ac:dyDescent="0.3">
      <c r="A202" s="206">
        <v>43700</v>
      </c>
      <c r="B202">
        <v>45.75</v>
      </c>
      <c r="C202">
        <v>46.209999000000003</v>
      </c>
      <c r="D202">
        <v>44.299999</v>
      </c>
      <c r="E202">
        <v>44.59</v>
      </c>
      <c r="F202">
        <v>38.655074999999997</v>
      </c>
      <c r="G202">
        <v>8939300</v>
      </c>
    </row>
    <row r="203" spans="1:7" x14ac:dyDescent="0.3">
      <c r="A203" s="206">
        <v>43703</v>
      </c>
      <c r="B203">
        <v>45.060001</v>
      </c>
      <c r="C203">
        <v>45.189999</v>
      </c>
      <c r="D203">
        <v>44.540000999999997</v>
      </c>
      <c r="E203">
        <v>44.84</v>
      </c>
      <c r="F203">
        <v>38.871803</v>
      </c>
      <c r="G203">
        <v>7061100</v>
      </c>
    </row>
    <row r="204" spans="1:7" x14ac:dyDescent="0.3">
      <c r="A204" s="206">
        <v>43704</v>
      </c>
      <c r="B204">
        <v>45.119999</v>
      </c>
      <c r="C204">
        <v>45.240001999999997</v>
      </c>
      <c r="D204">
        <v>43.779998999999997</v>
      </c>
      <c r="E204">
        <v>43.860000999999997</v>
      </c>
      <c r="F204">
        <v>38.022247</v>
      </c>
      <c r="G204">
        <v>7059400</v>
      </c>
    </row>
    <row r="205" spans="1:7" x14ac:dyDescent="0.3">
      <c r="A205" s="206">
        <v>43705</v>
      </c>
      <c r="B205">
        <v>43.470001000000003</v>
      </c>
      <c r="C205">
        <v>43.740001999999997</v>
      </c>
      <c r="D205">
        <v>43.34</v>
      </c>
      <c r="E205">
        <v>43.709999000000003</v>
      </c>
      <c r="F205">
        <v>37.892212000000001</v>
      </c>
      <c r="G205">
        <v>7347500</v>
      </c>
    </row>
    <row r="206" spans="1:7" x14ac:dyDescent="0.3">
      <c r="A206" s="206">
        <v>43706</v>
      </c>
      <c r="B206">
        <v>44.310001</v>
      </c>
      <c r="C206">
        <v>44.41</v>
      </c>
      <c r="D206">
        <v>44.09</v>
      </c>
      <c r="E206">
        <v>44.130001</v>
      </c>
      <c r="F206">
        <v>38.256306000000002</v>
      </c>
      <c r="G206">
        <v>4830300</v>
      </c>
    </row>
    <row r="207" spans="1:7" x14ac:dyDescent="0.3">
      <c r="A207" s="206">
        <v>43707</v>
      </c>
      <c r="B207">
        <v>44.540000999999997</v>
      </c>
      <c r="C207">
        <v>44.689999</v>
      </c>
      <c r="D207">
        <v>44.16</v>
      </c>
      <c r="E207">
        <v>44.299999</v>
      </c>
      <c r="F207">
        <v>38.403678999999997</v>
      </c>
      <c r="G207">
        <v>4224600</v>
      </c>
    </row>
    <row r="208" spans="1:7" x14ac:dyDescent="0.3">
      <c r="A208" s="206">
        <v>43711</v>
      </c>
      <c r="B208">
        <v>43.860000999999997</v>
      </c>
      <c r="C208">
        <v>44</v>
      </c>
      <c r="D208">
        <v>43.369999</v>
      </c>
      <c r="E208">
        <v>43.93</v>
      </c>
      <c r="F208">
        <v>38.082928000000003</v>
      </c>
      <c r="G208">
        <v>5093100</v>
      </c>
    </row>
    <row r="209" spans="1:7" x14ac:dyDescent="0.3">
      <c r="A209" s="206">
        <v>43712</v>
      </c>
      <c r="B209">
        <v>44.439999</v>
      </c>
      <c r="C209">
        <v>44.68</v>
      </c>
      <c r="D209">
        <v>44.240001999999997</v>
      </c>
      <c r="E209">
        <v>44.490001999999997</v>
      </c>
      <c r="F209">
        <v>38.568393999999998</v>
      </c>
      <c r="G209">
        <v>4998200</v>
      </c>
    </row>
    <row r="210" spans="1:7" x14ac:dyDescent="0.3">
      <c r="A210" s="206">
        <v>43713</v>
      </c>
      <c r="B210">
        <v>45.290000999999997</v>
      </c>
      <c r="C210">
        <v>46.299999</v>
      </c>
      <c r="D210">
        <v>45.25</v>
      </c>
      <c r="E210">
        <v>45.950001</v>
      </c>
      <c r="F210">
        <v>39.834068000000002</v>
      </c>
      <c r="G210">
        <v>6215500</v>
      </c>
    </row>
    <row r="211" spans="1:7" x14ac:dyDescent="0.3">
      <c r="A211" s="206">
        <v>43714</v>
      </c>
      <c r="B211">
        <v>46.009998000000003</v>
      </c>
      <c r="C211">
        <v>46.540000999999997</v>
      </c>
      <c r="D211">
        <v>45.810001</v>
      </c>
      <c r="E211">
        <v>46.23</v>
      </c>
      <c r="F211">
        <v>40.076796999999999</v>
      </c>
      <c r="G211">
        <v>4137500</v>
      </c>
    </row>
    <row r="212" spans="1:7" x14ac:dyDescent="0.3">
      <c r="A212" s="206">
        <v>43717</v>
      </c>
      <c r="B212">
        <v>46.639999000000003</v>
      </c>
      <c r="C212">
        <v>46.639999000000003</v>
      </c>
      <c r="D212">
        <v>45.689999</v>
      </c>
      <c r="E212">
        <v>46.400002000000001</v>
      </c>
      <c r="F212">
        <v>40.224173999999998</v>
      </c>
      <c r="G212">
        <v>9950200</v>
      </c>
    </row>
    <row r="213" spans="1:7" x14ac:dyDescent="0.3">
      <c r="A213" s="206">
        <v>43718</v>
      </c>
      <c r="B213">
        <v>46.689999</v>
      </c>
      <c r="C213">
        <v>47.419998</v>
      </c>
      <c r="D213">
        <v>46.389999000000003</v>
      </c>
      <c r="E213">
        <v>47.419998</v>
      </c>
      <c r="F213">
        <v>41.108406000000002</v>
      </c>
      <c r="G213">
        <v>8077200</v>
      </c>
    </row>
    <row r="214" spans="1:7" x14ac:dyDescent="0.3">
      <c r="A214" s="206">
        <v>43719</v>
      </c>
      <c r="B214">
        <v>47.5</v>
      </c>
      <c r="C214">
        <v>47.990001999999997</v>
      </c>
      <c r="D214">
        <v>46.709999000000003</v>
      </c>
      <c r="E214">
        <v>47.970001000000003</v>
      </c>
      <c r="F214">
        <v>41.585197000000001</v>
      </c>
      <c r="G214">
        <v>6424400</v>
      </c>
    </row>
    <row r="215" spans="1:7" x14ac:dyDescent="0.3">
      <c r="A215" s="206">
        <v>43720</v>
      </c>
      <c r="B215">
        <v>47.459999000000003</v>
      </c>
      <c r="C215">
        <v>48.130001</v>
      </c>
      <c r="D215">
        <v>46.77</v>
      </c>
      <c r="E215">
        <v>47.869999</v>
      </c>
      <c r="F215">
        <v>41.498511999999998</v>
      </c>
      <c r="G215">
        <v>6016300</v>
      </c>
    </row>
    <row r="216" spans="1:7" x14ac:dyDescent="0.3">
      <c r="A216" s="206">
        <v>43721</v>
      </c>
      <c r="B216">
        <v>48.400002000000001</v>
      </c>
      <c r="C216">
        <v>48.869999</v>
      </c>
      <c r="D216">
        <v>48.060001</v>
      </c>
      <c r="E216">
        <v>48.369999</v>
      </c>
      <c r="F216">
        <v>41.931969000000002</v>
      </c>
      <c r="G216">
        <v>7463900</v>
      </c>
    </row>
    <row r="217" spans="1:7" x14ac:dyDescent="0.3">
      <c r="A217" s="206">
        <v>43724</v>
      </c>
      <c r="B217">
        <v>47.919998</v>
      </c>
      <c r="C217">
        <v>47.98</v>
      </c>
      <c r="D217">
        <v>47.220001000000003</v>
      </c>
      <c r="E217">
        <v>47.549999</v>
      </c>
      <c r="F217">
        <v>41.221103999999997</v>
      </c>
      <c r="G217">
        <v>7593800</v>
      </c>
    </row>
    <row r="218" spans="1:7" x14ac:dyDescent="0.3">
      <c r="A218" s="206">
        <v>43725</v>
      </c>
      <c r="B218">
        <v>47.07</v>
      </c>
      <c r="C218">
        <v>47.490001999999997</v>
      </c>
      <c r="D218">
        <v>46.919998</v>
      </c>
      <c r="E218">
        <v>47.43</v>
      </c>
      <c r="F218">
        <v>41.117072999999998</v>
      </c>
      <c r="G218">
        <v>6923600</v>
      </c>
    </row>
    <row r="219" spans="1:7" x14ac:dyDescent="0.3">
      <c r="A219" s="206">
        <v>43726</v>
      </c>
      <c r="B219">
        <v>47.189999</v>
      </c>
      <c r="C219">
        <v>47.970001000000003</v>
      </c>
      <c r="D219">
        <v>46.990001999999997</v>
      </c>
      <c r="E219">
        <v>47.849997999999999</v>
      </c>
      <c r="F219">
        <v>41.481171000000003</v>
      </c>
      <c r="G219">
        <v>6448000</v>
      </c>
    </row>
    <row r="220" spans="1:7" x14ac:dyDescent="0.3">
      <c r="A220" s="206">
        <v>43727</v>
      </c>
      <c r="B220">
        <v>47.77</v>
      </c>
      <c r="C220">
        <v>48.419998</v>
      </c>
      <c r="D220">
        <v>47.619999</v>
      </c>
      <c r="E220">
        <v>47.860000999999997</v>
      </c>
      <c r="F220">
        <v>41.489845000000003</v>
      </c>
      <c r="G220">
        <v>4401000</v>
      </c>
    </row>
    <row r="221" spans="1:7" x14ac:dyDescent="0.3">
      <c r="A221" s="206">
        <v>43728</v>
      </c>
      <c r="B221">
        <v>48.02</v>
      </c>
      <c r="C221">
        <v>48.02</v>
      </c>
      <c r="D221">
        <v>47.23</v>
      </c>
      <c r="E221">
        <v>47.439999</v>
      </c>
      <c r="F221">
        <v>41.125743999999997</v>
      </c>
      <c r="G221">
        <v>31827300</v>
      </c>
    </row>
    <row r="222" spans="1:7" x14ac:dyDescent="0.3">
      <c r="A222" s="206">
        <v>43731</v>
      </c>
      <c r="B222">
        <v>46.919998</v>
      </c>
      <c r="C222">
        <v>47.919998</v>
      </c>
      <c r="D222">
        <v>46.91</v>
      </c>
      <c r="E222">
        <v>47.73</v>
      </c>
      <c r="F222">
        <v>41.377144000000001</v>
      </c>
      <c r="G222">
        <v>6750300</v>
      </c>
    </row>
    <row r="223" spans="1:7" x14ac:dyDescent="0.3">
      <c r="A223" s="206">
        <v>43732</v>
      </c>
      <c r="B223">
        <v>47.869999</v>
      </c>
      <c r="C223">
        <v>47.950001</v>
      </c>
      <c r="D223">
        <v>47.060001</v>
      </c>
      <c r="E223">
        <v>47.330002</v>
      </c>
      <c r="F223">
        <v>41.030391999999999</v>
      </c>
      <c r="G223">
        <v>8363800</v>
      </c>
    </row>
    <row r="224" spans="1:7" x14ac:dyDescent="0.3">
      <c r="A224" s="206">
        <v>43733</v>
      </c>
      <c r="B224">
        <v>47.330002</v>
      </c>
      <c r="C224">
        <v>47.709999000000003</v>
      </c>
      <c r="D224">
        <v>47.209999000000003</v>
      </c>
      <c r="E224">
        <v>47.369999</v>
      </c>
      <c r="F224">
        <v>41.065063000000002</v>
      </c>
      <c r="G224">
        <v>4161200</v>
      </c>
    </row>
    <row r="225" spans="1:7" x14ac:dyDescent="0.3">
      <c r="A225" s="206">
        <v>43734</v>
      </c>
      <c r="B225">
        <v>47.369999</v>
      </c>
      <c r="C225">
        <v>47.419998</v>
      </c>
      <c r="D225">
        <v>46.799999</v>
      </c>
      <c r="E225">
        <v>47.080002</v>
      </c>
      <c r="F225">
        <v>40.813656000000002</v>
      </c>
      <c r="G225">
        <v>5277300</v>
      </c>
    </row>
    <row r="226" spans="1:7" x14ac:dyDescent="0.3">
      <c r="A226" s="206">
        <v>43735</v>
      </c>
      <c r="B226">
        <v>47.580002</v>
      </c>
      <c r="C226">
        <v>47.669998</v>
      </c>
      <c r="D226">
        <v>47.119999</v>
      </c>
      <c r="E226">
        <v>47.360000999999997</v>
      </c>
      <c r="F226">
        <v>41.056389000000003</v>
      </c>
      <c r="G226">
        <v>4255000</v>
      </c>
    </row>
    <row r="227" spans="1:7" x14ac:dyDescent="0.3">
      <c r="A227" s="206">
        <v>43738</v>
      </c>
      <c r="B227">
        <v>47.540000999999997</v>
      </c>
      <c r="C227">
        <v>47.619999</v>
      </c>
      <c r="D227">
        <v>46.959999000000003</v>
      </c>
      <c r="E227">
        <v>47.16</v>
      </c>
      <c r="F227">
        <v>40.883015</v>
      </c>
      <c r="G227">
        <v>4077100</v>
      </c>
    </row>
    <row r="228" spans="1:7" x14ac:dyDescent="0.3">
      <c r="A228" s="206">
        <v>43739</v>
      </c>
      <c r="B228">
        <v>47.57</v>
      </c>
      <c r="C228">
        <v>47.66</v>
      </c>
      <c r="D228">
        <v>46.02</v>
      </c>
      <c r="E228">
        <v>46.029998999999997</v>
      </c>
      <c r="F228">
        <v>39.903412000000003</v>
      </c>
      <c r="G228">
        <v>3960000</v>
      </c>
    </row>
    <row r="229" spans="1:7" x14ac:dyDescent="0.3">
      <c r="A229" s="206">
        <v>43740</v>
      </c>
      <c r="B229">
        <v>45.529998999999997</v>
      </c>
      <c r="C229">
        <v>45.700001</v>
      </c>
      <c r="D229">
        <v>44.310001</v>
      </c>
      <c r="E229">
        <v>44.389999000000003</v>
      </c>
      <c r="F229">
        <v>38.481696999999997</v>
      </c>
      <c r="G229">
        <v>7988200</v>
      </c>
    </row>
    <row r="230" spans="1:7" x14ac:dyDescent="0.3">
      <c r="A230" s="206">
        <v>43741</v>
      </c>
      <c r="B230">
        <v>44.23</v>
      </c>
      <c r="C230">
        <v>44.599997999999999</v>
      </c>
      <c r="D230">
        <v>43.669998</v>
      </c>
      <c r="E230">
        <v>44.560001</v>
      </c>
      <c r="F230">
        <v>38.629078</v>
      </c>
      <c r="G230">
        <v>6651900</v>
      </c>
    </row>
    <row r="231" spans="1:7" x14ac:dyDescent="0.3">
      <c r="A231" s="206">
        <v>43742</v>
      </c>
      <c r="B231">
        <v>44.580002</v>
      </c>
      <c r="C231">
        <v>45.490001999999997</v>
      </c>
      <c r="D231">
        <v>44.41</v>
      </c>
      <c r="E231">
        <v>45.41</v>
      </c>
      <c r="F231">
        <v>39.365932000000001</v>
      </c>
      <c r="G231">
        <v>4209200</v>
      </c>
    </row>
    <row r="232" spans="1:7" x14ac:dyDescent="0.3">
      <c r="A232" s="206">
        <v>43745</v>
      </c>
      <c r="B232">
        <v>45.41</v>
      </c>
      <c r="C232">
        <v>45.41</v>
      </c>
      <c r="D232">
        <v>44.939999</v>
      </c>
      <c r="E232">
        <v>44.950001</v>
      </c>
      <c r="F232">
        <v>38.967162999999999</v>
      </c>
      <c r="G232">
        <v>3365700</v>
      </c>
    </row>
    <row r="233" spans="1:7" x14ac:dyDescent="0.3">
      <c r="A233" s="206">
        <v>43746</v>
      </c>
      <c r="B233">
        <v>44.34</v>
      </c>
      <c r="C233">
        <v>44.380001</v>
      </c>
      <c r="D233">
        <v>43.82</v>
      </c>
      <c r="E233">
        <v>43.830002</v>
      </c>
      <c r="F233">
        <v>37.996239000000003</v>
      </c>
      <c r="G233">
        <v>5439100</v>
      </c>
    </row>
    <row r="234" spans="1:7" x14ac:dyDescent="0.3">
      <c r="A234" s="206">
        <v>43747</v>
      </c>
      <c r="B234">
        <v>44.189999</v>
      </c>
      <c r="C234">
        <v>44.610000999999997</v>
      </c>
      <c r="D234">
        <v>44.07</v>
      </c>
      <c r="E234">
        <v>44.369999</v>
      </c>
      <c r="F234">
        <v>38.464359000000002</v>
      </c>
      <c r="G234">
        <v>4273500</v>
      </c>
    </row>
    <row r="235" spans="1:7" x14ac:dyDescent="0.3">
      <c r="A235" s="206">
        <v>43748</v>
      </c>
      <c r="B235">
        <v>44.77</v>
      </c>
      <c r="C235">
        <v>45.369999</v>
      </c>
      <c r="D235">
        <v>44.540000999999997</v>
      </c>
      <c r="E235">
        <v>44.959999000000003</v>
      </c>
      <c r="F235">
        <v>38.975833999999999</v>
      </c>
      <c r="G235">
        <v>3858200</v>
      </c>
    </row>
    <row r="236" spans="1:7" x14ac:dyDescent="0.3">
      <c r="A236" s="206">
        <v>43749</v>
      </c>
      <c r="B236">
        <v>45.919998</v>
      </c>
      <c r="C236">
        <v>46.610000999999997</v>
      </c>
      <c r="D236">
        <v>45.73</v>
      </c>
      <c r="E236">
        <v>45.84</v>
      </c>
      <c r="F236">
        <v>39.738705000000003</v>
      </c>
      <c r="G236">
        <v>5231900</v>
      </c>
    </row>
    <row r="237" spans="1:7" x14ac:dyDescent="0.3">
      <c r="A237" s="206">
        <v>43752</v>
      </c>
      <c r="B237">
        <v>45.43</v>
      </c>
      <c r="C237">
        <v>45.849997999999999</v>
      </c>
      <c r="D237">
        <v>45.369999</v>
      </c>
      <c r="E237">
        <v>45.75</v>
      </c>
      <c r="F237">
        <v>39.660682999999999</v>
      </c>
      <c r="G237">
        <v>2102100</v>
      </c>
    </row>
    <row r="238" spans="1:7" x14ac:dyDescent="0.3">
      <c r="A238" s="206">
        <v>43753</v>
      </c>
      <c r="B238">
        <v>45.970001000000003</v>
      </c>
      <c r="C238">
        <v>46.59</v>
      </c>
      <c r="D238">
        <v>45.830002</v>
      </c>
      <c r="E238">
        <v>46.189999</v>
      </c>
      <c r="F238">
        <v>40.042118000000002</v>
      </c>
      <c r="G238">
        <v>3088800</v>
      </c>
    </row>
    <row r="239" spans="1:7" x14ac:dyDescent="0.3">
      <c r="A239" s="206">
        <v>43754</v>
      </c>
      <c r="B239">
        <v>46.110000999999997</v>
      </c>
      <c r="C239">
        <v>46.630001</v>
      </c>
      <c r="D239">
        <v>45.889999000000003</v>
      </c>
      <c r="E239">
        <v>45.959999000000003</v>
      </c>
      <c r="F239">
        <v>39.842731000000001</v>
      </c>
      <c r="G239">
        <v>4326500</v>
      </c>
    </row>
    <row r="240" spans="1:7" x14ac:dyDescent="0.3">
      <c r="A240" s="206">
        <v>43755</v>
      </c>
      <c r="B240">
        <v>46.32</v>
      </c>
      <c r="C240">
        <v>46.459999000000003</v>
      </c>
      <c r="D240">
        <v>45.73</v>
      </c>
      <c r="E240">
        <v>45.900002000000001</v>
      </c>
      <c r="F240">
        <v>39.790722000000002</v>
      </c>
      <c r="G240">
        <v>4172200</v>
      </c>
    </row>
    <row r="241" spans="1:7" x14ac:dyDescent="0.3">
      <c r="A241" s="206">
        <v>43756</v>
      </c>
      <c r="B241">
        <v>45.98</v>
      </c>
      <c r="C241">
        <v>46.25</v>
      </c>
      <c r="D241">
        <v>45.900002000000001</v>
      </c>
      <c r="E241">
        <v>46.099997999999999</v>
      </c>
      <c r="F241">
        <v>39.964100000000002</v>
      </c>
      <c r="G241">
        <v>5058100</v>
      </c>
    </row>
    <row r="242" spans="1:7" x14ac:dyDescent="0.3">
      <c r="A242" s="206">
        <v>43759</v>
      </c>
      <c r="B242">
        <v>46.549999</v>
      </c>
      <c r="C242">
        <v>46.759998000000003</v>
      </c>
      <c r="D242">
        <v>46.400002000000001</v>
      </c>
      <c r="E242">
        <v>46.540000999999997</v>
      </c>
      <c r="F242">
        <v>40.345542999999999</v>
      </c>
      <c r="G242">
        <v>4353700</v>
      </c>
    </row>
    <row r="243" spans="1:7" x14ac:dyDescent="0.3">
      <c r="A243" s="206">
        <v>43760</v>
      </c>
      <c r="B243">
        <v>46.450001</v>
      </c>
      <c r="C243">
        <v>46.66</v>
      </c>
      <c r="D243">
        <v>46.110000999999997</v>
      </c>
      <c r="E243">
        <v>46.509998000000003</v>
      </c>
      <c r="F243">
        <v>40.319527000000001</v>
      </c>
      <c r="G243">
        <v>3450000</v>
      </c>
    </row>
    <row r="244" spans="1:7" x14ac:dyDescent="0.3">
      <c r="A244" s="206">
        <v>43761</v>
      </c>
      <c r="B244">
        <v>46.439999</v>
      </c>
      <c r="C244">
        <v>46.610000999999997</v>
      </c>
      <c r="D244">
        <v>46.23</v>
      </c>
      <c r="E244">
        <v>46.549999</v>
      </c>
      <c r="F244">
        <v>40.354205999999998</v>
      </c>
      <c r="G244">
        <v>3068000</v>
      </c>
    </row>
    <row r="245" spans="1:7" x14ac:dyDescent="0.3">
      <c r="A245" s="206">
        <v>43762</v>
      </c>
      <c r="B245">
        <v>46.610000999999997</v>
      </c>
      <c r="C245">
        <v>46.93</v>
      </c>
      <c r="D245">
        <v>45.93</v>
      </c>
      <c r="E245">
        <v>46.279998999999997</v>
      </c>
      <c r="F245">
        <v>40.120139999999999</v>
      </c>
      <c r="G245">
        <v>3025900</v>
      </c>
    </row>
    <row r="246" spans="1:7" x14ac:dyDescent="0.3">
      <c r="A246" s="206">
        <v>43763</v>
      </c>
      <c r="B246">
        <v>46.02</v>
      </c>
      <c r="C246">
        <v>46.509998000000003</v>
      </c>
      <c r="D246">
        <v>46.02</v>
      </c>
      <c r="E246">
        <v>46.32</v>
      </c>
      <c r="F246">
        <v>40.154812</v>
      </c>
      <c r="G246">
        <v>2163200</v>
      </c>
    </row>
    <row r="247" spans="1:7" x14ac:dyDescent="0.3">
      <c r="A247" s="206">
        <v>43766</v>
      </c>
      <c r="B247">
        <v>46.540000999999997</v>
      </c>
      <c r="C247">
        <v>47.139999000000003</v>
      </c>
      <c r="D247">
        <v>46.540000999999997</v>
      </c>
      <c r="E247">
        <v>46.810001</v>
      </c>
      <c r="F247">
        <v>40.579600999999997</v>
      </c>
      <c r="G247">
        <v>4108600</v>
      </c>
    </row>
    <row r="248" spans="1:7" x14ac:dyDescent="0.3">
      <c r="A248" s="206">
        <v>43767</v>
      </c>
      <c r="B248">
        <v>46.619999</v>
      </c>
      <c r="C248">
        <v>47.049999</v>
      </c>
      <c r="D248">
        <v>46.439999</v>
      </c>
      <c r="E248">
        <v>46.68</v>
      </c>
      <c r="F248">
        <v>40.466907999999997</v>
      </c>
      <c r="G248">
        <v>3743100</v>
      </c>
    </row>
    <row r="249" spans="1:7" x14ac:dyDescent="0.3">
      <c r="A249" s="206">
        <v>43768</v>
      </c>
      <c r="B249">
        <v>46.630001</v>
      </c>
      <c r="C249">
        <v>46.709999000000003</v>
      </c>
      <c r="D249">
        <v>45.830002</v>
      </c>
      <c r="E249">
        <v>46.290000999999997</v>
      </c>
      <c r="F249">
        <v>40.128815000000003</v>
      </c>
      <c r="G249">
        <v>5272800</v>
      </c>
    </row>
    <row r="250" spans="1:7" x14ac:dyDescent="0.3">
      <c r="A250" s="206">
        <v>43769</v>
      </c>
      <c r="B250">
        <v>45.990001999999997</v>
      </c>
      <c r="C250">
        <v>46.950001</v>
      </c>
      <c r="D250">
        <v>45.330002</v>
      </c>
      <c r="E250">
        <v>46.790000999999997</v>
      </c>
      <c r="F250">
        <v>40.562260000000002</v>
      </c>
      <c r="G250">
        <v>7023100</v>
      </c>
    </row>
    <row r="251" spans="1:7" x14ac:dyDescent="0.3">
      <c r="A251" s="206">
        <v>43770</v>
      </c>
      <c r="B251">
        <v>47.009998000000003</v>
      </c>
      <c r="C251">
        <v>47.439999</v>
      </c>
      <c r="D251">
        <v>46.77</v>
      </c>
      <c r="E251">
        <v>47.259998000000003</v>
      </c>
      <c r="F251">
        <v>40.969704</v>
      </c>
      <c r="G251">
        <v>5733600</v>
      </c>
    </row>
    <row r="252" spans="1:7" x14ac:dyDescent="0.3">
      <c r="A252" s="206">
        <v>43773</v>
      </c>
      <c r="B252">
        <v>47.209999000000003</v>
      </c>
      <c r="C252">
        <v>47.709999000000003</v>
      </c>
      <c r="D252">
        <v>47.18</v>
      </c>
      <c r="E252">
        <v>47.59</v>
      </c>
      <c r="F252">
        <v>41.643497000000004</v>
      </c>
      <c r="G252">
        <v>6564300</v>
      </c>
    </row>
    <row r="253" spans="1:7" x14ac:dyDescent="0.3">
      <c r="A253" s="206">
        <v>43774</v>
      </c>
      <c r="B253">
        <v>47.75</v>
      </c>
      <c r="C253">
        <v>48.57</v>
      </c>
      <c r="D253">
        <v>47.59</v>
      </c>
      <c r="E253">
        <v>48.380001</v>
      </c>
      <c r="F253">
        <v>42.334778</v>
      </c>
      <c r="G253">
        <v>6157800</v>
      </c>
    </row>
    <row r="254" spans="1:7" x14ac:dyDescent="0.3">
      <c r="A254" s="206">
        <v>43775</v>
      </c>
      <c r="B254">
        <v>48.360000999999997</v>
      </c>
      <c r="C254">
        <v>48.720001000000003</v>
      </c>
      <c r="D254">
        <v>48.040000999999997</v>
      </c>
      <c r="E254">
        <v>48.599997999999999</v>
      </c>
      <c r="F254">
        <v>42.527287000000001</v>
      </c>
      <c r="G254">
        <v>5150300</v>
      </c>
    </row>
    <row r="255" spans="1:7" x14ac:dyDescent="0.3">
      <c r="A255" s="206">
        <v>43776</v>
      </c>
      <c r="B255">
        <v>49.07</v>
      </c>
      <c r="C255">
        <v>49.610000999999997</v>
      </c>
      <c r="D255">
        <v>48.93</v>
      </c>
      <c r="E255">
        <v>49.040000999999997</v>
      </c>
      <c r="F255">
        <v>42.912308000000003</v>
      </c>
      <c r="G255">
        <v>5999900</v>
      </c>
    </row>
    <row r="256" spans="1:7" x14ac:dyDescent="0.3">
      <c r="A256" s="206">
        <v>43777</v>
      </c>
      <c r="B256">
        <v>49.099997999999999</v>
      </c>
      <c r="C256">
        <v>49.34</v>
      </c>
      <c r="D256">
        <v>48.490001999999997</v>
      </c>
      <c r="E256">
        <v>49.32</v>
      </c>
      <c r="F256">
        <v>43.157317999999997</v>
      </c>
      <c r="G256">
        <v>6446200</v>
      </c>
    </row>
    <row r="257" spans="1:7" x14ac:dyDescent="0.3">
      <c r="A257" s="206">
        <v>43780</v>
      </c>
      <c r="B257">
        <v>48.82</v>
      </c>
      <c r="C257">
        <v>49.48</v>
      </c>
      <c r="D257">
        <v>48.810001</v>
      </c>
      <c r="E257">
        <v>49.220001000000003</v>
      </c>
      <c r="F257">
        <v>43.069817</v>
      </c>
      <c r="G257">
        <v>4322700</v>
      </c>
    </row>
    <row r="258" spans="1:7" x14ac:dyDescent="0.3">
      <c r="A258" s="206">
        <v>43781</v>
      </c>
      <c r="B258">
        <v>49.310001</v>
      </c>
      <c r="C258">
        <v>49.869999</v>
      </c>
      <c r="D258">
        <v>49.18</v>
      </c>
      <c r="E258">
        <v>49.580002</v>
      </c>
      <c r="F258">
        <v>43.384830000000001</v>
      </c>
      <c r="G258">
        <v>4672500</v>
      </c>
    </row>
    <row r="259" spans="1:7" x14ac:dyDescent="0.3">
      <c r="A259" s="206">
        <v>43782</v>
      </c>
      <c r="B259">
        <v>49.119999</v>
      </c>
      <c r="C259">
        <v>49.41</v>
      </c>
      <c r="D259">
        <v>48.93</v>
      </c>
      <c r="E259">
        <v>49.259998000000003</v>
      </c>
      <c r="F259">
        <v>43.104809000000003</v>
      </c>
      <c r="G259">
        <v>3984800</v>
      </c>
    </row>
    <row r="260" spans="1:7" x14ac:dyDescent="0.3">
      <c r="A260" s="206">
        <v>43783</v>
      </c>
      <c r="B260">
        <v>49.150002000000001</v>
      </c>
      <c r="C260">
        <v>49.470001000000003</v>
      </c>
      <c r="D260">
        <v>48.959999000000003</v>
      </c>
      <c r="E260">
        <v>49.299999</v>
      </c>
      <c r="F260">
        <v>43.13982</v>
      </c>
      <c r="G260">
        <v>3034800</v>
      </c>
    </row>
    <row r="261" spans="1:7" x14ac:dyDescent="0.3">
      <c r="A261" s="206">
        <v>43784</v>
      </c>
      <c r="B261">
        <v>49.610000999999997</v>
      </c>
      <c r="C261">
        <v>49.73</v>
      </c>
      <c r="D261">
        <v>49.169998</v>
      </c>
      <c r="E261">
        <v>49.27</v>
      </c>
      <c r="F261">
        <v>43.11356</v>
      </c>
      <c r="G261">
        <v>3298100</v>
      </c>
    </row>
    <row r="262" spans="1:7" x14ac:dyDescent="0.3">
      <c r="A262" s="206">
        <v>43787</v>
      </c>
      <c r="B262">
        <v>49.07</v>
      </c>
      <c r="C262">
        <v>49.189999</v>
      </c>
      <c r="D262">
        <v>48.77</v>
      </c>
      <c r="E262">
        <v>49.119999</v>
      </c>
      <c r="F262">
        <v>42.982315</v>
      </c>
      <c r="G262">
        <v>3679000</v>
      </c>
    </row>
    <row r="263" spans="1:7" x14ac:dyDescent="0.3">
      <c r="A263" s="206">
        <v>43788</v>
      </c>
      <c r="B263">
        <v>49.27</v>
      </c>
      <c r="C263">
        <v>49.540000999999997</v>
      </c>
      <c r="D263">
        <v>49.110000999999997</v>
      </c>
      <c r="E263">
        <v>49.150002000000001</v>
      </c>
      <c r="F263">
        <v>43.008564</v>
      </c>
      <c r="G263">
        <v>4000600</v>
      </c>
    </row>
    <row r="264" spans="1:7" x14ac:dyDescent="0.3">
      <c r="A264" s="206">
        <v>43789</v>
      </c>
      <c r="B264">
        <v>48.939999</v>
      </c>
      <c r="C264">
        <v>49.009998000000003</v>
      </c>
      <c r="D264">
        <v>48.34</v>
      </c>
      <c r="E264">
        <v>48.939999</v>
      </c>
      <c r="F264">
        <v>42.824801999999998</v>
      </c>
      <c r="G264">
        <v>4234700</v>
      </c>
    </row>
    <row r="265" spans="1:7" x14ac:dyDescent="0.3">
      <c r="A265" s="206">
        <v>43790</v>
      </c>
      <c r="B265">
        <v>49.130001</v>
      </c>
      <c r="C265">
        <v>49.130001</v>
      </c>
      <c r="D265">
        <v>48.599997999999999</v>
      </c>
      <c r="E265">
        <v>48.970001000000003</v>
      </c>
      <c r="F265">
        <v>42.851055000000002</v>
      </c>
      <c r="G265">
        <v>3585600</v>
      </c>
    </row>
    <row r="266" spans="1:7" x14ac:dyDescent="0.3">
      <c r="A266" s="206">
        <v>43791</v>
      </c>
      <c r="B266">
        <v>49.060001</v>
      </c>
      <c r="C266">
        <v>49.669998</v>
      </c>
      <c r="D266">
        <v>48.93</v>
      </c>
      <c r="E266">
        <v>49.599997999999999</v>
      </c>
      <c r="F266">
        <v>43.402335999999998</v>
      </c>
      <c r="G266">
        <v>5399600</v>
      </c>
    </row>
    <row r="267" spans="1:7" x14ac:dyDescent="0.3">
      <c r="A267" s="206">
        <v>43794</v>
      </c>
      <c r="B267">
        <v>49.75</v>
      </c>
      <c r="C267">
        <v>50.049999</v>
      </c>
      <c r="D267">
        <v>49.610000999999997</v>
      </c>
      <c r="E267">
        <v>49.950001</v>
      </c>
      <c r="F267">
        <v>43.708595000000003</v>
      </c>
      <c r="G267">
        <v>5059500</v>
      </c>
    </row>
    <row r="268" spans="1:7" x14ac:dyDescent="0.3">
      <c r="A268" s="206">
        <v>43795</v>
      </c>
      <c r="B268">
        <v>49.810001</v>
      </c>
      <c r="C268">
        <v>49.93</v>
      </c>
      <c r="D268">
        <v>49.439999</v>
      </c>
      <c r="E268">
        <v>49.77</v>
      </c>
      <c r="F268">
        <v>43.551090000000002</v>
      </c>
      <c r="G268">
        <v>4096900</v>
      </c>
    </row>
    <row r="269" spans="1:7" x14ac:dyDescent="0.3">
      <c r="A269" s="206">
        <v>43796</v>
      </c>
      <c r="B269">
        <v>50.049999</v>
      </c>
      <c r="C269">
        <v>50.139999000000003</v>
      </c>
      <c r="D269">
        <v>49.66</v>
      </c>
      <c r="E269">
        <v>49.91</v>
      </c>
      <c r="F269">
        <v>43.673594999999999</v>
      </c>
      <c r="G269">
        <v>3919400</v>
      </c>
    </row>
    <row r="270" spans="1:7" x14ac:dyDescent="0.3">
      <c r="A270" s="206">
        <v>43798</v>
      </c>
      <c r="B270">
        <v>49.740001999999997</v>
      </c>
      <c r="C270">
        <v>49.990001999999997</v>
      </c>
      <c r="D270">
        <v>49.619999</v>
      </c>
      <c r="E270">
        <v>49.91</v>
      </c>
      <c r="F270">
        <v>43.673594999999999</v>
      </c>
      <c r="G270">
        <v>1681200</v>
      </c>
    </row>
    <row r="271" spans="1:7" x14ac:dyDescent="0.3">
      <c r="A271" s="206">
        <v>43801</v>
      </c>
      <c r="B271">
        <v>50.169998</v>
      </c>
      <c r="C271">
        <v>50.240001999999997</v>
      </c>
      <c r="D271">
        <v>49.32</v>
      </c>
      <c r="E271">
        <v>49.349997999999999</v>
      </c>
      <c r="F271">
        <v>43.183574999999998</v>
      </c>
      <c r="G271">
        <v>3524600</v>
      </c>
    </row>
    <row r="272" spans="1:7" x14ac:dyDescent="0.3">
      <c r="A272" s="206">
        <v>43802</v>
      </c>
      <c r="B272">
        <v>48.799999</v>
      </c>
      <c r="C272">
        <v>48.860000999999997</v>
      </c>
      <c r="D272">
        <v>47.990001999999997</v>
      </c>
      <c r="E272">
        <v>48.349997999999999</v>
      </c>
      <c r="F272">
        <v>42.308529</v>
      </c>
      <c r="G272">
        <v>6139500</v>
      </c>
    </row>
    <row r="273" spans="1:7" x14ac:dyDescent="0.3">
      <c r="A273" s="206">
        <v>43803</v>
      </c>
      <c r="B273">
        <v>48.59</v>
      </c>
      <c r="C273">
        <v>49.240001999999997</v>
      </c>
      <c r="D273">
        <v>48.48</v>
      </c>
      <c r="E273">
        <v>48.66</v>
      </c>
      <c r="F273">
        <v>42.579788000000001</v>
      </c>
      <c r="G273">
        <v>6124200</v>
      </c>
    </row>
    <row r="274" spans="1:7" x14ac:dyDescent="0.3">
      <c r="A274" s="206">
        <v>43804</v>
      </c>
      <c r="B274">
        <v>48.93</v>
      </c>
      <c r="C274">
        <v>49.09</v>
      </c>
      <c r="D274">
        <v>48.610000999999997</v>
      </c>
      <c r="E274">
        <v>48.93</v>
      </c>
      <c r="F274">
        <v>42.816054999999999</v>
      </c>
      <c r="G274">
        <v>3626600</v>
      </c>
    </row>
    <row r="275" spans="1:7" x14ac:dyDescent="0.3">
      <c r="A275" s="206">
        <v>43805</v>
      </c>
      <c r="B275">
        <v>49.549999</v>
      </c>
      <c r="C275">
        <v>49.779998999999997</v>
      </c>
      <c r="D275">
        <v>49.25</v>
      </c>
      <c r="E275">
        <v>49.5</v>
      </c>
      <c r="F275">
        <v>43.314830999999998</v>
      </c>
      <c r="G275">
        <v>4009500</v>
      </c>
    </row>
    <row r="276" spans="1:7" x14ac:dyDescent="0.3">
      <c r="A276" s="206">
        <v>43808</v>
      </c>
      <c r="B276">
        <v>49.23</v>
      </c>
      <c r="C276">
        <v>49.68</v>
      </c>
      <c r="D276">
        <v>49.209999000000003</v>
      </c>
      <c r="E276">
        <v>49.57</v>
      </c>
      <c r="F276">
        <v>43.376080000000002</v>
      </c>
      <c r="G276">
        <v>3546400</v>
      </c>
    </row>
    <row r="277" spans="1:7" x14ac:dyDescent="0.3">
      <c r="A277" s="206">
        <v>43809</v>
      </c>
      <c r="B277">
        <v>49.32</v>
      </c>
      <c r="C277">
        <v>49.490001999999997</v>
      </c>
      <c r="D277">
        <v>49.150002000000001</v>
      </c>
      <c r="E277">
        <v>49.290000999999997</v>
      </c>
      <c r="F277">
        <v>43.131065</v>
      </c>
      <c r="G277">
        <v>3942800</v>
      </c>
    </row>
    <row r="278" spans="1:7" x14ac:dyDescent="0.3">
      <c r="A278" s="206">
        <v>43810</v>
      </c>
      <c r="B278">
        <v>49.380001</v>
      </c>
      <c r="C278">
        <v>49.549999</v>
      </c>
      <c r="D278">
        <v>48.900002000000001</v>
      </c>
      <c r="E278">
        <v>49.09</v>
      </c>
      <c r="F278">
        <v>42.956054999999999</v>
      </c>
      <c r="G278">
        <v>5717600</v>
      </c>
    </row>
    <row r="279" spans="1:7" x14ac:dyDescent="0.3">
      <c r="A279" s="206">
        <v>43811</v>
      </c>
      <c r="B279">
        <v>49.139999000000003</v>
      </c>
      <c r="C279">
        <v>50.740001999999997</v>
      </c>
      <c r="D279">
        <v>49.060001</v>
      </c>
      <c r="E279">
        <v>50.540000999999997</v>
      </c>
      <c r="F279">
        <v>44.224884000000003</v>
      </c>
      <c r="G279">
        <v>12137300</v>
      </c>
    </row>
    <row r="280" spans="1:7" x14ac:dyDescent="0.3">
      <c r="A280" s="206">
        <v>43812</v>
      </c>
      <c r="B280">
        <v>50.68</v>
      </c>
      <c r="C280">
        <v>50.959999000000003</v>
      </c>
      <c r="D280">
        <v>49.98</v>
      </c>
      <c r="E280">
        <v>50.380001</v>
      </c>
      <c r="F280">
        <v>44.084876999999999</v>
      </c>
      <c r="G280">
        <v>5355500</v>
      </c>
    </row>
    <row r="281" spans="1:7" x14ac:dyDescent="0.3">
      <c r="A281" s="206">
        <v>43815</v>
      </c>
      <c r="B281">
        <v>50.93</v>
      </c>
      <c r="C281">
        <v>51.080002</v>
      </c>
      <c r="D281">
        <v>50.41</v>
      </c>
      <c r="E281">
        <v>50.48</v>
      </c>
      <c r="F281">
        <v>44.172370999999998</v>
      </c>
      <c r="G281">
        <v>8987600</v>
      </c>
    </row>
    <row r="282" spans="1:7" x14ac:dyDescent="0.3">
      <c r="A282" s="206">
        <v>43816</v>
      </c>
      <c r="B282">
        <v>50.48</v>
      </c>
      <c r="C282">
        <v>51.209999000000003</v>
      </c>
      <c r="D282">
        <v>50.34</v>
      </c>
      <c r="E282">
        <v>51.169998</v>
      </c>
      <c r="F282">
        <v>44.776156999999998</v>
      </c>
      <c r="G282">
        <v>6982600</v>
      </c>
    </row>
    <row r="283" spans="1:7" x14ac:dyDescent="0.3">
      <c r="A283" s="206">
        <v>43817</v>
      </c>
      <c r="B283">
        <v>51.279998999999997</v>
      </c>
      <c r="C283">
        <v>51.369999</v>
      </c>
      <c r="D283">
        <v>51.09</v>
      </c>
      <c r="E283">
        <v>51.130001</v>
      </c>
      <c r="F283">
        <v>44.741154000000002</v>
      </c>
      <c r="G283">
        <v>4309700</v>
      </c>
    </row>
    <row r="284" spans="1:7" x14ac:dyDescent="0.3">
      <c r="A284" s="206">
        <v>43818</v>
      </c>
      <c r="B284">
        <v>51.139999000000003</v>
      </c>
      <c r="C284">
        <v>51.150002000000001</v>
      </c>
      <c r="D284">
        <v>50.630001</v>
      </c>
      <c r="E284">
        <v>50.799999</v>
      </c>
      <c r="F284">
        <v>44.452393000000001</v>
      </c>
      <c r="G284">
        <v>6058400</v>
      </c>
    </row>
    <row r="285" spans="1:7" x14ac:dyDescent="0.3">
      <c r="A285" s="206">
        <v>43819</v>
      </c>
      <c r="B285">
        <v>51.330002</v>
      </c>
      <c r="C285">
        <v>51.48</v>
      </c>
      <c r="D285">
        <v>50.959999000000003</v>
      </c>
      <c r="E285">
        <v>51.360000999999997</v>
      </c>
      <c r="F285">
        <v>44.942416999999999</v>
      </c>
      <c r="G285">
        <v>10779400</v>
      </c>
    </row>
    <row r="286" spans="1:7" x14ac:dyDescent="0.3">
      <c r="A286" s="206">
        <v>43822</v>
      </c>
      <c r="B286">
        <v>51.490001999999997</v>
      </c>
      <c r="C286">
        <v>51.599997999999999</v>
      </c>
      <c r="D286">
        <v>50.68</v>
      </c>
      <c r="E286">
        <v>50.990001999999997</v>
      </c>
      <c r="F286">
        <v>44.618651999999997</v>
      </c>
      <c r="G286">
        <v>4229300</v>
      </c>
    </row>
    <row r="287" spans="1:7" x14ac:dyDescent="0.3">
      <c r="A287" s="206">
        <v>43823</v>
      </c>
      <c r="B287">
        <v>51.09</v>
      </c>
      <c r="C287">
        <v>51.240001999999997</v>
      </c>
      <c r="D287">
        <v>50.869999</v>
      </c>
      <c r="E287">
        <v>50.990001999999997</v>
      </c>
      <c r="F287">
        <v>44.618651999999997</v>
      </c>
      <c r="G287">
        <v>1913300</v>
      </c>
    </row>
    <row r="288" spans="1:7" x14ac:dyDescent="0.3">
      <c r="A288" s="206">
        <v>43825</v>
      </c>
      <c r="B288">
        <v>51.060001</v>
      </c>
      <c r="C288">
        <v>51.400002000000001</v>
      </c>
      <c r="D288">
        <v>51.009998000000003</v>
      </c>
      <c r="E288">
        <v>51.240001999999997</v>
      </c>
      <c r="F288">
        <v>44.837414000000003</v>
      </c>
      <c r="G288">
        <v>2281300</v>
      </c>
    </row>
    <row r="289" spans="1:7" x14ac:dyDescent="0.3">
      <c r="A289" s="206">
        <v>43826</v>
      </c>
      <c r="B289">
        <v>51.34</v>
      </c>
      <c r="C289">
        <v>51.34</v>
      </c>
      <c r="D289">
        <v>50.799999</v>
      </c>
      <c r="E289">
        <v>50.830002</v>
      </c>
      <c r="F289">
        <v>44.478637999999997</v>
      </c>
      <c r="G289">
        <v>2578200</v>
      </c>
    </row>
    <row r="290" spans="1:7" x14ac:dyDescent="0.3">
      <c r="A290" s="206">
        <v>43829</v>
      </c>
      <c r="B290">
        <v>51.139999000000003</v>
      </c>
      <c r="C290">
        <v>51.139999000000003</v>
      </c>
      <c r="D290">
        <v>50.650002000000001</v>
      </c>
      <c r="E290">
        <v>50.700001</v>
      </c>
      <c r="F290">
        <v>44.364887000000003</v>
      </c>
      <c r="G290">
        <v>3150000</v>
      </c>
    </row>
    <row r="291" spans="1:7" x14ac:dyDescent="0.3">
      <c r="A291" s="206">
        <v>43830</v>
      </c>
      <c r="B291">
        <v>50.73</v>
      </c>
      <c r="C291">
        <v>51</v>
      </c>
      <c r="D291">
        <v>50.509998000000003</v>
      </c>
      <c r="E291">
        <v>50.970001000000003</v>
      </c>
      <c r="F291">
        <v>44.601143</v>
      </c>
      <c r="G291">
        <v>4721800</v>
      </c>
    </row>
    <row r="292" spans="1:7" x14ac:dyDescent="0.3">
      <c r="A292" s="206">
        <v>43832</v>
      </c>
      <c r="B292">
        <v>51.279998999999997</v>
      </c>
      <c r="C292">
        <v>51.689999</v>
      </c>
      <c r="D292">
        <v>51.060001</v>
      </c>
      <c r="E292">
        <v>51.619999</v>
      </c>
      <c r="F292">
        <v>45.169933</v>
      </c>
      <c r="G292">
        <v>4416800</v>
      </c>
    </row>
    <row r="293" spans="1:7" x14ac:dyDescent="0.3">
      <c r="A293" s="206">
        <v>43833</v>
      </c>
      <c r="B293">
        <v>50.990001999999997</v>
      </c>
      <c r="C293">
        <v>51.16</v>
      </c>
      <c r="D293">
        <v>50.599997999999999</v>
      </c>
      <c r="E293">
        <v>51.09</v>
      </c>
      <c r="F293">
        <v>44.706153999999998</v>
      </c>
      <c r="G293">
        <v>5162300</v>
      </c>
    </row>
    <row r="294" spans="1:7" x14ac:dyDescent="0.3">
      <c r="A294" s="206">
        <v>43836</v>
      </c>
      <c r="B294">
        <v>50.630001</v>
      </c>
      <c r="C294">
        <v>51.029998999999997</v>
      </c>
      <c r="D294">
        <v>50.32</v>
      </c>
      <c r="E294">
        <v>50.950001</v>
      </c>
      <c r="F294">
        <v>44.583649000000001</v>
      </c>
      <c r="G294">
        <v>3271700</v>
      </c>
    </row>
    <row r="295" spans="1:7" x14ac:dyDescent="0.3">
      <c r="A295" s="206">
        <v>43837</v>
      </c>
      <c r="B295">
        <v>51.009998000000003</v>
      </c>
      <c r="C295">
        <v>51.619999</v>
      </c>
      <c r="D295">
        <v>50.740001999999997</v>
      </c>
      <c r="E295">
        <v>51.290000999999997</v>
      </c>
      <c r="F295">
        <v>44.881160999999999</v>
      </c>
      <c r="G295">
        <v>6578000</v>
      </c>
    </row>
    <row r="296" spans="1:7" x14ac:dyDescent="0.3">
      <c r="A296" s="206">
        <v>43838</v>
      </c>
      <c r="B296">
        <v>51.470001000000003</v>
      </c>
      <c r="C296">
        <v>52.57</v>
      </c>
      <c r="D296">
        <v>51.439999</v>
      </c>
      <c r="E296">
        <v>51.830002</v>
      </c>
      <c r="F296">
        <v>45.353679999999997</v>
      </c>
      <c r="G296">
        <v>9880500</v>
      </c>
    </row>
    <row r="297" spans="1:7" x14ac:dyDescent="0.3">
      <c r="A297" s="206">
        <v>43839</v>
      </c>
      <c r="B297">
        <v>52.18</v>
      </c>
      <c r="C297">
        <v>52.73</v>
      </c>
      <c r="D297">
        <v>52.130001</v>
      </c>
      <c r="E297">
        <v>52.369999</v>
      </c>
      <c r="F297">
        <v>45.826205999999999</v>
      </c>
      <c r="G297">
        <v>5793900</v>
      </c>
    </row>
    <row r="298" spans="1:7" x14ac:dyDescent="0.3">
      <c r="A298" s="206">
        <v>43840</v>
      </c>
      <c r="B298">
        <v>52.400002000000001</v>
      </c>
      <c r="C298">
        <v>52.599997999999999</v>
      </c>
      <c r="D298">
        <v>52.150002000000001</v>
      </c>
      <c r="E298">
        <v>52.470001000000003</v>
      </c>
      <c r="F298">
        <v>45.913719</v>
      </c>
      <c r="G298">
        <v>5526900</v>
      </c>
    </row>
    <row r="299" spans="1:7" x14ac:dyDescent="0.3">
      <c r="A299" s="206">
        <v>43843</v>
      </c>
      <c r="B299">
        <v>52.619999</v>
      </c>
      <c r="C299">
        <v>52.759998000000003</v>
      </c>
      <c r="D299">
        <v>52.330002</v>
      </c>
      <c r="E299">
        <v>52.580002</v>
      </c>
      <c r="F299">
        <v>46.009974999999997</v>
      </c>
      <c r="G299">
        <v>6924900</v>
      </c>
    </row>
    <row r="300" spans="1:7" x14ac:dyDescent="0.3">
      <c r="A300" s="206">
        <v>43844</v>
      </c>
      <c r="B300">
        <v>52.400002000000001</v>
      </c>
      <c r="C300">
        <v>52.57</v>
      </c>
      <c r="D300">
        <v>52.02</v>
      </c>
      <c r="E300">
        <v>52.189999</v>
      </c>
      <c r="F300">
        <v>45.668700999999999</v>
      </c>
      <c r="G300">
        <v>6611200</v>
      </c>
    </row>
    <row r="301" spans="1:7" x14ac:dyDescent="0.3">
      <c r="A301" s="206">
        <v>43845</v>
      </c>
      <c r="B301">
        <v>52.02</v>
      </c>
      <c r="C301">
        <v>52.310001</v>
      </c>
      <c r="D301">
        <v>51.75</v>
      </c>
      <c r="E301">
        <v>51.849997999999999</v>
      </c>
      <c r="F301">
        <v>45.371189000000001</v>
      </c>
      <c r="G301">
        <v>4542400</v>
      </c>
    </row>
    <row r="302" spans="1:7" x14ac:dyDescent="0.3">
      <c r="A302" s="206">
        <v>43846</v>
      </c>
      <c r="B302">
        <v>52.23</v>
      </c>
      <c r="C302">
        <v>52.41</v>
      </c>
      <c r="D302">
        <v>51.91</v>
      </c>
      <c r="E302">
        <v>52.200001</v>
      </c>
      <c r="F302">
        <v>45.677460000000004</v>
      </c>
      <c r="G302">
        <v>5389500</v>
      </c>
    </row>
    <row r="303" spans="1:7" x14ac:dyDescent="0.3">
      <c r="A303" s="206">
        <v>43847</v>
      </c>
      <c r="B303">
        <v>52.34</v>
      </c>
      <c r="C303">
        <v>52.66</v>
      </c>
      <c r="D303">
        <v>52.189999</v>
      </c>
      <c r="E303">
        <v>52.610000999999997</v>
      </c>
      <c r="F303">
        <v>46.036228000000001</v>
      </c>
      <c r="G303">
        <v>6101700</v>
      </c>
    </row>
    <row r="304" spans="1:7" x14ac:dyDescent="0.3">
      <c r="A304" s="206">
        <v>43851</v>
      </c>
      <c r="B304">
        <v>52.189999</v>
      </c>
      <c r="C304">
        <v>52.34</v>
      </c>
      <c r="D304">
        <v>51.689999</v>
      </c>
      <c r="E304">
        <v>51.759998000000003</v>
      </c>
      <c r="F304">
        <v>45.292431000000001</v>
      </c>
      <c r="G304">
        <v>4656500</v>
      </c>
    </row>
    <row r="305" spans="1:7" x14ac:dyDescent="0.3">
      <c r="A305" s="206">
        <v>43852</v>
      </c>
      <c r="B305">
        <v>52</v>
      </c>
      <c r="C305">
        <v>52.130001</v>
      </c>
      <c r="D305">
        <v>51.669998</v>
      </c>
      <c r="E305">
        <v>51.900002000000001</v>
      </c>
      <c r="F305">
        <v>45.414943999999998</v>
      </c>
      <c r="G305">
        <v>3530700</v>
      </c>
    </row>
    <row r="306" spans="1:7" x14ac:dyDescent="0.3">
      <c r="A306" s="206">
        <v>43853</v>
      </c>
      <c r="B306">
        <v>51.669998</v>
      </c>
      <c r="C306">
        <v>51.959999000000003</v>
      </c>
      <c r="D306">
        <v>51.009998000000003</v>
      </c>
      <c r="E306">
        <v>51.799999</v>
      </c>
      <c r="F306">
        <v>45.327435000000001</v>
      </c>
      <c r="G306">
        <v>4264500</v>
      </c>
    </row>
    <row r="307" spans="1:7" x14ac:dyDescent="0.3">
      <c r="A307" s="206">
        <v>43854</v>
      </c>
      <c r="B307">
        <v>51.900002000000001</v>
      </c>
      <c r="C307">
        <v>51.900002000000001</v>
      </c>
      <c r="D307">
        <v>50.700001</v>
      </c>
      <c r="E307">
        <v>51.27</v>
      </c>
      <c r="F307">
        <v>44.863658999999998</v>
      </c>
      <c r="G307">
        <v>3943600</v>
      </c>
    </row>
    <row r="308" spans="1:7" x14ac:dyDescent="0.3">
      <c r="A308" s="206">
        <v>43857</v>
      </c>
      <c r="B308">
        <v>50.09</v>
      </c>
      <c r="C308">
        <v>50.41</v>
      </c>
      <c r="D308">
        <v>49.919998</v>
      </c>
      <c r="E308">
        <v>50.09</v>
      </c>
      <c r="F308">
        <v>43.831104000000003</v>
      </c>
      <c r="G308">
        <v>6494000</v>
      </c>
    </row>
    <row r="309" spans="1:7" x14ac:dyDescent="0.3">
      <c r="A309" s="206">
        <v>43858</v>
      </c>
      <c r="B309">
        <v>50.349997999999999</v>
      </c>
      <c r="C309">
        <v>50.959999000000003</v>
      </c>
      <c r="D309">
        <v>50.200001</v>
      </c>
      <c r="E309">
        <v>50.549999</v>
      </c>
      <c r="F309">
        <v>44.233623999999999</v>
      </c>
      <c r="G309">
        <v>4091100</v>
      </c>
    </row>
    <row r="310" spans="1:7" x14ac:dyDescent="0.3">
      <c r="A310" s="206">
        <v>43859</v>
      </c>
      <c r="B310">
        <v>50.779998999999997</v>
      </c>
      <c r="C310">
        <v>51.02</v>
      </c>
      <c r="D310">
        <v>50.459999000000003</v>
      </c>
      <c r="E310">
        <v>50.490001999999997</v>
      </c>
      <c r="F310">
        <v>44.181125999999999</v>
      </c>
      <c r="G310">
        <v>3877500</v>
      </c>
    </row>
    <row r="311" spans="1:7" x14ac:dyDescent="0.3">
      <c r="A311" s="206">
        <v>43860</v>
      </c>
      <c r="B311">
        <v>50</v>
      </c>
      <c r="C311">
        <v>51.290000999999997</v>
      </c>
      <c r="D311">
        <v>49.919998</v>
      </c>
      <c r="E311">
        <v>51.279998999999997</v>
      </c>
      <c r="F311">
        <v>44.872410000000002</v>
      </c>
      <c r="G311">
        <v>4584000</v>
      </c>
    </row>
    <row r="312" spans="1:7" x14ac:dyDescent="0.3">
      <c r="A312" s="206">
        <v>43861</v>
      </c>
      <c r="B312">
        <v>50.630001</v>
      </c>
      <c r="C312">
        <v>50.66</v>
      </c>
      <c r="D312">
        <v>49.490001999999997</v>
      </c>
      <c r="E312">
        <v>49.709999000000003</v>
      </c>
      <c r="F312">
        <v>43.498589000000003</v>
      </c>
      <c r="G312">
        <v>9443000</v>
      </c>
    </row>
    <row r="313" spans="1:7" x14ac:dyDescent="0.3">
      <c r="A313" s="206">
        <v>43864</v>
      </c>
      <c r="B313">
        <v>49.75</v>
      </c>
      <c r="C313">
        <v>50.299999</v>
      </c>
      <c r="D313">
        <v>49.68</v>
      </c>
      <c r="E313">
        <v>49.689999</v>
      </c>
      <c r="F313">
        <v>43.869385000000001</v>
      </c>
      <c r="G313">
        <v>5276800</v>
      </c>
    </row>
    <row r="314" spans="1:7" x14ac:dyDescent="0.3">
      <c r="A314" s="206">
        <v>43865</v>
      </c>
      <c r="B314">
        <v>50.529998999999997</v>
      </c>
      <c r="C314">
        <v>50.77</v>
      </c>
      <c r="D314">
        <v>50.18</v>
      </c>
      <c r="E314">
        <v>50.200001</v>
      </c>
      <c r="F314">
        <v>44.319653000000002</v>
      </c>
      <c r="G314">
        <v>4774500</v>
      </c>
    </row>
    <row r="315" spans="1:7" x14ac:dyDescent="0.3">
      <c r="A315" s="206">
        <v>43866</v>
      </c>
      <c r="B315">
        <v>51.16</v>
      </c>
      <c r="C315">
        <v>51.740001999999997</v>
      </c>
      <c r="D315">
        <v>50.970001000000003</v>
      </c>
      <c r="E315">
        <v>51.529998999999997</v>
      </c>
      <c r="F315">
        <v>45.493850999999999</v>
      </c>
      <c r="G315">
        <v>7647200</v>
      </c>
    </row>
    <row r="316" spans="1:7" x14ac:dyDescent="0.3">
      <c r="A316" s="206">
        <v>43867</v>
      </c>
      <c r="B316">
        <v>51.830002</v>
      </c>
      <c r="C316">
        <v>52.09</v>
      </c>
      <c r="D316">
        <v>51.25</v>
      </c>
      <c r="E316">
        <v>51.869999</v>
      </c>
      <c r="F316">
        <v>45.794029000000002</v>
      </c>
      <c r="G316">
        <v>6538200</v>
      </c>
    </row>
    <row r="317" spans="1:7" x14ac:dyDescent="0.3">
      <c r="A317" s="206">
        <v>43868</v>
      </c>
      <c r="B317">
        <v>51.52</v>
      </c>
      <c r="C317">
        <v>51.700001</v>
      </c>
      <c r="D317">
        <v>51.080002</v>
      </c>
      <c r="E317">
        <v>51.580002</v>
      </c>
      <c r="F317">
        <v>45.538001999999999</v>
      </c>
      <c r="G317">
        <v>6698300</v>
      </c>
    </row>
    <row r="318" spans="1:7" x14ac:dyDescent="0.3">
      <c r="A318" s="206">
        <v>43871</v>
      </c>
      <c r="B318">
        <v>51.400002000000001</v>
      </c>
      <c r="C318">
        <v>51.919998</v>
      </c>
      <c r="D318">
        <v>51.400002000000001</v>
      </c>
      <c r="E318">
        <v>51.880001</v>
      </c>
      <c r="F318">
        <v>45.802860000000003</v>
      </c>
      <c r="G318">
        <v>4513800</v>
      </c>
    </row>
    <row r="319" spans="1:7" x14ac:dyDescent="0.3">
      <c r="A319" s="206">
        <v>43872</v>
      </c>
      <c r="B319">
        <v>52.189999</v>
      </c>
      <c r="C319">
        <v>53.049999</v>
      </c>
      <c r="D319">
        <v>52.040000999999997</v>
      </c>
      <c r="E319">
        <v>52.389999000000003</v>
      </c>
      <c r="F319">
        <v>46.253117000000003</v>
      </c>
      <c r="G319">
        <v>5972700</v>
      </c>
    </row>
    <row r="320" spans="1:7" x14ac:dyDescent="0.3">
      <c r="A320" s="206">
        <v>43873</v>
      </c>
      <c r="B320">
        <v>52.709999000000003</v>
      </c>
      <c r="C320">
        <v>53.279998999999997</v>
      </c>
      <c r="D320">
        <v>52.450001</v>
      </c>
      <c r="E320">
        <v>52.470001000000003</v>
      </c>
      <c r="F320">
        <v>46.323742000000003</v>
      </c>
      <c r="G320">
        <v>4999200</v>
      </c>
    </row>
    <row r="321" spans="1:7" x14ac:dyDescent="0.3">
      <c r="A321" s="206">
        <v>43874</v>
      </c>
      <c r="B321">
        <v>52.32</v>
      </c>
      <c r="C321">
        <v>52.52</v>
      </c>
      <c r="D321">
        <v>51.939999</v>
      </c>
      <c r="E321">
        <v>52.380001</v>
      </c>
      <c r="F321">
        <v>46.244289000000002</v>
      </c>
      <c r="G321">
        <v>3762300</v>
      </c>
    </row>
    <row r="322" spans="1:7" x14ac:dyDescent="0.3">
      <c r="A322" s="206">
        <v>43875</v>
      </c>
      <c r="B322">
        <v>52.439999</v>
      </c>
      <c r="C322">
        <v>52.470001000000003</v>
      </c>
      <c r="D322">
        <v>51.869999</v>
      </c>
      <c r="E322">
        <v>52.279998999999997</v>
      </c>
      <c r="F322">
        <v>46.156005999999998</v>
      </c>
      <c r="G322">
        <v>3469700</v>
      </c>
    </row>
    <row r="323" spans="1:7" x14ac:dyDescent="0.3">
      <c r="A323" s="206">
        <v>43879</v>
      </c>
      <c r="B323">
        <v>52.029998999999997</v>
      </c>
      <c r="C323">
        <v>52.490001999999997</v>
      </c>
      <c r="D323">
        <v>51.400002000000001</v>
      </c>
      <c r="E323">
        <v>51.830002</v>
      </c>
      <c r="F323">
        <v>45.758713</v>
      </c>
      <c r="G323">
        <v>4554800</v>
      </c>
    </row>
    <row r="324" spans="1:7" x14ac:dyDescent="0.3">
      <c r="A324" s="206">
        <v>43880</v>
      </c>
      <c r="B324">
        <v>52.009998000000003</v>
      </c>
      <c r="C324">
        <v>52.16</v>
      </c>
      <c r="D324">
        <v>51.709999000000003</v>
      </c>
      <c r="E324">
        <v>51.790000999999997</v>
      </c>
      <c r="F324">
        <v>45.723399999999998</v>
      </c>
      <c r="G324">
        <v>5528700</v>
      </c>
    </row>
    <row r="325" spans="1:7" x14ac:dyDescent="0.3">
      <c r="A325" s="206">
        <v>43881</v>
      </c>
      <c r="B325">
        <v>51.84</v>
      </c>
      <c r="C325">
        <v>52.349997999999999</v>
      </c>
      <c r="D325">
        <v>51.669998</v>
      </c>
      <c r="E325">
        <v>52.279998999999997</v>
      </c>
      <c r="F325">
        <v>46.156005999999998</v>
      </c>
      <c r="G325">
        <v>3686900</v>
      </c>
    </row>
    <row r="326" spans="1:7" x14ac:dyDescent="0.3">
      <c r="A326" s="206">
        <v>43882</v>
      </c>
      <c r="B326">
        <v>51.98</v>
      </c>
      <c r="C326">
        <v>52.060001</v>
      </c>
      <c r="D326">
        <v>50.959999000000003</v>
      </c>
      <c r="E326">
        <v>51.23</v>
      </c>
      <c r="F326">
        <v>45.228991999999998</v>
      </c>
      <c r="G326">
        <v>5308000</v>
      </c>
    </row>
    <row r="327" spans="1:7" x14ac:dyDescent="0.3">
      <c r="A327" s="206">
        <v>43885</v>
      </c>
      <c r="B327">
        <v>49.290000999999997</v>
      </c>
      <c r="C327">
        <v>49.66</v>
      </c>
      <c r="D327">
        <v>48.799999</v>
      </c>
      <c r="E327">
        <v>49.380001</v>
      </c>
      <c r="F327">
        <v>43.595703</v>
      </c>
      <c r="G327">
        <v>8697000</v>
      </c>
    </row>
    <row r="328" spans="1:7" x14ac:dyDescent="0.3">
      <c r="A328" s="206">
        <v>43886</v>
      </c>
      <c r="B328">
        <v>49.450001</v>
      </c>
      <c r="C328">
        <v>49.509998000000003</v>
      </c>
      <c r="D328">
        <v>47.279998999999997</v>
      </c>
      <c r="E328">
        <v>47.580002</v>
      </c>
      <c r="F328">
        <v>42.006560999999998</v>
      </c>
      <c r="G328">
        <v>10896800</v>
      </c>
    </row>
    <row r="329" spans="1:7" x14ac:dyDescent="0.3">
      <c r="A329" s="206">
        <v>43887</v>
      </c>
      <c r="B329">
        <v>47.959999000000003</v>
      </c>
      <c r="C329">
        <v>48.299999</v>
      </c>
      <c r="D329">
        <v>46.73</v>
      </c>
      <c r="E329">
        <v>46.919998</v>
      </c>
      <c r="F329">
        <v>41.423859</v>
      </c>
      <c r="G329">
        <v>9898400</v>
      </c>
    </row>
    <row r="330" spans="1:7" x14ac:dyDescent="0.3">
      <c r="A330" s="206">
        <v>43888</v>
      </c>
      <c r="B330">
        <v>45.779998999999997</v>
      </c>
      <c r="C330">
        <v>45.950001</v>
      </c>
      <c r="D330">
        <v>43.799999</v>
      </c>
      <c r="E330">
        <v>43.889999000000003</v>
      </c>
      <c r="F330">
        <v>38.748787</v>
      </c>
      <c r="G330">
        <v>13487100</v>
      </c>
    </row>
    <row r="331" spans="1:7" x14ac:dyDescent="0.3">
      <c r="A331" s="206">
        <v>43889</v>
      </c>
      <c r="B331">
        <v>42.110000999999997</v>
      </c>
      <c r="C331">
        <v>42.970001000000003</v>
      </c>
      <c r="D331">
        <v>41.470001000000003</v>
      </c>
      <c r="E331">
        <v>42.720001000000003</v>
      </c>
      <c r="F331">
        <v>37.715846999999997</v>
      </c>
      <c r="G331">
        <v>13640200</v>
      </c>
    </row>
    <row r="332" spans="1:7" x14ac:dyDescent="0.3">
      <c r="A332" s="206">
        <v>43892</v>
      </c>
      <c r="B332">
        <v>42.93</v>
      </c>
      <c r="C332">
        <v>44.580002</v>
      </c>
      <c r="D332">
        <v>42.709999000000003</v>
      </c>
      <c r="E332">
        <v>44.560001</v>
      </c>
      <c r="F332">
        <v>39.340313000000002</v>
      </c>
      <c r="G332">
        <v>13068400</v>
      </c>
    </row>
    <row r="333" spans="1:7" x14ac:dyDescent="0.3">
      <c r="A333" s="206">
        <v>43893</v>
      </c>
      <c r="B333">
        <v>44.389999000000003</v>
      </c>
      <c r="C333">
        <v>44.98</v>
      </c>
      <c r="D333">
        <v>42.220001000000003</v>
      </c>
      <c r="E333">
        <v>42.57</v>
      </c>
      <c r="F333">
        <v>37.583416</v>
      </c>
      <c r="G333">
        <v>11120000</v>
      </c>
    </row>
    <row r="334" spans="1:7" x14ac:dyDescent="0.3">
      <c r="A334" s="206">
        <v>43894</v>
      </c>
      <c r="B334">
        <v>43.400002000000001</v>
      </c>
      <c r="C334">
        <v>43.98</v>
      </c>
      <c r="D334">
        <v>42.419998</v>
      </c>
      <c r="E334">
        <v>43.830002</v>
      </c>
      <c r="F334">
        <v>38.695827000000001</v>
      </c>
      <c r="G334">
        <v>7751100</v>
      </c>
    </row>
    <row r="335" spans="1:7" x14ac:dyDescent="0.3">
      <c r="A335" s="206">
        <v>43895</v>
      </c>
      <c r="B335">
        <v>42.099997999999999</v>
      </c>
      <c r="C335">
        <v>42.25</v>
      </c>
      <c r="D335">
        <v>40.009998000000003</v>
      </c>
      <c r="E335">
        <v>40.619999</v>
      </c>
      <c r="F335">
        <v>35.861839000000003</v>
      </c>
      <c r="G335">
        <v>11269300</v>
      </c>
    </row>
    <row r="336" spans="1:7" x14ac:dyDescent="0.3">
      <c r="A336" s="206">
        <v>43896</v>
      </c>
      <c r="B336">
        <v>38.779998999999997</v>
      </c>
      <c r="C336">
        <v>40.279998999999997</v>
      </c>
      <c r="D336">
        <v>38.330002</v>
      </c>
      <c r="E336">
        <v>39.18</v>
      </c>
      <c r="F336">
        <v>34.590510999999999</v>
      </c>
      <c r="G336">
        <v>10764500</v>
      </c>
    </row>
    <row r="337" spans="1:7" x14ac:dyDescent="0.3">
      <c r="A337" s="206">
        <v>43899</v>
      </c>
      <c r="B337">
        <v>35.419998</v>
      </c>
      <c r="C337">
        <v>36.639999000000003</v>
      </c>
      <c r="D337">
        <v>31.9</v>
      </c>
      <c r="E337">
        <v>32.659999999999997</v>
      </c>
      <c r="F337">
        <v>28.834253</v>
      </c>
      <c r="G337">
        <v>14632700</v>
      </c>
    </row>
    <row r="338" spans="1:7" x14ac:dyDescent="0.3">
      <c r="A338" s="206">
        <v>43900</v>
      </c>
      <c r="B338">
        <v>34.509998000000003</v>
      </c>
      <c r="C338">
        <v>35.029998999999997</v>
      </c>
      <c r="D338">
        <v>32.520000000000003</v>
      </c>
      <c r="E338">
        <v>35.020000000000003</v>
      </c>
      <c r="F338">
        <v>30.917808999999998</v>
      </c>
      <c r="G338">
        <v>12698400</v>
      </c>
    </row>
    <row r="339" spans="1:7" x14ac:dyDescent="0.3">
      <c r="A339" s="206">
        <v>43901</v>
      </c>
      <c r="B339">
        <v>33.630001</v>
      </c>
      <c r="C339">
        <v>34.209999000000003</v>
      </c>
      <c r="D339">
        <v>32.639999000000003</v>
      </c>
      <c r="E339">
        <v>33.299999</v>
      </c>
      <c r="F339">
        <v>29.399286</v>
      </c>
      <c r="G339">
        <v>11010000</v>
      </c>
    </row>
    <row r="340" spans="1:7" x14ac:dyDescent="0.3">
      <c r="A340" s="206">
        <v>43902</v>
      </c>
      <c r="B340">
        <v>30.120000999999998</v>
      </c>
      <c r="C340">
        <v>30.99</v>
      </c>
      <c r="D340">
        <v>28.120000999999998</v>
      </c>
      <c r="E340">
        <v>28.299999</v>
      </c>
      <c r="F340">
        <v>24.984983</v>
      </c>
      <c r="G340">
        <v>13658700</v>
      </c>
    </row>
    <row r="341" spans="1:7" x14ac:dyDescent="0.3">
      <c r="A341" s="206">
        <v>43903</v>
      </c>
      <c r="B341">
        <v>30.98</v>
      </c>
      <c r="C341">
        <v>32.029998999999997</v>
      </c>
      <c r="D341">
        <v>29.049999</v>
      </c>
      <c r="E341">
        <v>31.93</v>
      </c>
      <c r="F341">
        <v>28.189769999999999</v>
      </c>
      <c r="G341">
        <v>13500800</v>
      </c>
    </row>
    <row r="342" spans="1:7" x14ac:dyDescent="0.3">
      <c r="A342" s="206">
        <v>43906</v>
      </c>
      <c r="B342">
        <v>26.870000999999998</v>
      </c>
      <c r="C342">
        <v>28.809999000000001</v>
      </c>
      <c r="D342">
        <v>26</v>
      </c>
      <c r="E342">
        <v>26.799999</v>
      </c>
      <c r="F342">
        <v>23.660688</v>
      </c>
      <c r="G342">
        <v>8989500</v>
      </c>
    </row>
    <row r="343" spans="1:7" x14ac:dyDescent="0.3">
      <c r="A343" s="206">
        <v>43907</v>
      </c>
      <c r="B343">
        <v>27.709999</v>
      </c>
      <c r="C343">
        <v>28.440000999999999</v>
      </c>
      <c r="D343">
        <v>25.639999</v>
      </c>
      <c r="E343">
        <v>28.43</v>
      </c>
      <c r="F343">
        <v>25.099751999999999</v>
      </c>
      <c r="G343">
        <v>9725900</v>
      </c>
    </row>
    <row r="344" spans="1:7" x14ac:dyDescent="0.3">
      <c r="A344" s="206">
        <v>43908</v>
      </c>
      <c r="B344">
        <v>25.959999</v>
      </c>
      <c r="C344">
        <v>28.27</v>
      </c>
      <c r="D344">
        <v>25.58</v>
      </c>
      <c r="E344">
        <v>28.18</v>
      </c>
      <c r="F344">
        <v>24.87904</v>
      </c>
      <c r="G344">
        <v>12074700</v>
      </c>
    </row>
    <row r="345" spans="1:7" x14ac:dyDescent="0.3">
      <c r="A345" s="206">
        <v>43909</v>
      </c>
      <c r="B345">
        <v>27.5</v>
      </c>
      <c r="C345">
        <v>28.57</v>
      </c>
      <c r="D345">
        <v>25.99</v>
      </c>
      <c r="E345">
        <v>26.799999</v>
      </c>
      <c r="F345">
        <v>23.660688</v>
      </c>
      <c r="G345">
        <v>9083800</v>
      </c>
    </row>
    <row r="346" spans="1:7" x14ac:dyDescent="0.3">
      <c r="A346" s="206">
        <v>43910</v>
      </c>
      <c r="B346">
        <v>27.450001</v>
      </c>
      <c r="C346">
        <v>27.450001</v>
      </c>
      <c r="D346">
        <v>24.16</v>
      </c>
      <c r="E346">
        <v>24.379999000000002</v>
      </c>
      <c r="F346">
        <v>21.524162</v>
      </c>
      <c r="G346">
        <v>16243600</v>
      </c>
    </row>
    <row r="347" spans="1:7" x14ac:dyDescent="0.3">
      <c r="A347" s="206">
        <v>43913</v>
      </c>
      <c r="B347">
        <v>24.02</v>
      </c>
      <c r="C347">
        <v>24.52</v>
      </c>
      <c r="D347">
        <v>22.85</v>
      </c>
      <c r="E347">
        <v>23.530000999999999</v>
      </c>
      <c r="F347">
        <v>20.773733</v>
      </c>
      <c r="G347">
        <v>11715300</v>
      </c>
    </row>
    <row r="348" spans="1:7" x14ac:dyDescent="0.3">
      <c r="A348" s="206">
        <v>43914</v>
      </c>
      <c r="B348">
        <v>24.99</v>
      </c>
      <c r="C348">
        <v>27.93</v>
      </c>
      <c r="D348">
        <v>24.530000999999999</v>
      </c>
      <c r="E348">
        <v>27.610001</v>
      </c>
      <c r="F348">
        <v>24.375809</v>
      </c>
      <c r="G348">
        <v>12986000</v>
      </c>
    </row>
    <row r="349" spans="1:7" x14ac:dyDescent="0.3">
      <c r="A349" s="206">
        <v>43915</v>
      </c>
      <c r="B349">
        <v>28.34</v>
      </c>
      <c r="C349">
        <v>32.459999000000003</v>
      </c>
      <c r="D349">
        <v>27.83</v>
      </c>
      <c r="E349">
        <v>29.74</v>
      </c>
      <c r="F349">
        <v>26.2563</v>
      </c>
      <c r="G349">
        <v>13540400</v>
      </c>
    </row>
    <row r="350" spans="1:7" x14ac:dyDescent="0.3">
      <c r="A350" s="206">
        <v>43916</v>
      </c>
      <c r="B350">
        <v>30.139999</v>
      </c>
      <c r="C350">
        <v>32.740001999999997</v>
      </c>
      <c r="D350">
        <v>29.58</v>
      </c>
      <c r="E350">
        <v>32.529998999999997</v>
      </c>
      <c r="F350">
        <v>28.719487999999998</v>
      </c>
      <c r="G350">
        <v>11543000</v>
      </c>
    </row>
    <row r="351" spans="1:7" x14ac:dyDescent="0.3">
      <c r="A351" s="206">
        <v>43917</v>
      </c>
      <c r="B351">
        <v>30.73</v>
      </c>
      <c r="C351">
        <v>32.169998</v>
      </c>
      <c r="D351">
        <v>30.629999000000002</v>
      </c>
      <c r="E351">
        <v>30.870000999999998</v>
      </c>
      <c r="F351">
        <v>27.253937000000001</v>
      </c>
      <c r="G351">
        <v>7336500</v>
      </c>
    </row>
    <row r="352" spans="1:7" x14ac:dyDescent="0.3">
      <c r="A352" s="206">
        <v>43920</v>
      </c>
      <c r="B352">
        <v>30.719999000000001</v>
      </c>
      <c r="C352">
        <v>32.299999</v>
      </c>
      <c r="D352">
        <v>30.25</v>
      </c>
      <c r="E352">
        <v>32.029998999999997</v>
      </c>
      <c r="F352">
        <v>28.278054999999998</v>
      </c>
      <c r="G352">
        <v>6287300</v>
      </c>
    </row>
    <row r="353" spans="1:7" x14ac:dyDescent="0.3">
      <c r="A353" s="206">
        <v>43921</v>
      </c>
      <c r="B353">
        <v>31.33</v>
      </c>
      <c r="C353">
        <v>31.950001</v>
      </c>
      <c r="D353">
        <v>30.43</v>
      </c>
      <c r="E353">
        <v>30.57</v>
      </c>
      <c r="F353">
        <v>26.989077000000002</v>
      </c>
      <c r="G353">
        <v>8939400</v>
      </c>
    </row>
    <row r="354" spans="1:7" x14ac:dyDescent="0.3">
      <c r="A354" s="206">
        <v>43922</v>
      </c>
      <c r="B354">
        <v>28.459999</v>
      </c>
      <c r="C354">
        <v>29.02</v>
      </c>
      <c r="D354">
        <v>27.639999</v>
      </c>
      <c r="E354">
        <v>27.9</v>
      </c>
      <c r="F354">
        <v>24.631837999999998</v>
      </c>
      <c r="G354">
        <v>5379300</v>
      </c>
    </row>
    <row r="355" spans="1:7" x14ac:dyDescent="0.3">
      <c r="A355" s="206">
        <v>43923</v>
      </c>
      <c r="B355">
        <v>27.48</v>
      </c>
      <c r="C355">
        <v>28.98</v>
      </c>
      <c r="D355">
        <v>27.440000999999999</v>
      </c>
      <c r="E355">
        <v>28.049999</v>
      </c>
      <c r="F355">
        <v>24.764265000000002</v>
      </c>
      <c r="G355">
        <v>7140500</v>
      </c>
    </row>
    <row r="356" spans="1:7" x14ac:dyDescent="0.3">
      <c r="A356" s="206">
        <v>43924</v>
      </c>
      <c r="B356">
        <v>27.790001</v>
      </c>
      <c r="C356">
        <v>28.280000999999999</v>
      </c>
      <c r="D356">
        <v>26.82</v>
      </c>
      <c r="E356">
        <v>27.719999000000001</v>
      </c>
      <c r="F356">
        <v>24.472919000000001</v>
      </c>
      <c r="G356">
        <v>4855300</v>
      </c>
    </row>
    <row r="357" spans="1:7" x14ac:dyDescent="0.3">
      <c r="A357" s="206">
        <v>43927</v>
      </c>
      <c r="B357">
        <v>29.950001</v>
      </c>
      <c r="C357">
        <v>30.92</v>
      </c>
      <c r="D357">
        <v>29.299999</v>
      </c>
      <c r="E357">
        <v>30.629999000000002</v>
      </c>
      <c r="F357">
        <v>27.042048999999999</v>
      </c>
      <c r="G357">
        <v>7687600</v>
      </c>
    </row>
    <row r="358" spans="1:7" x14ac:dyDescent="0.3">
      <c r="A358" s="206">
        <v>43928</v>
      </c>
      <c r="B358">
        <v>32.849997999999999</v>
      </c>
      <c r="C358">
        <v>33.639999000000003</v>
      </c>
      <c r="D358">
        <v>31.469999000000001</v>
      </c>
      <c r="E358">
        <v>31.58</v>
      </c>
      <c r="F358">
        <v>27.880768</v>
      </c>
      <c r="G358">
        <v>7997900</v>
      </c>
    </row>
    <row r="359" spans="1:7" x14ac:dyDescent="0.3">
      <c r="A359" s="206">
        <v>43929</v>
      </c>
      <c r="B359">
        <v>31.969999000000001</v>
      </c>
      <c r="C359">
        <v>33.720001000000003</v>
      </c>
      <c r="D359">
        <v>31.549999</v>
      </c>
      <c r="E359">
        <v>33.470001000000003</v>
      </c>
      <c r="F359">
        <v>29.549377</v>
      </c>
      <c r="G359">
        <v>6563400</v>
      </c>
    </row>
    <row r="360" spans="1:7" x14ac:dyDescent="0.3">
      <c r="A360" s="206">
        <v>43930</v>
      </c>
      <c r="B360">
        <v>34.409999999999997</v>
      </c>
      <c r="C360">
        <v>36.360000999999997</v>
      </c>
      <c r="D360">
        <v>34.409999999999997</v>
      </c>
      <c r="E360">
        <v>35.459999000000003</v>
      </c>
      <c r="F360">
        <v>31.306273000000001</v>
      </c>
      <c r="G360">
        <v>10681800</v>
      </c>
    </row>
    <row r="361" spans="1:7" x14ac:dyDescent="0.3">
      <c r="A361" s="206">
        <v>43934</v>
      </c>
      <c r="B361">
        <v>34.860000999999997</v>
      </c>
      <c r="C361">
        <v>35.439999</v>
      </c>
      <c r="D361">
        <v>33.650002000000001</v>
      </c>
      <c r="E361">
        <v>34.32</v>
      </c>
      <c r="F361">
        <v>30.299814000000001</v>
      </c>
      <c r="G361">
        <v>4460900</v>
      </c>
    </row>
    <row r="362" spans="1:7" x14ac:dyDescent="0.3">
      <c r="A362" s="206">
        <v>43935</v>
      </c>
      <c r="B362">
        <v>35.139999000000003</v>
      </c>
      <c r="C362">
        <v>35.349997999999999</v>
      </c>
      <c r="D362">
        <v>33.68</v>
      </c>
      <c r="E362">
        <v>34.43</v>
      </c>
      <c r="F362">
        <v>30.396930999999999</v>
      </c>
      <c r="G362">
        <v>6987200</v>
      </c>
    </row>
    <row r="363" spans="1:7" x14ac:dyDescent="0.3">
      <c r="A363" s="206">
        <v>43936</v>
      </c>
      <c r="B363">
        <v>32.580002</v>
      </c>
      <c r="C363">
        <v>33.029998999999997</v>
      </c>
      <c r="D363">
        <v>31.82</v>
      </c>
      <c r="E363">
        <v>32.470001000000003</v>
      </c>
      <c r="F363">
        <v>28.666515</v>
      </c>
      <c r="G363">
        <v>9863800</v>
      </c>
    </row>
    <row r="364" spans="1:7" x14ac:dyDescent="0.3">
      <c r="A364" s="206">
        <v>43937</v>
      </c>
      <c r="B364">
        <v>32.220001000000003</v>
      </c>
      <c r="C364">
        <v>32.470001000000003</v>
      </c>
      <c r="D364">
        <v>30.76</v>
      </c>
      <c r="E364">
        <v>30.950001</v>
      </c>
      <c r="F364">
        <v>27.324566000000001</v>
      </c>
      <c r="G364">
        <v>7156200</v>
      </c>
    </row>
    <row r="365" spans="1:7" x14ac:dyDescent="0.3">
      <c r="A365" s="206">
        <v>43938</v>
      </c>
      <c r="B365">
        <v>32.560001</v>
      </c>
      <c r="C365">
        <v>33.580002</v>
      </c>
      <c r="D365">
        <v>32.270000000000003</v>
      </c>
      <c r="E365">
        <v>33.060001</v>
      </c>
      <c r="F365">
        <v>29.187401000000001</v>
      </c>
      <c r="G365">
        <v>7119100</v>
      </c>
    </row>
    <row r="366" spans="1:7" x14ac:dyDescent="0.3">
      <c r="A366" s="206">
        <v>43941</v>
      </c>
      <c r="B366">
        <v>31.809999000000001</v>
      </c>
      <c r="C366">
        <v>33.029998999999997</v>
      </c>
      <c r="D366">
        <v>31.57</v>
      </c>
      <c r="E366">
        <v>32.549999</v>
      </c>
      <c r="F366">
        <v>28.737143</v>
      </c>
      <c r="G366">
        <v>5212400</v>
      </c>
    </row>
    <row r="367" spans="1:7" x14ac:dyDescent="0.3">
      <c r="A367" s="206">
        <v>43942</v>
      </c>
      <c r="B367">
        <v>31.33</v>
      </c>
      <c r="C367">
        <v>32.099997999999999</v>
      </c>
      <c r="D367">
        <v>31.09</v>
      </c>
      <c r="E367">
        <v>31.459999</v>
      </c>
      <c r="F367">
        <v>27.774826000000001</v>
      </c>
      <c r="G367">
        <v>5502600</v>
      </c>
    </row>
    <row r="368" spans="1:7" x14ac:dyDescent="0.3">
      <c r="A368" s="206">
        <v>43943</v>
      </c>
      <c r="B368">
        <v>32.369999</v>
      </c>
      <c r="C368">
        <v>32.659999999999997</v>
      </c>
      <c r="D368">
        <v>31.52</v>
      </c>
      <c r="E368">
        <v>31.76</v>
      </c>
      <c r="F368">
        <v>28.039680000000001</v>
      </c>
      <c r="G368">
        <v>6105900</v>
      </c>
    </row>
    <row r="369" spans="1:7" x14ac:dyDescent="0.3">
      <c r="A369" s="206">
        <v>43944</v>
      </c>
      <c r="B369">
        <v>32.080002</v>
      </c>
      <c r="C369">
        <v>32.439999</v>
      </c>
      <c r="D369">
        <v>31.59</v>
      </c>
      <c r="E369">
        <v>31.9</v>
      </c>
      <c r="F369">
        <v>28.163281999999999</v>
      </c>
      <c r="G369">
        <v>12189800</v>
      </c>
    </row>
    <row r="370" spans="1:7" x14ac:dyDescent="0.3">
      <c r="A370" s="206">
        <v>43945</v>
      </c>
      <c r="B370">
        <v>32.25</v>
      </c>
      <c r="C370">
        <v>33.560001</v>
      </c>
      <c r="D370">
        <v>32.150002000000001</v>
      </c>
      <c r="E370">
        <v>33.299999</v>
      </c>
      <c r="F370">
        <v>29.399286</v>
      </c>
      <c r="G370">
        <v>8255900</v>
      </c>
    </row>
    <row r="371" spans="1:7" x14ac:dyDescent="0.3">
      <c r="A371" s="206">
        <v>43948</v>
      </c>
      <c r="B371">
        <v>33.590000000000003</v>
      </c>
      <c r="C371">
        <v>34.659999999999997</v>
      </c>
      <c r="D371">
        <v>33.479999999999997</v>
      </c>
      <c r="E371">
        <v>34.419998</v>
      </c>
      <c r="F371">
        <v>30.388089999999998</v>
      </c>
      <c r="G371">
        <v>6213900</v>
      </c>
    </row>
    <row r="372" spans="1:7" x14ac:dyDescent="0.3">
      <c r="A372" s="206">
        <v>43949</v>
      </c>
      <c r="B372">
        <v>35.990001999999997</v>
      </c>
      <c r="C372">
        <v>36.400002000000001</v>
      </c>
      <c r="D372">
        <v>35.009998000000003</v>
      </c>
      <c r="E372">
        <v>35.18</v>
      </c>
      <c r="F372">
        <v>31.059065</v>
      </c>
      <c r="G372">
        <v>7509900</v>
      </c>
    </row>
    <row r="373" spans="1:7" x14ac:dyDescent="0.3">
      <c r="A373" s="206">
        <v>43950</v>
      </c>
      <c r="B373">
        <v>36.950001</v>
      </c>
      <c r="C373">
        <v>37.729999999999997</v>
      </c>
      <c r="D373">
        <v>36.580002</v>
      </c>
      <c r="E373">
        <v>37.479999999999997</v>
      </c>
      <c r="F373">
        <v>33.089652999999998</v>
      </c>
      <c r="G373">
        <v>9826900</v>
      </c>
    </row>
    <row r="374" spans="1:7" x14ac:dyDescent="0.3">
      <c r="A374" s="206">
        <v>43951</v>
      </c>
      <c r="B374">
        <v>36.400002000000001</v>
      </c>
      <c r="C374">
        <v>37.200001</v>
      </c>
      <c r="D374">
        <v>35.939999</v>
      </c>
      <c r="E374">
        <v>36.080002</v>
      </c>
      <c r="F374">
        <v>31.853645</v>
      </c>
      <c r="G374">
        <v>6057500</v>
      </c>
    </row>
    <row r="375" spans="1:7" x14ac:dyDescent="0.3">
      <c r="A375" s="206">
        <v>43952</v>
      </c>
      <c r="B375">
        <v>35</v>
      </c>
      <c r="C375">
        <v>35.270000000000003</v>
      </c>
      <c r="D375">
        <v>34.389999000000003</v>
      </c>
      <c r="E375">
        <v>34.68</v>
      </c>
      <c r="F375">
        <v>30.617640999999999</v>
      </c>
      <c r="G375">
        <v>4534900</v>
      </c>
    </row>
    <row r="376" spans="1:7" x14ac:dyDescent="0.3">
      <c r="A376" s="206">
        <v>43955</v>
      </c>
      <c r="B376">
        <v>34</v>
      </c>
      <c r="C376">
        <v>34.310001</v>
      </c>
      <c r="D376">
        <v>33.290000999999997</v>
      </c>
      <c r="E376">
        <v>34.18</v>
      </c>
      <c r="F376">
        <v>30.176212</v>
      </c>
      <c r="G376">
        <v>5795200</v>
      </c>
    </row>
    <row r="377" spans="1:7" x14ac:dyDescent="0.3">
      <c r="A377" s="206">
        <v>43956</v>
      </c>
      <c r="B377">
        <v>34.669998</v>
      </c>
      <c r="C377">
        <v>35.200001</v>
      </c>
      <c r="D377">
        <v>34.220001000000003</v>
      </c>
      <c r="E377">
        <v>34.270000000000003</v>
      </c>
      <c r="F377">
        <v>30.255662999999998</v>
      </c>
      <c r="G377">
        <v>4012600</v>
      </c>
    </row>
    <row r="378" spans="1:7" x14ac:dyDescent="0.3">
      <c r="A378" s="206">
        <v>43957</v>
      </c>
      <c r="B378">
        <v>34.770000000000003</v>
      </c>
      <c r="C378">
        <v>34.990001999999997</v>
      </c>
      <c r="D378">
        <v>32.779998999999997</v>
      </c>
      <c r="E378">
        <v>32.970001000000003</v>
      </c>
      <c r="F378">
        <v>29.107944</v>
      </c>
      <c r="G378">
        <v>6396100</v>
      </c>
    </row>
    <row r="379" spans="1:7" x14ac:dyDescent="0.3">
      <c r="A379" s="206">
        <v>43958</v>
      </c>
      <c r="B379">
        <v>33.43</v>
      </c>
      <c r="C379">
        <v>35.479999999999997</v>
      </c>
      <c r="D379">
        <v>33.43</v>
      </c>
      <c r="E379">
        <v>34.439999</v>
      </c>
      <c r="F379">
        <v>30.835974</v>
      </c>
      <c r="G379">
        <v>7470800</v>
      </c>
    </row>
    <row r="380" spans="1:7" x14ac:dyDescent="0.3">
      <c r="A380" s="206">
        <v>43959</v>
      </c>
      <c r="B380">
        <v>35.240001999999997</v>
      </c>
      <c r="C380">
        <v>35.330002</v>
      </c>
      <c r="D380">
        <v>33.830002</v>
      </c>
      <c r="E380">
        <v>35.220001000000003</v>
      </c>
      <c r="F380">
        <v>31.534355000000001</v>
      </c>
      <c r="G380">
        <v>8669300</v>
      </c>
    </row>
    <row r="381" spans="1:7" x14ac:dyDescent="0.3">
      <c r="A381" s="206">
        <v>43962</v>
      </c>
      <c r="B381">
        <v>34.549999</v>
      </c>
      <c r="C381">
        <v>34.740001999999997</v>
      </c>
      <c r="D381">
        <v>33.650002000000001</v>
      </c>
      <c r="E381">
        <v>33.970001000000003</v>
      </c>
      <c r="F381">
        <v>30.415161000000001</v>
      </c>
      <c r="G381">
        <v>6866700</v>
      </c>
    </row>
    <row r="382" spans="1:7" x14ac:dyDescent="0.3">
      <c r="A382" s="206">
        <v>43963</v>
      </c>
      <c r="B382">
        <v>34.330002</v>
      </c>
      <c r="C382">
        <v>34.700001</v>
      </c>
      <c r="D382">
        <v>32.310001</v>
      </c>
      <c r="E382">
        <v>32.369999</v>
      </c>
      <c r="F382">
        <v>28.982596999999998</v>
      </c>
      <c r="G382">
        <v>7751900</v>
      </c>
    </row>
    <row r="383" spans="1:7" x14ac:dyDescent="0.3">
      <c r="A383" s="206">
        <v>43964</v>
      </c>
      <c r="B383">
        <v>32</v>
      </c>
      <c r="C383">
        <v>32.139999000000003</v>
      </c>
      <c r="D383">
        <v>30.59</v>
      </c>
      <c r="E383">
        <v>30.77</v>
      </c>
      <c r="F383">
        <v>27.550034</v>
      </c>
      <c r="G383">
        <v>7859000</v>
      </c>
    </row>
    <row r="384" spans="1:7" x14ac:dyDescent="0.3">
      <c r="A384" s="206">
        <v>43965</v>
      </c>
      <c r="B384">
        <v>30.059999000000001</v>
      </c>
      <c r="C384">
        <v>31.860001</v>
      </c>
      <c r="D384">
        <v>29.18</v>
      </c>
      <c r="E384">
        <v>31.83</v>
      </c>
      <c r="F384">
        <v>28.499105</v>
      </c>
      <c r="G384">
        <v>5742600</v>
      </c>
    </row>
    <row r="385" spans="1:7" x14ac:dyDescent="0.3">
      <c r="A385" s="206">
        <v>43966</v>
      </c>
      <c r="B385">
        <v>31.41</v>
      </c>
      <c r="C385">
        <v>32.119999</v>
      </c>
      <c r="D385">
        <v>31.18</v>
      </c>
      <c r="E385">
        <v>31.719999000000001</v>
      </c>
      <c r="F385">
        <v>28.400618000000001</v>
      </c>
      <c r="G385">
        <v>5460600</v>
      </c>
    </row>
    <row r="386" spans="1:7" x14ac:dyDescent="0.3">
      <c r="A386" s="206">
        <v>43969</v>
      </c>
      <c r="B386">
        <v>33.299999</v>
      </c>
      <c r="C386">
        <v>33.700001</v>
      </c>
      <c r="D386">
        <v>32.75</v>
      </c>
      <c r="E386">
        <v>33.419998</v>
      </c>
      <c r="F386">
        <v>29.922716000000001</v>
      </c>
      <c r="G386">
        <v>7288300</v>
      </c>
    </row>
    <row r="387" spans="1:7" x14ac:dyDescent="0.3">
      <c r="A387" s="206">
        <v>43970</v>
      </c>
      <c r="B387">
        <v>33.209999000000003</v>
      </c>
      <c r="C387">
        <v>33.369999</v>
      </c>
      <c r="D387">
        <v>32.340000000000003</v>
      </c>
      <c r="E387">
        <v>32.389999000000003</v>
      </c>
      <c r="F387">
        <v>29.000503999999999</v>
      </c>
      <c r="G387">
        <v>5149700</v>
      </c>
    </row>
    <row r="388" spans="1:7" x14ac:dyDescent="0.3">
      <c r="A388" s="206">
        <v>43971</v>
      </c>
      <c r="B388">
        <v>33</v>
      </c>
      <c r="C388">
        <v>33.709999000000003</v>
      </c>
      <c r="D388">
        <v>32.909999999999997</v>
      </c>
      <c r="E388">
        <v>33.159999999999997</v>
      </c>
      <c r="F388">
        <v>29.689927999999998</v>
      </c>
      <c r="G388">
        <v>5131200</v>
      </c>
    </row>
    <row r="389" spans="1:7" x14ac:dyDescent="0.3">
      <c r="A389" s="206">
        <v>43972</v>
      </c>
      <c r="B389">
        <v>33</v>
      </c>
      <c r="C389">
        <v>33.689999</v>
      </c>
      <c r="D389">
        <v>32.950001</v>
      </c>
      <c r="E389">
        <v>33.490001999999997</v>
      </c>
      <c r="F389">
        <v>29.985393999999999</v>
      </c>
      <c r="G389">
        <v>4056200</v>
      </c>
    </row>
    <row r="390" spans="1:7" x14ac:dyDescent="0.3">
      <c r="A390" s="206">
        <v>43973</v>
      </c>
      <c r="B390">
        <v>33.540000999999997</v>
      </c>
      <c r="C390">
        <v>33.599997999999999</v>
      </c>
      <c r="D390">
        <v>32.720001000000003</v>
      </c>
      <c r="E390">
        <v>33.340000000000003</v>
      </c>
      <c r="F390">
        <v>29.851085999999999</v>
      </c>
      <c r="G390">
        <v>3395300</v>
      </c>
    </row>
    <row r="391" spans="1:7" x14ac:dyDescent="0.3">
      <c r="A391" s="206">
        <v>43977</v>
      </c>
      <c r="B391">
        <v>35</v>
      </c>
      <c r="C391">
        <v>36.770000000000003</v>
      </c>
      <c r="D391">
        <v>34.860000999999997</v>
      </c>
      <c r="E391">
        <v>36.099997999999999</v>
      </c>
      <c r="F391">
        <v>32.322268999999999</v>
      </c>
      <c r="G391">
        <v>10389500</v>
      </c>
    </row>
    <row r="392" spans="1:7" x14ac:dyDescent="0.3">
      <c r="A392" s="206">
        <v>43978</v>
      </c>
      <c r="B392">
        <v>38</v>
      </c>
      <c r="C392">
        <v>38.450001</v>
      </c>
      <c r="D392">
        <v>36.630001</v>
      </c>
      <c r="E392">
        <v>36.93</v>
      </c>
      <c r="F392">
        <v>33.065410999999997</v>
      </c>
      <c r="G392">
        <v>7665500</v>
      </c>
    </row>
    <row r="393" spans="1:7" x14ac:dyDescent="0.3">
      <c r="A393" s="206">
        <v>43979</v>
      </c>
      <c r="B393">
        <v>37.509998000000003</v>
      </c>
      <c r="C393">
        <v>37.580002</v>
      </c>
      <c r="D393">
        <v>36.330002</v>
      </c>
      <c r="E393">
        <v>36.459999000000003</v>
      </c>
      <c r="F393">
        <v>32.644592000000003</v>
      </c>
      <c r="G393">
        <v>7253600</v>
      </c>
    </row>
    <row r="394" spans="1:7" x14ac:dyDescent="0.3">
      <c r="A394" s="206">
        <v>43980</v>
      </c>
      <c r="B394">
        <v>35.82</v>
      </c>
      <c r="C394">
        <v>36.369999</v>
      </c>
      <c r="D394">
        <v>35.349997999999999</v>
      </c>
      <c r="E394">
        <v>36.009998000000003</v>
      </c>
      <c r="F394">
        <v>32.241675999999998</v>
      </c>
      <c r="G394">
        <v>9444900</v>
      </c>
    </row>
    <row r="395" spans="1:7" x14ac:dyDescent="0.3">
      <c r="A395" s="206">
        <v>43983</v>
      </c>
      <c r="B395">
        <v>35.82</v>
      </c>
      <c r="C395">
        <v>36.549999</v>
      </c>
      <c r="D395">
        <v>35.540000999999997</v>
      </c>
      <c r="E395">
        <v>36.369999</v>
      </c>
      <c r="F395">
        <v>32.564006999999997</v>
      </c>
      <c r="G395">
        <v>5134500</v>
      </c>
    </row>
    <row r="396" spans="1:7" x14ac:dyDescent="0.3">
      <c r="A396" s="206">
        <v>43984</v>
      </c>
      <c r="B396">
        <v>36.790000999999997</v>
      </c>
      <c r="C396">
        <v>36.939999</v>
      </c>
      <c r="D396">
        <v>36.07</v>
      </c>
      <c r="E396">
        <v>36.389999000000003</v>
      </c>
      <c r="F396">
        <v>32.581909000000003</v>
      </c>
      <c r="G396">
        <v>6710100</v>
      </c>
    </row>
    <row r="397" spans="1:7" x14ac:dyDescent="0.3">
      <c r="A397" s="206">
        <v>43985</v>
      </c>
      <c r="B397">
        <v>37.389999000000003</v>
      </c>
      <c r="C397">
        <v>38.409999999999997</v>
      </c>
      <c r="D397">
        <v>37.25</v>
      </c>
      <c r="E397">
        <v>37.880001</v>
      </c>
      <c r="F397">
        <v>33.915999999999997</v>
      </c>
      <c r="G397">
        <v>6419700</v>
      </c>
    </row>
    <row r="398" spans="1:7" x14ac:dyDescent="0.3">
      <c r="A398" s="206">
        <v>43986</v>
      </c>
      <c r="B398">
        <v>37.529998999999997</v>
      </c>
      <c r="C398">
        <v>39.360000999999997</v>
      </c>
      <c r="D398">
        <v>37.150002000000001</v>
      </c>
      <c r="E398">
        <v>39.340000000000003</v>
      </c>
      <c r="F398">
        <v>35.223213000000001</v>
      </c>
      <c r="G398">
        <v>5822400</v>
      </c>
    </row>
    <row r="399" spans="1:7" x14ac:dyDescent="0.3">
      <c r="A399" s="206">
        <v>43987</v>
      </c>
      <c r="B399">
        <v>42.419998</v>
      </c>
      <c r="C399">
        <v>42.68</v>
      </c>
      <c r="D399">
        <v>40.520000000000003</v>
      </c>
      <c r="E399">
        <v>40.740001999999997</v>
      </c>
      <c r="F399">
        <v>36.476711000000002</v>
      </c>
      <c r="G399">
        <v>7917600</v>
      </c>
    </row>
    <row r="400" spans="1:7" x14ac:dyDescent="0.3">
      <c r="A400" s="206">
        <v>43990</v>
      </c>
      <c r="B400">
        <v>41.669998</v>
      </c>
      <c r="C400">
        <v>43.02</v>
      </c>
      <c r="D400">
        <v>41.610000999999997</v>
      </c>
      <c r="E400">
        <v>43</v>
      </c>
      <c r="F400">
        <v>38.500205999999999</v>
      </c>
      <c r="G400">
        <v>7587700</v>
      </c>
    </row>
    <row r="401" spans="1:7" x14ac:dyDescent="0.3">
      <c r="A401" s="206">
        <v>43991</v>
      </c>
      <c r="B401">
        <v>41.560001</v>
      </c>
      <c r="C401">
        <v>41.990001999999997</v>
      </c>
      <c r="D401">
        <v>40.950001</v>
      </c>
      <c r="E401">
        <v>41.549999</v>
      </c>
      <c r="F401">
        <v>37.201942000000003</v>
      </c>
      <c r="G401">
        <v>7867400</v>
      </c>
    </row>
    <row r="402" spans="1:7" x14ac:dyDescent="0.3">
      <c r="A402" s="206">
        <v>43992</v>
      </c>
      <c r="B402">
        <v>41.25</v>
      </c>
      <c r="C402">
        <v>41.310001</v>
      </c>
      <c r="D402">
        <v>39.479999999999997</v>
      </c>
      <c r="E402">
        <v>39.5</v>
      </c>
      <c r="F402">
        <v>35.366473999999997</v>
      </c>
      <c r="G402">
        <v>7295000</v>
      </c>
    </row>
    <row r="403" spans="1:7" x14ac:dyDescent="0.3">
      <c r="A403" s="206">
        <v>43993</v>
      </c>
      <c r="B403">
        <v>36.840000000000003</v>
      </c>
      <c r="C403">
        <v>37.919998</v>
      </c>
      <c r="D403">
        <v>35.740001999999997</v>
      </c>
      <c r="E403">
        <v>35.93</v>
      </c>
      <c r="F403">
        <v>32.170048000000001</v>
      </c>
      <c r="G403">
        <v>9548300</v>
      </c>
    </row>
    <row r="404" spans="1:7" x14ac:dyDescent="0.3">
      <c r="A404" s="206">
        <v>43994</v>
      </c>
      <c r="B404">
        <v>37.549999</v>
      </c>
      <c r="C404">
        <v>37.799999</v>
      </c>
      <c r="D404">
        <v>36.340000000000003</v>
      </c>
      <c r="E404">
        <v>37.450001</v>
      </c>
      <c r="F404">
        <v>33.530991</v>
      </c>
      <c r="G404">
        <v>7142100</v>
      </c>
    </row>
    <row r="405" spans="1:7" x14ac:dyDescent="0.3">
      <c r="A405" s="206">
        <v>43997</v>
      </c>
      <c r="B405">
        <v>35.799999</v>
      </c>
      <c r="C405">
        <v>38.490001999999997</v>
      </c>
      <c r="D405">
        <v>35.650002000000001</v>
      </c>
      <c r="E405">
        <v>38.07</v>
      </c>
      <c r="F405">
        <v>34.086109</v>
      </c>
      <c r="G405">
        <v>7492900</v>
      </c>
    </row>
    <row r="406" spans="1:7" x14ac:dyDescent="0.3">
      <c r="A406" s="206">
        <v>43998</v>
      </c>
      <c r="B406">
        <v>40.240001999999997</v>
      </c>
      <c r="C406">
        <v>40.240001999999997</v>
      </c>
      <c r="D406">
        <v>37.959999000000003</v>
      </c>
      <c r="E406">
        <v>38.689999</v>
      </c>
      <c r="F406">
        <v>34.641227999999998</v>
      </c>
      <c r="G406">
        <v>7392000</v>
      </c>
    </row>
    <row r="407" spans="1:7" x14ac:dyDescent="0.3">
      <c r="A407" s="206">
        <v>43999</v>
      </c>
      <c r="B407">
        <v>38.729999999999997</v>
      </c>
      <c r="C407">
        <v>39.020000000000003</v>
      </c>
      <c r="D407">
        <v>37.770000000000003</v>
      </c>
      <c r="E407">
        <v>37.82</v>
      </c>
      <c r="F407">
        <v>33.862273999999999</v>
      </c>
      <c r="G407">
        <v>4985300</v>
      </c>
    </row>
    <row r="408" spans="1:7" x14ac:dyDescent="0.3">
      <c r="A408" s="206">
        <v>44000</v>
      </c>
      <c r="B408">
        <v>37.439999</v>
      </c>
      <c r="C408">
        <v>38.540000999999997</v>
      </c>
      <c r="D408">
        <v>37.110000999999997</v>
      </c>
      <c r="E408">
        <v>38.110000999999997</v>
      </c>
      <c r="F408">
        <v>34.121924999999997</v>
      </c>
      <c r="G408">
        <v>4138300</v>
      </c>
    </row>
    <row r="409" spans="1:7" x14ac:dyDescent="0.3">
      <c r="A409" s="206">
        <v>44001</v>
      </c>
      <c r="B409">
        <v>39.060001</v>
      </c>
      <c r="C409">
        <v>39.07</v>
      </c>
      <c r="D409">
        <v>37.159999999999997</v>
      </c>
      <c r="E409">
        <v>37.32</v>
      </c>
      <c r="F409">
        <v>33.4146</v>
      </c>
      <c r="G409">
        <v>16568700</v>
      </c>
    </row>
    <row r="410" spans="1:7" x14ac:dyDescent="0.3">
      <c r="A410" s="206">
        <v>44004</v>
      </c>
      <c r="B410">
        <v>36.959999000000003</v>
      </c>
      <c r="C410">
        <v>37.189999</v>
      </c>
      <c r="D410">
        <v>36.450001</v>
      </c>
      <c r="E410">
        <v>36.93</v>
      </c>
      <c r="F410">
        <v>33.065410999999997</v>
      </c>
      <c r="G410">
        <v>6181700</v>
      </c>
    </row>
    <row r="411" spans="1:7" x14ac:dyDescent="0.3">
      <c r="A411" s="206">
        <v>44005</v>
      </c>
      <c r="B411">
        <v>37.82</v>
      </c>
      <c r="C411">
        <v>38.029998999999997</v>
      </c>
      <c r="D411">
        <v>37</v>
      </c>
      <c r="E411">
        <v>37.040000999999997</v>
      </c>
      <c r="F411">
        <v>33.163902</v>
      </c>
      <c r="G411">
        <v>4041700</v>
      </c>
    </row>
    <row r="412" spans="1:7" x14ac:dyDescent="0.3">
      <c r="A412" s="206">
        <v>44006</v>
      </c>
      <c r="B412">
        <v>36.450001</v>
      </c>
      <c r="C412">
        <v>36.529998999999997</v>
      </c>
      <c r="D412">
        <v>35.18</v>
      </c>
      <c r="E412">
        <v>35.529998999999997</v>
      </c>
      <c r="F412">
        <v>31.811909</v>
      </c>
      <c r="G412">
        <v>5833200</v>
      </c>
    </row>
    <row r="413" spans="1:7" x14ac:dyDescent="0.3">
      <c r="A413" s="206">
        <v>44007</v>
      </c>
      <c r="B413">
        <v>35.330002</v>
      </c>
      <c r="C413">
        <v>36.439999</v>
      </c>
      <c r="D413">
        <v>35.130001</v>
      </c>
      <c r="E413">
        <v>36.340000000000003</v>
      </c>
      <c r="F413">
        <v>32.537151000000001</v>
      </c>
      <c r="G413">
        <v>5867800</v>
      </c>
    </row>
    <row r="414" spans="1:7" x14ac:dyDescent="0.3">
      <c r="A414" s="206">
        <v>44008</v>
      </c>
      <c r="B414">
        <v>35.790000999999997</v>
      </c>
      <c r="C414">
        <v>35.869999</v>
      </c>
      <c r="D414">
        <v>34.82</v>
      </c>
      <c r="E414">
        <v>35.07</v>
      </c>
      <c r="F414">
        <v>31.400048999999999</v>
      </c>
      <c r="G414">
        <v>6508500</v>
      </c>
    </row>
    <row r="415" spans="1:7" x14ac:dyDescent="0.3">
      <c r="A415" s="206">
        <v>44011</v>
      </c>
      <c r="B415">
        <v>35.520000000000003</v>
      </c>
      <c r="C415">
        <v>35.889999000000003</v>
      </c>
      <c r="D415">
        <v>35.080002</v>
      </c>
      <c r="E415">
        <v>35.57</v>
      </c>
      <c r="F415">
        <v>31.847729000000001</v>
      </c>
      <c r="G415">
        <v>4404500</v>
      </c>
    </row>
    <row r="416" spans="1:7" x14ac:dyDescent="0.3">
      <c r="A416" s="206">
        <v>44012</v>
      </c>
      <c r="B416">
        <v>35.349997999999999</v>
      </c>
      <c r="C416">
        <v>36.75</v>
      </c>
      <c r="D416">
        <v>35.240001999999997</v>
      </c>
      <c r="E416">
        <v>36.520000000000003</v>
      </c>
      <c r="F416">
        <v>32.698310999999997</v>
      </c>
      <c r="G416">
        <v>4752100</v>
      </c>
    </row>
    <row r="417" spans="1:7" x14ac:dyDescent="0.3">
      <c r="A417" s="206">
        <v>44013</v>
      </c>
      <c r="B417">
        <v>36.509998000000003</v>
      </c>
      <c r="C417">
        <v>36.709999000000003</v>
      </c>
      <c r="D417">
        <v>35.369999</v>
      </c>
      <c r="E417">
        <v>35.509998000000003</v>
      </c>
      <c r="F417">
        <v>31.794006</v>
      </c>
      <c r="G417">
        <v>4772600</v>
      </c>
    </row>
    <row r="418" spans="1:7" x14ac:dyDescent="0.3">
      <c r="A418" s="206">
        <v>44014</v>
      </c>
      <c r="B418">
        <v>36.5</v>
      </c>
      <c r="C418">
        <v>37.200001</v>
      </c>
      <c r="D418">
        <v>35.590000000000003</v>
      </c>
      <c r="E418">
        <v>35.650002000000001</v>
      </c>
      <c r="F418">
        <v>31.919354999999999</v>
      </c>
      <c r="G418">
        <v>5016800</v>
      </c>
    </row>
    <row r="419" spans="1:7" x14ac:dyDescent="0.3">
      <c r="A419" s="206">
        <v>44018</v>
      </c>
      <c r="B419">
        <v>36.689999</v>
      </c>
      <c r="C419">
        <v>37.229999999999997</v>
      </c>
      <c r="D419">
        <v>36.380001</v>
      </c>
      <c r="E419">
        <v>37.090000000000003</v>
      </c>
      <c r="F419">
        <v>33.208668000000003</v>
      </c>
      <c r="G419">
        <v>6120100</v>
      </c>
    </row>
    <row r="420" spans="1:7" x14ac:dyDescent="0.3">
      <c r="A420" s="206">
        <v>44019</v>
      </c>
      <c r="B420">
        <v>36.590000000000003</v>
      </c>
      <c r="C420">
        <v>36.880001</v>
      </c>
      <c r="D420">
        <v>35.919998</v>
      </c>
      <c r="E420">
        <v>36.020000000000003</v>
      </c>
      <c r="F420">
        <v>32.250633000000001</v>
      </c>
      <c r="G420">
        <v>5138600</v>
      </c>
    </row>
    <row r="421" spans="1:7" x14ac:dyDescent="0.3">
      <c r="A421" s="206">
        <v>44020</v>
      </c>
      <c r="B421">
        <v>36.189999</v>
      </c>
      <c r="C421">
        <v>37.009998000000003</v>
      </c>
      <c r="D421">
        <v>36.07</v>
      </c>
      <c r="E421">
        <v>36.770000000000003</v>
      </c>
      <c r="F421">
        <v>32.922145999999998</v>
      </c>
      <c r="G421">
        <v>6549000</v>
      </c>
    </row>
    <row r="422" spans="1:7" x14ac:dyDescent="0.3">
      <c r="A422" s="206">
        <v>44021</v>
      </c>
      <c r="B422">
        <v>36.740001999999997</v>
      </c>
      <c r="C422">
        <v>36.75</v>
      </c>
      <c r="D422">
        <v>35.150002000000001</v>
      </c>
      <c r="E422">
        <v>35.389999000000003</v>
      </c>
      <c r="F422">
        <v>31.686561999999999</v>
      </c>
      <c r="G422">
        <v>6104900</v>
      </c>
    </row>
    <row r="423" spans="1:7" x14ac:dyDescent="0.3">
      <c r="A423" s="206">
        <v>44022</v>
      </c>
      <c r="B423">
        <v>35.479999999999997</v>
      </c>
      <c r="C423">
        <v>37.060001</v>
      </c>
      <c r="D423">
        <v>35.419998</v>
      </c>
      <c r="E423">
        <v>36.939999</v>
      </c>
      <c r="F423">
        <v>33.074356000000002</v>
      </c>
      <c r="G423">
        <v>4603000</v>
      </c>
    </row>
    <row r="424" spans="1:7" x14ac:dyDescent="0.3">
      <c r="A424" s="206">
        <v>44025</v>
      </c>
      <c r="B424">
        <v>37.5</v>
      </c>
      <c r="C424">
        <v>37.950001</v>
      </c>
      <c r="D424">
        <v>37.099997999999999</v>
      </c>
      <c r="E424">
        <v>37.409999999999997</v>
      </c>
      <c r="F424">
        <v>33.495178000000003</v>
      </c>
      <c r="G424">
        <v>6441200</v>
      </c>
    </row>
    <row r="425" spans="1:7" x14ac:dyDescent="0.3">
      <c r="A425" s="206">
        <v>44026</v>
      </c>
      <c r="B425">
        <v>37.340000000000003</v>
      </c>
      <c r="C425">
        <v>37.959999000000003</v>
      </c>
      <c r="D425">
        <v>36.990001999999997</v>
      </c>
      <c r="E425">
        <v>37.889999000000003</v>
      </c>
      <c r="F425">
        <v>33.924950000000003</v>
      </c>
      <c r="G425">
        <v>6834000</v>
      </c>
    </row>
    <row r="426" spans="1:7" x14ac:dyDescent="0.3">
      <c r="A426" s="206">
        <v>44027</v>
      </c>
      <c r="B426">
        <v>38.720001000000003</v>
      </c>
      <c r="C426">
        <v>38.840000000000003</v>
      </c>
      <c r="D426">
        <v>38.090000000000003</v>
      </c>
      <c r="E426">
        <v>38.639999000000003</v>
      </c>
      <c r="F426">
        <v>34.596462000000002</v>
      </c>
      <c r="G426">
        <v>6050300</v>
      </c>
    </row>
    <row r="427" spans="1:7" x14ac:dyDescent="0.3">
      <c r="A427" s="206">
        <v>44028</v>
      </c>
      <c r="B427">
        <v>38.240001999999997</v>
      </c>
      <c r="C427">
        <v>39.520000000000003</v>
      </c>
      <c r="D427">
        <v>37.959999000000003</v>
      </c>
      <c r="E427">
        <v>38.729999999999997</v>
      </c>
      <c r="F427">
        <v>34.677044000000002</v>
      </c>
      <c r="G427">
        <v>4496000</v>
      </c>
    </row>
    <row r="428" spans="1:7" x14ac:dyDescent="0.3">
      <c r="A428" s="206">
        <v>44029</v>
      </c>
      <c r="B428">
        <v>38.729999999999997</v>
      </c>
      <c r="C428">
        <v>38.860000999999997</v>
      </c>
      <c r="D428">
        <v>38.150002000000001</v>
      </c>
      <c r="E428">
        <v>38.470001000000003</v>
      </c>
      <c r="F428">
        <v>34.444251999999999</v>
      </c>
      <c r="G428">
        <v>3867500</v>
      </c>
    </row>
    <row r="429" spans="1:7" x14ac:dyDescent="0.3">
      <c r="A429" s="206">
        <v>44032</v>
      </c>
      <c r="B429">
        <v>38.229999999999997</v>
      </c>
      <c r="C429">
        <v>38.450001</v>
      </c>
      <c r="D429">
        <v>37.650002000000001</v>
      </c>
      <c r="E429">
        <v>37.779998999999997</v>
      </c>
      <c r="F429">
        <v>33.826461999999999</v>
      </c>
      <c r="G429">
        <v>4298600</v>
      </c>
    </row>
    <row r="430" spans="1:7" x14ac:dyDescent="0.3">
      <c r="A430" s="206">
        <v>44033</v>
      </c>
      <c r="B430">
        <v>38.020000000000003</v>
      </c>
      <c r="C430">
        <v>38.990001999999997</v>
      </c>
      <c r="D430">
        <v>38.009998000000003</v>
      </c>
      <c r="E430">
        <v>38.32</v>
      </c>
      <c r="F430">
        <v>34.309952000000003</v>
      </c>
      <c r="G430">
        <v>4519000</v>
      </c>
    </row>
    <row r="431" spans="1:7" x14ac:dyDescent="0.3">
      <c r="A431" s="206">
        <v>44034</v>
      </c>
      <c r="B431">
        <v>38.040000999999997</v>
      </c>
      <c r="C431">
        <v>38.490001999999997</v>
      </c>
      <c r="D431">
        <v>37.880001</v>
      </c>
      <c r="E431">
        <v>38.419998</v>
      </c>
      <c r="F431">
        <v>34.399482999999996</v>
      </c>
      <c r="G431">
        <v>3703700</v>
      </c>
    </row>
    <row r="432" spans="1:7" x14ac:dyDescent="0.3">
      <c r="A432" s="206">
        <v>44035</v>
      </c>
      <c r="B432">
        <v>38.209999000000003</v>
      </c>
      <c r="C432">
        <v>38.849997999999999</v>
      </c>
      <c r="D432">
        <v>38.150002000000001</v>
      </c>
      <c r="E432">
        <v>38.560001</v>
      </c>
      <c r="F432">
        <v>34.524833999999998</v>
      </c>
      <c r="G432">
        <v>4074500</v>
      </c>
    </row>
    <row r="433" spans="1:7" x14ac:dyDescent="0.3">
      <c r="A433" s="206">
        <v>44036</v>
      </c>
      <c r="B433">
        <v>38.729999999999997</v>
      </c>
      <c r="C433">
        <v>38.82</v>
      </c>
      <c r="D433">
        <v>38.169998</v>
      </c>
      <c r="E433">
        <v>38.220001000000003</v>
      </c>
      <c r="F433">
        <v>34.220416999999998</v>
      </c>
      <c r="G433">
        <v>3324300</v>
      </c>
    </row>
    <row r="434" spans="1:7" x14ac:dyDescent="0.3">
      <c r="A434" s="206">
        <v>44039</v>
      </c>
      <c r="B434">
        <v>38.020000000000003</v>
      </c>
      <c r="C434">
        <v>38.080002</v>
      </c>
      <c r="D434">
        <v>37.419998</v>
      </c>
      <c r="E434">
        <v>37.799999</v>
      </c>
      <c r="F434">
        <v>33.844372</v>
      </c>
      <c r="G434">
        <v>4463700</v>
      </c>
    </row>
    <row r="435" spans="1:7" x14ac:dyDescent="0.3">
      <c r="A435" s="206">
        <v>44040</v>
      </c>
      <c r="B435">
        <v>37.619999</v>
      </c>
      <c r="C435">
        <v>38.020000000000003</v>
      </c>
      <c r="D435">
        <v>37.5</v>
      </c>
      <c r="E435">
        <v>37.590000000000003</v>
      </c>
      <c r="F435">
        <v>33.656337999999998</v>
      </c>
      <c r="G435">
        <v>4732500</v>
      </c>
    </row>
    <row r="436" spans="1:7" x14ac:dyDescent="0.3">
      <c r="A436" s="206">
        <v>44041</v>
      </c>
      <c r="B436">
        <v>37.610000999999997</v>
      </c>
      <c r="C436">
        <v>38.729999999999997</v>
      </c>
      <c r="D436">
        <v>37.419998</v>
      </c>
      <c r="E436">
        <v>38.68</v>
      </c>
      <c r="F436">
        <v>34.632275</v>
      </c>
      <c r="G436">
        <v>6805300</v>
      </c>
    </row>
    <row r="437" spans="1:7" x14ac:dyDescent="0.3">
      <c r="A437" s="206">
        <v>44042</v>
      </c>
      <c r="B437">
        <v>37.610000999999997</v>
      </c>
      <c r="C437">
        <v>37.729999999999997</v>
      </c>
      <c r="D437">
        <v>36.93</v>
      </c>
      <c r="E437">
        <v>37.549999</v>
      </c>
      <c r="F437">
        <v>33.620525000000001</v>
      </c>
      <c r="G437">
        <v>4636200</v>
      </c>
    </row>
    <row r="438" spans="1:7" x14ac:dyDescent="0.3">
      <c r="A438" s="206">
        <v>44043</v>
      </c>
      <c r="B438">
        <v>37.529998999999997</v>
      </c>
      <c r="C438">
        <v>37.889999000000003</v>
      </c>
      <c r="D438">
        <v>37.169998</v>
      </c>
      <c r="E438">
        <v>37.849997999999999</v>
      </c>
      <c r="F438">
        <v>33.889130000000002</v>
      </c>
      <c r="G438">
        <v>5860600</v>
      </c>
    </row>
    <row r="439" spans="1:7" x14ac:dyDescent="0.3">
      <c r="A439" s="206">
        <v>44046</v>
      </c>
      <c r="B439">
        <v>37.470001000000003</v>
      </c>
      <c r="C439">
        <v>37.979999999999997</v>
      </c>
      <c r="D439">
        <v>37.049999</v>
      </c>
      <c r="E439">
        <v>37.299999</v>
      </c>
      <c r="F439">
        <v>33.807552000000001</v>
      </c>
      <c r="G439">
        <v>3982500</v>
      </c>
    </row>
    <row r="440" spans="1:7" x14ac:dyDescent="0.3">
      <c r="A440" s="206">
        <v>44047</v>
      </c>
      <c r="B440">
        <v>37.200001</v>
      </c>
      <c r="C440">
        <v>37.310001</v>
      </c>
      <c r="D440">
        <v>36.82</v>
      </c>
      <c r="E440">
        <v>36.900002000000001</v>
      </c>
      <c r="F440">
        <v>33.445014999999998</v>
      </c>
      <c r="G440">
        <v>4227400</v>
      </c>
    </row>
    <row r="441" spans="1:7" x14ac:dyDescent="0.3">
      <c r="A441" s="206">
        <v>44048</v>
      </c>
      <c r="B441">
        <v>37.439999</v>
      </c>
      <c r="C441">
        <v>38.459999000000003</v>
      </c>
      <c r="D441">
        <v>37.32</v>
      </c>
      <c r="E441">
        <v>38.279998999999997</v>
      </c>
      <c r="F441">
        <v>34.695801000000003</v>
      </c>
      <c r="G441">
        <v>6089500</v>
      </c>
    </row>
    <row r="442" spans="1:7" x14ac:dyDescent="0.3">
      <c r="A442" s="206">
        <v>44049</v>
      </c>
      <c r="B442">
        <v>37.490001999999997</v>
      </c>
      <c r="C442">
        <v>38.459999000000003</v>
      </c>
      <c r="D442">
        <v>36.93</v>
      </c>
      <c r="E442">
        <v>36.979999999999997</v>
      </c>
      <c r="F442">
        <v>33.517524999999999</v>
      </c>
      <c r="G442">
        <v>7612100</v>
      </c>
    </row>
    <row r="443" spans="1:7" x14ac:dyDescent="0.3">
      <c r="A443" s="206">
        <v>44050</v>
      </c>
      <c r="B443">
        <v>36.919998</v>
      </c>
      <c r="C443">
        <v>38.919998</v>
      </c>
      <c r="D443">
        <v>36.57</v>
      </c>
      <c r="E443">
        <v>38.720001000000003</v>
      </c>
      <c r="F443">
        <v>35.094603999999997</v>
      </c>
      <c r="G443">
        <v>8486400</v>
      </c>
    </row>
    <row r="444" spans="1:7" x14ac:dyDescent="0.3">
      <c r="A444" s="206">
        <v>44053</v>
      </c>
      <c r="B444">
        <v>38.889999000000003</v>
      </c>
      <c r="C444">
        <v>39.970001000000003</v>
      </c>
      <c r="D444">
        <v>38.889999000000003</v>
      </c>
      <c r="E444">
        <v>39.779998999999997</v>
      </c>
      <c r="F444">
        <v>36.055354999999999</v>
      </c>
      <c r="G444">
        <v>7439800</v>
      </c>
    </row>
    <row r="445" spans="1:7" x14ac:dyDescent="0.3">
      <c r="A445" s="206">
        <v>44054</v>
      </c>
      <c r="B445">
        <v>40.939999</v>
      </c>
      <c r="C445">
        <v>41.470001000000003</v>
      </c>
      <c r="D445">
        <v>40.540000999999997</v>
      </c>
      <c r="E445">
        <v>40.57</v>
      </c>
      <c r="F445">
        <v>36.771388999999999</v>
      </c>
      <c r="G445">
        <v>9162900</v>
      </c>
    </row>
    <row r="446" spans="1:7" x14ac:dyDescent="0.3">
      <c r="A446" s="206">
        <v>44055</v>
      </c>
      <c r="B446">
        <v>41.48</v>
      </c>
      <c r="C446">
        <v>41.48</v>
      </c>
      <c r="D446">
        <v>39.529998999999997</v>
      </c>
      <c r="E446">
        <v>40.040000999999997</v>
      </c>
      <c r="F446">
        <v>36.291007999999998</v>
      </c>
      <c r="G446">
        <v>5930600</v>
      </c>
    </row>
    <row r="447" spans="1:7" x14ac:dyDescent="0.3">
      <c r="A447" s="206">
        <v>44056</v>
      </c>
      <c r="B447">
        <v>39.5</v>
      </c>
      <c r="C447">
        <v>39.979999999999997</v>
      </c>
      <c r="D447">
        <v>39.130001</v>
      </c>
      <c r="E447">
        <v>39.439999</v>
      </c>
      <c r="F447">
        <v>35.747188999999999</v>
      </c>
      <c r="G447">
        <v>4629900</v>
      </c>
    </row>
    <row r="448" spans="1:7" x14ac:dyDescent="0.3">
      <c r="A448" s="206">
        <v>44057</v>
      </c>
      <c r="B448">
        <v>39.110000999999997</v>
      </c>
      <c r="C448">
        <v>39.790000999999997</v>
      </c>
      <c r="D448">
        <v>38.979999999999997</v>
      </c>
      <c r="E448">
        <v>39.610000999999997</v>
      </c>
      <c r="F448">
        <v>35.901271999999999</v>
      </c>
      <c r="G448">
        <v>6627700</v>
      </c>
    </row>
    <row r="449" spans="1:7" x14ac:dyDescent="0.3">
      <c r="A449" s="206">
        <v>44060</v>
      </c>
      <c r="B449">
        <v>39.68</v>
      </c>
      <c r="C449">
        <v>39.700001</v>
      </c>
      <c r="D449">
        <v>38.779998999999997</v>
      </c>
      <c r="E449">
        <v>38.880001</v>
      </c>
      <c r="F449">
        <v>35.239628000000003</v>
      </c>
      <c r="G449">
        <v>3684500</v>
      </c>
    </row>
    <row r="450" spans="1:7" x14ac:dyDescent="0.3">
      <c r="A450" s="206">
        <v>44061</v>
      </c>
      <c r="B450">
        <v>38.889999000000003</v>
      </c>
      <c r="C450">
        <v>39.189999</v>
      </c>
      <c r="D450">
        <v>38.18</v>
      </c>
      <c r="E450">
        <v>38.310001</v>
      </c>
      <c r="F450">
        <v>34.722991999999998</v>
      </c>
      <c r="G450">
        <v>4592700</v>
      </c>
    </row>
    <row r="451" spans="1:7" x14ac:dyDescent="0.3">
      <c r="A451" s="206">
        <v>44062</v>
      </c>
      <c r="B451">
        <v>38.32</v>
      </c>
      <c r="C451">
        <v>39.009998000000003</v>
      </c>
      <c r="D451">
        <v>38.119999</v>
      </c>
      <c r="E451">
        <v>38.200001</v>
      </c>
      <c r="F451">
        <v>34.623291000000002</v>
      </c>
      <c r="G451">
        <v>4789000</v>
      </c>
    </row>
    <row r="452" spans="1:7" x14ac:dyDescent="0.3">
      <c r="A452" s="206">
        <v>44063</v>
      </c>
      <c r="B452">
        <v>37.810001</v>
      </c>
      <c r="C452">
        <v>38.099997999999999</v>
      </c>
      <c r="D452">
        <v>37.509998000000003</v>
      </c>
      <c r="E452">
        <v>37.619999</v>
      </c>
      <c r="F452">
        <v>34.097594999999998</v>
      </c>
      <c r="G452">
        <v>3550900</v>
      </c>
    </row>
    <row r="453" spans="1:7" x14ac:dyDescent="0.3">
      <c r="A453" s="206">
        <v>44064</v>
      </c>
      <c r="B453">
        <v>37.610000999999997</v>
      </c>
      <c r="C453">
        <v>37.979999999999997</v>
      </c>
      <c r="D453">
        <v>37.159999999999997</v>
      </c>
      <c r="E453">
        <v>37.279998999999997</v>
      </c>
      <c r="F453">
        <v>33.789433000000002</v>
      </c>
      <c r="G453">
        <v>4503400</v>
      </c>
    </row>
    <row r="454" spans="1:7" x14ac:dyDescent="0.3">
      <c r="A454" s="206">
        <v>44067</v>
      </c>
      <c r="B454">
        <v>37.459999000000003</v>
      </c>
      <c r="C454">
        <v>38.639999000000003</v>
      </c>
      <c r="D454">
        <v>37.270000000000003</v>
      </c>
      <c r="E454">
        <v>38.619999</v>
      </c>
      <c r="F454">
        <v>35.003967000000003</v>
      </c>
      <c r="G454">
        <v>8843400</v>
      </c>
    </row>
    <row r="455" spans="1:7" x14ac:dyDescent="0.3">
      <c r="A455" s="206">
        <v>44068</v>
      </c>
      <c r="B455">
        <v>39.07</v>
      </c>
      <c r="C455">
        <v>39.32</v>
      </c>
      <c r="D455">
        <v>38.409999999999997</v>
      </c>
      <c r="E455">
        <v>38.659999999999997</v>
      </c>
      <c r="F455">
        <v>35.040225999999997</v>
      </c>
      <c r="G455">
        <v>4100200</v>
      </c>
    </row>
    <row r="456" spans="1:7" x14ac:dyDescent="0.3">
      <c r="A456" s="206">
        <v>44069</v>
      </c>
      <c r="B456">
        <v>38.560001</v>
      </c>
      <c r="C456">
        <v>38.650002000000001</v>
      </c>
      <c r="D456">
        <v>38.189999</v>
      </c>
      <c r="E456">
        <v>38.32</v>
      </c>
      <c r="F456">
        <v>34.732059</v>
      </c>
      <c r="G456">
        <v>4160000</v>
      </c>
    </row>
    <row r="457" spans="1:7" x14ac:dyDescent="0.3">
      <c r="A457" s="206">
        <v>44070</v>
      </c>
      <c r="B457">
        <v>38.459999000000003</v>
      </c>
      <c r="C457">
        <v>39.369999</v>
      </c>
      <c r="D457">
        <v>38.360000999999997</v>
      </c>
      <c r="E457">
        <v>39.07</v>
      </c>
      <c r="F457">
        <v>35.411830999999999</v>
      </c>
      <c r="G457">
        <v>3444400</v>
      </c>
    </row>
    <row r="458" spans="1:7" x14ac:dyDescent="0.3">
      <c r="A458" s="206">
        <v>44071</v>
      </c>
      <c r="B458">
        <v>39.520000000000003</v>
      </c>
      <c r="C458">
        <v>39.540000999999997</v>
      </c>
      <c r="D458">
        <v>38.889999000000003</v>
      </c>
      <c r="E458">
        <v>39.419998</v>
      </c>
      <c r="F458">
        <v>35.729064999999999</v>
      </c>
      <c r="G458">
        <v>2884900</v>
      </c>
    </row>
    <row r="459" spans="1:7" x14ac:dyDescent="0.3">
      <c r="A459" s="206">
        <v>44074</v>
      </c>
      <c r="B459">
        <v>39.240001999999997</v>
      </c>
      <c r="C459">
        <v>39.340000000000003</v>
      </c>
      <c r="D459">
        <v>38.419998</v>
      </c>
      <c r="E459">
        <v>38.459999000000003</v>
      </c>
      <c r="F459">
        <v>34.858947999999998</v>
      </c>
      <c r="G459">
        <v>6713700</v>
      </c>
    </row>
    <row r="460" spans="1:7" x14ac:dyDescent="0.3">
      <c r="A460" s="206">
        <v>44075</v>
      </c>
      <c r="B460">
        <v>38.32</v>
      </c>
      <c r="C460">
        <v>39.049999</v>
      </c>
      <c r="D460">
        <v>37.979999999999997</v>
      </c>
      <c r="E460">
        <v>38.5</v>
      </c>
      <c r="F460">
        <v>34.895198999999998</v>
      </c>
      <c r="G460">
        <v>3646500</v>
      </c>
    </row>
    <row r="461" spans="1:7" x14ac:dyDescent="0.3">
      <c r="A461" s="206">
        <v>44076</v>
      </c>
      <c r="B461">
        <v>38.310001</v>
      </c>
      <c r="C461">
        <v>38.93</v>
      </c>
      <c r="D461">
        <v>37.979999999999997</v>
      </c>
      <c r="E461">
        <v>38.82</v>
      </c>
      <c r="F461">
        <v>35.185237999999998</v>
      </c>
      <c r="G461">
        <v>4544000</v>
      </c>
    </row>
    <row r="462" spans="1:7" x14ac:dyDescent="0.3">
      <c r="A462" s="206">
        <v>44077</v>
      </c>
      <c r="B462">
        <v>39.200001</v>
      </c>
      <c r="C462">
        <v>40.049999</v>
      </c>
      <c r="D462">
        <v>37.950001</v>
      </c>
      <c r="E462">
        <v>38.200001</v>
      </c>
      <c r="F462">
        <v>34.623291000000002</v>
      </c>
      <c r="G462">
        <v>5854100</v>
      </c>
    </row>
    <row r="463" spans="1:7" x14ac:dyDescent="0.3">
      <c r="A463" s="206">
        <v>44078</v>
      </c>
      <c r="B463">
        <v>38.900002000000001</v>
      </c>
      <c r="C463">
        <v>39.479999999999997</v>
      </c>
      <c r="D463">
        <v>38.25</v>
      </c>
      <c r="E463">
        <v>39.150002000000001</v>
      </c>
      <c r="F463">
        <v>35.484352000000001</v>
      </c>
      <c r="G463">
        <v>5426200</v>
      </c>
    </row>
    <row r="464" spans="1:7" x14ac:dyDescent="0.3">
      <c r="A464" s="206">
        <v>44082</v>
      </c>
      <c r="B464">
        <v>38.909999999999997</v>
      </c>
      <c r="C464">
        <v>39</v>
      </c>
      <c r="D464">
        <v>37.720001000000003</v>
      </c>
      <c r="E464">
        <v>37.880001</v>
      </c>
      <c r="F464">
        <v>34.333263000000002</v>
      </c>
      <c r="G464">
        <v>6629200</v>
      </c>
    </row>
    <row r="465" spans="1:7" x14ac:dyDescent="0.3">
      <c r="A465" s="206">
        <v>44083</v>
      </c>
      <c r="B465">
        <v>38.240001999999997</v>
      </c>
      <c r="C465">
        <v>38.630001</v>
      </c>
      <c r="D465">
        <v>37.919998</v>
      </c>
      <c r="E465">
        <v>38.279998999999997</v>
      </c>
      <c r="F465">
        <v>34.695801000000003</v>
      </c>
      <c r="G465">
        <v>3936000</v>
      </c>
    </row>
    <row r="466" spans="1:7" x14ac:dyDescent="0.3">
      <c r="A466" s="206">
        <v>44084</v>
      </c>
      <c r="B466">
        <v>38.419998</v>
      </c>
      <c r="C466">
        <v>39.07</v>
      </c>
      <c r="D466">
        <v>37.619999</v>
      </c>
      <c r="E466">
        <v>37.689999</v>
      </c>
      <c r="F466">
        <v>34.161040999999997</v>
      </c>
      <c r="G466">
        <v>4908400</v>
      </c>
    </row>
    <row r="467" spans="1:7" x14ac:dyDescent="0.3">
      <c r="A467" s="206">
        <v>44085</v>
      </c>
      <c r="B467">
        <v>37.830002</v>
      </c>
      <c r="C467">
        <v>38.479999999999997</v>
      </c>
      <c r="D467">
        <v>37.57</v>
      </c>
      <c r="E467">
        <v>38.229999999999997</v>
      </c>
      <c r="F467">
        <v>34.650475</v>
      </c>
      <c r="G467">
        <v>5327000</v>
      </c>
    </row>
    <row r="468" spans="1:7" x14ac:dyDescent="0.3">
      <c r="A468" s="206">
        <v>44088</v>
      </c>
      <c r="B468">
        <v>38.520000000000003</v>
      </c>
      <c r="C468">
        <v>39.080002</v>
      </c>
      <c r="D468">
        <v>38.310001</v>
      </c>
      <c r="E468">
        <v>38.840000000000003</v>
      </c>
      <c r="F468">
        <v>35.203361999999998</v>
      </c>
      <c r="G468">
        <v>3190800</v>
      </c>
    </row>
    <row r="469" spans="1:7" x14ac:dyDescent="0.3">
      <c r="A469" s="206">
        <v>44089</v>
      </c>
      <c r="B469">
        <v>38.790000999999997</v>
      </c>
      <c r="C469">
        <v>38.880001</v>
      </c>
      <c r="D469">
        <v>37.479999999999997</v>
      </c>
      <c r="E469">
        <v>37.509998000000003</v>
      </c>
      <c r="F469">
        <v>33.997897999999999</v>
      </c>
      <c r="G469">
        <v>5111100</v>
      </c>
    </row>
    <row r="470" spans="1:7" x14ac:dyDescent="0.3">
      <c r="A470" s="206">
        <v>44090</v>
      </c>
      <c r="B470">
        <v>37.75</v>
      </c>
      <c r="C470">
        <v>38.25</v>
      </c>
      <c r="D470">
        <v>37.549999</v>
      </c>
      <c r="E470">
        <v>37.630001</v>
      </c>
      <c r="F470">
        <v>34.106650999999999</v>
      </c>
      <c r="G470">
        <v>8558700</v>
      </c>
    </row>
    <row r="471" spans="1:7" x14ac:dyDescent="0.3">
      <c r="A471" s="206">
        <v>44091</v>
      </c>
      <c r="B471">
        <v>37.5</v>
      </c>
      <c r="C471">
        <v>39.479999999999997</v>
      </c>
      <c r="D471">
        <v>36.970001000000003</v>
      </c>
      <c r="E471">
        <v>39.32</v>
      </c>
      <c r="F471">
        <v>35.638420000000004</v>
      </c>
      <c r="G471">
        <v>10020800</v>
      </c>
    </row>
    <row r="472" spans="1:7" x14ac:dyDescent="0.3">
      <c r="A472" s="206">
        <v>44092</v>
      </c>
      <c r="B472">
        <v>39.209999000000003</v>
      </c>
      <c r="C472">
        <v>40.099997999999999</v>
      </c>
      <c r="D472">
        <v>39.150002000000001</v>
      </c>
      <c r="E472">
        <v>39.669998</v>
      </c>
      <c r="F472">
        <v>35.955654000000003</v>
      </c>
      <c r="G472">
        <v>9705500</v>
      </c>
    </row>
    <row r="473" spans="1:7" x14ac:dyDescent="0.3">
      <c r="A473" s="206">
        <v>44095</v>
      </c>
      <c r="B473">
        <v>38.509998000000003</v>
      </c>
      <c r="C473">
        <v>38.830002</v>
      </c>
      <c r="D473">
        <v>37.029998999999997</v>
      </c>
      <c r="E473">
        <v>37.43</v>
      </c>
      <c r="F473">
        <v>33.925392000000002</v>
      </c>
      <c r="G473">
        <v>7868100</v>
      </c>
    </row>
    <row r="474" spans="1:7" x14ac:dyDescent="0.3">
      <c r="A474" s="206">
        <v>44096</v>
      </c>
      <c r="B474">
        <v>37.270000000000003</v>
      </c>
      <c r="C474">
        <v>37.790000999999997</v>
      </c>
      <c r="D474">
        <v>36.5</v>
      </c>
      <c r="E474">
        <v>36.950001</v>
      </c>
      <c r="F474">
        <v>33.490326000000003</v>
      </c>
      <c r="G474">
        <v>6715500</v>
      </c>
    </row>
    <row r="475" spans="1:7" x14ac:dyDescent="0.3">
      <c r="A475" s="206">
        <v>44097</v>
      </c>
      <c r="B475">
        <v>37.119999</v>
      </c>
      <c r="C475">
        <v>37.619999</v>
      </c>
      <c r="D475">
        <v>36</v>
      </c>
      <c r="E475">
        <v>36.090000000000003</v>
      </c>
      <c r="F475">
        <v>32.710845999999997</v>
      </c>
      <c r="G475">
        <v>6048100</v>
      </c>
    </row>
    <row r="476" spans="1:7" x14ac:dyDescent="0.3">
      <c r="A476" s="206">
        <v>44098</v>
      </c>
      <c r="B476">
        <v>36.259998000000003</v>
      </c>
      <c r="C476">
        <v>36.479999999999997</v>
      </c>
      <c r="D476">
        <v>35.189999</v>
      </c>
      <c r="E476">
        <v>35.75</v>
      </c>
      <c r="F476">
        <v>32.402687</v>
      </c>
      <c r="G476">
        <v>6527900</v>
      </c>
    </row>
    <row r="477" spans="1:7" x14ac:dyDescent="0.3">
      <c r="A477" s="206">
        <v>44099</v>
      </c>
      <c r="B477">
        <v>35.5</v>
      </c>
      <c r="C477">
        <v>36.43</v>
      </c>
      <c r="D477">
        <v>35.380001</v>
      </c>
      <c r="E477">
        <v>36.259998000000003</v>
      </c>
      <c r="F477">
        <v>32.864936999999998</v>
      </c>
      <c r="G477">
        <v>3957900</v>
      </c>
    </row>
    <row r="478" spans="1:7" x14ac:dyDescent="0.3">
      <c r="A478" s="206">
        <v>44102</v>
      </c>
      <c r="B478">
        <v>36.869999</v>
      </c>
      <c r="C478">
        <v>37.75</v>
      </c>
      <c r="D478">
        <v>36.869999</v>
      </c>
      <c r="E478">
        <v>37.25</v>
      </c>
      <c r="F478">
        <v>33.762241000000003</v>
      </c>
      <c r="G478">
        <v>3915300</v>
      </c>
    </row>
    <row r="479" spans="1:7" x14ac:dyDescent="0.3">
      <c r="A479" s="206">
        <v>44103</v>
      </c>
      <c r="B479">
        <v>37.110000999999997</v>
      </c>
      <c r="C479">
        <v>37.32</v>
      </c>
      <c r="D479">
        <v>36.459999000000003</v>
      </c>
      <c r="E479">
        <v>36.770000000000003</v>
      </c>
      <c r="F479">
        <v>33.327179000000001</v>
      </c>
      <c r="G479">
        <v>3805200</v>
      </c>
    </row>
    <row r="480" spans="1:7" x14ac:dyDescent="0.3">
      <c r="A480" s="206">
        <v>44104</v>
      </c>
      <c r="B480">
        <v>36.970001000000003</v>
      </c>
      <c r="C480">
        <v>37.540000999999997</v>
      </c>
      <c r="D480">
        <v>36.740001999999997</v>
      </c>
      <c r="E480">
        <v>37.169998</v>
      </c>
      <c r="F480">
        <v>33.689731999999999</v>
      </c>
      <c r="G480">
        <v>6040300</v>
      </c>
    </row>
    <row r="481" spans="1:7" x14ac:dyDescent="0.3">
      <c r="A481" s="206">
        <v>44105</v>
      </c>
      <c r="B481">
        <v>37.240001999999997</v>
      </c>
      <c r="C481">
        <v>37.669998</v>
      </c>
      <c r="D481">
        <v>36.830002</v>
      </c>
      <c r="E481">
        <v>37.259998000000003</v>
      </c>
      <c r="F481">
        <v>33.771301000000001</v>
      </c>
      <c r="G481">
        <v>4128100</v>
      </c>
    </row>
    <row r="482" spans="1:7" x14ac:dyDescent="0.3">
      <c r="A482" s="206">
        <v>44106</v>
      </c>
      <c r="B482">
        <v>36.650002000000001</v>
      </c>
      <c r="C482">
        <v>37.950001</v>
      </c>
      <c r="D482">
        <v>36.57</v>
      </c>
      <c r="E482">
        <v>37.630001</v>
      </c>
      <c r="F482">
        <v>34.106650999999999</v>
      </c>
      <c r="G482">
        <v>4697500</v>
      </c>
    </row>
    <row r="483" spans="1:7" x14ac:dyDescent="0.3">
      <c r="A483" s="206">
        <v>44109</v>
      </c>
      <c r="B483">
        <v>38.139999000000003</v>
      </c>
      <c r="C483">
        <v>38.919998</v>
      </c>
      <c r="D483">
        <v>37.709999000000003</v>
      </c>
      <c r="E483">
        <v>38.520000000000003</v>
      </c>
      <c r="F483">
        <v>34.913330000000002</v>
      </c>
      <c r="G483">
        <v>4122700</v>
      </c>
    </row>
    <row r="484" spans="1:7" x14ac:dyDescent="0.3">
      <c r="A484" s="206">
        <v>44110</v>
      </c>
      <c r="B484">
        <v>39.009998000000003</v>
      </c>
      <c r="C484">
        <v>39.75</v>
      </c>
      <c r="D484">
        <v>38.259998000000003</v>
      </c>
      <c r="E484">
        <v>38.369999</v>
      </c>
      <c r="F484">
        <v>34.777369999999998</v>
      </c>
      <c r="G484">
        <v>5766100</v>
      </c>
    </row>
    <row r="485" spans="1:7" x14ac:dyDescent="0.3">
      <c r="A485" s="206">
        <v>44111</v>
      </c>
      <c r="B485">
        <v>39.009998000000003</v>
      </c>
      <c r="C485">
        <v>39.779998999999997</v>
      </c>
      <c r="D485">
        <v>38.909999999999997</v>
      </c>
      <c r="E485">
        <v>39.340000000000003</v>
      </c>
      <c r="F485">
        <v>35.656554999999997</v>
      </c>
      <c r="G485">
        <v>6762900</v>
      </c>
    </row>
    <row r="486" spans="1:7" x14ac:dyDescent="0.3">
      <c r="A486" s="206">
        <v>44112</v>
      </c>
      <c r="B486">
        <v>39.490001999999997</v>
      </c>
      <c r="C486">
        <v>40.07</v>
      </c>
      <c r="D486">
        <v>39.419998</v>
      </c>
      <c r="E486">
        <v>39.849997999999999</v>
      </c>
      <c r="F486">
        <v>36.118797000000001</v>
      </c>
      <c r="G486">
        <v>4693900</v>
      </c>
    </row>
    <row r="487" spans="1:7" x14ac:dyDescent="0.3">
      <c r="A487" s="206">
        <v>44113</v>
      </c>
      <c r="B487">
        <v>40.080002</v>
      </c>
      <c r="C487">
        <v>40.290000999999997</v>
      </c>
      <c r="D487">
        <v>39.419998</v>
      </c>
      <c r="E487">
        <v>39.479999999999997</v>
      </c>
      <c r="F487">
        <v>35.783442999999998</v>
      </c>
      <c r="G487">
        <v>3980300</v>
      </c>
    </row>
    <row r="488" spans="1:7" x14ac:dyDescent="0.3">
      <c r="A488" s="206">
        <v>44116</v>
      </c>
      <c r="B488">
        <v>39.630001</v>
      </c>
      <c r="C488">
        <v>40.419998</v>
      </c>
      <c r="D488">
        <v>39.520000000000003</v>
      </c>
      <c r="E488">
        <v>40.340000000000003</v>
      </c>
      <c r="F488">
        <v>36.562927000000002</v>
      </c>
      <c r="G488">
        <v>5811800</v>
      </c>
    </row>
    <row r="489" spans="1:7" x14ac:dyDescent="0.3">
      <c r="A489" s="206">
        <v>44117</v>
      </c>
      <c r="B489">
        <v>39.869999</v>
      </c>
      <c r="C489">
        <v>39.869999</v>
      </c>
      <c r="D489">
        <v>38.779998999999997</v>
      </c>
      <c r="E489">
        <v>39</v>
      </c>
      <c r="F489">
        <v>35.348385</v>
      </c>
      <c r="G489">
        <v>6503800</v>
      </c>
    </row>
    <row r="490" spans="1:7" x14ac:dyDescent="0.3">
      <c r="A490" s="206">
        <v>44118</v>
      </c>
      <c r="B490">
        <v>39</v>
      </c>
      <c r="C490">
        <v>39.720001000000003</v>
      </c>
      <c r="D490">
        <v>38.950001</v>
      </c>
      <c r="E490">
        <v>38.970001000000003</v>
      </c>
      <c r="F490">
        <v>35.321198000000003</v>
      </c>
      <c r="G490">
        <v>4611400</v>
      </c>
    </row>
    <row r="491" spans="1:7" x14ac:dyDescent="0.3">
      <c r="A491" s="206">
        <v>44119</v>
      </c>
      <c r="B491">
        <v>38.369999</v>
      </c>
      <c r="C491">
        <v>39.209999000000003</v>
      </c>
      <c r="D491">
        <v>38.169998</v>
      </c>
      <c r="E491">
        <v>39.130001</v>
      </c>
      <c r="F491">
        <v>35.466220999999997</v>
      </c>
      <c r="G491">
        <v>3646300</v>
      </c>
    </row>
    <row r="492" spans="1:7" x14ac:dyDescent="0.3">
      <c r="A492" s="206">
        <v>44120</v>
      </c>
      <c r="B492">
        <v>39.279998999999997</v>
      </c>
      <c r="C492">
        <v>39.860000999999997</v>
      </c>
      <c r="D492">
        <v>38.860000999999997</v>
      </c>
      <c r="E492">
        <v>39.279998999999997</v>
      </c>
      <c r="F492">
        <v>35.602169000000004</v>
      </c>
      <c r="G492">
        <v>4689400</v>
      </c>
    </row>
    <row r="493" spans="1:7" x14ac:dyDescent="0.3">
      <c r="A493" s="206">
        <v>44123</v>
      </c>
      <c r="B493">
        <v>39.520000000000003</v>
      </c>
      <c r="C493">
        <v>39.790000999999997</v>
      </c>
      <c r="D493">
        <v>38.959999000000003</v>
      </c>
      <c r="E493">
        <v>39.07</v>
      </c>
      <c r="F493">
        <v>35.411830999999999</v>
      </c>
      <c r="G493">
        <v>3745200</v>
      </c>
    </row>
    <row r="494" spans="1:7" x14ac:dyDescent="0.3">
      <c r="A494" s="206">
        <v>44124</v>
      </c>
      <c r="B494">
        <v>39.560001</v>
      </c>
      <c r="C494">
        <v>40.090000000000003</v>
      </c>
      <c r="D494">
        <v>39.299999</v>
      </c>
      <c r="E494">
        <v>39.340000000000003</v>
      </c>
      <c r="F494">
        <v>35.656554999999997</v>
      </c>
      <c r="G494">
        <v>3866000</v>
      </c>
    </row>
    <row r="495" spans="1:7" x14ac:dyDescent="0.3">
      <c r="A495" s="206">
        <v>44125</v>
      </c>
      <c r="B495">
        <v>39.119999</v>
      </c>
      <c r="C495">
        <v>39.580002</v>
      </c>
      <c r="D495">
        <v>39.040000999999997</v>
      </c>
      <c r="E495">
        <v>39.130001</v>
      </c>
      <c r="F495">
        <v>35.466220999999997</v>
      </c>
      <c r="G495">
        <v>5834700</v>
      </c>
    </row>
    <row r="496" spans="1:7" x14ac:dyDescent="0.3">
      <c r="A496" s="206">
        <v>44126</v>
      </c>
      <c r="B496">
        <v>39.18</v>
      </c>
      <c r="C496">
        <v>40.659999999999997</v>
      </c>
      <c r="D496">
        <v>39.040000999999997</v>
      </c>
      <c r="E496">
        <v>40.610000999999997</v>
      </c>
      <c r="F496">
        <v>36.807644000000003</v>
      </c>
      <c r="G496">
        <v>4916900</v>
      </c>
    </row>
    <row r="497" spans="1:7" x14ac:dyDescent="0.3">
      <c r="A497" s="206">
        <v>44127</v>
      </c>
      <c r="B497">
        <v>41</v>
      </c>
      <c r="C497">
        <v>41.240001999999997</v>
      </c>
      <c r="D497">
        <v>40.590000000000003</v>
      </c>
      <c r="E497">
        <v>40.939999</v>
      </c>
      <c r="F497">
        <v>37.106738999999997</v>
      </c>
      <c r="G497">
        <v>4804100</v>
      </c>
    </row>
    <row r="498" spans="1:7" x14ac:dyDescent="0.3">
      <c r="A498" s="206">
        <v>44130</v>
      </c>
      <c r="B498">
        <v>40.330002</v>
      </c>
      <c r="C498">
        <v>40.450001</v>
      </c>
      <c r="D498">
        <v>39.099997999999999</v>
      </c>
      <c r="E498">
        <v>39.380001</v>
      </c>
      <c r="F498">
        <v>35.692805999999997</v>
      </c>
      <c r="G498">
        <v>6717800</v>
      </c>
    </row>
    <row r="499" spans="1:7" x14ac:dyDescent="0.3">
      <c r="A499" s="206">
        <v>44131</v>
      </c>
      <c r="B499">
        <v>39.32</v>
      </c>
      <c r="C499">
        <v>39.340000000000003</v>
      </c>
      <c r="D499">
        <v>37.669998</v>
      </c>
      <c r="E499">
        <v>37.770000000000003</v>
      </c>
      <c r="F499">
        <v>34.233550999999999</v>
      </c>
      <c r="G499">
        <v>5451900</v>
      </c>
    </row>
    <row r="500" spans="1:7" x14ac:dyDescent="0.3">
      <c r="A500" s="206">
        <v>44132</v>
      </c>
      <c r="B500">
        <v>36.82</v>
      </c>
      <c r="C500">
        <v>37.599997999999999</v>
      </c>
      <c r="D500">
        <v>36.470001000000003</v>
      </c>
      <c r="E500">
        <v>36.599997999999999</v>
      </c>
      <c r="F500">
        <v>33.173099999999998</v>
      </c>
      <c r="G500">
        <v>6959900</v>
      </c>
    </row>
    <row r="501" spans="1:7" x14ac:dyDescent="0.3">
      <c r="A501" s="206">
        <v>44133</v>
      </c>
      <c r="B501">
        <v>36.349997999999999</v>
      </c>
      <c r="C501">
        <v>37.650002000000001</v>
      </c>
      <c r="D501">
        <v>35.900002000000001</v>
      </c>
      <c r="E501">
        <v>37.310001</v>
      </c>
      <c r="F501">
        <v>33.816628000000001</v>
      </c>
      <c r="G501">
        <v>5097700</v>
      </c>
    </row>
    <row r="502" spans="1:7" x14ac:dyDescent="0.3">
      <c r="A502" s="206">
        <v>44134</v>
      </c>
      <c r="B502">
        <v>37.119999</v>
      </c>
      <c r="C502">
        <v>37.860000999999997</v>
      </c>
      <c r="D502">
        <v>36.799999</v>
      </c>
      <c r="E502">
        <v>37.849997999999999</v>
      </c>
      <c r="F502">
        <v>34.306057000000003</v>
      </c>
      <c r="G502">
        <v>6522100</v>
      </c>
    </row>
    <row r="503" spans="1:7" x14ac:dyDescent="0.3">
      <c r="A503" s="206">
        <v>44137</v>
      </c>
      <c r="B503">
        <v>38.090000000000003</v>
      </c>
      <c r="C503">
        <v>38.970001000000003</v>
      </c>
      <c r="D503">
        <v>37.409999999999997</v>
      </c>
      <c r="E503">
        <v>38.700001</v>
      </c>
      <c r="F503">
        <v>35.508015</v>
      </c>
      <c r="G503">
        <v>5635900</v>
      </c>
    </row>
    <row r="504" spans="1:7" x14ac:dyDescent="0.3">
      <c r="A504" s="206">
        <v>44138</v>
      </c>
      <c r="B504">
        <v>39.5</v>
      </c>
      <c r="C504">
        <v>40.310001</v>
      </c>
      <c r="D504">
        <v>39.32</v>
      </c>
      <c r="E504">
        <v>39.970001000000003</v>
      </c>
      <c r="F504">
        <v>36.673267000000003</v>
      </c>
      <c r="G504">
        <v>5860200</v>
      </c>
    </row>
    <row r="505" spans="1:7" x14ac:dyDescent="0.3">
      <c r="A505" s="206">
        <v>44139</v>
      </c>
      <c r="B505">
        <v>38.889999000000003</v>
      </c>
      <c r="C505">
        <v>40.060001</v>
      </c>
      <c r="D505">
        <v>38.279998999999997</v>
      </c>
      <c r="E505">
        <v>39</v>
      </c>
      <c r="F505">
        <v>35.783264000000003</v>
      </c>
      <c r="G505">
        <v>7827900</v>
      </c>
    </row>
    <row r="506" spans="1:7" x14ac:dyDescent="0.3">
      <c r="A506" s="206">
        <v>44140</v>
      </c>
      <c r="B506">
        <v>39.950001</v>
      </c>
      <c r="C506">
        <v>41.810001</v>
      </c>
      <c r="D506">
        <v>39.509998000000003</v>
      </c>
      <c r="E506">
        <v>41.130001</v>
      </c>
      <c r="F506">
        <v>37.737591000000002</v>
      </c>
      <c r="G506">
        <v>7936600</v>
      </c>
    </row>
    <row r="507" spans="1:7" x14ac:dyDescent="0.3">
      <c r="A507" s="206">
        <v>44141</v>
      </c>
      <c r="B507">
        <v>41.77</v>
      </c>
      <c r="C507">
        <v>41.93</v>
      </c>
      <c r="D507">
        <v>40.080002</v>
      </c>
      <c r="E507">
        <v>40.479999999999997</v>
      </c>
      <c r="F507">
        <v>37.141196999999998</v>
      </c>
      <c r="G507">
        <v>6063800</v>
      </c>
    </row>
    <row r="508" spans="1:7" x14ac:dyDescent="0.3">
      <c r="A508" s="206">
        <v>44144</v>
      </c>
      <c r="B508">
        <v>43.209999000000003</v>
      </c>
      <c r="C508">
        <v>46.150002000000001</v>
      </c>
      <c r="D508">
        <v>42.830002</v>
      </c>
      <c r="E508">
        <v>44.939999</v>
      </c>
      <c r="F508">
        <v>41.233333999999999</v>
      </c>
      <c r="G508">
        <v>11758900</v>
      </c>
    </row>
    <row r="509" spans="1:7" x14ac:dyDescent="0.3">
      <c r="A509" s="206">
        <v>44145</v>
      </c>
      <c r="B509">
        <v>45.799999</v>
      </c>
      <c r="C509">
        <v>46.48</v>
      </c>
      <c r="D509">
        <v>44.889999000000003</v>
      </c>
      <c r="E509">
        <v>46.029998999999997</v>
      </c>
      <c r="F509">
        <v>42.233429000000001</v>
      </c>
      <c r="G509">
        <v>9444000</v>
      </c>
    </row>
    <row r="510" spans="1:7" x14ac:dyDescent="0.3">
      <c r="A510" s="206">
        <v>44146</v>
      </c>
      <c r="B510">
        <v>46</v>
      </c>
      <c r="C510">
        <v>46.34</v>
      </c>
      <c r="D510">
        <v>45.200001</v>
      </c>
      <c r="E510">
        <v>45.509998000000003</v>
      </c>
      <c r="F510">
        <v>41.756321</v>
      </c>
      <c r="G510">
        <v>7381300</v>
      </c>
    </row>
    <row r="511" spans="1:7" x14ac:dyDescent="0.3">
      <c r="A511" s="206">
        <v>44147</v>
      </c>
      <c r="B511">
        <v>44.709999000000003</v>
      </c>
      <c r="C511">
        <v>44.91</v>
      </c>
      <c r="D511">
        <v>43.130001</v>
      </c>
      <c r="E511">
        <v>43.779998999999997</v>
      </c>
      <c r="F511">
        <v>40.169013999999997</v>
      </c>
      <c r="G511">
        <v>6805000</v>
      </c>
    </row>
    <row r="512" spans="1:7" x14ac:dyDescent="0.3">
      <c r="A512" s="206">
        <v>44148</v>
      </c>
      <c r="B512">
        <v>44.27</v>
      </c>
      <c r="C512">
        <v>45.060001</v>
      </c>
      <c r="D512">
        <v>44.189999</v>
      </c>
      <c r="E512">
        <v>44.740001999999997</v>
      </c>
      <c r="F512">
        <v>41.049835000000002</v>
      </c>
      <c r="G512">
        <v>4812900</v>
      </c>
    </row>
    <row r="513" spans="1:7" x14ac:dyDescent="0.3">
      <c r="A513" s="206">
        <v>44151</v>
      </c>
      <c r="B513">
        <v>46.200001</v>
      </c>
      <c r="C513">
        <v>46.349997999999999</v>
      </c>
      <c r="D513">
        <v>45.490001999999997</v>
      </c>
      <c r="E513">
        <v>46.029998999999997</v>
      </c>
      <c r="F513">
        <v>42.233429000000001</v>
      </c>
      <c r="G513">
        <v>7336500</v>
      </c>
    </row>
    <row r="514" spans="1:7" x14ac:dyDescent="0.3">
      <c r="A514" s="206">
        <v>44152</v>
      </c>
      <c r="B514">
        <v>45.630001</v>
      </c>
      <c r="C514">
        <v>46.360000999999997</v>
      </c>
      <c r="D514">
        <v>45.279998999999997</v>
      </c>
      <c r="E514">
        <v>46.009998000000003</v>
      </c>
      <c r="F514">
        <v>42.215076000000003</v>
      </c>
      <c r="G514">
        <v>4615400</v>
      </c>
    </row>
    <row r="515" spans="1:7" x14ac:dyDescent="0.3">
      <c r="A515" s="206">
        <v>44153</v>
      </c>
      <c r="B515">
        <v>46.25</v>
      </c>
      <c r="C515">
        <v>47.150002000000001</v>
      </c>
      <c r="D515">
        <v>45.700001</v>
      </c>
      <c r="E515">
        <v>45.709999000000003</v>
      </c>
      <c r="F515">
        <v>41.939819</v>
      </c>
      <c r="G515">
        <v>5627600</v>
      </c>
    </row>
    <row r="516" spans="1:7" x14ac:dyDescent="0.3">
      <c r="A516" s="206">
        <v>44154</v>
      </c>
      <c r="B516">
        <v>45.189999</v>
      </c>
      <c r="C516">
        <v>45.650002000000001</v>
      </c>
      <c r="D516">
        <v>44.59</v>
      </c>
      <c r="E516">
        <v>45.509998000000003</v>
      </c>
      <c r="F516">
        <v>41.756321</v>
      </c>
      <c r="G516">
        <v>5361700</v>
      </c>
    </row>
    <row r="517" spans="1:7" x14ac:dyDescent="0.3">
      <c r="A517" s="206">
        <v>44155</v>
      </c>
      <c r="B517">
        <v>45.290000999999997</v>
      </c>
      <c r="C517">
        <v>46</v>
      </c>
      <c r="D517">
        <v>44.75</v>
      </c>
      <c r="E517">
        <v>45.869999</v>
      </c>
      <c r="F517">
        <v>42.086627999999997</v>
      </c>
      <c r="G517">
        <v>8213400</v>
      </c>
    </row>
    <row r="518" spans="1:7" x14ac:dyDescent="0.3">
      <c r="A518" s="206">
        <v>44158</v>
      </c>
      <c r="B518">
        <v>46.470001000000003</v>
      </c>
      <c r="C518">
        <v>47.360000999999997</v>
      </c>
      <c r="D518">
        <v>46.369999</v>
      </c>
      <c r="E518">
        <v>47.169998</v>
      </c>
      <c r="F518">
        <v>43.279404</v>
      </c>
      <c r="G518">
        <v>4406800</v>
      </c>
    </row>
    <row r="519" spans="1:7" x14ac:dyDescent="0.3">
      <c r="A519" s="206">
        <v>44159</v>
      </c>
      <c r="B519">
        <v>48</v>
      </c>
      <c r="C519">
        <v>48.84</v>
      </c>
      <c r="D519">
        <v>47.509998000000003</v>
      </c>
      <c r="E519">
        <v>48.669998</v>
      </c>
      <c r="F519">
        <v>44.655681999999999</v>
      </c>
      <c r="G519">
        <v>6510700</v>
      </c>
    </row>
    <row r="520" spans="1:7" x14ac:dyDescent="0.3">
      <c r="A520" s="206">
        <v>44160</v>
      </c>
      <c r="B520">
        <v>48.080002</v>
      </c>
      <c r="C520">
        <v>48.18</v>
      </c>
      <c r="D520">
        <v>47.27</v>
      </c>
      <c r="E520">
        <v>47.759998000000003</v>
      </c>
      <c r="F520">
        <v>43.820735999999997</v>
      </c>
      <c r="G520">
        <v>4933300</v>
      </c>
    </row>
    <row r="521" spans="1:7" x14ac:dyDescent="0.3">
      <c r="A521" s="206">
        <v>44162</v>
      </c>
      <c r="B521">
        <v>47.720001000000003</v>
      </c>
      <c r="C521">
        <v>48.150002000000001</v>
      </c>
      <c r="D521">
        <v>47.16</v>
      </c>
      <c r="E521">
        <v>47.450001</v>
      </c>
      <c r="F521">
        <v>43.536312000000002</v>
      </c>
      <c r="G521">
        <v>2378400</v>
      </c>
    </row>
    <row r="522" spans="1:7" x14ac:dyDescent="0.3">
      <c r="A522" s="206">
        <v>44165</v>
      </c>
      <c r="B522">
        <v>46.98</v>
      </c>
      <c r="C522">
        <v>47.299999</v>
      </c>
      <c r="D522">
        <v>46.049999</v>
      </c>
      <c r="E522">
        <v>46.169998</v>
      </c>
      <c r="F522">
        <v>42.361880999999997</v>
      </c>
      <c r="G522">
        <v>6815300</v>
      </c>
    </row>
    <row r="523" spans="1:7" x14ac:dyDescent="0.3">
      <c r="A523" s="206">
        <v>44166</v>
      </c>
      <c r="B523">
        <v>47.290000999999997</v>
      </c>
      <c r="C523">
        <v>47.41</v>
      </c>
      <c r="D523">
        <v>46.810001</v>
      </c>
      <c r="E523">
        <v>46.91</v>
      </c>
      <c r="F523">
        <v>43.040852000000001</v>
      </c>
      <c r="G523">
        <v>5187800</v>
      </c>
    </row>
    <row r="524" spans="1:7" x14ac:dyDescent="0.3">
      <c r="A524" s="206">
        <v>44167</v>
      </c>
      <c r="B524">
        <v>46.639999000000003</v>
      </c>
      <c r="C524">
        <v>47.84</v>
      </c>
      <c r="D524">
        <v>46.450001</v>
      </c>
      <c r="E524">
        <v>47.709999000000003</v>
      </c>
      <c r="F524">
        <v>43.774856999999997</v>
      </c>
      <c r="G524">
        <v>6364800</v>
      </c>
    </row>
    <row r="525" spans="1:7" x14ac:dyDescent="0.3">
      <c r="A525" s="206">
        <v>44168</v>
      </c>
      <c r="B525">
        <v>47.619999</v>
      </c>
      <c r="C525">
        <v>48.27</v>
      </c>
      <c r="D525">
        <v>47.380001</v>
      </c>
      <c r="E525">
        <v>47.709999000000003</v>
      </c>
      <c r="F525">
        <v>43.774856999999997</v>
      </c>
      <c r="G525">
        <v>3924100</v>
      </c>
    </row>
    <row r="526" spans="1:7" x14ac:dyDescent="0.3">
      <c r="A526" s="206">
        <v>44169</v>
      </c>
      <c r="B526">
        <v>48.139999000000003</v>
      </c>
      <c r="C526">
        <v>48.889999000000003</v>
      </c>
      <c r="D526">
        <v>48.009998000000003</v>
      </c>
      <c r="E526">
        <v>48.470001000000003</v>
      </c>
      <c r="F526">
        <v>44.472178999999997</v>
      </c>
      <c r="G526">
        <v>5154400</v>
      </c>
    </row>
    <row r="527" spans="1:7" x14ac:dyDescent="0.3">
      <c r="A527" s="206">
        <v>44172</v>
      </c>
      <c r="B527">
        <v>47.970001000000003</v>
      </c>
      <c r="C527">
        <v>48</v>
      </c>
      <c r="D527">
        <v>47.16</v>
      </c>
      <c r="E527">
        <v>47.580002</v>
      </c>
      <c r="F527">
        <v>43.655594000000001</v>
      </c>
      <c r="G527">
        <v>5406600</v>
      </c>
    </row>
    <row r="528" spans="1:7" x14ac:dyDescent="0.3">
      <c r="A528" s="206">
        <v>44173</v>
      </c>
      <c r="B528">
        <v>47.66</v>
      </c>
      <c r="C528">
        <v>47.849997999999999</v>
      </c>
      <c r="D528">
        <v>47.099997999999999</v>
      </c>
      <c r="E528">
        <v>47.52</v>
      </c>
      <c r="F528">
        <v>43.600543999999999</v>
      </c>
      <c r="G528">
        <v>7708300</v>
      </c>
    </row>
    <row r="529" spans="1:7" x14ac:dyDescent="0.3">
      <c r="A529" s="206">
        <v>44174</v>
      </c>
      <c r="B529">
        <v>48.25</v>
      </c>
      <c r="C529">
        <v>48.330002</v>
      </c>
      <c r="D529">
        <v>47.529998999999997</v>
      </c>
      <c r="E529">
        <v>47.639999000000003</v>
      </c>
      <c r="F529">
        <v>43.710639999999998</v>
      </c>
      <c r="G529">
        <v>4688000</v>
      </c>
    </row>
    <row r="530" spans="1:7" x14ac:dyDescent="0.3">
      <c r="A530" s="206">
        <v>44175</v>
      </c>
      <c r="B530">
        <v>47.060001</v>
      </c>
      <c r="C530">
        <v>47.700001</v>
      </c>
      <c r="D530">
        <v>46.740001999999997</v>
      </c>
      <c r="E530">
        <v>47.549999</v>
      </c>
      <c r="F530">
        <v>43.628062999999997</v>
      </c>
      <c r="G530">
        <v>10610400</v>
      </c>
    </row>
    <row r="531" spans="1:7" x14ac:dyDescent="0.3">
      <c r="A531" s="206">
        <v>44176</v>
      </c>
      <c r="B531">
        <v>46.939999</v>
      </c>
      <c r="C531">
        <v>47.220001000000003</v>
      </c>
      <c r="D531">
        <v>46.57</v>
      </c>
      <c r="E531">
        <v>47.189999</v>
      </c>
      <c r="F531">
        <v>43.297756</v>
      </c>
      <c r="G531">
        <v>4238300</v>
      </c>
    </row>
    <row r="532" spans="1:7" x14ac:dyDescent="0.3">
      <c r="A532" s="206">
        <v>44179</v>
      </c>
      <c r="B532">
        <v>47.91</v>
      </c>
      <c r="C532">
        <v>48.099997999999999</v>
      </c>
      <c r="D532">
        <v>45.830002</v>
      </c>
      <c r="E532">
        <v>45.84</v>
      </c>
      <c r="F532">
        <v>42.059108999999999</v>
      </c>
      <c r="G532">
        <v>7001600</v>
      </c>
    </row>
    <row r="533" spans="1:7" x14ac:dyDescent="0.3">
      <c r="A533" s="206">
        <v>44180</v>
      </c>
      <c r="B533">
        <v>46.400002000000001</v>
      </c>
      <c r="C533">
        <v>46.5</v>
      </c>
      <c r="D533">
        <v>45.279998999999997</v>
      </c>
      <c r="E533">
        <v>46.240001999999997</v>
      </c>
      <c r="F533">
        <v>42.426108999999997</v>
      </c>
      <c r="G533">
        <v>5522700</v>
      </c>
    </row>
    <row r="534" spans="1:7" x14ac:dyDescent="0.3">
      <c r="A534" s="206">
        <v>44181</v>
      </c>
      <c r="B534">
        <v>46.220001000000003</v>
      </c>
      <c r="C534">
        <v>46.560001</v>
      </c>
      <c r="D534">
        <v>45.82</v>
      </c>
      <c r="E534">
        <v>46.32</v>
      </c>
      <c r="F534">
        <v>42.499516</v>
      </c>
      <c r="G534">
        <v>7155500</v>
      </c>
    </row>
    <row r="535" spans="1:7" x14ac:dyDescent="0.3">
      <c r="A535" s="206">
        <v>44182</v>
      </c>
      <c r="B535">
        <v>46.68</v>
      </c>
      <c r="C535">
        <v>46.720001000000003</v>
      </c>
      <c r="D535">
        <v>45.810001</v>
      </c>
      <c r="E535">
        <v>46.490001999999997</v>
      </c>
      <c r="F535">
        <v>42.655490999999998</v>
      </c>
      <c r="G535">
        <v>4253700</v>
      </c>
    </row>
    <row r="536" spans="1:7" x14ac:dyDescent="0.3">
      <c r="A536" s="206">
        <v>44183</v>
      </c>
      <c r="B536">
        <v>46.560001</v>
      </c>
      <c r="C536">
        <v>46.779998999999997</v>
      </c>
      <c r="D536">
        <v>45.290000999999997</v>
      </c>
      <c r="E536">
        <v>45.650002000000001</v>
      </c>
      <c r="F536">
        <v>41.884777</v>
      </c>
      <c r="G536">
        <v>9359400</v>
      </c>
    </row>
    <row r="537" spans="1:7" x14ac:dyDescent="0.3">
      <c r="A537" s="206">
        <v>44186</v>
      </c>
      <c r="B537">
        <v>45.349997999999999</v>
      </c>
      <c r="C537">
        <v>45.68</v>
      </c>
      <c r="D537">
        <v>44.619999</v>
      </c>
      <c r="E537">
        <v>45.459999000000003</v>
      </c>
      <c r="F537">
        <v>41.710442</v>
      </c>
      <c r="G537">
        <v>6421800</v>
      </c>
    </row>
    <row r="538" spans="1:7" x14ac:dyDescent="0.3">
      <c r="A538" s="206">
        <v>44187</v>
      </c>
      <c r="B538">
        <v>45.540000999999997</v>
      </c>
      <c r="C538">
        <v>45.950001</v>
      </c>
      <c r="D538">
        <v>45.18</v>
      </c>
      <c r="E538">
        <v>45.209999000000003</v>
      </c>
      <c r="F538">
        <v>41.481064000000003</v>
      </c>
      <c r="G538">
        <v>4954100</v>
      </c>
    </row>
    <row r="539" spans="1:7" x14ac:dyDescent="0.3">
      <c r="A539" s="206">
        <v>44188</v>
      </c>
      <c r="B539">
        <v>45.740001999999997</v>
      </c>
      <c r="C539">
        <v>46.599997999999999</v>
      </c>
      <c r="D539">
        <v>45.52</v>
      </c>
      <c r="E539">
        <v>46.130001</v>
      </c>
      <c r="F539">
        <v>42.325180000000003</v>
      </c>
      <c r="G539">
        <v>3946300</v>
      </c>
    </row>
    <row r="540" spans="1:7" x14ac:dyDescent="0.3">
      <c r="A540" s="206">
        <v>44189</v>
      </c>
      <c r="B540">
        <v>46.060001</v>
      </c>
      <c r="C540">
        <v>46.32</v>
      </c>
      <c r="D540">
        <v>45.799999</v>
      </c>
      <c r="E540">
        <v>46.310001</v>
      </c>
      <c r="F540">
        <v>42.490333999999997</v>
      </c>
      <c r="G540">
        <v>1580600</v>
      </c>
    </row>
    <row r="541" spans="1:7" x14ac:dyDescent="0.3">
      <c r="A541" s="206">
        <v>44193</v>
      </c>
      <c r="B541">
        <v>46.650002000000001</v>
      </c>
      <c r="C541">
        <v>47.279998999999997</v>
      </c>
      <c r="D541">
        <v>46.169998</v>
      </c>
      <c r="E541">
        <v>46.25</v>
      </c>
      <c r="F541">
        <v>42.435284000000003</v>
      </c>
      <c r="G541">
        <v>3270000</v>
      </c>
    </row>
    <row r="542" spans="1:7" x14ac:dyDescent="0.3">
      <c r="A542" s="206">
        <v>44194</v>
      </c>
      <c r="B542">
        <v>46.57</v>
      </c>
      <c r="C542">
        <v>46.799999</v>
      </c>
      <c r="D542">
        <v>45.950001</v>
      </c>
      <c r="E542">
        <v>46.009998000000003</v>
      </c>
      <c r="F542">
        <v>42.215076000000003</v>
      </c>
      <c r="G542">
        <v>3025400</v>
      </c>
    </row>
    <row r="543" spans="1:7" x14ac:dyDescent="0.3">
      <c r="A543" s="206">
        <v>44195</v>
      </c>
      <c r="B543">
        <v>46.02</v>
      </c>
      <c r="C543">
        <v>46.82</v>
      </c>
      <c r="D543">
        <v>46.02</v>
      </c>
      <c r="E543">
        <v>46.400002000000001</v>
      </c>
      <c r="F543">
        <v>42.572921999999998</v>
      </c>
      <c r="G543">
        <v>3146600</v>
      </c>
    </row>
    <row r="544" spans="1:7" x14ac:dyDescent="0.3">
      <c r="A544" s="206">
        <v>44196</v>
      </c>
      <c r="B544">
        <v>46.48</v>
      </c>
      <c r="C544">
        <v>47.130001</v>
      </c>
      <c r="D544">
        <v>46.290000999999997</v>
      </c>
      <c r="E544">
        <v>46.950001</v>
      </c>
      <c r="F544">
        <v>43.077548999999998</v>
      </c>
      <c r="G544">
        <v>2856400</v>
      </c>
    </row>
    <row r="545" spans="1:7" x14ac:dyDescent="0.3">
      <c r="A545" s="206">
        <v>44200</v>
      </c>
      <c r="B545">
        <v>47.029998999999997</v>
      </c>
      <c r="C545">
        <v>47.240001999999997</v>
      </c>
      <c r="D545">
        <v>45.73</v>
      </c>
      <c r="E545">
        <v>46.080002</v>
      </c>
      <c r="F545">
        <v>42.279305000000001</v>
      </c>
      <c r="G545">
        <v>7752200</v>
      </c>
    </row>
    <row r="546" spans="1:7" x14ac:dyDescent="0.3">
      <c r="A546" s="206">
        <v>44201</v>
      </c>
      <c r="B546">
        <v>46.139999000000003</v>
      </c>
      <c r="C546">
        <v>47.18</v>
      </c>
      <c r="D546">
        <v>46</v>
      </c>
      <c r="E546">
        <v>46.650002000000001</v>
      </c>
      <c r="F546">
        <v>42.802295999999998</v>
      </c>
      <c r="G546">
        <v>6121900</v>
      </c>
    </row>
    <row r="547" spans="1:7" x14ac:dyDescent="0.3">
      <c r="A547" s="206">
        <v>44202</v>
      </c>
      <c r="B547">
        <v>48.099997999999999</v>
      </c>
      <c r="C547">
        <v>50.119999</v>
      </c>
      <c r="D547">
        <v>47.619999</v>
      </c>
      <c r="E547">
        <v>49.43</v>
      </c>
      <c r="F547">
        <v>45.353003999999999</v>
      </c>
      <c r="G547">
        <v>9356500</v>
      </c>
    </row>
    <row r="548" spans="1:7" x14ac:dyDescent="0.3">
      <c r="A548" s="206">
        <v>44203</v>
      </c>
      <c r="B548">
        <v>49.689999</v>
      </c>
      <c r="C548">
        <v>50.139999000000003</v>
      </c>
      <c r="D548">
        <v>49.459999000000003</v>
      </c>
      <c r="E548">
        <v>49.580002</v>
      </c>
      <c r="F548">
        <v>45.490627000000003</v>
      </c>
      <c r="G548">
        <v>5077000</v>
      </c>
    </row>
    <row r="549" spans="1:7" x14ac:dyDescent="0.3">
      <c r="A549" s="206">
        <v>44204</v>
      </c>
      <c r="B549">
        <v>49.630001</v>
      </c>
      <c r="C549">
        <v>49.98</v>
      </c>
      <c r="D549">
        <v>48.52</v>
      </c>
      <c r="E549">
        <v>49.41</v>
      </c>
      <c r="F549">
        <v>45.334643999999997</v>
      </c>
      <c r="G549">
        <v>4415600</v>
      </c>
    </row>
    <row r="550" spans="1:7" x14ac:dyDescent="0.3">
      <c r="A550" s="206">
        <v>44207</v>
      </c>
      <c r="B550">
        <v>48.759998000000003</v>
      </c>
      <c r="C550">
        <v>49.599997999999999</v>
      </c>
      <c r="D550">
        <v>48.389999000000003</v>
      </c>
      <c r="E550">
        <v>49.400002000000001</v>
      </c>
      <c r="F550">
        <v>45.325470000000003</v>
      </c>
      <c r="G550">
        <v>4700000</v>
      </c>
    </row>
    <row r="551" spans="1:7" x14ac:dyDescent="0.3">
      <c r="A551" s="206">
        <v>44208</v>
      </c>
      <c r="B551">
        <v>49.799999</v>
      </c>
      <c r="C551">
        <v>50.59</v>
      </c>
      <c r="D551">
        <v>49.619999</v>
      </c>
      <c r="E551">
        <v>50.200001</v>
      </c>
      <c r="F551">
        <v>46.059489999999997</v>
      </c>
      <c r="G551">
        <v>4347900</v>
      </c>
    </row>
    <row r="552" spans="1:7" x14ac:dyDescent="0.3">
      <c r="A552" s="206">
        <v>44209</v>
      </c>
      <c r="B552">
        <v>50.029998999999997</v>
      </c>
      <c r="C552">
        <v>50.669998</v>
      </c>
      <c r="D552">
        <v>49.93</v>
      </c>
      <c r="E552">
        <v>50.330002</v>
      </c>
      <c r="F552">
        <v>46.178772000000002</v>
      </c>
      <c r="G552">
        <v>4517500</v>
      </c>
    </row>
    <row r="553" spans="1:7" x14ac:dyDescent="0.3">
      <c r="A553" s="206">
        <v>44210</v>
      </c>
      <c r="B553">
        <v>50.650002000000001</v>
      </c>
      <c r="C553">
        <v>51.66</v>
      </c>
      <c r="D553">
        <v>50.549999</v>
      </c>
      <c r="E553">
        <v>51.57</v>
      </c>
      <c r="F553">
        <v>47.316493999999999</v>
      </c>
      <c r="G553">
        <v>6249400</v>
      </c>
    </row>
    <row r="554" spans="1:7" x14ac:dyDescent="0.3">
      <c r="A554" s="206">
        <v>44211</v>
      </c>
      <c r="B554">
        <v>51.02</v>
      </c>
      <c r="C554">
        <v>51.630001</v>
      </c>
      <c r="D554">
        <v>50.299999</v>
      </c>
      <c r="E554">
        <v>51.139999000000003</v>
      </c>
      <c r="F554">
        <v>46.921954999999997</v>
      </c>
      <c r="G554">
        <v>4568900</v>
      </c>
    </row>
    <row r="555" spans="1:7" x14ac:dyDescent="0.3">
      <c r="A555" s="206">
        <v>44215</v>
      </c>
      <c r="B555">
        <v>51.470001000000003</v>
      </c>
      <c r="C555">
        <v>52.380001</v>
      </c>
      <c r="D555">
        <v>51.299999</v>
      </c>
      <c r="E555">
        <v>52.119999</v>
      </c>
      <c r="F555">
        <v>47.821125000000002</v>
      </c>
      <c r="G555">
        <v>7029400</v>
      </c>
    </row>
    <row r="556" spans="1:7" x14ac:dyDescent="0.3">
      <c r="A556" s="206">
        <v>44216</v>
      </c>
      <c r="B556">
        <v>52.080002</v>
      </c>
      <c r="C556">
        <v>52.18</v>
      </c>
      <c r="D556">
        <v>51.43</v>
      </c>
      <c r="E556">
        <v>51.650002000000001</v>
      </c>
      <c r="F556">
        <v>47.389888999999997</v>
      </c>
      <c r="G556">
        <v>4805100</v>
      </c>
    </row>
    <row r="557" spans="1:7" x14ac:dyDescent="0.3">
      <c r="A557" s="206">
        <v>44217</v>
      </c>
      <c r="B557">
        <v>51.650002000000001</v>
      </c>
      <c r="C557">
        <v>51.900002000000001</v>
      </c>
      <c r="D557">
        <v>51.040000999999997</v>
      </c>
      <c r="E557">
        <v>51.07</v>
      </c>
      <c r="F557">
        <v>46.857731000000001</v>
      </c>
      <c r="G557">
        <v>5222700</v>
      </c>
    </row>
    <row r="558" spans="1:7" x14ac:dyDescent="0.3">
      <c r="A558" s="206">
        <v>44218</v>
      </c>
      <c r="B558">
        <v>50.360000999999997</v>
      </c>
      <c r="C558">
        <v>51.040000999999997</v>
      </c>
      <c r="D558">
        <v>50.209999000000003</v>
      </c>
      <c r="E558">
        <v>50.860000999999997</v>
      </c>
      <c r="F558">
        <v>46.665047000000001</v>
      </c>
      <c r="G558">
        <v>5322900</v>
      </c>
    </row>
    <row r="559" spans="1:7" x14ac:dyDescent="0.3">
      <c r="A559" s="206">
        <v>44221</v>
      </c>
      <c r="B559">
        <v>50.209999000000003</v>
      </c>
      <c r="C559">
        <v>50.619999</v>
      </c>
      <c r="D559">
        <v>49.830002</v>
      </c>
      <c r="E559">
        <v>50.610000999999997</v>
      </c>
      <c r="F559">
        <v>46.435679999999998</v>
      </c>
      <c r="G559">
        <v>4081300</v>
      </c>
    </row>
    <row r="560" spans="1:7" x14ac:dyDescent="0.3">
      <c r="A560" s="206">
        <v>44222</v>
      </c>
      <c r="B560">
        <v>50.880001</v>
      </c>
      <c r="C560">
        <v>51.080002</v>
      </c>
      <c r="D560">
        <v>50.009998000000003</v>
      </c>
      <c r="E560">
        <v>50.110000999999997</v>
      </c>
      <c r="F560">
        <v>45.976909999999997</v>
      </c>
      <c r="G560">
        <v>4588000</v>
      </c>
    </row>
    <row r="561" spans="1:7" x14ac:dyDescent="0.3">
      <c r="A561" s="206">
        <v>44223</v>
      </c>
      <c r="B561">
        <v>49.279998999999997</v>
      </c>
      <c r="C561">
        <v>49.639999000000003</v>
      </c>
      <c r="D561">
        <v>48.330002</v>
      </c>
      <c r="E561">
        <v>48.41</v>
      </c>
      <c r="F561">
        <v>44.417126000000003</v>
      </c>
      <c r="G561">
        <v>8023100</v>
      </c>
    </row>
    <row r="562" spans="1:7" x14ac:dyDescent="0.3">
      <c r="A562" s="206">
        <v>44224</v>
      </c>
      <c r="B562">
        <v>49.060001</v>
      </c>
      <c r="C562">
        <v>50.130001</v>
      </c>
      <c r="D562">
        <v>48.98</v>
      </c>
      <c r="E562">
        <v>49.57</v>
      </c>
      <c r="F562">
        <v>45.481461000000003</v>
      </c>
      <c r="G562">
        <v>5444300</v>
      </c>
    </row>
    <row r="563" spans="1:7" x14ac:dyDescent="0.3">
      <c r="A563" s="206">
        <v>44225</v>
      </c>
      <c r="B563">
        <v>49.130001</v>
      </c>
      <c r="C563">
        <v>49.299999</v>
      </c>
      <c r="D563">
        <v>47.73</v>
      </c>
      <c r="E563">
        <v>48.150002000000001</v>
      </c>
      <c r="F563">
        <v>44.178573999999998</v>
      </c>
      <c r="G563">
        <v>6851900</v>
      </c>
    </row>
    <row r="564" spans="1:7" x14ac:dyDescent="0.3">
      <c r="A564" s="206">
        <v>44228</v>
      </c>
      <c r="B564">
        <v>48.459999000000003</v>
      </c>
      <c r="C564">
        <v>48.59</v>
      </c>
      <c r="D564">
        <v>47.689999</v>
      </c>
      <c r="E564">
        <v>48.470001000000003</v>
      </c>
      <c r="F564">
        <v>44.472178999999997</v>
      </c>
      <c r="G564">
        <v>4566900</v>
      </c>
    </row>
    <row r="565" spans="1:7" x14ac:dyDescent="0.3">
      <c r="A565" s="206">
        <v>44229</v>
      </c>
      <c r="B565">
        <v>49</v>
      </c>
      <c r="C565">
        <v>49.540000999999997</v>
      </c>
      <c r="D565">
        <v>48.720001000000003</v>
      </c>
      <c r="E565">
        <v>48.93</v>
      </c>
      <c r="F565">
        <v>44.894244999999998</v>
      </c>
      <c r="G565">
        <v>5190100</v>
      </c>
    </row>
    <row r="566" spans="1:7" x14ac:dyDescent="0.3">
      <c r="A566" s="206">
        <v>44230</v>
      </c>
      <c r="B566">
        <v>48.799999</v>
      </c>
      <c r="C566">
        <v>49.540000999999997</v>
      </c>
      <c r="D566">
        <v>48.73</v>
      </c>
      <c r="E566">
        <v>49.369999</v>
      </c>
      <c r="F566">
        <v>45.297947000000001</v>
      </c>
      <c r="G566">
        <v>4456600</v>
      </c>
    </row>
    <row r="567" spans="1:7" x14ac:dyDescent="0.3">
      <c r="A567" s="206">
        <v>44231</v>
      </c>
      <c r="B567">
        <v>49.119999</v>
      </c>
      <c r="C567">
        <v>51.91</v>
      </c>
      <c r="D567">
        <v>49.110000999999997</v>
      </c>
      <c r="E567">
        <v>51.900002000000001</v>
      </c>
      <c r="F567">
        <v>48.067131000000003</v>
      </c>
      <c r="G567">
        <v>8095600</v>
      </c>
    </row>
    <row r="568" spans="1:7" x14ac:dyDescent="0.3">
      <c r="A568" s="206">
        <v>44232</v>
      </c>
      <c r="B568">
        <v>51.869999</v>
      </c>
      <c r="C568">
        <v>52.599997999999999</v>
      </c>
      <c r="D568">
        <v>51.209999000000003</v>
      </c>
      <c r="E568">
        <v>52.580002</v>
      </c>
      <c r="F568">
        <v>48.696917999999997</v>
      </c>
      <c r="G568">
        <v>6965900</v>
      </c>
    </row>
    <row r="569" spans="1:7" x14ac:dyDescent="0.3">
      <c r="A569" s="206">
        <v>44235</v>
      </c>
      <c r="B569">
        <v>52.759998000000003</v>
      </c>
      <c r="C569">
        <v>54.259998000000003</v>
      </c>
      <c r="D569">
        <v>52.759998000000003</v>
      </c>
      <c r="E569">
        <v>54.18</v>
      </c>
      <c r="F569">
        <v>50.178761000000002</v>
      </c>
      <c r="G569">
        <v>7773300</v>
      </c>
    </row>
    <row r="570" spans="1:7" x14ac:dyDescent="0.3">
      <c r="A570" s="206">
        <v>44236</v>
      </c>
      <c r="B570">
        <v>53.82</v>
      </c>
      <c r="C570">
        <v>54.900002000000001</v>
      </c>
      <c r="D570">
        <v>53.650002000000001</v>
      </c>
      <c r="E570">
        <v>54.419998</v>
      </c>
      <c r="F570">
        <v>50.401024</v>
      </c>
      <c r="G570">
        <v>7183900</v>
      </c>
    </row>
    <row r="571" spans="1:7" x14ac:dyDescent="0.3">
      <c r="A571" s="206">
        <v>44237</v>
      </c>
      <c r="B571">
        <v>54.580002</v>
      </c>
      <c r="C571">
        <v>55.23</v>
      </c>
      <c r="D571">
        <v>54.07</v>
      </c>
      <c r="E571">
        <v>54.959999000000003</v>
      </c>
      <c r="F571">
        <v>50.901150000000001</v>
      </c>
      <c r="G571">
        <v>7384400</v>
      </c>
    </row>
    <row r="572" spans="1:7" x14ac:dyDescent="0.3">
      <c r="A572" s="206">
        <v>44238</v>
      </c>
      <c r="B572">
        <v>55.139999000000003</v>
      </c>
      <c r="C572">
        <v>56.150002000000001</v>
      </c>
      <c r="D572">
        <v>54.560001</v>
      </c>
      <c r="E572">
        <v>55.310001</v>
      </c>
      <c r="F572">
        <v>51.225304000000001</v>
      </c>
      <c r="G572">
        <v>5332400</v>
      </c>
    </row>
    <row r="573" spans="1:7" x14ac:dyDescent="0.3">
      <c r="A573" s="206">
        <v>44239</v>
      </c>
      <c r="B573">
        <v>55.540000999999997</v>
      </c>
      <c r="C573">
        <v>56.41</v>
      </c>
      <c r="D573">
        <v>55.110000999999997</v>
      </c>
      <c r="E573">
        <v>55.669998</v>
      </c>
      <c r="F573">
        <v>51.558715999999997</v>
      </c>
      <c r="G573">
        <v>5363700</v>
      </c>
    </row>
    <row r="574" spans="1:7" x14ac:dyDescent="0.3">
      <c r="A574" s="206">
        <v>44243</v>
      </c>
      <c r="B574">
        <v>56.16</v>
      </c>
      <c r="C574">
        <v>56.75</v>
      </c>
      <c r="D574">
        <v>56</v>
      </c>
      <c r="E574">
        <v>56.009998000000003</v>
      </c>
      <c r="F574">
        <v>51.873604</v>
      </c>
      <c r="G574">
        <v>4294000</v>
      </c>
    </row>
    <row r="575" spans="1:7" x14ac:dyDescent="0.3">
      <c r="A575" s="206">
        <v>44244</v>
      </c>
      <c r="B575">
        <v>55.630001</v>
      </c>
      <c r="C575">
        <v>56.209999000000003</v>
      </c>
      <c r="D575">
        <v>55.049999</v>
      </c>
      <c r="E575">
        <v>55.41</v>
      </c>
      <c r="F575">
        <v>51.317920999999998</v>
      </c>
      <c r="G575">
        <v>5449600</v>
      </c>
    </row>
    <row r="576" spans="1:7" x14ac:dyDescent="0.3">
      <c r="A576" s="206">
        <v>44245</v>
      </c>
      <c r="B576">
        <v>54.919998</v>
      </c>
      <c r="C576">
        <v>55.560001</v>
      </c>
      <c r="D576">
        <v>54.369999</v>
      </c>
      <c r="E576">
        <v>54.990001999999997</v>
      </c>
      <c r="F576">
        <v>50.928939999999997</v>
      </c>
      <c r="G576">
        <v>4136600</v>
      </c>
    </row>
    <row r="577" spans="1:7" x14ac:dyDescent="0.3">
      <c r="A577" s="206">
        <v>44246</v>
      </c>
      <c r="B577">
        <v>55.5</v>
      </c>
      <c r="C577">
        <v>56.25</v>
      </c>
      <c r="D577">
        <v>55.349997999999999</v>
      </c>
      <c r="E577">
        <v>56.07</v>
      </c>
      <c r="F577">
        <v>51.929169000000002</v>
      </c>
      <c r="G577">
        <v>4791900</v>
      </c>
    </row>
    <row r="578" spans="1:7" x14ac:dyDescent="0.3">
      <c r="A578" s="206">
        <v>44249</v>
      </c>
      <c r="B578">
        <v>55.709999000000003</v>
      </c>
      <c r="C578">
        <v>57.740001999999997</v>
      </c>
      <c r="D578">
        <v>55.709999000000003</v>
      </c>
      <c r="E578">
        <v>57.439999</v>
      </c>
      <c r="F578">
        <v>53.197994000000001</v>
      </c>
      <c r="G578">
        <v>8350500</v>
      </c>
    </row>
    <row r="579" spans="1:7" x14ac:dyDescent="0.3">
      <c r="A579" s="206">
        <v>44250</v>
      </c>
      <c r="B579">
        <v>57.799999</v>
      </c>
      <c r="C579">
        <v>57.950001</v>
      </c>
      <c r="D579">
        <v>56.91</v>
      </c>
      <c r="E579">
        <v>57.43</v>
      </c>
      <c r="F579">
        <v>53.188740000000003</v>
      </c>
      <c r="G579">
        <v>7380600</v>
      </c>
    </row>
    <row r="580" spans="1:7" x14ac:dyDescent="0.3">
      <c r="A580" s="206">
        <v>44251</v>
      </c>
      <c r="B580">
        <v>57.720001000000003</v>
      </c>
      <c r="C580">
        <v>59.759998000000003</v>
      </c>
      <c r="D580">
        <v>57.560001</v>
      </c>
      <c r="E580">
        <v>59.560001</v>
      </c>
      <c r="F580">
        <v>55.161437999999997</v>
      </c>
      <c r="G580">
        <v>8871900</v>
      </c>
    </row>
    <row r="581" spans="1:7" x14ac:dyDescent="0.3">
      <c r="A581" s="206">
        <v>44252</v>
      </c>
      <c r="B581">
        <v>59.720001000000003</v>
      </c>
      <c r="C581">
        <v>60.200001</v>
      </c>
      <c r="D581">
        <v>58.209999000000003</v>
      </c>
      <c r="E581">
        <v>58.259998000000003</v>
      </c>
      <c r="F581">
        <v>53.957436000000001</v>
      </c>
      <c r="G581">
        <v>8681700</v>
      </c>
    </row>
    <row r="582" spans="1:7" x14ac:dyDescent="0.3">
      <c r="A582" s="206">
        <v>44253</v>
      </c>
      <c r="B582">
        <v>58.110000999999997</v>
      </c>
      <c r="C582">
        <v>58.669998</v>
      </c>
      <c r="D582">
        <v>56.98</v>
      </c>
      <c r="E582">
        <v>57.599997999999999</v>
      </c>
      <c r="F582">
        <v>53.346179999999997</v>
      </c>
      <c r="G582">
        <v>7396600</v>
      </c>
    </row>
    <row r="583" spans="1:7" x14ac:dyDescent="0.3">
      <c r="A583" s="206">
        <v>44256</v>
      </c>
      <c r="B583">
        <v>58.740001999999997</v>
      </c>
      <c r="C583">
        <v>60.060001</v>
      </c>
      <c r="D583">
        <v>58.689999</v>
      </c>
      <c r="E583">
        <v>59.439999</v>
      </c>
      <c r="F583">
        <v>55.050297</v>
      </c>
      <c r="G583">
        <v>5277700</v>
      </c>
    </row>
    <row r="584" spans="1:7" x14ac:dyDescent="0.3">
      <c r="A584" s="206">
        <v>44257</v>
      </c>
      <c r="B584">
        <v>59.52</v>
      </c>
      <c r="C584">
        <v>60.02</v>
      </c>
      <c r="D584">
        <v>58.950001</v>
      </c>
      <c r="E584">
        <v>58.959999000000003</v>
      </c>
      <c r="F584">
        <v>54.605750999999998</v>
      </c>
      <c r="G584">
        <v>5833700</v>
      </c>
    </row>
    <row r="585" spans="1:7" x14ac:dyDescent="0.3">
      <c r="A585" s="206">
        <v>44258</v>
      </c>
      <c r="B585">
        <v>59.209999000000003</v>
      </c>
      <c r="C585">
        <v>60.189999</v>
      </c>
      <c r="D585">
        <v>58.849997999999999</v>
      </c>
      <c r="E585">
        <v>59.439999</v>
      </c>
      <c r="F585">
        <v>55.050297</v>
      </c>
      <c r="G585">
        <v>8059200</v>
      </c>
    </row>
    <row r="586" spans="1:7" x14ac:dyDescent="0.3">
      <c r="A586" s="206">
        <v>44259</v>
      </c>
      <c r="B586">
        <v>59.32</v>
      </c>
      <c r="C586">
        <v>59.68</v>
      </c>
      <c r="D586">
        <v>57.279998999999997</v>
      </c>
      <c r="E586">
        <v>58.630001</v>
      </c>
      <c r="F586">
        <v>54.300114000000001</v>
      </c>
      <c r="G586">
        <v>7073500</v>
      </c>
    </row>
    <row r="587" spans="1:7" x14ac:dyDescent="0.3">
      <c r="A587" s="206">
        <v>44260</v>
      </c>
      <c r="B587">
        <v>59.279998999999997</v>
      </c>
      <c r="C587">
        <v>59.959999000000003</v>
      </c>
      <c r="D587">
        <v>57.720001000000003</v>
      </c>
      <c r="E587">
        <v>59.709999000000003</v>
      </c>
      <c r="F587">
        <v>55.300358000000003</v>
      </c>
      <c r="G587">
        <v>5968200</v>
      </c>
    </row>
    <row r="588" spans="1:7" x14ac:dyDescent="0.3">
      <c r="A588" s="206">
        <v>44263</v>
      </c>
      <c r="B588">
        <v>60.299999</v>
      </c>
      <c r="C588">
        <v>62.049999</v>
      </c>
      <c r="D588">
        <v>60.099997999999999</v>
      </c>
      <c r="E588">
        <v>60.369999</v>
      </c>
      <c r="F588">
        <v>55.911613000000003</v>
      </c>
      <c r="G588">
        <v>6357600</v>
      </c>
    </row>
    <row r="589" spans="1:7" x14ac:dyDescent="0.3">
      <c r="A589" s="206">
        <v>44264</v>
      </c>
      <c r="B589">
        <v>59.75</v>
      </c>
      <c r="C589">
        <v>60.5</v>
      </c>
      <c r="D589">
        <v>58.830002</v>
      </c>
      <c r="E589">
        <v>59.650002000000001</v>
      </c>
      <c r="F589">
        <v>55.244788999999997</v>
      </c>
      <c r="G589">
        <v>7787700</v>
      </c>
    </row>
    <row r="590" spans="1:7" x14ac:dyDescent="0.3">
      <c r="A590" s="206">
        <v>44265</v>
      </c>
      <c r="B590">
        <v>59.889999000000003</v>
      </c>
      <c r="C590">
        <v>60.740001999999997</v>
      </c>
      <c r="D590">
        <v>59.560001</v>
      </c>
      <c r="E590">
        <v>60.48</v>
      </c>
      <c r="F590">
        <v>56.013492999999997</v>
      </c>
      <c r="G590">
        <v>5693800</v>
      </c>
    </row>
    <row r="591" spans="1:7" x14ac:dyDescent="0.3">
      <c r="A591" s="206">
        <v>44266</v>
      </c>
      <c r="B591">
        <v>60.119999</v>
      </c>
      <c r="C591">
        <v>60.84</v>
      </c>
      <c r="D591">
        <v>59.75</v>
      </c>
      <c r="E591">
        <v>60.009998000000003</v>
      </c>
      <c r="F591">
        <v>55.578201</v>
      </c>
      <c r="G591">
        <v>4384400</v>
      </c>
    </row>
    <row r="592" spans="1:7" x14ac:dyDescent="0.3">
      <c r="A592" s="206">
        <v>44267</v>
      </c>
      <c r="B592">
        <v>60.900002000000001</v>
      </c>
      <c r="C592">
        <v>61.259998000000003</v>
      </c>
      <c r="D592">
        <v>60.59</v>
      </c>
      <c r="E592">
        <v>61.09</v>
      </c>
      <c r="F592">
        <v>56.578442000000003</v>
      </c>
      <c r="G592">
        <v>3834100</v>
      </c>
    </row>
    <row r="593" spans="1:7" x14ac:dyDescent="0.3">
      <c r="A593" s="206">
        <v>44270</v>
      </c>
      <c r="B593">
        <v>60.950001</v>
      </c>
      <c r="C593">
        <v>61.209999000000003</v>
      </c>
      <c r="D593">
        <v>59.59</v>
      </c>
      <c r="E593">
        <v>60.540000999999997</v>
      </c>
      <c r="F593">
        <v>56.069057000000001</v>
      </c>
      <c r="G593">
        <v>4872200</v>
      </c>
    </row>
    <row r="594" spans="1:7" x14ac:dyDescent="0.3">
      <c r="A594" s="206">
        <v>44271</v>
      </c>
      <c r="B594">
        <v>59.98</v>
      </c>
      <c r="C594">
        <v>60.040000999999997</v>
      </c>
      <c r="D594">
        <v>58.880001</v>
      </c>
      <c r="E594">
        <v>59.310001</v>
      </c>
      <c r="F594">
        <v>54.929896999999997</v>
      </c>
      <c r="G594">
        <v>5125000</v>
      </c>
    </row>
    <row r="595" spans="1:7" x14ac:dyDescent="0.3">
      <c r="A595" s="206">
        <v>44272</v>
      </c>
      <c r="B595">
        <v>59.720001000000003</v>
      </c>
      <c r="C595">
        <v>60.259998000000003</v>
      </c>
      <c r="D595">
        <v>59.419998</v>
      </c>
      <c r="E595">
        <v>60.150002000000001</v>
      </c>
      <c r="F595">
        <v>55.70787</v>
      </c>
      <c r="G595">
        <v>4933800</v>
      </c>
    </row>
    <row r="596" spans="1:7" x14ac:dyDescent="0.3">
      <c r="A596" s="206">
        <v>44273</v>
      </c>
      <c r="B596">
        <v>60.610000999999997</v>
      </c>
      <c r="C596">
        <v>62.66</v>
      </c>
      <c r="D596">
        <v>60.509998000000003</v>
      </c>
      <c r="E596">
        <v>61.759998000000003</v>
      </c>
      <c r="F596">
        <v>57.198962999999999</v>
      </c>
      <c r="G596">
        <v>13274400</v>
      </c>
    </row>
    <row r="597" spans="1:7" x14ac:dyDescent="0.3">
      <c r="A597" s="206">
        <v>44274</v>
      </c>
      <c r="B597">
        <v>61.700001</v>
      </c>
      <c r="C597">
        <v>61.91</v>
      </c>
      <c r="D597">
        <v>60.619999</v>
      </c>
      <c r="E597">
        <v>61.290000999999997</v>
      </c>
      <c r="F597">
        <v>56.763672</v>
      </c>
      <c r="G597">
        <v>13047900</v>
      </c>
    </row>
    <row r="598" spans="1:7" x14ac:dyDescent="0.3">
      <c r="A598" s="206">
        <v>44277</v>
      </c>
      <c r="B598">
        <v>60.59</v>
      </c>
      <c r="C598">
        <v>61.060001</v>
      </c>
      <c r="D598">
        <v>59.799999</v>
      </c>
      <c r="E598">
        <v>60.110000999999997</v>
      </c>
      <c r="F598">
        <v>55.670817999999997</v>
      </c>
      <c r="G598">
        <v>7192400</v>
      </c>
    </row>
    <row r="599" spans="1:7" x14ac:dyDescent="0.3">
      <c r="A599" s="206">
        <v>44278</v>
      </c>
      <c r="B599">
        <v>59.669998</v>
      </c>
      <c r="C599">
        <v>60.169998</v>
      </c>
      <c r="D599">
        <v>58.380001</v>
      </c>
      <c r="E599">
        <v>58.66</v>
      </c>
      <c r="F599">
        <v>54.327903999999997</v>
      </c>
      <c r="G599">
        <v>5141400</v>
      </c>
    </row>
    <row r="600" spans="1:7" x14ac:dyDescent="0.3">
      <c r="A600" s="206">
        <v>44279</v>
      </c>
      <c r="B600">
        <v>59.310001</v>
      </c>
      <c r="C600">
        <v>59.919998</v>
      </c>
      <c r="D600">
        <v>58.540000999999997</v>
      </c>
      <c r="E600">
        <v>58.540000999999997</v>
      </c>
      <c r="F600">
        <v>54.216763</v>
      </c>
      <c r="G600">
        <v>3736800</v>
      </c>
    </row>
    <row r="601" spans="1:7" x14ac:dyDescent="0.3">
      <c r="A601" s="206">
        <v>44280</v>
      </c>
      <c r="B601">
        <v>58.68</v>
      </c>
      <c r="C601">
        <v>60.259998000000003</v>
      </c>
      <c r="D601">
        <v>58.130001</v>
      </c>
      <c r="E601">
        <v>60.040000999999997</v>
      </c>
      <c r="F601">
        <v>55.605988000000004</v>
      </c>
      <c r="G601">
        <v>5690400</v>
      </c>
    </row>
    <row r="602" spans="1:7" x14ac:dyDescent="0.3">
      <c r="A602" s="206">
        <v>44281</v>
      </c>
      <c r="B602">
        <v>60.759998000000003</v>
      </c>
      <c r="C602">
        <v>60.98</v>
      </c>
      <c r="D602">
        <v>60.009998000000003</v>
      </c>
      <c r="E602">
        <v>60.82</v>
      </c>
      <c r="F602">
        <v>56.328381</v>
      </c>
      <c r="G602">
        <v>3740900</v>
      </c>
    </row>
    <row r="603" spans="1:7" x14ac:dyDescent="0.3">
      <c r="A603" s="206">
        <v>44284</v>
      </c>
      <c r="B603">
        <v>59.810001</v>
      </c>
      <c r="C603">
        <v>60.66</v>
      </c>
      <c r="D603">
        <v>59.580002</v>
      </c>
      <c r="E603">
        <v>60.16</v>
      </c>
      <c r="F603">
        <v>55.717125000000003</v>
      </c>
      <c r="G603">
        <v>4162900</v>
      </c>
    </row>
    <row r="604" spans="1:7" x14ac:dyDescent="0.3">
      <c r="A604" s="206">
        <v>44285</v>
      </c>
      <c r="B604">
        <v>60.73</v>
      </c>
      <c r="C604">
        <v>61.73</v>
      </c>
      <c r="D604">
        <v>60.57</v>
      </c>
      <c r="E604">
        <v>61.439999</v>
      </c>
      <c r="F604">
        <v>56.902591999999999</v>
      </c>
      <c r="G604">
        <v>3758700</v>
      </c>
    </row>
    <row r="605" spans="1:7" x14ac:dyDescent="0.3">
      <c r="A605" s="206">
        <v>44286</v>
      </c>
      <c r="B605">
        <v>60.990001999999997</v>
      </c>
      <c r="C605">
        <v>61.650002000000001</v>
      </c>
      <c r="D605">
        <v>60.650002000000001</v>
      </c>
      <c r="E605">
        <v>60.790000999999997</v>
      </c>
      <c r="F605">
        <v>56.300606000000002</v>
      </c>
      <c r="G605">
        <v>4937500</v>
      </c>
    </row>
    <row r="606" spans="1:7" x14ac:dyDescent="0.3">
      <c r="A606" s="206">
        <v>44287</v>
      </c>
      <c r="B606">
        <v>60.75</v>
      </c>
      <c r="C606">
        <v>61.630001</v>
      </c>
      <c r="D606">
        <v>60.57</v>
      </c>
      <c r="E606">
        <v>61.599997999999999</v>
      </c>
      <c r="F606">
        <v>57.050773999999997</v>
      </c>
      <c r="G606">
        <v>3470600</v>
      </c>
    </row>
    <row r="607" spans="1:7" x14ac:dyDescent="0.3">
      <c r="A607" s="206">
        <v>44291</v>
      </c>
      <c r="B607">
        <v>62.25</v>
      </c>
      <c r="C607">
        <v>62.669998</v>
      </c>
      <c r="D607">
        <v>61.389999000000003</v>
      </c>
      <c r="E607">
        <v>61.580002</v>
      </c>
      <c r="F607">
        <v>57.032257000000001</v>
      </c>
      <c r="G607">
        <v>3980700</v>
      </c>
    </row>
    <row r="608" spans="1:7" x14ac:dyDescent="0.3">
      <c r="A608" s="206">
        <v>44292</v>
      </c>
      <c r="B608">
        <v>61.150002000000001</v>
      </c>
      <c r="C608">
        <v>61.950001</v>
      </c>
      <c r="D608">
        <v>61.029998999999997</v>
      </c>
      <c r="E608">
        <v>61.259998000000003</v>
      </c>
      <c r="F608">
        <v>56.735886000000001</v>
      </c>
      <c r="G608">
        <v>3956300</v>
      </c>
    </row>
    <row r="609" spans="1:7" x14ac:dyDescent="0.3">
      <c r="A609" s="206">
        <v>44293</v>
      </c>
      <c r="B609">
        <v>61.209999000000003</v>
      </c>
      <c r="C609">
        <v>61.790000999999997</v>
      </c>
      <c r="D609">
        <v>61.02</v>
      </c>
      <c r="E609">
        <v>61.779998999999997</v>
      </c>
      <c r="F609">
        <v>57.217480000000002</v>
      </c>
      <c r="G609">
        <v>4379800</v>
      </c>
    </row>
    <row r="610" spans="1:7" x14ac:dyDescent="0.3">
      <c r="A610" s="206">
        <v>44294</v>
      </c>
      <c r="B610">
        <v>61.209999000000003</v>
      </c>
      <c r="C610">
        <v>61.529998999999997</v>
      </c>
      <c r="D610">
        <v>60.48</v>
      </c>
      <c r="E610">
        <v>61.310001</v>
      </c>
      <c r="F610">
        <v>56.782195999999999</v>
      </c>
      <c r="G610">
        <v>2989100</v>
      </c>
    </row>
    <row r="611" spans="1:7" x14ac:dyDescent="0.3">
      <c r="A611" s="206">
        <v>44295</v>
      </c>
      <c r="B611">
        <v>61.82</v>
      </c>
      <c r="C611">
        <v>61.950001</v>
      </c>
      <c r="D611">
        <v>61.169998</v>
      </c>
      <c r="E611">
        <v>61.919998</v>
      </c>
      <c r="F611">
        <v>57.347141000000001</v>
      </c>
      <c r="G611">
        <v>3692000</v>
      </c>
    </row>
    <row r="612" spans="1:7" x14ac:dyDescent="0.3">
      <c r="A612" s="206">
        <v>44298</v>
      </c>
      <c r="B612">
        <v>62.400002000000001</v>
      </c>
      <c r="C612">
        <v>62.720001000000003</v>
      </c>
      <c r="D612">
        <v>62.150002000000001</v>
      </c>
      <c r="E612">
        <v>62.66</v>
      </c>
      <c r="F612">
        <v>58.032494</v>
      </c>
      <c r="G612">
        <v>2671400</v>
      </c>
    </row>
    <row r="613" spans="1:7" x14ac:dyDescent="0.3">
      <c r="A613" s="206">
        <v>44299</v>
      </c>
      <c r="B613">
        <v>62.27</v>
      </c>
      <c r="C613">
        <v>62.470001000000003</v>
      </c>
      <c r="D613">
        <v>61.630001</v>
      </c>
      <c r="E613">
        <v>62.049999</v>
      </c>
      <c r="F613">
        <v>57.467548000000001</v>
      </c>
      <c r="G613">
        <v>3406700</v>
      </c>
    </row>
    <row r="614" spans="1:7" x14ac:dyDescent="0.3">
      <c r="A614" s="206">
        <v>44300</v>
      </c>
      <c r="B614">
        <v>61.939999</v>
      </c>
      <c r="C614">
        <v>63.060001</v>
      </c>
      <c r="D614">
        <v>61.869999</v>
      </c>
      <c r="E614">
        <v>62.73</v>
      </c>
      <c r="F614">
        <v>58.097321000000001</v>
      </c>
      <c r="G614">
        <v>4341400</v>
      </c>
    </row>
    <row r="615" spans="1:7" x14ac:dyDescent="0.3">
      <c r="A615" s="206">
        <v>44301</v>
      </c>
      <c r="B615">
        <v>62.830002</v>
      </c>
      <c r="C615">
        <v>62.93</v>
      </c>
      <c r="D615">
        <v>61.900002000000001</v>
      </c>
      <c r="E615">
        <v>62.299999</v>
      </c>
      <c r="F615">
        <v>57.699084999999997</v>
      </c>
      <c r="G615">
        <v>4553600</v>
      </c>
    </row>
    <row r="616" spans="1:7" x14ac:dyDescent="0.3">
      <c r="A616" s="206">
        <v>44302</v>
      </c>
      <c r="B616">
        <v>62.939999</v>
      </c>
      <c r="C616">
        <v>63.360000999999997</v>
      </c>
      <c r="D616">
        <v>62.580002</v>
      </c>
      <c r="E616">
        <v>63.07</v>
      </c>
      <c r="F616">
        <v>58.412219999999998</v>
      </c>
      <c r="G616">
        <v>4072500</v>
      </c>
    </row>
    <row r="617" spans="1:7" x14ac:dyDescent="0.3">
      <c r="A617" s="206">
        <v>44305</v>
      </c>
      <c r="B617">
        <v>63.23</v>
      </c>
      <c r="C617">
        <v>63.599997999999999</v>
      </c>
      <c r="D617">
        <v>63.009998000000003</v>
      </c>
      <c r="E617">
        <v>63.099997999999999</v>
      </c>
      <c r="F617">
        <v>58.440002</v>
      </c>
      <c r="G617">
        <v>4782200</v>
      </c>
    </row>
    <row r="618" spans="1:7" x14ac:dyDescent="0.3">
      <c r="A618" s="206">
        <v>44306</v>
      </c>
      <c r="B618">
        <v>62.5</v>
      </c>
      <c r="C618">
        <v>62.779998999999997</v>
      </c>
      <c r="D618">
        <v>60.779998999999997</v>
      </c>
      <c r="E618">
        <v>61.16</v>
      </c>
      <c r="F618">
        <v>56.643272000000003</v>
      </c>
      <c r="G618">
        <v>4353100</v>
      </c>
    </row>
    <row r="619" spans="1:7" x14ac:dyDescent="0.3">
      <c r="A619" s="206">
        <v>44307</v>
      </c>
      <c r="B619">
        <v>61.080002</v>
      </c>
      <c r="C619">
        <v>62.720001000000003</v>
      </c>
      <c r="D619">
        <v>60.950001</v>
      </c>
      <c r="E619">
        <v>62.650002000000001</v>
      </c>
      <c r="F619">
        <v>58.023235</v>
      </c>
      <c r="G619">
        <v>5174000</v>
      </c>
    </row>
    <row r="620" spans="1:7" x14ac:dyDescent="0.3">
      <c r="A620" s="206">
        <v>44308</v>
      </c>
      <c r="B620">
        <v>62.110000999999997</v>
      </c>
      <c r="C620">
        <v>62.540000999999997</v>
      </c>
      <c r="D620">
        <v>61.619999</v>
      </c>
      <c r="E620">
        <v>61.900002000000001</v>
      </c>
      <c r="F620">
        <v>57.328625000000002</v>
      </c>
      <c r="G620">
        <v>3344900</v>
      </c>
    </row>
    <row r="621" spans="1:7" x14ac:dyDescent="0.3">
      <c r="A621" s="206">
        <v>44309</v>
      </c>
      <c r="B621">
        <v>61.869999</v>
      </c>
      <c r="C621">
        <v>63.130001</v>
      </c>
      <c r="D621">
        <v>61.75</v>
      </c>
      <c r="E621">
        <v>62.790000999999997</v>
      </c>
      <c r="F621">
        <v>58.152892999999999</v>
      </c>
      <c r="G621">
        <v>3250500</v>
      </c>
    </row>
    <row r="622" spans="1:7" x14ac:dyDescent="0.3">
      <c r="A622" s="206">
        <v>44312</v>
      </c>
      <c r="B622">
        <v>63.009998000000003</v>
      </c>
      <c r="C622">
        <v>63.91</v>
      </c>
      <c r="D622">
        <v>62.66</v>
      </c>
      <c r="E622">
        <v>62.790000999999997</v>
      </c>
      <c r="F622">
        <v>58.152892999999999</v>
      </c>
      <c r="G622">
        <v>3116700</v>
      </c>
    </row>
    <row r="623" spans="1:7" x14ac:dyDescent="0.3">
      <c r="A623" s="206">
        <v>44313</v>
      </c>
      <c r="B623">
        <v>62.799999</v>
      </c>
      <c r="C623">
        <v>63.419998</v>
      </c>
      <c r="D623">
        <v>62.759998000000003</v>
      </c>
      <c r="E623">
        <v>63.360000999999997</v>
      </c>
      <c r="F623">
        <v>58.680801000000002</v>
      </c>
      <c r="G623">
        <v>3295000</v>
      </c>
    </row>
    <row r="624" spans="1:7" x14ac:dyDescent="0.3">
      <c r="A624" s="206">
        <v>44314</v>
      </c>
      <c r="B624">
        <v>63.84</v>
      </c>
      <c r="C624">
        <v>64.160004000000001</v>
      </c>
      <c r="D624">
        <v>63.459999000000003</v>
      </c>
      <c r="E624">
        <v>63.73</v>
      </c>
      <c r="F624">
        <v>59.023471999999998</v>
      </c>
      <c r="G624">
        <v>3767700</v>
      </c>
    </row>
    <row r="625" spans="1:7" x14ac:dyDescent="0.3">
      <c r="A625" s="206">
        <v>44315</v>
      </c>
      <c r="B625">
        <v>64.360000999999997</v>
      </c>
      <c r="C625">
        <v>64.809997999999993</v>
      </c>
      <c r="D625">
        <v>63.830002</v>
      </c>
      <c r="E625">
        <v>64.430000000000007</v>
      </c>
      <c r="F625">
        <v>59.671776000000001</v>
      </c>
      <c r="G625">
        <v>3116100</v>
      </c>
    </row>
    <row r="626" spans="1:7" x14ac:dyDescent="0.3">
      <c r="A626" s="206">
        <v>44316</v>
      </c>
      <c r="B626">
        <v>64.169998000000007</v>
      </c>
      <c r="C626">
        <v>64.569999999999993</v>
      </c>
      <c r="D626">
        <v>63.52</v>
      </c>
      <c r="E626">
        <v>63.630001</v>
      </c>
      <c r="F626">
        <v>58.930861999999998</v>
      </c>
      <c r="G626">
        <v>4189700</v>
      </c>
    </row>
    <row r="627" spans="1:7" x14ac:dyDescent="0.3">
      <c r="A627" s="206">
        <v>44319</v>
      </c>
      <c r="B627">
        <v>64.379997000000003</v>
      </c>
      <c r="C627">
        <v>64.75</v>
      </c>
      <c r="D627">
        <v>63.759998000000003</v>
      </c>
      <c r="E627">
        <v>64.220000999999996</v>
      </c>
      <c r="F627">
        <v>59.477286999999997</v>
      </c>
      <c r="G627">
        <v>3810700</v>
      </c>
    </row>
    <row r="628" spans="1:7" x14ac:dyDescent="0.3">
      <c r="A628" s="206">
        <v>44320</v>
      </c>
      <c r="B628">
        <v>63.91</v>
      </c>
      <c r="C628">
        <v>64.430000000000007</v>
      </c>
      <c r="D628">
        <v>63.290000999999997</v>
      </c>
      <c r="E628">
        <v>64.309997999999993</v>
      </c>
      <c r="F628">
        <v>59.560645999999998</v>
      </c>
      <c r="G628">
        <v>3822600</v>
      </c>
    </row>
    <row r="629" spans="1:7" x14ac:dyDescent="0.3">
      <c r="A629" s="206">
        <v>44321</v>
      </c>
      <c r="B629">
        <v>64.480002999999996</v>
      </c>
      <c r="C629">
        <v>65.910004000000001</v>
      </c>
      <c r="D629">
        <v>64</v>
      </c>
      <c r="E629">
        <v>65.410004000000001</v>
      </c>
      <c r="F629">
        <v>60.579411</v>
      </c>
      <c r="G629">
        <v>5222900</v>
      </c>
    </row>
    <row r="630" spans="1:7" x14ac:dyDescent="0.3">
      <c r="A630" s="206">
        <v>44322</v>
      </c>
      <c r="B630">
        <v>65.650002000000001</v>
      </c>
      <c r="C630">
        <v>67.050003000000004</v>
      </c>
      <c r="D630">
        <v>64.730002999999996</v>
      </c>
      <c r="E630">
        <v>66.949996999999996</v>
      </c>
      <c r="F630">
        <v>62.005668999999997</v>
      </c>
      <c r="G630">
        <v>4609200</v>
      </c>
    </row>
    <row r="631" spans="1:7" x14ac:dyDescent="0.3">
      <c r="A631" s="206">
        <v>44323</v>
      </c>
      <c r="B631">
        <v>66.230002999999996</v>
      </c>
      <c r="C631">
        <v>67.220000999999996</v>
      </c>
      <c r="D631">
        <v>65.980002999999996</v>
      </c>
      <c r="E631">
        <v>67.160004000000001</v>
      </c>
      <c r="F631">
        <v>62.200169000000002</v>
      </c>
      <c r="G631">
        <v>4204200</v>
      </c>
    </row>
    <row r="632" spans="1:7" x14ac:dyDescent="0.3">
      <c r="A632" s="206">
        <v>44326</v>
      </c>
      <c r="B632">
        <v>67</v>
      </c>
      <c r="C632">
        <v>67.680000000000007</v>
      </c>
      <c r="D632">
        <v>66.440002000000007</v>
      </c>
      <c r="E632">
        <v>66.470000999999996</v>
      </c>
      <c r="F632">
        <v>62.004275999999997</v>
      </c>
      <c r="G632">
        <v>5323400</v>
      </c>
    </row>
    <row r="633" spans="1:7" x14ac:dyDescent="0.3">
      <c r="A633" s="206">
        <v>44327</v>
      </c>
      <c r="B633">
        <v>65.970000999999996</v>
      </c>
      <c r="C633">
        <v>65.970000999999996</v>
      </c>
      <c r="D633">
        <v>64.169998000000007</v>
      </c>
      <c r="E633">
        <v>64.730002999999996</v>
      </c>
      <c r="F633">
        <v>60.381180000000001</v>
      </c>
      <c r="G633">
        <v>5153700</v>
      </c>
    </row>
    <row r="634" spans="1:7" x14ac:dyDescent="0.3">
      <c r="A634" s="206">
        <v>44328</v>
      </c>
      <c r="B634">
        <v>65.279999000000004</v>
      </c>
      <c r="C634">
        <v>65.449996999999996</v>
      </c>
      <c r="D634">
        <v>63.299999</v>
      </c>
      <c r="E634">
        <v>63.419998</v>
      </c>
      <c r="F634">
        <v>59.159179999999999</v>
      </c>
      <c r="G634">
        <v>4580200</v>
      </c>
    </row>
    <row r="635" spans="1:7" x14ac:dyDescent="0.3">
      <c r="A635" s="206">
        <v>44329</v>
      </c>
      <c r="B635">
        <v>63.16</v>
      </c>
      <c r="C635">
        <v>65.080001999999993</v>
      </c>
      <c r="D635">
        <v>62.84</v>
      </c>
      <c r="E635">
        <v>64.550003000000004</v>
      </c>
      <c r="F635">
        <v>60.213272000000003</v>
      </c>
      <c r="G635">
        <v>4941500</v>
      </c>
    </row>
    <row r="636" spans="1:7" x14ac:dyDescent="0.3">
      <c r="A636" s="206">
        <v>44330</v>
      </c>
      <c r="B636">
        <v>65</v>
      </c>
      <c r="C636">
        <v>66.180000000000007</v>
      </c>
      <c r="D636">
        <v>64.839995999999999</v>
      </c>
      <c r="E636">
        <v>65.900002000000001</v>
      </c>
      <c r="F636">
        <v>61.472572</v>
      </c>
      <c r="G636">
        <v>3640700</v>
      </c>
    </row>
    <row r="637" spans="1:7" x14ac:dyDescent="0.3">
      <c r="A637" s="206">
        <v>44333</v>
      </c>
      <c r="B637">
        <v>65.709998999999996</v>
      </c>
      <c r="C637">
        <v>66.059997999999993</v>
      </c>
      <c r="D637">
        <v>65.190002000000007</v>
      </c>
      <c r="E637">
        <v>65.699996999999996</v>
      </c>
      <c r="F637">
        <v>61.286006999999998</v>
      </c>
      <c r="G637">
        <v>3560100</v>
      </c>
    </row>
    <row r="638" spans="1:7" x14ac:dyDescent="0.3">
      <c r="A638" s="206">
        <v>44334</v>
      </c>
      <c r="B638">
        <v>65.449996999999996</v>
      </c>
      <c r="C638">
        <v>66.019997000000004</v>
      </c>
      <c r="D638">
        <v>65.339995999999999</v>
      </c>
      <c r="E638">
        <v>65.389999000000003</v>
      </c>
      <c r="F638">
        <v>60.996837999999997</v>
      </c>
      <c r="G638">
        <v>5026300</v>
      </c>
    </row>
    <row r="639" spans="1:7" x14ac:dyDescent="0.3">
      <c r="A639" s="206">
        <v>44335</v>
      </c>
      <c r="B639">
        <v>64.730002999999996</v>
      </c>
      <c r="C639">
        <v>64.989998</v>
      </c>
      <c r="D639">
        <v>63.52</v>
      </c>
      <c r="E639">
        <v>64.830001999999993</v>
      </c>
      <c r="F639">
        <v>60.474460999999998</v>
      </c>
      <c r="G639">
        <v>4700100</v>
      </c>
    </row>
    <row r="640" spans="1:7" x14ac:dyDescent="0.3">
      <c r="A640" s="206">
        <v>44336</v>
      </c>
      <c r="B640">
        <v>64.809997999999993</v>
      </c>
      <c r="C640">
        <v>65.059997999999993</v>
      </c>
      <c r="D640">
        <v>63.990001999999997</v>
      </c>
      <c r="E640">
        <v>64.459998999999996</v>
      </c>
      <c r="F640">
        <v>60.129314000000001</v>
      </c>
      <c r="G640">
        <v>3877300</v>
      </c>
    </row>
    <row r="641" spans="1:7" x14ac:dyDescent="0.3">
      <c r="A641" s="206">
        <v>44337</v>
      </c>
      <c r="B641">
        <v>64.760002</v>
      </c>
      <c r="C641">
        <v>65.379997000000003</v>
      </c>
      <c r="D641">
        <v>64.389999000000003</v>
      </c>
      <c r="E641">
        <v>64.709998999999996</v>
      </c>
      <c r="F641">
        <v>60.362521999999998</v>
      </c>
      <c r="G641">
        <v>4852800</v>
      </c>
    </row>
    <row r="642" spans="1:7" x14ac:dyDescent="0.3">
      <c r="A642" s="206">
        <v>44340</v>
      </c>
      <c r="B642">
        <v>64.910004000000001</v>
      </c>
      <c r="C642">
        <v>65.599997999999999</v>
      </c>
      <c r="D642">
        <v>64.660004000000001</v>
      </c>
      <c r="E642">
        <v>65.370002999999997</v>
      </c>
      <c r="F642">
        <v>60.978180000000002</v>
      </c>
      <c r="G642">
        <v>3420000</v>
      </c>
    </row>
    <row r="643" spans="1:7" x14ac:dyDescent="0.3">
      <c r="A643" s="206">
        <v>44341</v>
      </c>
      <c r="B643">
        <v>65.610000999999997</v>
      </c>
      <c r="C643">
        <v>66.120002999999997</v>
      </c>
      <c r="D643">
        <v>63.919998</v>
      </c>
      <c r="E643">
        <v>64.019997000000004</v>
      </c>
      <c r="F643">
        <v>59.718868000000001</v>
      </c>
      <c r="G643">
        <v>5372900</v>
      </c>
    </row>
    <row r="644" spans="1:7" x14ac:dyDescent="0.3">
      <c r="A644" s="206">
        <v>44342</v>
      </c>
      <c r="B644">
        <v>64.430000000000007</v>
      </c>
      <c r="C644">
        <v>64.440002000000007</v>
      </c>
      <c r="D644">
        <v>63.41</v>
      </c>
      <c r="E644">
        <v>64.269997000000004</v>
      </c>
      <c r="F644">
        <v>59.952075999999998</v>
      </c>
      <c r="G644">
        <v>5634000</v>
      </c>
    </row>
    <row r="645" spans="1:7" x14ac:dyDescent="0.3">
      <c r="A645" s="206">
        <v>44343</v>
      </c>
      <c r="B645">
        <v>65.220000999999996</v>
      </c>
      <c r="C645">
        <v>65.790001000000004</v>
      </c>
      <c r="D645">
        <v>64.629997000000003</v>
      </c>
      <c r="E645">
        <v>65.660004000000001</v>
      </c>
      <c r="F645">
        <v>61.248694999999998</v>
      </c>
      <c r="G645">
        <v>6816400</v>
      </c>
    </row>
    <row r="646" spans="1:7" x14ac:dyDescent="0.3">
      <c r="A646" s="206">
        <v>44344</v>
      </c>
      <c r="B646">
        <v>65.860000999999997</v>
      </c>
      <c r="C646">
        <v>66</v>
      </c>
      <c r="D646">
        <v>64.489998</v>
      </c>
      <c r="E646">
        <v>65.360000999999997</v>
      </c>
      <c r="F646">
        <v>60.968848999999999</v>
      </c>
      <c r="G646">
        <v>3860700</v>
      </c>
    </row>
    <row r="647" spans="1:7" x14ac:dyDescent="0.3">
      <c r="A647" s="206">
        <v>44348</v>
      </c>
      <c r="B647">
        <v>66.269997000000004</v>
      </c>
      <c r="C647">
        <v>66.959998999999996</v>
      </c>
      <c r="D647">
        <v>66.110000999999997</v>
      </c>
      <c r="E647">
        <v>66.510002</v>
      </c>
      <c r="F647">
        <v>62.041592000000001</v>
      </c>
      <c r="G647">
        <v>5115800</v>
      </c>
    </row>
    <row r="648" spans="1:7" x14ac:dyDescent="0.3">
      <c r="A648" s="206">
        <v>44349</v>
      </c>
      <c r="B648">
        <v>66.870002999999997</v>
      </c>
      <c r="C648">
        <v>66.889999000000003</v>
      </c>
      <c r="D648">
        <v>65.879997000000003</v>
      </c>
      <c r="E648">
        <v>66.089995999999999</v>
      </c>
      <c r="F648">
        <v>61.649799000000002</v>
      </c>
      <c r="G648">
        <v>3967400</v>
      </c>
    </row>
    <row r="649" spans="1:7" x14ac:dyDescent="0.3">
      <c r="A649" s="206">
        <v>44350</v>
      </c>
      <c r="B649">
        <v>65.779999000000004</v>
      </c>
      <c r="C649">
        <v>66.849997999999999</v>
      </c>
      <c r="D649">
        <v>65.650002000000001</v>
      </c>
      <c r="E649">
        <v>66.370002999999997</v>
      </c>
      <c r="F649">
        <v>61.911003000000001</v>
      </c>
      <c r="G649">
        <v>4214800</v>
      </c>
    </row>
    <row r="650" spans="1:7" x14ac:dyDescent="0.3">
      <c r="A650" s="206">
        <v>44351</v>
      </c>
      <c r="B650">
        <v>66.370002999999997</v>
      </c>
      <c r="C650">
        <v>66.569999999999993</v>
      </c>
      <c r="D650">
        <v>65.800003000000004</v>
      </c>
      <c r="E650">
        <v>66.559997999999993</v>
      </c>
      <c r="F650">
        <v>62.088225999999999</v>
      </c>
      <c r="G650">
        <v>3156000</v>
      </c>
    </row>
    <row r="651" spans="1:7" x14ac:dyDescent="0.3">
      <c r="A651" s="206">
        <v>44354</v>
      </c>
      <c r="B651">
        <v>66.669998000000007</v>
      </c>
      <c r="C651">
        <v>66.699996999999996</v>
      </c>
      <c r="D651">
        <v>65.919998000000007</v>
      </c>
      <c r="E651">
        <v>66.209998999999996</v>
      </c>
      <c r="F651">
        <v>61.761744999999998</v>
      </c>
      <c r="G651">
        <v>2835200</v>
      </c>
    </row>
    <row r="652" spans="1:7" x14ac:dyDescent="0.3">
      <c r="A652" s="206">
        <v>44355</v>
      </c>
      <c r="B652">
        <v>65.730002999999996</v>
      </c>
      <c r="C652">
        <v>66.269997000000004</v>
      </c>
      <c r="D652">
        <v>64.959998999999996</v>
      </c>
      <c r="E652">
        <v>66.040001000000004</v>
      </c>
      <c r="F652">
        <v>61.603161</v>
      </c>
      <c r="G652">
        <v>3482400</v>
      </c>
    </row>
    <row r="653" spans="1:7" x14ac:dyDescent="0.3">
      <c r="A653" s="206">
        <v>44356</v>
      </c>
      <c r="B653">
        <v>65.680000000000007</v>
      </c>
      <c r="C653">
        <v>65.75</v>
      </c>
      <c r="D653">
        <v>64.650002000000001</v>
      </c>
      <c r="E653">
        <v>64.680000000000007</v>
      </c>
      <c r="F653">
        <v>60.334533999999998</v>
      </c>
      <c r="G653">
        <v>3505300</v>
      </c>
    </row>
    <row r="654" spans="1:7" x14ac:dyDescent="0.3">
      <c r="A654" s="206">
        <v>44357</v>
      </c>
      <c r="B654">
        <v>65.580001999999993</v>
      </c>
      <c r="C654">
        <v>65.75</v>
      </c>
      <c r="D654">
        <v>63.869999</v>
      </c>
      <c r="E654">
        <v>63.889999000000003</v>
      </c>
      <c r="F654">
        <v>59.597614</v>
      </c>
      <c r="G654">
        <v>4313100</v>
      </c>
    </row>
    <row r="655" spans="1:7" x14ac:dyDescent="0.3">
      <c r="A655" s="206">
        <v>44358</v>
      </c>
      <c r="B655">
        <v>64.099997999999999</v>
      </c>
      <c r="C655">
        <v>64.370002999999997</v>
      </c>
      <c r="D655">
        <v>63.84</v>
      </c>
      <c r="E655">
        <v>64.110000999999997</v>
      </c>
      <c r="F655">
        <v>59.802833999999997</v>
      </c>
      <c r="G655">
        <v>3424200</v>
      </c>
    </row>
    <row r="656" spans="1:7" x14ac:dyDescent="0.3">
      <c r="A656" s="206">
        <v>44361</v>
      </c>
      <c r="B656">
        <v>63.950001</v>
      </c>
      <c r="C656">
        <v>64.440002000000007</v>
      </c>
      <c r="D656">
        <v>63.09</v>
      </c>
      <c r="E656">
        <v>63.310001</v>
      </c>
      <c r="F656">
        <v>59.056583000000003</v>
      </c>
      <c r="G656">
        <v>4529200</v>
      </c>
    </row>
    <row r="657" spans="1:7" x14ac:dyDescent="0.3">
      <c r="A657" s="206">
        <v>44362</v>
      </c>
      <c r="B657">
        <v>63.48</v>
      </c>
      <c r="C657">
        <v>64.309997999999993</v>
      </c>
      <c r="D657">
        <v>63.169998</v>
      </c>
      <c r="E657">
        <v>63.77</v>
      </c>
      <c r="F657">
        <v>59.485672000000001</v>
      </c>
      <c r="G657">
        <v>5691800</v>
      </c>
    </row>
    <row r="658" spans="1:7" x14ac:dyDescent="0.3">
      <c r="A658" s="206">
        <v>44363</v>
      </c>
      <c r="B658">
        <v>63.419998</v>
      </c>
      <c r="C658">
        <v>64.25</v>
      </c>
      <c r="D658">
        <v>62.630001</v>
      </c>
      <c r="E658">
        <v>63.709999000000003</v>
      </c>
      <c r="F658">
        <v>59.429703000000003</v>
      </c>
      <c r="G658">
        <v>6469700</v>
      </c>
    </row>
    <row r="659" spans="1:7" x14ac:dyDescent="0.3">
      <c r="A659" s="206">
        <v>44364</v>
      </c>
      <c r="B659">
        <v>64.050003000000004</v>
      </c>
      <c r="C659">
        <v>64.139999000000003</v>
      </c>
      <c r="D659">
        <v>59.740001999999997</v>
      </c>
      <c r="E659">
        <v>60.25</v>
      </c>
      <c r="F659">
        <v>56.202164000000003</v>
      </c>
      <c r="G659">
        <v>8559700</v>
      </c>
    </row>
    <row r="660" spans="1:7" x14ac:dyDescent="0.3">
      <c r="A660" s="206">
        <v>44365</v>
      </c>
      <c r="B660">
        <v>58.880001</v>
      </c>
      <c r="C660">
        <v>59.490001999999997</v>
      </c>
      <c r="D660">
        <v>57.860000999999997</v>
      </c>
      <c r="E660">
        <v>58.299999</v>
      </c>
      <c r="F660">
        <v>54.383167</v>
      </c>
      <c r="G660">
        <v>11838900</v>
      </c>
    </row>
    <row r="661" spans="1:7" x14ac:dyDescent="0.3">
      <c r="A661" s="206">
        <v>44368</v>
      </c>
      <c r="B661">
        <v>58.689999</v>
      </c>
      <c r="C661">
        <v>59.810001</v>
      </c>
      <c r="D661">
        <v>58.689999</v>
      </c>
      <c r="E661">
        <v>59.68</v>
      </c>
      <c r="F661">
        <v>55.670444000000003</v>
      </c>
      <c r="G661">
        <v>6101100</v>
      </c>
    </row>
    <row r="662" spans="1:7" x14ac:dyDescent="0.3">
      <c r="A662" s="206">
        <v>44369</v>
      </c>
      <c r="B662">
        <v>59.610000999999997</v>
      </c>
      <c r="C662">
        <v>59.720001000000003</v>
      </c>
      <c r="D662">
        <v>58.759998000000003</v>
      </c>
      <c r="E662">
        <v>59.27</v>
      </c>
      <c r="F662">
        <v>55.287998000000002</v>
      </c>
      <c r="G662">
        <v>8709300</v>
      </c>
    </row>
    <row r="663" spans="1:7" x14ac:dyDescent="0.3">
      <c r="A663" s="206">
        <v>44370</v>
      </c>
      <c r="B663">
        <v>59.470001000000003</v>
      </c>
      <c r="C663">
        <v>59.740001999999997</v>
      </c>
      <c r="D663">
        <v>59.220001000000003</v>
      </c>
      <c r="E663">
        <v>59.25</v>
      </c>
      <c r="F663">
        <v>55.269343999999997</v>
      </c>
      <c r="G663">
        <v>3749400</v>
      </c>
    </row>
    <row r="664" spans="1:7" x14ac:dyDescent="0.3">
      <c r="A664" s="206">
        <v>44371</v>
      </c>
      <c r="B664">
        <v>59.529998999999997</v>
      </c>
      <c r="C664">
        <v>60.259998000000003</v>
      </c>
      <c r="D664">
        <v>59.189999</v>
      </c>
      <c r="E664">
        <v>60.009998000000003</v>
      </c>
      <c r="F664">
        <v>55.978287000000002</v>
      </c>
      <c r="G664">
        <v>3844700</v>
      </c>
    </row>
    <row r="665" spans="1:7" x14ac:dyDescent="0.3">
      <c r="A665" s="206">
        <v>44372</v>
      </c>
      <c r="B665">
        <v>60.380001</v>
      </c>
      <c r="C665">
        <v>61.299999</v>
      </c>
      <c r="D665">
        <v>60.099997999999999</v>
      </c>
      <c r="E665">
        <v>61.02</v>
      </c>
      <c r="F665">
        <v>56.920428999999999</v>
      </c>
      <c r="G665">
        <v>5297800</v>
      </c>
    </row>
    <row r="666" spans="1:7" x14ac:dyDescent="0.3">
      <c r="A666" s="206">
        <v>44375</v>
      </c>
      <c r="B666">
        <v>60.849997999999999</v>
      </c>
      <c r="C666">
        <v>60.919998</v>
      </c>
      <c r="D666">
        <v>59.639999000000003</v>
      </c>
      <c r="E666">
        <v>59.75</v>
      </c>
      <c r="F666">
        <v>55.735756000000002</v>
      </c>
      <c r="G666">
        <v>4717600</v>
      </c>
    </row>
    <row r="667" spans="1:7" x14ac:dyDescent="0.3">
      <c r="A667" s="206">
        <v>44376</v>
      </c>
      <c r="B667">
        <v>60.349997999999999</v>
      </c>
      <c r="C667">
        <v>60.869999</v>
      </c>
      <c r="D667">
        <v>59.27</v>
      </c>
      <c r="E667">
        <v>59.48</v>
      </c>
      <c r="F667">
        <v>55.483893999999999</v>
      </c>
      <c r="G667">
        <v>4718100</v>
      </c>
    </row>
    <row r="668" spans="1:7" x14ac:dyDescent="0.3">
      <c r="A668" s="206">
        <v>44377</v>
      </c>
      <c r="B668">
        <v>59.169998</v>
      </c>
      <c r="C668">
        <v>59.959999000000003</v>
      </c>
      <c r="D668">
        <v>59.169998</v>
      </c>
      <c r="E668">
        <v>59.849997999999999</v>
      </c>
      <c r="F668">
        <v>55.829033000000003</v>
      </c>
      <c r="G668">
        <v>5248500</v>
      </c>
    </row>
    <row r="669" spans="1:7" x14ac:dyDescent="0.3">
      <c r="A669" s="206">
        <v>44378</v>
      </c>
      <c r="B669">
        <v>60.299999</v>
      </c>
      <c r="C669">
        <v>60.73</v>
      </c>
      <c r="D669">
        <v>59.970001000000003</v>
      </c>
      <c r="E669">
        <v>60.509998000000003</v>
      </c>
      <c r="F669">
        <v>56.444695000000003</v>
      </c>
      <c r="G669">
        <v>4194600</v>
      </c>
    </row>
    <row r="670" spans="1:7" x14ac:dyDescent="0.3">
      <c r="A670" s="206">
        <v>44379</v>
      </c>
      <c r="B670">
        <v>60.259998000000003</v>
      </c>
      <c r="C670">
        <v>60.580002</v>
      </c>
      <c r="D670">
        <v>60.060001</v>
      </c>
      <c r="E670">
        <v>60.419998</v>
      </c>
      <c r="F670">
        <v>56.360743999999997</v>
      </c>
      <c r="G670">
        <v>3179300</v>
      </c>
    </row>
    <row r="671" spans="1:7" x14ac:dyDescent="0.3">
      <c r="A671" s="206">
        <v>44383</v>
      </c>
      <c r="B671">
        <v>60.279998999999997</v>
      </c>
      <c r="C671">
        <v>60.279998999999997</v>
      </c>
      <c r="D671">
        <v>58.470001000000003</v>
      </c>
      <c r="E671">
        <v>58.900002000000001</v>
      </c>
      <c r="F671">
        <v>54.942860000000003</v>
      </c>
      <c r="G671">
        <v>9096100</v>
      </c>
    </row>
    <row r="672" spans="1:7" x14ac:dyDescent="0.3">
      <c r="A672" s="206">
        <v>44384</v>
      </c>
      <c r="B672">
        <v>58.34</v>
      </c>
      <c r="C672">
        <v>59.259998000000003</v>
      </c>
      <c r="D672">
        <v>58.299999</v>
      </c>
      <c r="E672">
        <v>58.84</v>
      </c>
      <c r="F672">
        <v>54.886890000000001</v>
      </c>
      <c r="G672">
        <v>7788000</v>
      </c>
    </row>
    <row r="673" spans="1:7" x14ac:dyDescent="0.3">
      <c r="A673" s="206">
        <v>44385</v>
      </c>
      <c r="B673">
        <v>57.259998000000003</v>
      </c>
      <c r="C673">
        <v>57.720001000000003</v>
      </c>
      <c r="D673">
        <v>56.450001</v>
      </c>
      <c r="E673">
        <v>56.689999</v>
      </c>
      <c r="F673">
        <v>52.881335999999997</v>
      </c>
      <c r="G673">
        <v>10451900</v>
      </c>
    </row>
    <row r="674" spans="1:7" x14ac:dyDescent="0.3">
      <c r="A674" s="206">
        <v>44386</v>
      </c>
      <c r="B674">
        <v>57.700001</v>
      </c>
      <c r="C674">
        <v>59.139999000000003</v>
      </c>
      <c r="D674">
        <v>57.610000999999997</v>
      </c>
      <c r="E674">
        <v>58.860000999999997</v>
      </c>
      <c r="F674">
        <v>54.905540000000002</v>
      </c>
      <c r="G674">
        <v>6521700</v>
      </c>
    </row>
    <row r="675" spans="1:7" x14ac:dyDescent="0.3">
      <c r="A675" s="206">
        <v>44389</v>
      </c>
      <c r="B675">
        <v>58.75</v>
      </c>
      <c r="C675">
        <v>59.630001</v>
      </c>
      <c r="D675">
        <v>58.09</v>
      </c>
      <c r="E675">
        <v>59.560001</v>
      </c>
      <c r="F675">
        <v>55.558525000000003</v>
      </c>
      <c r="G675">
        <v>4042000</v>
      </c>
    </row>
    <row r="676" spans="1:7" x14ac:dyDescent="0.3">
      <c r="A676" s="206">
        <v>44390</v>
      </c>
      <c r="B676">
        <v>59.509998000000003</v>
      </c>
      <c r="C676">
        <v>59.580002</v>
      </c>
      <c r="D676">
        <v>58.43</v>
      </c>
      <c r="E676">
        <v>58.68</v>
      </c>
      <c r="F676">
        <v>54.737633000000002</v>
      </c>
      <c r="G676">
        <v>3938300</v>
      </c>
    </row>
    <row r="677" spans="1:7" x14ac:dyDescent="0.3">
      <c r="A677" s="206">
        <v>44391</v>
      </c>
      <c r="B677">
        <v>58.849997999999999</v>
      </c>
      <c r="C677">
        <v>59.400002000000001</v>
      </c>
      <c r="D677">
        <v>57.779998999999997</v>
      </c>
      <c r="E677">
        <v>58.240001999999997</v>
      </c>
      <c r="F677">
        <v>54.327202</v>
      </c>
      <c r="G677">
        <v>3340500</v>
      </c>
    </row>
    <row r="678" spans="1:7" x14ac:dyDescent="0.3">
      <c r="A678" s="206">
        <v>44392</v>
      </c>
      <c r="B678">
        <v>57.709999000000003</v>
      </c>
      <c r="C678">
        <v>59.02</v>
      </c>
      <c r="D678">
        <v>57.490001999999997</v>
      </c>
      <c r="E678">
        <v>58.639999000000003</v>
      </c>
      <c r="F678">
        <v>54.700324999999999</v>
      </c>
      <c r="G678">
        <v>3609200</v>
      </c>
    </row>
    <row r="679" spans="1:7" x14ac:dyDescent="0.3">
      <c r="A679" s="206">
        <v>44393</v>
      </c>
      <c r="B679">
        <v>58.880001</v>
      </c>
      <c r="C679">
        <v>59.040000999999997</v>
      </c>
      <c r="D679">
        <v>57.32</v>
      </c>
      <c r="E679">
        <v>57.580002</v>
      </c>
      <c r="F679">
        <v>53.711548000000001</v>
      </c>
      <c r="G679">
        <v>4785700</v>
      </c>
    </row>
    <row r="680" spans="1:7" x14ac:dyDescent="0.3">
      <c r="A680" s="206">
        <v>44396</v>
      </c>
      <c r="B680">
        <v>55.950001</v>
      </c>
      <c r="C680">
        <v>56.360000999999997</v>
      </c>
      <c r="D680">
        <v>55.209999000000003</v>
      </c>
      <c r="E680">
        <v>55.860000999999997</v>
      </c>
      <c r="F680">
        <v>52.107101</v>
      </c>
      <c r="G680">
        <v>5344400</v>
      </c>
    </row>
    <row r="681" spans="1:7" x14ac:dyDescent="0.3">
      <c r="A681" s="206">
        <v>44397</v>
      </c>
      <c r="B681">
        <v>55.650002000000001</v>
      </c>
      <c r="C681">
        <v>58.23</v>
      </c>
      <c r="D681">
        <v>55.549999</v>
      </c>
      <c r="E681">
        <v>57.700001</v>
      </c>
      <c r="F681">
        <v>53.823483000000003</v>
      </c>
      <c r="G681">
        <v>4917000</v>
      </c>
    </row>
    <row r="682" spans="1:7" x14ac:dyDescent="0.3">
      <c r="A682" s="206">
        <v>44398</v>
      </c>
      <c r="B682">
        <v>58.509998000000003</v>
      </c>
      <c r="C682">
        <v>59.669998</v>
      </c>
      <c r="D682">
        <v>58.389999000000003</v>
      </c>
      <c r="E682">
        <v>58.990001999999997</v>
      </c>
      <c r="F682">
        <v>55.026814000000002</v>
      </c>
      <c r="G682">
        <v>5221400</v>
      </c>
    </row>
    <row r="683" spans="1:7" x14ac:dyDescent="0.3">
      <c r="A683" s="206">
        <v>44399</v>
      </c>
      <c r="B683">
        <v>59.009998000000003</v>
      </c>
      <c r="C683">
        <v>59.119999</v>
      </c>
      <c r="D683">
        <v>57.630001</v>
      </c>
      <c r="E683">
        <v>57.810001</v>
      </c>
      <c r="F683">
        <v>53.926090000000002</v>
      </c>
      <c r="G683">
        <v>3809700</v>
      </c>
    </row>
    <row r="684" spans="1:7" x14ac:dyDescent="0.3">
      <c r="A684" s="206">
        <v>44400</v>
      </c>
      <c r="B684">
        <v>58.200001</v>
      </c>
      <c r="C684">
        <v>58.509998000000003</v>
      </c>
      <c r="D684">
        <v>57.439999</v>
      </c>
      <c r="E684">
        <v>57.630001</v>
      </c>
      <c r="F684">
        <v>53.758175000000001</v>
      </c>
      <c r="G684">
        <v>4870400</v>
      </c>
    </row>
    <row r="685" spans="1:7" x14ac:dyDescent="0.3">
      <c r="A685" s="206">
        <v>44403</v>
      </c>
      <c r="B685">
        <v>57.77</v>
      </c>
      <c r="C685">
        <v>58.43</v>
      </c>
      <c r="D685">
        <v>57.509998000000003</v>
      </c>
      <c r="E685">
        <v>58.049999</v>
      </c>
      <c r="F685">
        <v>54.149966999999997</v>
      </c>
      <c r="G685">
        <v>3204600</v>
      </c>
    </row>
    <row r="686" spans="1:7" x14ac:dyDescent="0.3">
      <c r="A686" s="206">
        <v>44404</v>
      </c>
      <c r="B686">
        <v>57.080002</v>
      </c>
      <c r="C686">
        <v>58.130001</v>
      </c>
      <c r="D686">
        <v>56.869999</v>
      </c>
      <c r="E686">
        <v>57.740001999999997</v>
      </c>
      <c r="F686">
        <v>53.860793999999999</v>
      </c>
      <c r="G686">
        <v>3646500</v>
      </c>
    </row>
    <row r="687" spans="1:7" x14ac:dyDescent="0.3">
      <c r="A687" s="206">
        <v>44405</v>
      </c>
      <c r="B687">
        <v>58.029998999999997</v>
      </c>
      <c r="C687">
        <v>58.16</v>
      </c>
      <c r="D687">
        <v>56.77</v>
      </c>
      <c r="E687">
        <v>57.639999000000003</v>
      </c>
      <c r="F687">
        <v>53.767513000000001</v>
      </c>
      <c r="G687">
        <v>3801100</v>
      </c>
    </row>
    <row r="688" spans="1:7" x14ac:dyDescent="0.3">
      <c r="A688" s="206">
        <v>44406</v>
      </c>
      <c r="B688">
        <v>58.48</v>
      </c>
      <c r="C688">
        <v>58.75</v>
      </c>
      <c r="D688">
        <v>57.889999000000003</v>
      </c>
      <c r="E688">
        <v>58.23</v>
      </c>
      <c r="F688">
        <v>54.317875000000001</v>
      </c>
      <c r="G688">
        <v>3097700</v>
      </c>
    </row>
    <row r="689" spans="1:7" x14ac:dyDescent="0.3">
      <c r="A689" s="206">
        <v>44407</v>
      </c>
      <c r="B689">
        <v>57.889999000000003</v>
      </c>
      <c r="C689">
        <v>58.68</v>
      </c>
      <c r="D689">
        <v>57.439999</v>
      </c>
      <c r="E689">
        <v>57.700001</v>
      </c>
      <c r="F689">
        <v>53.823483000000003</v>
      </c>
      <c r="G689">
        <v>4045200</v>
      </c>
    </row>
    <row r="690" spans="1:7" x14ac:dyDescent="0.3">
      <c r="A690" s="206">
        <v>44410</v>
      </c>
      <c r="B690">
        <v>58.080002</v>
      </c>
      <c r="C690">
        <v>59.16</v>
      </c>
      <c r="D690">
        <v>57.540000999999997</v>
      </c>
      <c r="E690">
        <v>57.830002</v>
      </c>
      <c r="F690">
        <v>53.944747999999997</v>
      </c>
      <c r="G690">
        <v>3782400</v>
      </c>
    </row>
    <row r="691" spans="1:7" x14ac:dyDescent="0.3">
      <c r="A691" s="206">
        <v>44411</v>
      </c>
      <c r="B691">
        <v>58.110000999999997</v>
      </c>
      <c r="C691">
        <v>58.330002</v>
      </c>
      <c r="D691">
        <v>56.689999</v>
      </c>
      <c r="E691">
        <v>58.290000999999997</v>
      </c>
      <c r="F691">
        <v>54.373848000000002</v>
      </c>
      <c r="G691">
        <v>3169200</v>
      </c>
    </row>
    <row r="692" spans="1:7" x14ac:dyDescent="0.3">
      <c r="A692" s="206">
        <v>44412</v>
      </c>
      <c r="B692">
        <v>57.439999</v>
      </c>
      <c r="C692">
        <v>58.080002</v>
      </c>
      <c r="D692">
        <v>56.959999000000003</v>
      </c>
      <c r="E692">
        <v>57.130001</v>
      </c>
      <c r="F692">
        <v>53.291778999999998</v>
      </c>
      <c r="G692">
        <v>4924700</v>
      </c>
    </row>
    <row r="693" spans="1:7" x14ac:dyDescent="0.3">
      <c r="A693" s="206">
        <v>44413</v>
      </c>
      <c r="B693">
        <v>58.490001999999997</v>
      </c>
      <c r="C693">
        <v>59.330002</v>
      </c>
      <c r="D693">
        <v>58.169998</v>
      </c>
      <c r="E693">
        <v>58.84</v>
      </c>
      <c r="F693">
        <v>54.886890000000001</v>
      </c>
      <c r="G693">
        <v>5779500</v>
      </c>
    </row>
    <row r="694" spans="1:7" x14ac:dyDescent="0.3">
      <c r="A694" s="206">
        <v>44414</v>
      </c>
      <c r="B694">
        <v>59.939999</v>
      </c>
      <c r="C694">
        <v>61.009998000000003</v>
      </c>
      <c r="D694">
        <v>59.82</v>
      </c>
      <c r="E694">
        <v>60.709999000000003</v>
      </c>
      <c r="F694">
        <v>56.631256</v>
      </c>
      <c r="G694">
        <v>8175700</v>
      </c>
    </row>
    <row r="695" spans="1:7" x14ac:dyDescent="0.3">
      <c r="A695" s="206">
        <v>44417</v>
      </c>
      <c r="B695">
        <v>60.200001</v>
      </c>
      <c r="C695">
        <v>61.110000999999997</v>
      </c>
      <c r="D695">
        <v>59.669998</v>
      </c>
      <c r="E695">
        <v>60.459999000000003</v>
      </c>
      <c r="F695">
        <v>56.847510999999997</v>
      </c>
      <c r="G695">
        <v>4281900</v>
      </c>
    </row>
    <row r="696" spans="1:7" x14ac:dyDescent="0.3">
      <c r="A696" s="206">
        <v>44418</v>
      </c>
      <c r="B696">
        <v>60.369999</v>
      </c>
      <c r="C696">
        <v>62.259998000000003</v>
      </c>
      <c r="D696">
        <v>60.369999</v>
      </c>
      <c r="E696">
        <v>61.73</v>
      </c>
      <c r="F696">
        <v>58.041626000000001</v>
      </c>
      <c r="G696">
        <v>7480600</v>
      </c>
    </row>
    <row r="697" spans="1:7" x14ac:dyDescent="0.3">
      <c r="A697" s="206">
        <v>44419</v>
      </c>
      <c r="B697">
        <v>62.049999</v>
      </c>
      <c r="C697">
        <v>63.029998999999997</v>
      </c>
      <c r="D697">
        <v>61.470001000000003</v>
      </c>
      <c r="E697">
        <v>62.599997999999999</v>
      </c>
      <c r="F697">
        <v>58.859645999999998</v>
      </c>
      <c r="G697">
        <v>5571700</v>
      </c>
    </row>
    <row r="698" spans="1:7" x14ac:dyDescent="0.3">
      <c r="A698" s="206">
        <v>44420</v>
      </c>
      <c r="B698">
        <v>62.75</v>
      </c>
      <c r="C698">
        <v>62.959999000000003</v>
      </c>
      <c r="D698">
        <v>62.23</v>
      </c>
      <c r="E698">
        <v>62.669998</v>
      </c>
      <c r="F698">
        <v>58.925460999999999</v>
      </c>
      <c r="G698">
        <v>3456800</v>
      </c>
    </row>
    <row r="699" spans="1:7" x14ac:dyDescent="0.3">
      <c r="A699" s="206">
        <v>44421</v>
      </c>
      <c r="B699">
        <v>62.82</v>
      </c>
      <c r="C699">
        <v>62.990001999999997</v>
      </c>
      <c r="D699">
        <v>62.389999000000003</v>
      </c>
      <c r="E699">
        <v>62.490001999999997</v>
      </c>
      <c r="F699">
        <v>58.756222000000001</v>
      </c>
      <c r="G699">
        <v>3286900</v>
      </c>
    </row>
    <row r="700" spans="1:7" x14ac:dyDescent="0.3">
      <c r="A700" s="206">
        <v>44424</v>
      </c>
      <c r="B700">
        <v>62.099997999999999</v>
      </c>
      <c r="C700">
        <v>62.139999000000003</v>
      </c>
      <c r="D700">
        <v>61.220001000000003</v>
      </c>
      <c r="E700">
        <v>61.98</v>
      </c>
      <c r="F700">
        <v>58.276694999999997</v>
      </c>
      <c r="G700">
        <v>3560300</v>
      </c>
    </row>
    <row r="701" spans="1:7" x14ac:dyDescent="0.3">
      <c r="A701" s="206">
        <v>44425</v>
      </c>
      <c r="B701">
        <v>61.380001</v>
      </c>
      <c r="C701">
        <v>61.98</v>
      </c>
      <c r="D701">
        <v>60.869999</v>
      </c>
      <c r="E701">
        <v>61.470001000000003</v>
      </c>
      <c r="F701">
        <v>57.797173000000001</v>
      </c>
      <c r="G701">
        <v>4158200</v>
      </c>
    </row>
    <row r="702" spans="1:7" x14ac:dyDescent="0.3">
      <c r="A702" s="206">
        <v>44426</v>
      </c>
      <c r="B702">
        <v>61.169998</v>
      </c>
      <c r="C702">
        <v>62.07</v>
      </c>
      <c r="D702">
        <v>60.900002000000001</v>
      </c>
      <c r="E702">
        <v>60.970001000000003</v>
      </c>
      <c r="F702">
        <v>57.327041999999999</v>
      </c>
      <c r="G702">
        <v>3066000</v>
      </c>
    </row>
    <row r="703" spans="1:7" x14ac:dyDescent="0.3">
      <c r="A703" s="206">
        <v>44427</v>
      </c>
      <c r="B703">
        <v>60.049999</v>
      </c>
      <c r="C703">
        <v>60.849997999999999</v>
      </c>
      <c r="D703">
        <v>59.779998999999997</v>
      </c>
      <c r="E703">
        <v>60.279998999999997</v>
      </c>
      <c r="F703">
        <v>56.678265000000003</v>
      </c>
      <c r="G703">
        <v>3677900</v>
      </c>
    </row>
    <row r="704" spans="1:7" x14ac:dyDescent="0.3">
      <c r="A704" s="206">
        <v>44428</v>
      </c>
      <c r="B704">
        <v>60.259998000000003</v>
      </c>
      <c r="C704">
        <v>60.669998</v>
      </c>
      <c r="D704">
        <v>59.939999</v>
      </c>
      <c r="E704">
        <v>60.509998000000003</v>
      </c>
      <c r="F704">
        <v>56.894523999999997</v>
      </c>
      <c r="G704">
        <v>2990900</v>
      </c>
    </row>
    <row r="705" spans="1:7" x14ac:dyDescent="0.3">
      <c r="A705" s="206">
        <v>44431</v>
      </c>
      <c r="B705">
        <v>61</v>
      </c>
      <c r="C705">
        <v>61.560001</v>
      </c>
      <c r="D705">
        <v>60.93</v>
      </c>
      <c r="E705">
        <v>61.169998</v>
      </c>
      <c r="F705">
        <v>57.515090999999998</v>
      </c>
      <c r="G705">
        <v>2856800</v>
      </c>
    </row>
    <row r="706" spans="1:7" x14ac:dyDescent="0.3">
      <c r="A706" s="206">
        <v>44432</v>
      </c>
      <c r="B706">
        <v>61.310001</v>
      </c>
      <c r="C706">
        <v>61.869999</v>
      </c>
      <c r="D706">
        <v>61.119999</v>
      </c>
      <c r="E706">
        <v>61.689999</v>
      </c>
      <c r="F706">
        <v>58.004024999999999</v>
      </c>
      <c r="G706">
        <v>2351600</v>
      </c>
    </row>
    <row r="707" spans="1:7" x14ac:dyDescent="0.3">
      <c r="A707" s="206">
        <v>44433</v>
      </c>
      <c r="B707">
        <v>62.029998999999997</v>
      </c>
      <c r="C707">
        <v>63.080002</v>
      </c>
      <c r="D707">
        <v>61.669998</v>
      </c>
      <c r="E707">
        <v>62.470001000000003</v>
      </c>
      <c r="F707">
        <v>58.737419000000003</v>
      </c>
      <c r="G707">
        <v>2940400</v>
      </c>
    </row>
    <row r="708" spans="1:7" x14ac:dyDescent="0.3">
      <c r="A708" s="206">
        <v>44434</v>
      </c>
      <c r="B708">
        <v>62.580002</v>
      </c>
      <c r="C708">
        <v>62.669998</v>
      </c>
      <c r="D708">
        <v>61.630001</v>
      </c>
      <c r="E708">
        <v>61.790000999999997</v>
      </c>
      <c r="F708">
        <v>58.098053</v>
      </c>
      <c r="G708">
        <v>2659200</v>
      </c>
    </row>
    <row r="709" spans="1:7" x14ac:dyDescent="0.3">
      <c r="A709" s="206">
        <v>44435</v>
      </c>
      <c r="B709">
        <v>62.110000999999997</v>
      </c>
      <c r="C709">
        <v>62.919998</v>
      </c>
      <c r="D709">
        <v>61.860000999999997</v>
      </c>
      <c r="E709">
        <v>62.77</v>
      </c>
      <c r="F709">
        <v>59.019492999999997</v>
      </c>
      <c r="G709">
        <v>4220800</v>
      </c>
    </row>
    <row r="710" spans="1:7" x14ac:dyDescent="0.3">
      <c r="A710" s="206">
        <v>44438</v>
      </c>
      <c r="B710">
        <v>62.959999000000003</v>
      </c>
      <c r="C710">
        <v>62.98</v>
      </c>
      <c r="D710">
        <v>61.630001</v>
      </c>
      <c r="E710">
        <v>61.869999</v>
      </c>
      <c r="F710">
        <v>58.173264000000003</v>
      </c>
      <c r="G710">
        <v>2845200</v>
      </c>
    </row>
    <row r="711" spans="1:7" x14ac:dyDescent="0.3">
      <c r="A711" s="206">
        <v>44439</v>
      </c>
      <c r="B711">
        <v>61.73</v>
      </c>
      <c r="C711">
        <v>62.549999</v>
      </c>
      <c r="D711">
        <v>61.52</v>
      </c>
      <c r="E711">
        <v>62</v>
      </c>
      <c r="F711">
        <v>58.295498000000002</v>
      </c>
      <c r="G711">
        <v>5289200</v>
      </c>
    </row>
    <row r="712" spans="1:7" x14ac:dyDescent="0.3">
      <c r="A712" s="206">
        <v>44440</v>
      </c>
      <c r="B712">
        <v>62.02</v>
      </c>
      <c r="C712">
        <v>62.200001</v>
      </c>
      <c r="D712">
        <v>61.099997999999999</v>
      </c>
      <c r="E712">
        <v>61.310001</v>
      </c>
      <c r="F712">
        <v>57.646725000000004</v>
      </c>
      <c r="G712">
        <v>4775900</v>
      </c>
    </row>
    <row r="713" spans="1:7" x14ac:dyDescent="0.3">
      <c r="A713" s="206">
        <v>44441</v>
      </c>
      <c r="B713">
        <v>61.59</v>
      </c>
      <c r="C713">
        <v>61.939999</v>
      </c>
      <c r="D713">
        <v>61.27</v>
      </c>
      <c r="E713">
        <v>61.66</v>
      </c>
      <c r="F713">
        <v>57.975811</v>
      </c>
      <c r="G713">
        <v>5661100</v>
      </c>
    </row>
    <row r="714" spans="1:7" x14ac:dyDescent="0.3">
      <c r="A714" s="206">
        <v>44442</v>
      </c>
      <c r="B714">
        <v>61.700001</v>
      </c>
      <c r="C714">
        <v>61.959999000000003</v>
      </c>
      <c r="D714">
        <v>60.880001</v>
      </c>
      <c r="E714">
        <v>61.220001000000003</v>
      </c>
      <c r="F714">
        <v>57.562106999999997</v>
      </c>
      <c r="G714">
        <v>3608900</v>
      </c>
    </row>
    <row r="715" spans="1:7" x14ac:dyDescent="0.3">
      <c r="A715" s="206">
        <v>44446</v>
      </c>
      <c r="B715">
        <v>61.23</v>
      </c>
      <c r="C715">
        <v>61.73</v>
      </c>
      <c r="D715">
        <v>60.830002</v>
      </c>
      <c r="E715">
        <v>60.880001</v>
      </c>
      <c r="F715">
        <v>57.242415999999999</v>
      </c>
      <c r="G715">
        <v>5388000</v>
      </c>
    </row>
    <row r="716" spans="1:7" x14ac:dyDescent="0.3">
      <c r="A716" s="206">
        <v>44447</v>
      </c>
      <c r="B716">
        <v>60.740001999999997</v>
      </c>
      <c r="C716">
        <v>61.080002</v>
      </c>
      <c r="D716">
        <v>60.380001</v>
      </c>
      <c r="E716">
        <v>60.98</v>
      </c>
      <c r="F716">
        <v>57.336452000000001</v>
      </c>
      <c r="G716">
        <v>3579400</v>
      </c>
    </row>
    <row r="717" spans="1:7" x14ac:dyDescent="0.3">
      <c r="A717" s="206">
        <v>44448</v>
      </c>
      <c r="B717">
        <v>60.810001</v>
      </c>
      <c r="C717">
        <v>62.119999</v>
      </c>
      <c r="D717">
        <v>60.720001000000003</v>
      </c>
      <c r="E717">
        <v>61.029998999999997</v>
      </c>
      <c r="F717">
        <v>57.383450000000003</v>
      </c>
      <c r="G717">
        <v>4552300</v>
      </c>
    </row>
    <row r="718" spans="1:7" x14ac:dyDescent="0.3">
      <c r="A718" s="206">
        <v>44449</v>
      </c>
      <c r="B718">
        <v>61.630001</v>
      </c>
      <c r="C718">
        <v>61.740001999999997</v>
      </c>
      <c r="D718">
        <v>60.689999</v>
      </c>
      <c r="E718">
        <v>60.77</v>
      </c>
      <c r="F718">
        <v>57.138992000000002</v>
      </c>
      <c r="G718">
        <v>4545100</v>
      </c>
    </row>
    <row r="719" spans="1:7" x14ac:dyDescent="0.3">
      <c r="A719" s="206">
        <v>44452</v>
      </c>
      <c r="B719">
        <v>61.41</v>
      </c>
      <c r="C719">
        <v>61.900002000000001</v>
      </c>
      <c r="D719">
        <v>60.98</v>
      </c>
      <c r="E719">
        <v>61.790000999999997</v>
      </c>
      <c r="F719">
        <v>58.098053</v>
      </c>
      <c r="G719">
        <v>3768800</v>
      </c>
    </row>
    <row r="720" spans="1:7" x14ac:dyDescent="0.3">
      <c r="A720" s="206">
        <v>44453</v>
      </c>
      <c r="B720">
        <v>62.18</v>
      </c>
      <c r="C720">
        <v>62.25</v>
      </c>
      <c r="D720">
        <v>60.52</v>
      </c>
      <c r="E720">
        <v>60.779998999999997</v>
      </c>
      <c r="F720">
        <v>57.148387999999997</v>
      </c>
      <c r="G720">
        <v>4449900</v>
      </c>
    </row>
    <row r="721" spans="1:7" x14ac:dyDescent="0.3">
      <c r="A721" s="206">
        <v>44454</v>
      </c>
      <c r="B721">
        <v>60.959999000000003</v>
      </c>
      <c r="C721">
        <v>62.299999</v>
      </c>
      <c r="D721">
        <v>60.830002</v>
      </c>
      <c r="E721">
        <v>62.07</v>
      </c>
      <c r="F721">
        <v>58.361313000000003</v>
      </c>
      <c r="G721">
        <v>5889300</v>
      </c>
    </row>
    <row r="722" spans="1:7" x14ac:dyDescent="0.3">
      <c r="A722" s="206">
        <v>44455</v>
      </c>
      <c r="B722">
        <v>62.310001</v>
      </c>
      <c r="C722">
        <v>62.82</v>
      </c>
      <c r="D722">
        <v>61.720001000000003</v>
      </c>
      <c r="E722">
        <v>62.220001000000003</v>
      </c>
      <c r="F722">
        <v>58.502353999999997</v>
      </c>
      <c r="G722">
        <v>4664700</v>
      </c>
    </row>
    <row r="723" spans="1:7" x14ac:dyDescent="0.3">
      <c r="A723" s="206">
        <v>44456</v>
      </c>
      <c r="B723">
        <v>61.84</v>
      </c>
      <c r="C723">
        <v>62.869999</v>
      </c>
      <c r="D723">
        <v>61.540000999999997</v>
      </c>
      <c r="E723">
        <v>61.720001000000003</v>
      </c>
      <c r="F723">
        <v>58.032234000000003</v>
      </c>
      <c r="G723">
        <v>9183000</v>
      </c>
    </row>
    <row r="724" spans="1:7" x14ac:dyDescent="0.3">
      <c r="A724" s="206">
        <v>44459</v>
      </c>
      <c r="B724">
        <v>59.900002000000001</v>
      </c>
      <c r="C724">
        <v>60.029998999999997</v>
      </c>
      <c r="D724">
        <v>58.349997999999999</v>
      </c>
      <c r="E724">
        <v>59.310001</v>
      </c>
      <c r="F724">
        <v>55.766219999999997</v>
      </c>
      <c r="G724">
        <v>9661800</v>
      </c>
    </row>
    <row r="725" spans="1:7" x14ac:dyDescent="0.3">
      <c r="A725" s="206">
        <v>44460</v>
      </c>
      <c r="B725">
        <v>59.799999</v>
      </c>
      <c r="C725">
        <v>59.889999000000003</v>
      </c>
      <c r="D725">
        <v>58.139999000000003</v>
      </c>
      <c r="E725">
        <v>58.470001000000003</v>
      </c>
      <c r="F725">
        <v>54.976421000000002</v>
      </c>
      <c r="G725">
        <v>6235000</v>
      </c>
    </row>
    <row r="726" spans="1:7" x14ac:dyDescent="0.3">
      <c r="A726" s="206">
        <v>44461</v>
      </c>
      <c r="B726">
        <v>59.459999000000003</v>
      </c>
      <c r="C726">
        <v>59.959999000000003</v>
      </c>
      <c r="D726">
        <v>59.330002</v>
      </c>
      <c r="E726">
        <v>59.450001</v>
      </c>
      <c r="F726">
        <v>55.897869</v>
      </c>
      <c r="G726">
        <v>5198600</v>
      </c>
    </row>
    <row r="727" spans="1:7" x14ac:dyDescent="0.3">
      <c r="A727" s="206">
        <v>44462</v>
      </c>
      <c r="B727">
        <v>59.919998</v>
      </c>
      <c r="C727">
        <v>61.849997999999999</v>
      </c>
      <c r="D727">
        <v>59.919998</v>
      </c>
      <c r="E727">
        <v>61.259998000000003</v>
      </c>
      <c r="F727">
        <v>57.599711999999997</v>
      </c>
      <c r="G727">
        <v>4594400</v>
      </c>
    </row>
    <row r="728" spans="1:7" x14ac:dyDescent="0.3">
      <c r="A728" s="206">
        <v>44463</v>
      </c>
      <c r="B728">
        <v>61.400002000000001</v>
      </c>
      <c r="C728">
        <v>62.240001999999997</v>
      </c>
      <c r="D728">
        <v>61.23</v>
      </c>
      <c r="E728">
        <v>61.360000999999997</v>
      </c>
      <c r="F728">
        <v>57.693733000000002</v>
      </c>
      <c r="G728">
        <v>4351400</v>
      </c>
    </row>
    <row r="729" spans="1:7" x14ac:dyDescent="0.3">
      <c r="A729" s="206">
        <v>44466</v>
      </c>
      <c r="B729">
        <v>62.209999000000003</v>
      </c>
      <c r="C729">
        <v>64.069999999999993</v>
      </c>
      <c r="D729">
        <v>62.200001</v>
      </c>
      <c r="E729">
        <v>63.610000999999997</v>
      </c>
      <c r="F729">
        <v>59.809303</v>
      </c>
      <c r="G729">
        <v>5220000</v>
      </c>
    </row>
    <row r="730" spans="1:7" x14ac:dyDescent="0.3">
      <c r="A730" s="206">
        <v>44467</v>
      </c>
      <c r="B730">
        <v>63.669998</v>
      </c>
      <c r="C730">
        <v>64.279999000000004</v>
      </c>
      <c r="D730">
        <v>62.669998</v>
      </c>
      <c r="E730">
        <v>62.790000999999997</v>
      </c>
      <c r="F730">
        <v>59.038296000000003</v>
      </c>
      <c r="G730">
        <v>4909100</v>
      </c>
    </row>
    <row r="731" spans="1:7" x14ac:dyDescent="0.3">
      <c r="A731" s="206">
        <v>44468</v>
      </c>
      <c r="B731">
        <v>63.029998999999997</v>
      </c>
      <c r="C731">
        <v>63.139999000000003</v>
      </c>
      <c r="D731">
        <v>62.52</v>
      </c>
      <c r="E731">
        <v>62.580002</v>
      </c>
      <c r="F731">
        <v>58.840851000000001</v>
      </c>
      <c r="G731">
        <v>3780000</v>
      </c>
    </row>
    <row r="732" spans="1:7" x14ac:dyDescent="0.3">
      <c r="A732" s="206">
        <v>44469</v>
      </c>
      <c r="B732">
        <v>63.110000999999997</v>
      </c>
      <c r="C732">
        <v>63.110000999999997</v>
      </c>
      <c r="D732">
        <v>61.52</v>
      </c>
      <c r="E732">
        <v>61.73</v>
      </c>
      <c r="F732">
        <v>58.041626000000001</v>
      </c>
      <c r="G732">
        <v>6132900</v>
      </c>
    </row>
    <row r="733" spans="1:7" x14ac:dyDescent="0.3">
      <c r="A733" s="206">
        <v>44470</v>
      </c>
      <c r="B733">
        <v>61.849997999999999</v>
      </c>
      <c r="C733">
        <v>63.130001</v>
      </c>
      <c r="D733">
        <v>61.619999</v>
      </c>
      <c r="E733">
        <v>62.52</v>
      </c>
      <c r="F733">
        <v>58.784430999999998</v>
      </c>
      <c r="G733">
        <v>4391700</v>
      </c>
    </row>
    <row r="734" spans="1:7" x14ac:dyDescent="0.3">
      <c r="A734" s="206">
        <v>44473</v>
      </c>
      <c r="B734">
        <v>62.419998</v>
      </c>
      <c r="C734">
        <v>63.630001</v>
      </c>
      <c r="D734">
        <v>62.240001999999997</v>
      </c>
      <c r="E734">
        <v>62.369999</v>
      </c>
      <c r="F734">
        <v>58.643386999999997</v>
      </c>
      <c r="G734">
        <v>4950300</v>
      </c>
    </row>
    <row r="735" spans="1:7" x14ac:dyDescent="0.3">
      <c r="A735" s="206">
        <v>44474</v>
      </c>
      <c r="B735">
        <v>62.740001999999997</v>
      </c>
      <c r="C735">
        <v>64.5</v>
      </c>
      <c r="D735">
        <v>62.099997999999999</v>
      </c>
      <c r="E735">
        <v>64.269997000000004</v>
      </c>
      <c r="F735">
        <v>60.429859</v>
      </c>
      <c r="G735">
        <v>6076300</v>
      </c>
    </row>
    <row r="736" spans="1:7" x14ac:dyDescent="0.3">
      <c r="A736" s="206">
        <v>44475</v>
      </c>
      <c r="B736">
        <v>63.43</v>
      </c>
      <c r="C736">
        <v>64.330001999999993</v>
      </c>
      <c r="D736">
        <v>62.98</v>
      </c>
      <c r="E736">
        <v>63.98</v>
      </c>
      <c r="F736">
        <v>60.157200000000003</v>
      </c>
      <c r="G736">
        <v>4418300</v>
      </c>
    </row>
    <row r="737" spans="1:7" x14ac:dyDescent="0.3">
      <c r="A737" s="206">
        <v>44476</v>
      </c>
      <c r="B737">
        <v>64.550003000000004</v>
      </c>
      <c r="C737">
        <v>65.069999999999993</v>
      </c>
      <c r="D737">
        <v>64.209998999999996</v>
      </c>
      <c r="E737">
        <v>64.550003000000004</v>
      </c>
      <c r="F737">
        <v>60.693142000000002</v>
      </c>
      <c r="G737">
        <v>4596300</v>
      </c>
    </row>
    <row r="738" spans="1:7" x14ac:dyDescent="0.3">
      <c r="A738" s="206">
        <v>44477</v>
      </c>
      <c r="B738">
        <v>65.139999000000003</v>
      </c>
      <c r="C738">
        <v>65.220000999999996</v>
      </c>
      <c r="D738">
        <v>64.610000999999997</v>
      </c>
      <c r="E738">
        <v>64.989998</v>
      </c>
      <c r="F738">
        <v>61.106838000000003</v>
      </c>
      <c r="G738">
        <v>3559300</v>
      </c>
    </row>
    <row r="739" spans="1:7" x14ac:dyDescent="0.3">
      <c r="A739" s="206">
        <v>44480</v>
      </c>
      <c r="B739">
        <v>65.25</v>
      </c>
      <c r="C739">
        <v>66.120002999999997</v>
      </c>
      <c r="D739">
        <v>64.989998</v>
      </c>
      <c r="E739">
        <v>65.120002999999997</v>
      </c>
      <c r="F739">
        <v>61.229084</v>
      </c>
      <c r="G739">
        <v>4637500</v>
      </c>
    </row>
    <row r="740" spans="1:7" x14ac:dyDescent="0.3">
      <c r="A740" s="206">
        <v>44481</v>
      </c>
      <c r="B740">
        <v>64.919998000000007</v>
      </c>
      <c r="C740">
        <v>65.480002999999996</v>
      </c>
      <c r="D740">
        <v>64.510002</v>
      </c>
      <c r="E740">
        <v>64.779999000000004</v>
      </c>
      <c r="F740">
        <v>60.909396999999998</v>
      </c>
      <c r="G740">
        <v>3162000</v>
      </c>
    </row>
    <row r="741" spans="1:7" x14ac:dyDescent="0.3">
      <c r="A741" s="206">
        <v>44482</v>
      </c>
      <c r="B741">
        <v>64.529999000000004</v>
      </c>
      <c r="C741">
        <v>64.720000999999996</v>
      </c>
      <c r="D741">
        <v>63.119999</v>
      </c>
      <c r="E741">
        <v>64.150002000000001</v>
      </c>
      <c r="F741">
        <v>60.317036000000002</v>
      </c>
      <c r="G741">
        <v>3868600</v>
      </c>
    </row>
    <row r="742" spans="1:7" x14ac:dyDescent="0.3">
      <c r="A742" s="206">
        <v>44483</v>
      </c>
      <c r="B742">
        <v>65.139999000000003</v>
      </c>
      <c r="C742">
        <v>65.669998000000007</v>
      </c>
      <c r="D742">
        <v>64.559997999999993</v>
      </c>
      <c r="E742">
        <v>65.519997000000004</v>
      </c>
      <c r="F742">
        <v>61.605182999999997</v>
      </c>
      <c r="G742">
        <v>3253600</v>
      </c>
    </row>
    <row r="743" spans="1:7" x14ac:dyDescent="0.3">
      <c r="A743" s="206">
        <v>44484</v>
      </c>
      <c r="B743">
        <v>66.180000000000007</v>
      </c>
      <c r="C743">
        <v>66.5</v>
      </c>
      <c r="D743">
        <v>65.330001999999993</v>
      </c>
      <c r="E743">
        <v>65.569999999999993</v>
      </c>
      <c r="F743">
        <v>61.652191000000002</v>
      </c>
      <c r="G743">
        <v>3036000</v>
      </c>
    </row>
    <row r="744" spans="1:7" x14ac:dyDescent="0.3">
      <c r="A744" s="206">
        <v>44487</v>
      </c>
      <c r="B744">
        <v>65.309997999999993</v>
      </c>
      <c r="C744">
        <v>65.720000999999996</v>
      </c>
      <c r="D744">
        <v>65.010002</v>
      </c>
      <c r="E744">
        <v>65.199996999999996</v>
      </c>
      <c r="F744">
        <v>61.304295000000003</v>
      </c>
      <c r="G744">
        <v>1958600</v>
      </c>
    </row>
    <row r="745" spans="1:7" x14ac:dyDescent="0.3">
      <c r="A745" s="206">
        <v>44488</v>
      </c>
      <c r="B745">
        <v>65.930000000000007</v>
      </c>
      <c r="C745">
        <v>65.970000999999996</v>
      </c>
      <c r="D745">
        <v>65.489998</v>
      </c>
      <c r="E745">
        <v>65.690002000000007</v>
      </c>
      <c r="F745">
        <v>61.765025999999999</v>
      </c>
      <c r="G745">
        <v>2122100</v>
      </c>
    </row>
    <row r="746" spans="1:7" x14ac:dyDescent="0.3">
      <c r="A746" s="206">
        <v>44489</v>
      </c>
      <c r="B746">
        <v>65.480002999999996</v>
      </c>
      <c r="C746">
        <v>66.860000999999997</v>
      </c>
      <c r="D746">
        <v>65.319999999999993</v>
      </c>
      <c r="E746">
        <v>66.599997999999999</v>
      </c>
      <c r="F746">
        <v>62.620643999999999</v>
      </c>
      <c r="G746">
        <v>3527900</v>
      </c>
    </row>
    <row r="747" spans="1:7" x14ac:dyDescent="0.3">
      <c r="A747" s="206">
        <v>44490</v>
      </c>
      <c r="B747">
        <v>66.290001000000004</v>
      </c>
      <c r="C747">
        <v>66.650002000000001</v>
      </c>
      <c r="D747">
        <v>65.410004000000001</v>
      </c>
      <c r="E747">
        <v>65.809997999999993</v>
      </c>
      <c r="F747">
        <v>61.877845999999998</v>
      </c>
      <c r="G747">
        <v>2199800</v>
      </c>
    </row>
    <row r="748" spans="1:7" x14ac:dyDescent="0.3">
      <c r="A748" s="206">
        <v>44491</v>
      </c>
      <c r="B748">
        <v>66.059997999999993</v>
      </c>
      <c r="C748">
        <v>66.410004000000001</v>
      </c>
      <c r="D748">
        <v>65.300003000000004</v>
      </c>
      <c r="E748">
        <v>65.870002999999997</v>
      </c>
      <c r="F748">
        <v>61.934260999999999</v>
      </c>
      <c r="G748">
        <v>3902700</v>
      </c>
    </row>
    <row r="749" spans="1:7" x14ac:dyDescent="0.3">
      <c r="A749" s="206">
        <v>44494</v>
      </c>
      <c r="B749">
        <v>66.059997999999993</v>
      </c>
      <c r="C749">
        <v>66.180000000000007</v>
      </c>
      <c r="D749">
        <v>65.550003000000004</v>
      </c>
      <c r="E749">
        <v>65.639999000000003</v>
      </c>
      <c r="F749">
        <v>61.718018000000001</v>
      </c>
      <c r="G749">
        <v>2437300</v>
      </c>
    </row>
    <row r="750" spans="1:7" x14ac:dyDescent="0.3">
      <c r="A750" s="206">
        <v>44495</v>
      </c>
      <c r="B750">
        <v>65.989998</v>
      </c>
      <c r="C750">
        <v>66.230002999999996</v>
      </c>
      <c r="D750">
        <v>65.330001999999993</v>
      </c>
      <c r="E750">
        <v>65.459998999999996</v>
      </c>
      <c r="F750">
        <v>61.548763000000001</v>
      </c>
      <c r="G750">
        <v>3035500</v>
      </c>
    </row>
    <row r="751" spans="1:7" x14ac:dyDescent="0.3">
      <c r="A751" s="206">
        <v>44496</v>
      </c>
      <c r="B751">
        <v>65.309997999999993</v>
      </c>
      <c r="C751">
        <v>65.75</v>
      </c>
      <c r="D751">
        <v>64.209998999999996</v>
      </c>
      <c r="E751">
        <v>64.290001000000004</v>
      </c>
      <c r="F751">
        <v>60.448672999999999</v>
      </c>
      <c r="G751">
        <v>4439300</v>
      </c>
    </row>
    <row r="752" spans="1:7" x14ac:dyDescent="0.3">
      <c r="A752" s="206">
        <v>44497</v>
      </c>
      <c r="B752">
        <v>64.489998</v>
      </c>
      <c r="C752">
        <v>65.290001000000004</v>
      </c>
      <c r="D752">
        <v>64.379997000000003</v>
      </c>
      <c r="E752">
        <v>65.269997000000004</v>
      </c>
      <c r="F752">
        <v>61.370109999999997</v>
      </c>
      <c r="G752">
        <v>2612200</v>
      </c>
    </row>
    <row r="753" spans="1:7" x14ac:dyDescent="0.3">
      <c r="A753" s="206">
        <v>44498</v>
      </c>
      <c r="B753">
        <v>65.419998000000007</v>
      </c>
      <c r="C753">
        <v>65.569999999999993</v>
      </c>
      <c r="D753">
        <v>62.41</v>
      </c>
      <c r="E753">
        <v>62.799999</v>
      </c>
      <c r="F753">
        <v>59.047699000000001</v>
      </c>
      <c r="G753">
        <v>8402400</v>
      </c>
    </row>
    <row r="754" spans="1:7" x14ac:dyDescent="0.3">
      <c r="A754" s="206">
        <v>44501</v>
      </c>
      <c r="B754">
        <v>63.34</v>
      </c>
      <c r="C754">
        <v>64.190002000000007</v>
      </c>
      <c r="D754">
        <v>63.040000999999997</v>
      </c>
      <c r="E754">
        <v>64.150002000000001</v>
      </c>
      <c r="F754">
        <v>60.317036000000002</v>
      </c>
      <c r="G754">
        <v>3966100</v>
      </c>
    </row>
    <row r="755" spans="1:7" x14ac:dyDescent="0.3">
      <c r="A755" s="206">
        <v>44502</v>
      </c>
      <c r="B755">
        <v>63.990001999999997</v>
      </c>
      <c r="C755">
        <v>64.720000999999996</v>
      </c>
      <c r="D755">
        <v>63.41</v>
      </c>
      <c r="E755">
        <v>63.689999</v>
      </c>
      <c r="F755">
        <v>59.884518</v>
      </c>
      <c r="G755">
        <v>4376500</v>
      </c>
    </row>
    <row r="756" spans="1:7" x14ac:dyDescent="0.3">
      <c r="A756" s="206">
        <v>44503</v>
      </c>
      <c r="B756">
        <v>63.450001</v>
      </c>
      <c r="C756">
        <v>66.139999000000003</v>
      </c>
      <c r="D756">
        <v>63.130001</v>
      </c>
      <c r="E756">
        <v>65.279999000000004</v>
      </c>
      <c r="F756">
        <v>61.379519999999999</v>
      </c>
      <c r="G756">
        <v>7596500</v>
      </c>
    </row>
    <row r="757" spans="1:7" x14ac:dyDescent="0.3">
      <c r="A757" s="206">
        <v>44504</v>
      </c>
      <c r="B757">
        <v>65.339995999999999</v>
      </c>
      <c r="C757">
        <v>65.339995999999999</v>
      </c>
      <c r="D757">
        <v>61.830002</v>
      </c>
      <c r="E757">
        <v>63.91</v>
      </c>
      <c r="F757">
        <v>60.091372999999997</v>
      </c>
      <c r="G757">
        <v>5993200</v>
      </c>
    </row>
    <row r="758" spans="1:7" x14ac:dyDescent="0.3">
      <c r="A758" s="206">
        <v>44505</v>
      </c>
      <c r="B758">
        <v>64.589995999999999</v>
      </c>
      <c r="C758">
        <v>65.620002999999997</v>
      </c>
      <c r="D758">
        <v>63.759998000000003</v>
      </c>
      <c r="E758">
        <v>63.990001999999997</v>
      </c>
      <c r="F758">
        <v>60.166598999999998</v>
      </c>
      <c r="G758">
        <v>4402600</v>
      </c>
    </row>
    <row r="759" spans="1:7" x14ac:dyDescent="0.3">
      <c r="A759" s="206">
        <v>44508</v>
      </c>
      <c r="B759">
        <v>64.019997000000004</v>
      </c>
      <c r="C759">
        <v>64.629997000000003</v>
      </c>
      <c r="D759">
        <v>63.580002</v>
      </c>
      <c r="E759">
        <v>63.740001999999997</v>
      </c>
      <c r="F759">
        <v>60.384490999999997</v>
      </c>
      <c r="G759">
        <v>4461400</v>
      </c>
    </row>
    <row r="760" spans="1:7" x14ac:dyDescent="0.3">
      <c r="A760" s="206">
        <v>44509</v>
      </c>
      <c r="B760">
        <v>63.259998000000003</v>
      </c>
      <c r="C760">
        <v>63.740001999999997</v>
      </c>
      <c r="D760">
        <v>62.689999</v>
      </c>
      <c r="E760">
        <v>62.970001000000003</v>
      </c>
      <c r="F760">
        <v>59.655022000000002</v>
      </c>
      <c r="G760">
        <v>4067100</v>
      </c>
    </row>
    <row r="761" spans="1:7" x14ac:dyDescent="0.3">
      <c r="A761" s="206">
        <v>44510</v>
      </c>
      <c r="B761">
        <v>63.259998000000003</v>
      </c>
      <c r="C761">
        <v>64.400002000000001</v>
      </c>
      <c r="D761">
        <v>63.099997999999999</v>
      </c>
      <c r="E761">
        <v>63.349997999999999</v>
      </c>
      <c r="F761">
        <v>60.015017999999998</v>
      </c>
      <c r="G761">
        <v>3826400</v>
      </c>
    </row>
    <row r="762" spans="1:7" x14ac:dyDescent="0.3">
      <c r="A762" s="206">
        <v>44511</v>
      </c>
      <c r="B762">
        <v>63.369999</v>
      </c>
      <c r="C762">
        <v>64.319999999999993</v>
      </c>
      <c r="D762">
        <v>63.150002000000001</v>
      </c>
      <c r="E762">
        <v>63.630001</v>
      </c>
      <c r="F762">
        <v>60.280284999999999</v>
      </c>
      <c r="G762">
        <v>3124000</v>
      </c>
    </row>
    <row r="763" spans="1:7" x14ac:dyDescent="0.3">
      <c r="A763" s="206">
        <v>44512</v>
      </c>
      <c r="B763">
        <v>63.68</v>
      </c>
      <c r="C763">
        <v>64.190002000000007</v>
      </c>
      <c r="D763">
        <v>63.369999</v>
      </c>
      <c r="E763">
        <v>64.190002000000007</v>
      </c>
      <c r="F763">
        <v>60.810802000000002</v>
      </c>
      <c r="G763">
        <v>4084800</v>
      </c>
    </row>
    <row r="764" spans="1:7" x14ac:dyDescent="0.3">
      <c r="A764" s="206">
        <v>44515</v>
      </c>
      <c r="B764">
        <v>64.410004000000001</v>
      </c>
      <c r="C764">
        <v>64.610000999999997</v>
      </c>
      <c r="D764">
        <v>63.970001000000003</v>
      </c>
      <c r="E764">
        <v>64.150002000000001</v>
      </c>
      <c r="F764">
        <v>60.772902999999999</v>
      </c>
      <c r="G764">
        <v>5986800</v>
      </c>
    </row>
    <row r="765" spans="1:7" x14ac:dyDescent="0.3">
      <c r="A765" s="206">
        <v>44516</v>
      </c>
      <c r="B765">
        <v>64.339995999999999</v>
      </c>
      <c r="C765">
        <v>64.779999000000004</v>
      </c>
      <c r="D765">
        <v>63.369999</v>
      </c>
      <c r="E765">
        <v>63.41</v>
      </c>
      <c r="F765">
        <v>60.071857000000001</v>
      </c>
      <c r="G765">
        <v>4817700</v>
      </c>
    </row>
    <row r="766" spans="1:7" x14ac:dyDescent="0.3">
      <c r="A766" s="206">
        <v>44517</v>
      </c>
      <c r="B766">
        <v>63.200001</v>
      </c>
      <c r="C766">
        <v>64.029999000000004</v>
      </c>
      <c r="D766">
        <v>63.110000999999997</v>
      </c>
      <c r="E766">
        <v>63.130001</v>
      </c>
      <c r="F766">
        <v>59.806601999999998</v>
      </c>
      <c r="G766">
        <v>4542300</v>
      </c>
    </row>
    <row r="767" spans="1:7" x14ac:dyDescent="0.3">
      <c r="A767" s="206">
        <v>44518</v>
      </c>
      <c r="B767">
        <v>63.18</v>
      </c>
      <c r="C767">
        <v>63.419998</v>
      </c>
      <c r="D767">
        <v>61.869999</v>
      </c>
      <c r="E767">
        <v>62.66</v>
      </c>
      <c r="F767">
        <v>59.361342999999998</v>
      </c>
      <c r="G767">
        <v>4294900</v>
      </c>
    </row>
    <row r="768" spans="1:7" x14ac:dyDescent="0.3">
      <c r="A768" s="206">
        <v>44519</v>
      </c>
      <c r="B768">
        <v>61.52</v>
      </c>
      <c r="C768">
        <v>61.68</v>
      </c>
      <c r="D768">
        <v>60.290000999999997</v>
      </c>
      <c r="E768">
        <v>61.150002000000001</v>
      </c>
      <c r="F768">
        <v>57.930835999999999</v>
      </c>
      <c r="G768">
        <v>7402400</v>
      </c>
    </row>
    <row r="769" spans="1:7" x14ac:dyDescent="0.3">
      <c r="A769" s="206">
        <v>44522</v>
      </c>
      <c r="B769">
        <v>62.389999000000003</v>
      </c>
      <c r="C769">
        <v>63.279998999999997</v>
      </c>
      <c r="D769">
        <v>61.299999</v>
      </c>
      <c r="E769">
        <v>62.509998000000003</v>
      </c>
      <c r="F769">
        <v>59.219242000000001</v>
      </c>
      <c r="G769">
        <v>4575700</v>
      </c>
    </row>
    <row r="770" spans="1:7" x14ac:dyDescent="0.3">
      <c r="A770" s="206">
        <v>44523</v>
      </c>
      <c r="B770">
        <v>63.139999000000003</v>
      </c>
      <c r="C770">
        <v>63.880001</v>
      </c>
      <c r="D770">
        <v>62.779998999999997</v>
      </c>
      <c r="E770">
        <v>63.360000999999997</v>
      </c>
      <c r="F770">
        <v>60.024493999999997</v>
      </c>
      <c r="G770">
        <v>4347300</v>
      </c>
    </row>
    <row r="771" spans="1:7" x14ac:dyDescent="0.3">
      <c r="A771" s="206">
        <v>44524</v>
      </c>
      <c r="B771">
        <v>63.07</v>
      </c>
      <c r="C771">
        <v>63.529998999999997</v>
      </c>
      <c r="D771">
        <v>62.5</v>
      </c>
      <c r="E771">
        <v>62.630001</v>
      </c>
      <c r="F771">
        <v>59.332923999999998</v>
      </c>
      <c r="G771">
        <v>4469600</v>
      </c>
    </row>
    <row r="772" spans="1:7" x14ac:dyDescent="0.3">
      <c r="A772" s="206">
        <v>44526</v>
      </c>
      <c r="B772">
        <v>59.880001</v>
      </c>
      <c r="C772">
        <v>60.439999</v>
      </c>
      <c r="D772">
        <v>58.650002000000001</v>
      </c>
      <c r="E772">
        <v>60.099997999999999</v>
      </c>
      <c r="F772">
        <v>56.936110999999997</v>
      </c>
      <c r="G772">
        <v>4296900</v>
      </c>
    </row>
    <row r="773" spans="1:7" x14ac:dyDescent="0.3">
      <c r="A773" s="206">
        <v>44529</v>
      </c>
      <c r="B773">
        <v>60.889999000000003</v>
      </c>
      <c r="C773">
        <v>61.049999</v>
      </c>
      <c r="D773">
        <v>59.27</v>
      </c>
      <c r="E773">
        <v>59.889999000000003</v>
      </c>
      <c r="F773">
        <v>56.737170999999996</v>
      </c>
      <c r="G773">
        <v>5064700</v>
      </c>
    </row>
    <row r="774" spans="1:7" x14ac:dyDescent="0.3">
      <c r="A774" s="206">
        <v>44530</v>
      </c>
      <c r="B774">
        <v>59.130001</v>
      </c>
      <c r="C774">
        <v>59.279998999999997</v>
      </c>
      <c r="D774">
        <v>58.240001999999997</v>
      </c>
      <c r="E774">
        <v>58.66</v>
      </c>
      <c r="F774">
        <v>55.571917999999997</v>
      </c>
      <c r="G774">
        <v>12405500</v>
      </c>
    </row>
    <row r="775" spans="1:7" x14ac:dyDescent="0.3">
      <c r="A775" s="206">
        <v>44531</v>
      </c>
      <c r="B775">
        <v>59.560001</v>
      </c>
      <c r="C775">
        <v>59.959999000000003</v>
      </c>
      <c r="D775">
        <v>57.049999</v>
      </c>
      <c r="E775">
        <v>57.110000999999997</v>
      </c>
      <c r="F775">
        <v>54.103515999999999</v>
      </c>
      <c r="G775">
        <v>9280500</v>
      </c>
    </row>
    <row r="776" spans="1:7" x14ac:dyDescent="0.3">
      <c r="A776" s="206">
        <v>44532</v>
      </c>
      <c r="B776">
        <v>57.75</v>
      </c>
      <c r="C776">
        <v>59.84</v>
      </c>
      <c r="D776">
        <v>57.630001</v>
      </c>
      <c r="E776">
        <v>59.330002</v>
      </c>
      <c r="F776">
        <v>56.206650000000003</v>
      </c>
      <c r="G776">
        <v>6069600</v>
      </c>
    </row>
    <row r="777" spans="1:7" x14ac:dyDescent="0.3">
      <c r="A777" s="206">
        <v>44533</v>
      </c>
      <c r="B777">
        <v>59.790000999999997</v>
      </c>
      <c r="C777">
        <v>60.029998999999997</v>
      </c>
      <c r="D777">
        <v>58.93</v>
      </c>
      <c r="E777">
        <v>59.419998</v>
      </c>
      <c r="F777">
        <v>56.291907999999999</v>
      </c>
      <c r="G777">
        <v>6035900</v>
      </c>
    </row>
    <row r="778" spans="1:7" x14ac:dyDescent="0.3">
      <c r="A778" s="206">
        <v>44536</v>
      </c>
      <c r="B778">
        <v>60.27</v>
      </c>
      <c r="C778">
        <v>60.790000999999997</v>
      </c>
      <c r="D778">
        <v>59.630001</v>
      </c>
      <c r="E778">
        <v>59.669998</v>
      </c>
      <c r="F778">
        <v>56.528748</v>
      </c>
      <c r="G778">
        <v>4873400</v>
      </c>
    </row>
    <row r="779" spans="1:7" x14ac:dyDescent="0.3">
      <c r="A779" s="206">
        <v>44537</v>
      </c>
      <c r="B779">
        <v>60.099997999999999</v>
      </c>
      <c r="C779">
        <v>61.200001</v>
      </c>
      <c r="D779">
        <v>59.84</v>
      </c>
      <c r="E779">
        <v>60.529998999999997</v>
      </c>
      <c r="F779">
        <v>57.343474999999998</v>
      </c>
      <c r="G779">
        <v>4464000</v>
      </c>
    </row>
    <row r="780" spans="1:7" x14ac:dyDescent="0.3">
      <c r="A780" s="206">
        <v>44538</v>
      </c>
      <c r="B780">
        <v>60.759998000000003</v>
      </c>
      <c r="C780">
        <v>61.290000999999997</v>
      </c>
      <c r="D780">
        <v>60.599997999999999</v>
      </c>
      <c r="E780">
        <v>60.619999</v>
      </c>
      <c r="F780">
        <v>57.428733999999999</v>
      </c>
      <c r="G780">
        <v>3485100</v>
      </c>
    </row>
    <row r="781" spans="1:7" x14ac:dyDescent="0.3">
      <c r="A781" s="206">
        <v>44539</v>
      </c>
      <c r="B781">
        <v>60.200001</v>
      </c>
      <c r="C781">
        <v>61.310001</v>
      </c>
      <c r="D781">
        <v>59.950001</v>
      </c>
      <c r="E781">
        <v>60.880001</v>
      </c>
      <c r="F781">
        <v>57.675049000000001</v>
      </c>
      <c r="G781">
        <v>2761600</v>
      </c>
    </row>
    <row r="782" spans="1:7" x14ac:dyDescent="0.3">
      <c r="A782" s="206">
        <v>44540</v>
      </c>
      <c r="B782">
        <v>61.299999</v>
      </c>
      <c r="C782">
        <v>61.459999000000003</v>
      </c>
      <c r="D782">
        <v>60.52</v>
      </c>
      <c r="E782">
        <v>60.630001</v>
      </c>
      <c r="F782">
        <v>57.438212999999998</v>
      </c>
      <c r="G782">
        <v>3954000</v>
      </c>
    </row>
    <row r="783" spans="1:7" x14ac:dyDescent="0.3">
      <c r="A783" s="206">
        <v>44543</v>
      </c>
      <c r="B783">
        <v>60.5</v>
      </c>
      <c r="C783">
        <v>60.630001</v>
      </c>
      <c r="D783">
        <v>59.790000999999997</v>
      </c>
      <c r="E783">
        <v>59.869999</v>
      </c>
      <c r="F783">
        <v>56.718215999999998</v>
      </c>
      <c r="G783">
        <v>5531900</v>
      </c>
    </row>
    <row r="784" spans="1:7" x14ac:dyDescent="0.3">
      <c r="A784" s="206">
        <v>44544</v>
      </c>
      <c r="B784">
        <v>59.84</v>
      </c>
      <c r="C784">
        <v>61.290000999999997</v>
      </c>
      <c r="D784">
        <v>59.84</v>
      </c>
      <c r="E784">
        <v>60.799999</v>
      </c>
      <c r="F784">
        <v>57.599257999999999</v>
      </c>
      <c r="G784">
        <v>4533600</v>
      </c>
    </row>
    <row r="785" spans="1:7" x14ac:dyDescent="0.3">
      <c r="A785" s="206">
        <v>44545</v>
      </c>
      <c r="B785">
        <v>60.900002000000001</v>
      </c>
      <c r="C785">
        <v>61.119999</v>
      </c>
      <c r="D785">
        <v>59.779998999999997</v>
      </c>
      <c r="E785">
        <v>60.82</v>
      </c>
      <c r="F785">
        <v>57.618206000000001</v>
      </c>
      <c r="G785">
        <v>3486300</v>
      </c>
    </row>
    <row r="786" spans="1:7" x14ac:dyDescent="0.3">
      <c r="A786" s="206">
        <v>44546</v>
      </c>
      <c r="B786">
        <v>61.669998</v>
      </c>
      <c r="C786">
        <v>62.349997999999999</v>
      </c>
      <c r="D786">
        <v>61.040000999999997</v>
      </c>
      <c r="E786">
        <v>61.389999000000003</v>
      </c>
      <c r="F786">
        <v>58.158206999999997</v>
      </c>
      <c r="G786">
        <v>4070900</v>
      </c>
    </row>
    <row r="787" spans="1:7" x14ac:dyDescent="0.3">
      <c r="A787" s="206">
        <v>44547</v>
      </c>
      <c r="B787">
        <v>61.209999000000003</v>
      </c>
      <c r="C787">
        <v>61.220001000000003</v>
      </c>
      <c r="D787">
        <v>59.799999</v>
      </c>
      <c r="E787">
        <v>60.25</v>
      </c>
      <c r="F787">
        <v>57.078217000000002</v>
      </c>
      <c r="G787">
        <v>8229700</v>
      </c>
    </row>
    <row r="788" spans="1:7" x14ac:dyDescent="0.3">
      <c r="A788" s="206">
        <v>44550</v>
      </c>
      <c r="B788">
        <v>59.360000999999997</v>
      </c>
      <c r="C788">
        <v>59.360000999999997</v>
      </c>
      <c r="D788">
        <v>57.57</v>
      </c>
      <c r="E788">
        <v>58.59</v>
      </c>
      <c r="F788">
        <v>55.505603999999998</v>
      </c>
      <c r="G788">
        <v>5890800</v>
      </c>
    </row>
    <row r="789" spans="1:7" x14ac:dyDescent="0.3">
      <c r="A789" s="206">
        <v>44551</v>
      </c>
      <c r="B789">
        <v>59.290000999999997</v>
      </c>
      <c r="C789">
        <v>60.919998</v>
      </c>
      <c r="D789">
        <v>59.23</v>
      </c>
      <c r="E789">
        <v>60.32</v>
      </c>
      <c r="F789">
        <v>57.144526999999997</v>
      </c>
      <c r="G789">
        <v>4137100</v>
      </c>
    </row>
    <row r="790" spans="1:7" x14ac:dyDescent="0.3">
      <c r="A790" s="206">
        <v>44552</v>
      </c>
      <c r="B790">
        <v>60.27</v>
      </c>
      <c r="C790">
        <v>61.16</v>
      </c>
      <c r="D790">
        <v>60.18</v>
      </c>
      <c r="E790">
        <v>60.880001</v>
      </c>
      <c r="F790">
        <v>57.675049000000001</v>
      </c>
      <c r="G790">
        <v>2880600</v>
      </c>
    </row>
    <row r="791" spans="1:7" x14ac:dyDescent="0.3">
      <c r="A791" s="206">
        <v>44553</v>
      </c>
      <c r="B791">
        <v>61.23</v>
      </c>
      <c r="C791">
        <v>62.119999</v>
      </c>
      <c r="D791">
        <v>61.23</v>
      </c>
      <c r="E791">
        <v>61.779998999999997</v>
      </c>
      <c r="F791">
        <v>58.527664000000001</v>
      </c>
      <c r="G791">
        <v>3307200</v>
      </c>
    </row>
    <row r="792" spans="1:7" x14ac:dyDescent="0.3">
      <c r="A792" s="206">
        <v>44557</v>
      </c>
      <c r="B792">
        <v>61.959999000000003</v>
      </c>
      <c r="C792">
        <v>62.580002</v>
      </c>
      <c r="D792">
        <v>61.630001</v>
      </c>
      <c r="E792">
        <v>62.490001999999997</v>
      </c>
      <c r="F792">
        <v>59.200294</v>
      </c>
      <c r="G792">
        <v>2954100</v>
      </c>
    </row>
    <row r="793" spans="1:7" x14ac:dyDescent="0.3">
      <c r="A793" s="206">
        <v>44558</v>
      </c>
      <c r="B793">
        <v>62.349997999999999</v>
      </c>
      <c r="C793">
        <v>63.299999</v>
      </c>
      <c r="D793">
        <v>62.310001</v>
      </c>
      <c r="E793">
        <v>62.610000999999997</v>
      </c>
      <c r="F793">
        <v>59.313980000000001</v>
      </c>
      <c r="G793">
        <v>3663000</v>
      </c>
    </row>
    <row r="794" spans="1:7" x14ac:dyDescent="0.3">
      <c r="A794" s="206">
        <v>44559</v>
      </c>
      <c r="B794">
        <v>62.610000999999997</v>
      </c>
      <c r="C794">
        <v>63.080002</v>
      </c>
      <c r="D794">
        <v>62.400002000000001</v>
      </c>
      <c r="E794">
        <v>62.68</v>
      </c>
      <c r="F794">
        <v>59.380291</v>
      </c>
      <c r="G794">
        <v>2140400</v>
      </c>
    </row>
    <row r="795" spans="1:7" x14ac:dyDescent="0.3">
      <c r="A795" s="206">
        <v>44560</v>
      </c>
      <c r="B795">
        <v>62.869999</v>
      </c>
      <c r="C795">
        <v>63.32</v>
      </c>
      <c r="D795">
        <v>62.52</v>
      </c>
      <c r="E795">
        <v>62.580002</v>
      </c>
      <c r="F795">
        <v>59.285561000000001</v>
      </c>
      <c r="G795">
        <v>2233100</v>
      </c>
    </row>
    <row r="796" spans="1:7" x14ac:dyDescent="0.3">
      <c r="A796" s="206">
        <v>44561</v>
      </c>
      <c r="B796">
        <v>62.32</v>
      </c>
      <c r="C796">
        <v>62.889999000000003</v>
      </c>
      <c r="D796">
        <v>62.299999</v>
      </c>
      <c r="E796">
        <v>62.490001999999997</v>
      </c>
      <c r="F796">
        <v>59.200294</v>
      </c>
      <c r="G796">
        <v>2172700</v>
      </c>
    </row>
    <row r="797" spans="1:7" x14ac:dyDescent="0.3">
      <c r="A797" s="206">
        <v>44564</v>
      </c>
      <c r="B797">
        <v>62.939999</v>
      </c>
      <c r="C797">
        <v>64.010002</v>
      </c>
      <c r="D797">
        <v>62.900002000000001</v>
      </c>
      <c r="E797">
        <v>63.23</v>
      </c>
      <c r="F797">
        <v>59.901333000000001</v>
      </c>
      <c r="G797">
        <v>3895900</v>
      </c>
    </row>
    <row r="798" spans="1:7" x14ac:dyDescent="0.3">
      <c r="A798" s="206">
        <v>44565</v>
      </c>
      <c r="B798">
        <v>64.180000000000007</v>
      </c>
      <c r="C798">
        <v>65.430000000000007</v>
      </c>
      <c r="D798">
        <v>63.93</v>
      </c>
      <c r="E798">
        <v>64.940002000000007</v>
      </c>
      <c r="F798">
        <v>61.521317000000003</v>
      </c>
      <c r="G798">
        <v>4496900</v>
      </c>
    </row>
    <row r="799" spans="1:7" x14ac:dyDescent="0.3">
      <c r="A799" s="206">
        <v>44566</v>
      </c>
      <c r="B799">
        <v>66.139999000000003</v>
      </c>
      <c r="C799">
        <v>66.389999000000003</v>
      </c>
      <c r="D799">
        <v>64.540001000000004</v>
      </c>
      <c r="E799">
        <v>64.629997000000003</v>
      </c>
      <c r="F799">
        <v>61.227631000000002</v>
      </c>
      <c r="G799">
        <v>4759400</v>
      </c>
    </row>
    <row r="800" spans="1:7" x14ac:dyDescent="0.3">
      <c r="A800" s="206">
        <v>44567</v>
      </c>
      <c r="B800">
        <v>65.75</v>
      </c>
      <c r="C800">
        <v>66.5</v>
      </c>
      <c r="D800">
        <v>65.230002999999996</v>
      </c>
      <c r="E800">
        <v>66.449996999999996</v>
      </c>
      <c r="F800">
        <v>62.951824000000002</v>
      </c>
      <c r="G800">
        <v>9476200</v>
      </c>
    </row>
    <row r="801" spans="1:7" x14ac:dyDescent="0.3">
      <c r="A801" s="206">
        <v>44568</v>
      </c>
      <c r="B801">
        <v>66.739998</v>
      </c>
      <c r="C801">
        <v>67.879997000000003</v>
      </c>
      <c r="D801">
        <v>66.290001000000004</v>
      </c>
      <c r="E801">
        <v>67.260002</v>
      </c>
      <c r="F801">
        <v>63.719185000000003</v>
      </c>
      <c r="G801">
        <v>5002600</v>
      </c>
    </row>
    <row r="802" spans="1:7" x14ac:dyDescent="0.3">
      <c r="A802" s="206">
        <v>44571</v>
      </c>
      <c r="B802">
        <v>68</v>
      </c>
      <c r="C802">
        <v>68.150002000000001</v>
      </c>
      <c r="D802">
        <v>66.940002000000007</v>
      </c>
      <c r="E802">
        <v>67.5</v>
      </c>
      <c r="F802">
        <v>63.946548</v>
      </c>
      <c r="G802">
        <v>4223400</v>
      </c>
    </row>
    <row r="803" spans="1:7" x14ac:dyDescent="0.3">
      <c r="A803" s="206">
        <v>44572</v>
      </c>
      <c r="B803">
        <v>67.680000000000007</v>
      </c>
      <c r="C803">
        <v>68.029999000000004</v>
      </c>
      <c r="D803">
        <v>67.209998999999996</v>
      </c>
      <c r="E803">
        <v>68</v>
      </c>
      <c r="F803">
        <v>64.420219000000003</v>
      </c>
      <c r="G803">
        <v>3037600</v>
      </c>
    </row>
    <row r="804" spans="1:7" x14ac:dyDescent="0.3">
      <c r="A804" s="206">
        <v>44573</v>
      </c>
      <c r="B804">
        <v>67.830001999999993</v>
      </c>
      <c r="C804">
        <v>68.559997999999993</v>
      </c>
      <c r="D804">
        <v>67.129997000000003</v>
      </c>
      <c r="E804">
        <v>67.620002999999997</v>
      </c>
      <c r="F804">
        <v>64.060233999999994</v>
      </c>
      <c r="G804">
        <v>3183600</v>
      </c>
    </row>
    <row r="805" spans="1:7" x14ac:dyDescent="0.3">
      <c r="A805" s="206">
        <v>44574</v>
      </c>
      <c r="B805">
        <v>67.980002999999996</v>
      </c>
      <c r="C805">
        <v>68.580001999999993</v>
      </c>
      <c r="D805">
        <v>67.660004000000001</v>
      </c>
      <c r="E805">
        <v>67.889999000000003</v>
      </c>
      <c r="F805">
        <v>64.316024999999996</v>
      </c>
      <c r="G805">
        <v>2743300</v>
      </c>
    </row>
    <row r="806" spans="1:7" x14ac:dyDescent="0.3">
      <c r="A806" s="206">
        <v>44575</v>
      </c>
      <c r="B806">
        <v>67.129997000000003</v>
      </c>
      <c r="C806">
        <v>68.470000999999996</v>
      </c>
      <c r="D806">
        <v>66.669998000000007</v>
      </c>
      <c r="E806">
        <v>68.370002999999997</v>
      </c>
      <c r="F806">
        <v>64.770752000000002</v>
      </c>
      <c r="G806">
        <v>3735100</v>
      </c>
    </row>
    <row r="807" spans="1:7" x14ac:dyDescent="0.3">
      <c r="A807" s="206">
        <v>44579</v>
      </c>
      <c r="B807">
        <v>68.760002</v>
      </c>
      <c r="C807">
        <v>69.160004000000001</v>
      </c>
      <c r="D807">
        <v>67.779999000000004</v>
      </c>
      <c r="E807">
        <v>68.190002000000007</v>
      </c>
      <c r="F807">
        <v>64.600219999999993</v>
      </c>
      <c r="G807">
        <v>4306200</v>
      </c>
    </row>
    <row r="808" spans="1:7" x14ac:dyDescent="0.3">
      <c r="A808" s="206">
        <v>44580</v>
      </c>
      <c r="B808">
        <v>68.430000000000007</v>
      </c>
      <c r="C808">
        <v>68.639999000000003</v>
      </c>
      <c r="D808">
        <v>66.699996999999996</v>
      </c>
      <c r="E808">
        <v>66.760002</v>
      </c>
      <c r="F808">
        <v>63.245510000000003</v>
      </c>
      <c r="G808">
        <v>3566000</v>
      </c>
    </row>
    <row r="809" spans="1:7" x14ac:dyDescent="0.3">
      <c r="A809" s="206">
        <v>44581</v>
      </c>
      <c r="B809">
        <v>66.779999000000004</v>
      </c>
      <c r="C809">
        <v>67.809997999999993</v>
      </c>
      <c r="D809">
        <v>66.099997999999999</v>
      </c>
      <c r="E809">
        <v>66.459998999999996</v>
      </c>
      <c r="F809">
        <v>62.961300000000001</v>
      </c>
      <c r="G809">
        <v>3453400</v>
      </c>
    </row>
    <row r="810" spans="1:7" x14ac:dyDescent="0.3">
      <c r="A810" s="206">
        <v>44582</v>
      </c>
      <c r="B810">
        <v>66.269997000000004</v>
      </c>
      <c r="C810">
        <v>66.739998</v>
      </c>
      <c r="D810">
        <v>64.599997999999999</v>
      </c>
      <c r="E810">
        <v>65.610000999999997</v>
      </c>
      <c r="F810">
        <v>62.156044000000001</v>
      </c>
      <c r="G810">
        <v>5224300</v>
      </c>
    </row>
    <row r="811" spans="1:7" x14ac:dyDescent="0.3">
      <c r="A811" s="206">
        <v>44585</v>
      </c>
      <c r="B811">
        <v>64.489998</v>
      </c>
      <c r="C811">
        <v>65.650002000000001</v>
      </c>
      <c r="D811">
        <v>62.73</v>
      </c>
      <c r="E811">
        <v>65.410004000000001</v>
      </c>
      <c r="F811">
        <v>61.966583</v>
      </c>
      <c r="G811">
        <v>6795700</v>
      </c>
    </row>
    <row r="812" spans="1:7" x14ac:dyDescent="0.3">
      <c r="A812" s="206">
        <v>44586</v>
      </c>
      <c r="B812">
        <v>64.639999000000003</v>
      </c>
      <c r="C812">
        <v>66.050003000000004</v>
      </c>
      <c r="D812">
        <v>62.709999000000003</v>
      </c>
      <c r="E812">
        <v>65.430000000000007</v>
      </c>
      <c r="F812">
        <v>61.985518999999996</v>
      </c>
      <c r="G812">
        <v>5714700</v>
      </c>
    </row>
    <row r="813" spans="1:7" x14ac:dyDescent="0.3">
      <c r="A813" s="206">
        <v>44587</v>
      </c>
      <c r="B813">
        <v>66.800003000000004</v>
      </c>
      <c r="C813">
        <v>67.510002</v>
      </c>
      <c r="D813">
        <v>65.110000999999997</v>
      </c>
      <c r="E813">
        <v>66.059997999999993</v>
      </c>
      <c r="F813">
        <v>62.582355</v>
      </c>
      <c r="G813">
        <v>4795100</v>
      </c>
    </row>
    <row r="814" spans="1:7" x14ac:dyDescent="0.3">
      <c r="A814" s="206">
        <v>44588</v>
      </c>
      <c r="B814">
        <v>66.75</v>
      </c>
      <c r="C814">
        <v>67.940002000000007</v>
      </c>
      <c r="D814">
        <v>64.839995999999999</v>
      </c>
      <c r="E814">
        <v>65.309997999999993</v>
      </c>
      <c r="F814">
        <v>61.871834</v>
      </c>
      <c r="G814">
        <v>3871800</v>
      </c>
    </row>
    <row r="815" spans="1:7" x14ac:dyDescent="0.3">
      <c r="A815" s="206">
        <v>44589</v>
      </c>
      <c r="B815">
        <v>65.169998000000007</v>
      </c>
      <c r="C815">
        <v>66.080001999999993</v>
      </c>
      <c r="D815">
        <v>64.459998999999996</v>
      </c>
      <c r="E815">
        <v>66.059997999999993</v>
      </c>
      <c r="F815">
        <v>62.582355</v>
      </c>
      <c r="G815">
        <v>3851300</v>
      </c>
    </row>
    <row r="816" spans="1:7" x14ac:dyDescent="0.3">
      <c r="A816" s="206">
        <v>44592</v>
      </c>
      <c r="B816">
        <v>65.559997999999993</v>
      </c>
      <c r="C816">
        <v>67.300003000000004</v>
      </c>
      <c r="D816">
        <v>65.440002000000007</v>
      </c>
      <c r="E816">
        <v>67.059997999999993</v>
      </c>
      <c r="F816">
        <v>63.529713000000001</v>
      </c>
      <c r="G816">
        <v>7566400</v>
      </c>
    </row>
    <row r="817" spans="1:7" x14ac:dyDescent="0.3">
      <c r="A817" s="206">
        <v>44593</v>
      </c>
      <c r="B817">
        <v>66.699996999999996</v>
      </c>
      <c r="C817">
        <v>68.339995999999999</v>
      </c>
      <c r="D817">
        <v>66.440002000000007</v>
      </c>
      <c r="E817">
        <v>68.089995999999999</v>
      </c>
      <c r="F817">
        <v>64.505486000000005</v>
      </c>
      <c r="G817">
        <v>6150700</v>
      </c>
    </row>
    <row r="818" spans="1:7" x14ac:dyDescent="0.3">
      <c r="A818" s="206">
        <v>44594</v>
      </c>
      <c r="B818">
        <v>67.879997000000003</v>
      </c>
      <c r="C818">
        <v>68.889999000000003</v>
      </c>
      <c r="D818">
        <v>67.470000999999996</v>
      </c>
      <c r="E818">
        <v>68.529999000000004</v>
      </c>
      <c r="F818">
        <v>64.922318000000004</v>
      </c>
      <c r="G818">
        <v>6377400</v>
      </c>
    </row>
    <row r="819" spans="1:7" x14ac:dyDescent="0.3">
      <c r="A819" s="206">
        <v>44595</v>
      </c>
      <c r="B819">
        <v>70</v>
      </c>
      <c r="C819">
        <v>70.129997000000003</v>
      </c>
      <c r="D819">
        <v>67.5</v>
      </c>
      <c r="E819">
        <v>67.730002999999996</v>
      </c>
      <c r="F819">
        <v>64.164435999999995</v>
      </c>
      <c r="G819">
        <v>4340200</v>
      </c>
    </row>
    <row r="820" spans="1:7" x14ac:dyDescent="0.3">
      <c r="A820" s="206">
        <v>44596</v>
      </c>
      <c r="B820">
        <v>67.839995999999999</v>
      </c>
      <c r="C820">
        <v>69.730002999999996</v>
      </c>
      <c r="D820">
        <v>67.650002000000001</v>
      </c>
      <c r="E820">
        <v>68.989998</v>
      </c>
      <c r="F820">
        <v>65.358108999999999</v>
      </c>
      <c r="G820">
        <v>4070900</v>
      </c>
    </row>
    <row r="821" spans="1:7" x14ac:dyDescent="0.3">
      <c r="A821" s="206">
        <v>44599</v>
      </c>
      <c r="B821">
        <v>68.839995999999999</v>
      </c>
      <c r="C821">
        <v>69.580001999999993</v>
      </c>
      <c r="D821">
        <v>68.360000999999997</v>
      </c>
      <c r="E821">
        <v>68.870002999999997</v>
      </c>
      <c r="F821">
        <v>65.701545999999993</v>
      </c>
      <c r="G821">
        <v>4269800</v>
      </c>
    </row>
    <row r="822" spans="1:7" x14ac:dyDescent="0.3">
      <c r="A822" s="206">
        <v>44600</v>
      </c>
      <c r="B822">
        <v>69.699996999999996</v>
      </c>
      <c r="C822">
        <v>70.569999999999993</v>
      </c>
      <c r="D822">
        <v>69.25</v>
      </c>
      <c r="E822">
        <v>70.330001999999993</v>
      </c>
      <c r="F822">
        <v>67.094391000000002</v>
      </c>
      <c r="G822">
        <v>5130600</v>
      </c>
    </row>
    <row r="823" spans="1:7" x14ac:dyDescent="0.3">
      <c r="A823" s="206">
        <v>44601</v>
      </c>
      <c r="B823">
        <v>70.5</v>
      </c>
      <c r="C823">
        <v>71.599997999999999</v>
      </c>
      <c r="D823">
        <v>70.309997999999993</v>
      </c>
      <c r="E823">
        <v>70.419998000000007</v>
      </c>
      <c r="F823">
        <v>67.180237000000005</v>
      </c>
      <c r="G823">
        <v>4174000</v>
      </c>
    </row>
    <row r="824" spans="1:7" x14ac:dyDescent="0.3">
      <c r="A824" s="206">
        <v>44602</v>
      </c>
      <c r="B824">
        <v>70.110000999999997</v>
      </c>
      <c r="C824">
        <v>71.849997999999999</v>
      </c>
      <c r="D824">
        <v>70.080001999999993</v>
      </c>
      <c r="E824">
        <v>70.5</v>
      </c>
      <c r="F824">
        <v>67.256561000000005</v>
      </c>
      <c r="G824">
        <v>4035900</v>
      </c>
    </row>
    <row r="825" spans="1:7" x14ac:dyDescent="0.3">
      <c r="A825" s="206">
        <v>44603</v>
      </c>
      <c r="B825">
        <v>70.309997999999993</v>
      </c>
      <c r="C825">
        <v>72.550003000000004</v>
      </c>
      <c r="D825">
        <v>70.260002</v>
      </c>
      <c r="E825">
        <v>71.029999000000004</v>
      </c>
      <c r="F825">
        <v>67.762176999999994</v>
      </c>
      <c r="G825">
        <v>6416400</v>
      </c>
    </row>
    <row r="826" spans="1:7" x14ac:dyDescent="0.3">
      <c r="A826" s="206">
        <v>44606</v>
      </c>
      <c r="B826">
        <v>71.389999000000003</v>
      </c>
      <c r="C826">
        <v>71.470000999999996</v>
      </c>
      <c r="D826">
        <v>69.569999999999993</v>
      </c>
      <c r="E826">
        <v>70.129997000000003</v>
      </c>
      <c r="F826">
        <v>66.903580000000005</v>
      </c>
      <c r="G826">
        <v>7401500</v>
      </c>
    </row>
    <row r="827" spans="1:7" x14ac:dyDescent="0.3">
      <c r="A827" s="206">
        <v>44607</v>
      </c>
      <c r="B827">
        <v>70.900002000000001</v>
      </c>
      <c r="C827">
        <v>72.029999000000004</v>
      </c>
      <c r="D827">
        <v>70.760002</v>
      </c>
      <c r="E827">
        <v>71.569999999999993</v>
      </c>
      <c r="F827">
        <v>68.277327999999997</v>
      </c>
      <c r="G827">
        <v>3297000</v>
      </c>
    </row>
    <row r="828" spans="1:7" x14ac:dyDescent="0.3">
      <c r="A828" s="206">
        <v>44608</v>
      </c>
      <c r="B828">
        <v>70.970000999999996</v>
      </c>
      <c r="C828">
        <v>72.279999000000004</v>
      </c>
      <c r="D828">
        <v>70.769997000000004</v>
      </c>
      <c r="E828">
        <v>71.529999000000004</v>
      </c>
      <c r="F828">
        <v>68.239174000000006</v>
      </c>
      <c r="G828">
        <v>3442300</v>
      </c>
    </row>
    <row r="829" spans="1:7" x14ac:dyDescent="0.3">
      <c r="A829" s="206">
        <v>44609</v>
      </c>
      <c r="B829">
        <v>70.519997000000004</v>
      </c>
      <c r="C829">
        <v>70.870002999999997</v>
      </c>
      <c r="D829">
        <v>69.360000999999997</v>
      </c>
      <c r="E829">
        <v>69.809997999999993</v>
      </c>
      <c r="F829">
        <v>66.598297000000002</v>
      </c>
      <c r="G829">
        <v>3768200</v>
      </c>
    </row>
    <row r="830" spans="1:7" x14ac:dyDescent="0.3">
      <c r="A830" s="206">
        <v>44610</v>
      </c>
      <c r="B830">
        <v>69.529999000000004</v>
      </c>
      <c r="C830">
        <v>70.739998</v>
      </c>
      <c r="D830">
        <v>69.519997000000004</v>
      </c>
      <c r="E830">
        <v>69.550003000000004</v>
      </c>
      <c r="F830">
        <v>66.350257999999997</v>
      </c>
      <c r="G830">
        <v>5127000</v>
      </c>
    </row>
    <row r="831" spans="1:7" x14ac:dyDescent="0.3">
      <c r="A831" s="206">
        <v>44614</v>
      </c>
      <c r="B831">
        <v>69.489998</v>
      </c>
      <c r="C831">
        <v>69.970000999999996</v>
      </c>
      <c r="D831">
        <v>68.180000000000007</v>
      </c>
      <c r="E831">
        <v>68.959998999999996</v>
      </c>
      <c r="F831">
        <v>65.787398999999994</v>
      </c>
      <c r="G831">
        <v>3820600</v>
      </c>
    </row>
    <row r="832" spans="1:7" x14ac:dyDescent="0.3">
      <c r="A832" s="206">
        <v>44615</v>
      </c>
      <c r="B832">
        <v>69.449996999999996</v>
      </c>
      <c r="C832">
        <v>69.739998</v>
      </c>
      <c r="D832">
        <v>67.769997000000004</v>
      </c>
      <c r="E832">
        <v>68.050003000000004</v>
      </c>
      <c r="F832">
        <v>64.919265999999993</v>
      </c>
      <c r="G832">
        <v>4470300</v>
      </c>
    </row>
    <row r="833" spans="1:7" x14ac:dyDescent="0.3">
      <c r="A833" s="206">
        <v>44616</v>
      </c>
      <c r="B833">
        <v>65.849997999999999</v>
      </c>
      <c r="C833">
        <v>66.400002000000001</v>
      </c>
      <c r="D833">
        <v>64.260002</v>
      </c>
      <c r="E833">
        <v>66.220000999999996</v>
      </c>
      <c r="F833">
        <v>63.173457999999997</v>
      </c>
      <c r="G833">
        <v>7408400</v>
      </c>
    </row>
    <row r="834" spans="1:7" x14ac:dyDescent="0.3">
      <c r="A834" s="206">
        <v>44617</v>
      </c>
      <c r="B834">
        <v>66.540001000000004</v>
      </c>
      <c r="C834">
        <v>68.779999000000004</v>
      </c>
      <c r="D834">
        <v>66.540001000000004</v>
      </c>
      <c r="E834">
        <v>68.559997999999993</v>
      </c>
      <c r="F834">
        <v>65.405815000000004</v>
      </c>
      <c r="G834">
        <v>4808000</v>
      </c>
    </row>
    <row r="835" spans="1:7" x14ac:dyDescent="0.3">
      <c r="A835" s="206">
        <v>44620</v>
      </c>
      <c r="B835">
        <v>66.25</v>
      </c>
      <c r="C835">
        <v>67.660004000000001</v>
      </c>
      <c r="D835">
        <v>66.029999000000004</v>
      </c>
      <c r="E835">
        <v>67.550003000000004</v>
      </c>
      <c r="F835">
        <v>64.442276000000007</v>
      </c>
      <c r="G835">
        <v>5564900</v>
      </c>
    </row>
    <row r="836" spans="1:7" x14ac:dyDescent="0.3">
      <c r="A836" s="206">
        <v>44621</v>
      </c>
      <c r="B836">
        <v>66.690002000000007</v>
      </c>
      <c r="C836">
        <v>66.919998000000007</v>
      </c>
      <c r="D836">
        <v>63.759998000000003</v>
      </c>
      <c r="E836">
        <v>64.440002000000007</v>
      </c>
      <c r="F836">
        <v>61.475360999999999</v>
      </c>
      <c r="G836">
        <v>7742500</v>
      </c>
    </row>
    <row r="837" spans="1:7" x14ac:dyDescent="0.3">
      <c r="A837" s="206">
        <v>44622</v>
      </c>
      <c r="B837">
        <v>65.050003000000004</v>
      </c>
      <c r="C837">
        <v>66.940002000000007</v>
      </c>
      <c r="D837">
        <v>64.889999000000003</v>
      </c>
      <c r="E837">
        <v>66.410004000000001</v>
      </c>
      <c r="F837">
        <v>63.354725000000002</v>
      </c>
      <c r="G837">
        <v>4586100</v>
      </c>
    </row>
    <row r="838" spans="1:7" x14ac:dyDescent="0.3">
      <c r="A838" s="206">
        <v>44623</v>
      </c>
      <c r="B838">
        <v>66.580001999999993</v>
      </c>
      <c r="C838">
        <v>67.239998</v>
      </c>
      <c r="D838">
        <v>65.720000999999996</v>
      </c>
      <c r="E838">
        <v>66.559997999999993</v>
      </c>
      <c r="F838">
        <v>63.497813999999998</v>
      </c>
      <c r="G838">
        <v>4627300</v>
      </c>
    </row>
    <row r="839" spans="1:7" x14ac:dyDescent="0.3">
      <c r="A839" s="206">
        <v>44624</v>
      </c>
      <c r="B839">
        <v>64.800003000000004</v>
      </c>
      <c r="C839">
        <v>65.139999000000003</v>
      </c>
      <c r="D839">
        <v>62.779998999999997</v>
      </c>
      <c r="E839">
        <v>63.98</v>
      </c>
      <c r="F839">
        <v>61.036521999999998</v>
      </c>
      <c r="G839">
        <v>7097500</v>
      </c>
    </row>
    <row r="840" spans="1:7" x14ac:dyDescent="0.3">
      <c r="A840" s="206">
        <v>44627</v>
      </c>
      <c r="B840">
        <v>63.080002</v>
      </c>
      <c r="C840">
        <v>63.310001</v>
      </c>
      <c r="D840">
        <v>61.810001</v>
      </c>
      <c r="E840">
        <v>61.970001000000003</v>
      </c>
      <c r="F840">
        <v>59.118996000000003</v>
      </c>
      <c r="G840">
        <v>6469800</v>
      </c>
    </row>
    <row r="841" spans="1:7" x14ac:dyDescent="0.3">
      <c r="A841" s="206">
        <v>44628</v>
      </c>
      <c r="B841">
        <v>62.509998000000003</v>
      </c>
      <c r="C841">
        <v>63.93</v>
      </c>
      <c r="D841">
        <v>61.619999</v>
      </c>
      <c r="E841">
        <v>61.959999000000003</v>
      </c>
      <c r="F841">
        <v>59.109447000000003</v>
      </c>
      <c r="G841">
        <v>5846400</v>
      </c>
    </row>
    <row r="842" spans="1:7" x14ac:dyDescent="0.3">
      <c r="A842" s="206">
        <v>44629</v>
      </c>
      <c r="B842">
        <v>64.690002000000007</v>
      </c>
      <c r="C842">
        <v>65.269997000000004</v>
      </c>
      <c r="D842">
        <v>64.050003000000004</v>
      </c>
      <c r="E842">
        <v>64.440002000000007</v>
      </c>
      <c r="F842">
        <v>61.475360999999999</v>
      </c>
      <c r="G842">
        <v>5014000</v>
      </c>
    </row>
    <row r="843" spans="1:7" x14ac:dyDescent="0.3">
      <c r="A843" s="206">
        <v>44630</v>
      </c>
      <c r="B843">
        <v>63.610000999999997</v>
      </c>
      <c r="C843">
        <v>64.739998</v>
      </c>
      <c r="D843">
        <v>63.380001</v>
      </c>
      <c r="E843">
        <v>64.279999000000004</v>
      </c>
      <c r="F843">
        <v>61.322716</v>
      </c>
      <c r="G843">
        <v>3677300</v>
      </c>
    </row>
    <row r="844" spans="1:7" x14ac:dyDescent="0.3">
      <c r="A844" s="206">
        <v>44631</v>
      </c>
      <c r="B844">
        <v>64.849997999999999</v>
      </c>
      <c r="C844">
        <v>65.519997000000004</v>
      </c>
      <c r="D844">
        <v>64.059997999999993</v>
      </c>
      <c r="E844">
        <v>64.199996999999996</v>
      </c>
      <c r="F844">
        <v>61.246386999999999</v>
      </c>
      <c r="G844">
        <v>4246800</v>
      </c>
    </row>
    <row r="845" spans="1:7" x14ac:dyDescent="0.3">
      <c r="A845" s="206">
        <v>44634</v>
      </c>
      <c r="B845">
        <v>65.309997999999993</v>
      </c>
      <c r="C845">
        <v>65.760002</v>
      </c>
      <c r="D845">
        <v>64.230002999999996</v>
      </c>
      <c r="E845">
        <v>64.690002000000007</v>
      </c>
      <c r="F845">
        <v>61.713852000000003</v>
      </c>
      <c r="G845">
        <v>5042400</v>
      </c>
    </row>
    <row r="846" spans="1:7" x14ac:dyDescent="0.3">
      <c r="A846" s="206">
        <v>44635</v>
      </c>
      <c r="B846">
        <v>65.220000999999996</v>
      </c>
      <c r="C846">
        <v>65.699996999999996</v>
      </c>
      <c r="D846">
        <v>64.540001000000004</v>
      </c>
      <c r="E846">
        <v>65.319999999999993</v>
      </c>
      <c r="F846">
        <v>62.314861000000001</v>
      </c>
      <c r="G846">
        <v>3780600</v>
      </c>
    </row>
    <row r="847" spans="1:7" x14ac:dyDescent="0.3">
      <c r="A847" s="206">
        <v>44636</v>
      </c>
      <c r="B847">
        <v>66.190002000000007</v>
      </c>
      <c r="C847">
        <v>67.760002</v>
      </c>
      <c r="D847">
        <v>66.059997999999993</v>
      </c>
      <c r="E847">
        <v>67.519997000000004</v>
      </c>
      <c r="F847">
        <v>64.413657999999998</v>
      </c>
      <c r="G847">
        <v>6605400</v>
      </c>
    </row>
    <row r="848" spans="1:7" x14ac:dyDescent="0.3">
      <c r="A848" s="206">
        <v>44637</v>
      </c>
      <c r="B848">
        <v>66.739998</v>
      </c>
      <c r="C848">
        <v>68.199996999999996</v>
      </c>
      <c r="D848">
        <v>66.339995999999999</v>
      </c>
      <c r="E848">
        <v>68.169998000000007</v>
      </c>
      <c r="F848">
        <v>65.033752000000007</v>
      </c>
      <c r="G848">
        <v>4799500</v>
      </c>
    </row>
    <row r="849" spans="1:7" x14ac:dyDescent="0.3">
      <c r="A849" s="206">
        <v>44638</v>
      </c>
      <c r="B849">
        <v>67.980002999999996</v>
      </c>
      <c r="C849">
        <v>68.510002</v>
      </c>
      <c r="D849">
        <v>67.129997000000003</v>
      </c>
      <c r="E849">
        <v>68.449996999999996</v>
      </c>
      <c r="F849">
        <v>65.300865000000002</v>
      </c>
      <c r="G849">
        <v>11434300</v>
      </c>
    </row>
    <row r="850" spans="1:7" x14ac:dyDescent="0.3">
      <c r="A850" s="206">
        <v>44641</v>
      </c>
      <c r="B850">
        <v>69.029999000000004</v>
      </c>
      <c r="C850">
        <v>69.319999999999993</v>
      </c>
      <c r="D850">
        <v>68.059997999999993</v>
      </c>
      <c r="E850">
        <v>68.769997000000004</v>
      </c>
      <c r="F850">
        <v>65.606148000000005</v>
      </c>
      <c r="G850">
        <v>5833300</v>
      </c>
    </row>
    <row r="851" spans="1:7" x14ac:dyDescent="0.3">
      <c r="A851" s="206">
        <v>44642</v>
      </c>
      <c r="B851">
        <v>69.629997000000003</v>
      </c>
      <c r="C851">
        <v>71.160004000000001</v>
      </c>
      <c r="D851">
        <v>69.629997000000003</v>
      </c>
      <c r="E851">
        <v>70.319999999999993</v>
      </c>
      <c r="F851">
        <v>67.084830999999994</v>
      </c>
      <c r="G851">
        <v>5024700</v>
      </c>
    </row>
    <row r="852" spans="1:7" x14ac:dyDescent="0.3">
      <c r="A852" s="206">
        <v>44643</v>
      </c>
      <c r="B852">
        <v>69.919998000000007</v>
      </c>
      <c r="C852">
        <v>70.75</v>
      </c>
      <c r="D852">
        <v>69.379997000000003</v>
      </c>
      <c r="E852">
        <v>69.419998000000007</v>
      </c>
      <c r="F852">
        <v>66.226241999999999</v>
      </c>
      <c r="G852">
        <v>3812400</v>
      </c>
    </row>
    <row r="853" spans="1:7" x14ac:dyDescent="0.3">
      <c r="A853" s="206">
        <v>44644</v>
      </c>
      <c r="B853">
        <v>69.839995999999999</v>
      </c>
      <c r="C853">
        <v>70.660004000000001</v>
      </c>
      <c r="D853">
        <v>69.620002999999997</v>
      </c>
      <c r="E853">
        <v>70.190002000000007</v>
      </c>
      <c r="F853">
        <v>66.960823000000005</v>
      </c>
      <c r="G853">
        <v>3022200</v>
      </c>
    </row>
    <row r="854" spans="1:7" x14ac:dyDescent="0.3">
      <c r="A854" s="206">
        <v>44645</v>
      </c>
      <c r="B854">
        <v>69.959998999999996</v>
      </c>
      <c r="C854">
        <v>71.599997999999999</v>
      </c>
      <c r="D854">
        <v>69.959998999999996</v>
      </c>
      <c r="E854">
        <v>71.290001000000004</v>
      </c>
      <c r="F854">
        <v>68.010208000000006</v>
      </c>
      <c r="G854">
        <v>3246500</v>
      </c>
    </row>
    <row r="855" spans="1:7" x14ac:dyDescent="0.3">
      <c r="A855" s="206">
        <v>44648</v>
      </c>
      <c r="B855">
        <v>71.129997000000003</v>
      </c>
      <c r="C855">
        <v>71.290001000000004</v>
      </c>
      <c r="D855">
        <v>70.300003000000004</v>
      </c>
      <c r="E855">
        <v>71.279999000000004</v>
      </c>
      <c r="F855">
        <v>68.000679000000005</v>
      </c>
      <c r="G855">
        <v>3681700</v>
      </c>
    </row>
    <row r="856" spans="1:7" x14ac:dyDescent="0.3">
      <c r="A856" s="206">
        <v>44649</v>
      </c>
      <c r="B856">
        <v>72.050003000000004</v>
      </c>
      <c r="C856">
        <v>72.230002999999996</v>
      </c>
      <c r="D856">
        <v>70.830001999999993</v>
      </c>
      <c r="E856">
        <v>71.510002</v>
      </c>
      <c r="F856">
        <v>68.220093000000006</v>
      </c>
      <c r="G856">
        <v>3850000</v>
      </c>
    </row>
    <row r="857" spans="1:7" x14ac:dyDescent="0.3">
      <c r="A857" s="206">
        <v>44650</v>
      </c>
      <c r="B857">
        <v>71.589995999999999</v>
      </c>
      <c r="C857">
        <v>72.209998999999996</v>
      </c>
      <c r="D857">
        <v>71.190002000000007</v>
      </c>
      <c r="E857">
        <v>71.629997000000003</v>
      </c>
      <c r="F857">
        <v>68.334564</v>
      </c>
      <c r="G857">
        <v>4486100</v>
      </c>
    </row>
    <row r="858" spans="1:7" x14ac:dyDescent="0.3">
      <c r="A858" s="206">
        <v>44651</v>
      </c>
      <c r="B858">
        <v>71.5</v>
      </c>
      <c r="C858">
        <v>71.930000000000007</v>
      </c>
      <c r="D858">
        <v>70.269997000000004</v>
      </c>
      <c r="E858">
        <v>70.279999000000004</v>
      </c>
      <c r="F858">
        <v>67.046683999999999</v>
      </c>
      <c r="G858">
        <v>4593900</v>
      </c>
    </row>
    <row r="859" spans="1:7" x14ac:dyDescent="0.3">
      <c r="A859" s="206">
        <v>44652</v>
      </c>
      <c r="B859">
        <v>70.839995999999999</v>
      </c>
      <c r="C859">
        <v>71.480002999999996</v>
      </c>
      <c r="D859">
        <v>70.089995999999999</v>
      </c>
      <c r="E859">
        <v>70.5</v>
      </c>
      <c r="F859">
        <v>67.256561000000005</v>
      </c>
      <c r="G859">
        <v>4070100</v>
      </c>
    </row>
    <row r="860" spans="1:7" x14ac:dyDescent="0.3">
      <c r="A860" s="206">
        <v>44655</v>
      </c>
      <c r="B860">
        <v>70.309997999999993</v>
      </c>
      <c r="C860">
        <v>70.410004000000001</v>
      </c>
      <c r="D860">
        <v>69.160004000000001</v>
      </c>
      <c r="E860">
        <v>69.639999000000003</v>
      </c>
      <c r="F860">
        <v>66.436126999999999</v>
      </c>
      <c r="G860">
        <v>2805900</v>
      </c>
    </row>
    <row r="861" spans="1:7" x14ac:dyDescent="0.3">
      <c r="A861" s="206">
        <v>44656</v>
      </c>
      <c r="B861">
        <v>69.569999999999993</v>
      </c>
      <c r="C861">
        <v>70.75</v>
      </c>
      <c r="D861">
        <v>69.430000000000007</v>
      </c>
      <c r="E861">
        <v>70.010002</v>
      </c>
      <c r="F861">
        <v>66.789092999999994</v>
      </c>
      <c r="G861">
        <v>4360800</v>
      </c>
    </row>
    <row r="862" spans="1:7" x14ac:dyDescent="0.3">
      <c r="A862" s="206">
        <v>44657</v>
      </c>
      <c r="B862">
        <v>70.059997999999993</v>
      </c>
      <c r="C862">
        <v>70.769997000000004</v>
      </c>
      <c r="D862">
        <v>69.779999000000004</v>
      </c>
      <c r="E862">
        <v>70.069999999999993</v>
      </c>
      <c r="F862">
        <v>66.846335999999994</v>
      </c>
      <c r="G862">
        <v>4109400</v>
      </c>
    </row>
    <row r="863" spans="1:7" x14ac:dyDescent="0.3">
      <c r="A863" s="206">
        <v>44658</v>
      </c>
      <c r="B863">
        <v>69.900002000000001</v>
      </c>
      <c r="C863">
        <v>70.080001999999993</v>
      </c>
      <c r="D863">
        <v>68.169998000000007</v>
      </c>
      <c r="E863">
        <v>69.550003000000004</v>
      </c>
      <c r="F863">
        <v>66.350257999999997</v>
      </c>
      <c r="G863">
        <v>3482400</v>
      </c>
    </row>
    <row r="864" spans="1:7" x14ac:dyDescent="0.3">
      <c r="A864" s="206">
        <v>44659</v>
      </c>
      <c r="B864">
        <v>70.120002999999997</v>
      </c>
      <c r="C864">
        <v>71.150002000000001</v>
      </c>
      <c r="D864">
        <v>69.769997000000004</v>
      </c>
      <c r="E864">
        <v>70.610000999999997</v>
      </c>
      <c r="F864">
        <v>67.361503999999996</v>
      </c>
      <c r="G864">
        <v>2954900</v>
      </c>
    </row>
    <row r="865" spans="1:7" x14ac:dyDescent="0.3">
      <c r="A865" s="206">
        <v>44662</v>
      </c>
      <c r="B865">
        <v>70.680000000000007</v>
      </c>
      <c r="C865">
        <v>71.790001000000004</v>
      </c>
      <c r="D865">
        <v>70.419998000000007</v>
      </c>
      <c r="E865">
        <v>70.580001999999993</v>
      </c>
      <c r="F865">
        <v>67.332886000000002</v>
      </c>
      <c r="G865">
        <v>2650300</v>
      </c>
    </row>
    <row r="866" spans="1:7" x14ac:dyDescent="0.3">
      <c r="A866" s="206">
        <v>44663</v>
      </c>
      <c r="B866">
        <v>70.790001000000004</v>
      </c>
      <c r="C866">
        <v>71.540001000000004</v>
      </c>
      <c r="D866">
        <v>69.709998999999996</v>
      </c>
      <c r="E866">
        <v>70.160004000000001</v>
      </c>
      <c r="F866">
        <v>66.932204999999996</v>
      </c>
      <c r="G866">
        <v>2719400</v>
      </c>
    </row>
    <row r="867" spans="1:7" x14ac:dyDescent="0.3">
      <c r="A867" s="206">
        <v>44664</v>
      </c>
      <c r="B867">
        <v>69.790001000000004</v>
      </c>
      <c r="C867">
        <v>70.529999000000004</v>
      </c>
      <c r="D867">
        <v>69.290001000000004</v>
      </c>
      <c r="E867">
        <v>70.449996999999996</v>
      </c>
      <c r="F867">
        <v>67.208855</v>
      </c>
      <c r="G867">
        <v>2146500</v>
      </c>
    </row>
    <row r="868" spans="1:7" x14ac:dyDescent="0.3">
      <c r="A868" s="206">
        <v>44665</v>
      </c>
      <c r="B868">
        <v>70.430000000000007</v>
      </c>
      <c r="C868">
        <v>71.120002999999997</v>
      </c>
      <c r="D868">
        <v>70.150002000000001</v>
      </c>
      <c r="E868">
        <v>70.639999000000003</v>
      </c>
      <c r="F868">
        <v>67.390120999999994</v>
      </c>
      <c r="G868">
        <v>2847700</v>
      </c>
    </row>
    <row r="869" spans="1:7" x14ac:dyDescent="0.3">
      <c r="A869" s="206">
        <v>44669</v>
      </c>
      <c r="B869">
        <v>70.330001999999993</v>
      </c>
      <c r="C869">
        <v>71.639999000000003</v>
      </c>
      <c r="D869">
        <v>70.150002000000001</v>
      </c>
      <c r="E869">
        <v>71.230002999999996</v>
      </c>
      <c r="F869">
        <v>67.952979999999997</v>
      </c>
      <c r="G869">
        <v>3041100</v>
      </c>
    </row>
    <row r="870" spans="1:7" x14ac:dyDescent="0.3">
      <c r="A870" s="206">
        <v>44670</v>
      </c>
      <c r="B870">
        <v>71.519997000000004</v>
      </c>
      <c r="C870">
        <v>72.089995999999999</v>
      </c>
      <c r="D870">
        <v>71.230002999999996</v>
      </c>
      <c r="E870">
        <v>71.839995999999999</v>
      </c>
      <c r="F870">
        <v>68.534903999999997</v>
      </c>
      <c r="G870">
        <v>2662300</v>
      </c>
    </row>
    <row r="871" spans="1:7" x14ac:dyDescent="0.3">
      <c r="A871" s="206">
        <v>44671</v>
      </c>
      <c r="B871">
        <v>72.150002000000001</v>
      </c>
      <c r="C871">
        <v>73.089995999999999</v>
      </c>
      <c r="D871">
        <v>72.080001999999993</v>
      </c>
      <c r="E871">
        <v>72.440002000000007</v>
      </c>
      <c r="F871">
        <v>69.107307000000006</v>
      </c>
      <c r="G871">
        <v>2843400</v>
      </c>
    </row>
    <row r="872" spans="1:7" x14ac:dyDescent="0.3">
      <c r="A872" s="206">
        <v>44672</v>
      </c>
      <c r="B872">
        <v>73</v>
      </c>
      <c r="C872">
        <v>73.180000000000007</v>
      </c>
      <c r="D872">
        <v>71.419998000000007</v>
      </c>
      <c r="E872">
        <v>71.580001999999993</v>
      </c>
      <c r="F872">
        <v>68.286873</v>
      </c>
      <c r="G872">
        <v>2226200</v>
      </c>
    </row>
    <row r="873" spans="1:7" x14ac:dyDescent="0.3">
      <c r="A873" s="206">
        <v>44673</v>
      </c>
      <c r="B873">
        <v>71.430000000000007</v>
      </c>
      <c r="C873">
        <v>71.510002</v>
      </c>
      <c r="D873">
        <v>69.5</v>
      </c>
      <c r="E873">
        <v>69.559997999999993</v>
      </c>
      <c r="F873">
        <v>66.359809999999996</v>
      </c>
      <c r="G873">
        <v>3113900</v>
      </c>
    </row>
    <row r="874" spans="1:7" x14ac:dyDescent="0.3">
      <c r="A874" s="206">
        <v>44676</v>
      </c>
      <c r="B874">
        <v>68.650002000000001</v>
      </c>
      <c r="C874">
        <v>69.239998</v>
      </c>
      <c r="D874">
        <v>66.610000999999997</v>
      </c>
      <c r="E874">
        <v>69.080001999999993</v>
      </c>
      <c r="F874">
        <v>65.901893999999999</v>
      </c>
      <c r="G874">
        <v>7028400</v>
      </c>
    </row>
    <row r="875" spans="1:7" x14ac:dyDescent="0.3">
      <c r="A875" s="206">
        <v>44677</v>
      </c>
      <c r="B875">
        <v>67.919998000000007</v>
      </c>
      <c r="C875">
        <v>68.819999999999993</v>
      </c>
      <c r="D875">
        <v>66.699996999999996</v>
      </c>
      <c r="E875">
        <v>66.720000999999996</v>
      </c>
      <c r="F875">
        <v>63.650471000000003</v>
      </c>
      <c r="G875">
        <v>3484700</v>
      </c>
    </row>
    <row r="876" spans="1:7" x14ac:dyDescent="0.3">
      <c r="A876" s="206">
        <v>44678</v>
      </c>
      <c r="B876">
        <v>66.830001999999993</v>
      </c>
      <c r="C876">
        <v>67.599997999999999</v>
      </c>
      <c r="D876">
        <v>66.260002</v>
      </c>
      <c r="E876">
        <v>66.900002000000001</v>
      </c>
      <c r="F876">
        <v>63.822186000000002</v>
      </c>
      <c r="G876">
        <v>3282900</v>
      </c>
    </row>
    <row r="877" spans="1:7" x14ac:dyDescent="0.3">
      <c r="A877" s="206">
        <v>44679</v>
      </c>
      <c r="B877">
        <v>67.610000999999997</v>
      </c>
      <c r="C877">
        <v>67.930000000000007</v>
      </c>
      <c r="D877">
        <v>66.160004000000001</v>
      </c>
      <c r="E877">
        <v>67.769997000000004</v>
      </c>
      <c r="F877">
        <v>64.652152999999998</v>
      </c>
      <c r="G877">
        <v>3222500</v>
      </c>
    </row>
    <row r="878" spans="1:7" x14ac:dyDescent="0.3">
      <c r="A878" s="206">
        <v>44680</v>
      </c>
      <c r="B878">
        <v>67.410004000000001</v>
      </c>
      <c r="C878">
        <v>68.069999999999993</v>
      </c>
      <c r="D878">
        <v>65.430000000000007</v>
      </c>
      <c r="E878">
        <v>65.680000000000007</v>
      </c>
      <c r="F878">
        <v>62.658301999999999</v>
      </c>
      <c r="G878">
        <v>3872900</v>
      </c>
    </row>
    <row r="879" spans="1:7" x14ac:dyDescent="0.3">
      <c r="A879" s="206">
        <v>44683</v>
      </c>
      <c r="B879">
        <v>66.150002000000001</v>
      </c>
      <c r="C879">
        <v>66.5</v>
      </c>
      <c r="D879">
        <v>64.879997000000003</v>
      </c>
      <c r="E879">
        <v>66.139999000000003</v>
      </c>
      <c r="F879">
        <v>63.097136999999996</v>
      </c>
      <c r="G879">
        <v>3255000</v>
      </c>
    </row>
    <row r="880" spans="1:7" x14ac:dyDescent="0.3">
      <c r="A880" s="206">
        <v>44684</v>
      </c>
      <c r="B880">
        <v>66.339995999999999</v>
      </c>
      <c r="C880">
        <v>67.379997000000003</v>
      </c>
      <c r="D880">
        <v>65.949996999999996</v>
      </c>
      <c r="E880">
        <v>66.639999000000003</v>
      </c>
      <c r="F880">
        <v>63.574139000000002</v>
      </c>
      <c r="G880">
        <v>3623200</v>
      </c>
    </row>
    <row r="881" spans="1:7" x14ac:dyDescent="0.3">
      <c r="A881" s="206">
        <v>44685</v>
      </c>
      <c r="B881">
        <v>66.559997999999993</v>
      </c>
      <c r="C881">
        <v>68.669998000000007</v>
      </c>
      <c r="D881">
        <v>66.370002999999997</v>
      </c>
      <c r="E881">
        <v>68.309997999999993</v>
      </c>
      <c r="F881">
        <v>65.167312999999993</v>
      </c>
      <c r="G881">
        <v>3823300</v>
      </c>
    </row>
    <row r="882" spans="1:7" x14ac:dyDescent="0.3">
      <c r="A882" s="206">
        <v>44686</v>
      </c>
      <c r="B882">
        <v>67.239998</v>
      </c>
      <c r="C882">
        <v>69.5</v>
      </c>
      <c r="D882">
        <v>66.569999999999993</v>
      </c>
      <c r="E882">
        <v>67.5</v>
      </c>
      <c r="F882">
        <v>64.394576999999998</v>
      </c>
      <c r="G882">
        <v>4689200</v>
      </c>
    </row>
    <row r="883" spans="1:7" x14ac:dyDescent="0.3">
      <c r="A883" s="206">
        <v>44687</v>
      </c>
      <c r="B883">
        <v>67.550003000000004</v>
      </c>
      <c r="C883">
        <v>67.730002999999996</v>
      </c>
      <c r="D883">
        <v>66.389999000000003</v>
      </c>
      <c r="E883">
        <v>67.540001000000004</v>
      </c>
      <c r="F883">
        <v>64.432738999999998</v>
      </c>
      <c r="G883">
        <v>4833600</v>
      </c>
    </row>
    <row r="884" spans="1:7" x14ac:dyDescent="0.3">
      <c r="A884" s="206">
        <v>44690</v>
      </c>
      <c r="B884">
        <v>66.589995999999999</v>
      </c>
      <c r="C884">
        <v>67.180000000000007</v>
      </c>
      <c r="D884">
        <v>65.370002999999997</v>
      </c>
      <c r="E884">
        <v>65.639999000000003</v>
      </c>
      <c r="F884">
        <v>63.087184999999998</v>
      </c>
      <c r="G884">
        <v>7275800</v>
      </c>
    </row>
    <row r="885" spans="1:7" x14ac:dyDescent="0.3">
      <c r="A885" s="206">
        <v>44691</v>
      </c>
      <c r="B885">
        <v>66.099997999999999</v>
      </c>
      <c r="C885">
        <v>67.050003000000004</v>
      </c>
      <c r="D885">
        <v>64.269997000000004</v>
      </c>
      <c r="E885">
        <v>64.809997999999993</v>
      </c>
      <c r="F885">
        <v>62.289459000000001</v>
      </c>
      <c r="G885">
        <v>5521400</v>
      </c>
    </row>
    <row r="886" spans="1:7" x14ac:dyDescent="0.3">
      <c r="A886" s="206">
        <v>44692</v>
      </c>
      <c r="B886">
        <v>65.019997000000004</v>
      </c>
      <c r="C886">
        <v>66.309997999999993</v>
      </c>
      <c r="D886">
        <v>64.050003000000004</v>
      </c>
      <c r="E886">
        <v>64.120002999999997</v>
      </c>
      <c r="F886">
        <v>61.626300999999998</v>
      </c>
      <c r="G886">
        <v>5219000</v>
      </c>
    </row>
    <row r="887" spans="1:7" x14ac:dyDescent="0.3">
      <c r="A887" s="206">
        <v>44693</v>
      </c>
      <c r="B887">
        <v>64.050003000000004</v>
      </c>
      <c r="C887">
        <v>64.099997999999999</v>
      </c>
      <c r="D887">
        <v>61.419998</v>
      </c>
      <c r="E887">
        <v>62.91</v>
      </c>
      <c r="F887">
        <v>60.463355999999997</v>
      </c>
      <c r="G887">
        <v>6862500</v>
      </c>
    </row>
    <row r="888" spans="1:7" x14ac:dyDescent="0.3">
      <c r="A888" s="206">
        <v>44694</v>
      </c>
      <c r="B888">
        <v>63.299999</v>
      </c>
      <c r="C888">
        <v>64.029999000000004</v>
      </c>
      <c r="D888">
        <v>62.82</v>
      </c>
      <c r="E888">
        <v>63.419998</v>
      </c>
      <c r="F888">
        <v>60.953518000000003</v>
      </c>
      <c r="G888">
        <v>4477700</v>
      </c>
    </row>
    <row r="889" spans="1:7" x14ac:dyDescent="0.3">
      <c r="A889" s="206">
        <v>44697</v>
      </c>
      <c r="B889">
        <v>63.290000999999997</v>
      </c>
      <c r="C889">
        <v>64.010002</v>
      </c>
      <c r="D889">
        <v>62.790000999999997</v>
      </c>
      <c r="E889">
        <v>63.619999</v>
      </c>
      <c r="F889">
        <v>61.145744000000001</v>
      </c>
      <c r="G889">
        <v>4237300</v>
      </c>
    </row>
    <row r="890" spans="1:7" x14ac:dyDescent="0.3">
      <c r="A890" s="206">
        <v>44698</v>
      </c>
      <c r="B890">
        <v>64.800003000000004</v>
      </c>
      <c r="C890">
        <v>65.440002000000007</v>
      </c>
      <c r="D890">
        <v>64.550003000000004</v>
      </c>
      <c r="E890">
        <v>64.989998</v>
      </c>
      <c r="F890">
        <v>62.46246</v>
      </c>
      <c r="G890">
        <v>4562500</v>
      </c>
    </row>
    <row r="891" spans="1:7" x14ac:dyDescent="0.3">
      <c r="A891" s="206">
        <v>44699</v>
      </c>
      <c r="B891">
        <v>64.580001999999993</v>
      </c>
      <c r="C891">
        <v>64.599997999999999</v>
      </c>
      <c r="D891">
        <v>62.970001000000003</v>
      </c>
      <c r="E891">
        <v>63.32</v>
      </c>
      <c r="F891">
        <v>60.857413999999999</v>
      </c>
      <c r="G891">
        <v>5096500</v>
      </c>
    </row>
    <row r="892" spans="1:7" x14ac:dyDescent="0.3">
      <c r="A892" s="206">
        <v>44700</v>
      </c>
      <c r="B892">
        <v>62.41</v>
      </c>
      <c r="C892">
        <v>63.599997999999999</v>
      </c>
      <c r="D892">
        <v>61.810001</v>
      </c>
      <c r="E892">
        <v>62.389999000000003</v>
      </c>
      <c r="F892">
        <v>59.963580999999998</v>
      </c>
      <c r="G892">
        <v>4455700</v>
      </c>
    </row>
    <row r="893" spans="1:7" x14ac:dyDescent="0.3">
      <c r="A893" s="206">
        <v>44701</v>
      </c>
      <c r="B893">
        <v>62.599997999999999</v>
      </c>
      <c r="C893">
        <v>63.259998000000003</v>
      </c>
      <c r="D893">
        <v>60.84</v>
      </c>
      <c r="E893">
        <v>62.049999</v>
      </c>
      <c r="F893">
        <v>59.636803</v>
      </c>
      <c r="G893">
        <v>5405400</v>
      </c>
    </row>
    <row r="894" spans="1:7" x14ac:dyDescent="0.3">
      <c r="A894" s="206">
        <v>44704</v>
      </c>
      <c r="B894">
        <v>63</v>
      </c>
      <c r="C894">
        <v>64.400002000000001</v>
      </c>
      <c r="D894">
        <v>62.869999</v>
      </c>
      <c r="E894">
        <v>63.950001</v>
      </c>
      <c r="F894">
        <v>61.462910000000001</v>
      </c>
      <c r="G894">
        <v>4983900</v>
      </c>
    </row>
    <row r="895" spans="1:7" x14ac:dyDescent="0.3">
      <c r="A895" s="206">
        <v>44705</v>
      </c>
      <c r="B895">
        <v>63.810001</v>
      </c>
      <c r="C895">
        <v>64.139999000000003</v>
      </c>
      <c r="D895">
        <v>62.369999</v>
      </c>
      <c r="E895">
        <v>63.880001</v>
      </c>
      <c r="F895">
        <v>61.395629999999997</v>
      </c>
      <c r="G895">
        <v>3738800</v>
      </c>
    </row>
    <row r="896" spans="1:7" x14ac:dyDescent="0.3">
      <c r="A896" s="206">
        <v>44706</v>
      </c>
      <c r="B896">
        <v>63.549999</v>
      </c>
      <c r="C896">
        <v>65.069999999999993</v>
      </c>
      <c r="D896">
        <v>63.549999</v>
      </c>
      <c r="E896">
        <v>64.599997999999999</v>
      </c>
      <c r="F896">
        <v>62.087631000000002</v>
      </c>
      <c r="G896">
        <v>5900800</v>
      </c>
    </row>
    <row r="897" spans="1:7" x14ac:dyDescent="0.3">
      <c r="A897" s="206">
        <v>44707</v>
      </c>
      <c r="B897">
        <v>65.639999000000003</v>
      </c>
      <c r="C897">
        <v>67.040001000000004</v>
      </c>
      <c r="D897">
        <v>65.580001999999993</v>
      </c>
      <c r="E897">
        <v>66.910004000000001</v>
      </c>
      <c r="F897">
        <v>64.307793000000004</v>
      </c>
      <c r="G897">
        <v>6343000</v>
      </c>
    </row>
    <row r="898" spans="1:7" x14ac:dyDescent="0.3">
      <c r="A898" s="206">
        <v>44708</v>
      </c>
      <c r="B898">
        <v>66.910004000000001</v>
      </c>
      <c r="C898">
        <v>67.940002000000007</v>
      </c>
      <c r="D898">
        <v>66.730002999999996</v>
      </c>
      <c r="E898">
        <v>67.720000999999996</v>
      </c>
      <c r="F898">
        <v>65.086296000000004</v>
      </c>
      <c r="G898">
        <v>4197500</v>
      </c>
    </row>
    <row r="899" spans="1:7" x14ac:dyDescent="0.3">
      <c r="A899" s="206">
        <v>44712</v>
      </c>
      <c r="B899">
        <v>66.75</v>
      </c>
      <c r="C899">
        <v>68.529999000000004</v>
      </c>
      <c r="D899">
        <v>66.690002000000007</v>
      </c>
      <c r="E899">
        <v>67.389999000000003</v>
      </c>
      <c r="F899">
        <v>64.769126999999997</v>
      </c>
      <c r="G899">
        <v>10013500</v>
      </c>
    </row>
    <row r="900" spans="1:7" x14ac:dyDescent="0.3">
      <c r="A900" s="206">
        <v>44713</v>
      </c>
      <c r="B900">
        <v>67.800003000000004</v>
      </c>
      <c r="C900">
        <v>67.819999999999993</v>
      </c>
      <c r="D900">
        <v>65.980002999999996</v>
      </c>
      <c r="E900">
        <v>66.660004000000001</v>
      </c>
      <c r="F900">
        <v>64.067520000000002</v>
      </c>
      <c r="G900">
        <v>3694200</v>
      </c>
    </row>
    <row r="901" spans="1:7" x14ac:dyDescent="0.3">
      <c r="A901" s="206">
        <v>44714</v>
      </c>
      <c r="B901">
        <v>66.779999000000004</v>
      </c>
      <c r="C901">
        <v>67.050003000000004</v>
      </c>
      <c r="D901">
        <v>65.669998000000007</v>
      </c>
      <c r="E901">
        <v>67.029999000000004</v>
      </c>
      <c r="F901">
        <v>64.423134000000005</v>
      </c>
      <c r="G901">
        <v>3102800</v>
      </c>
    </row>
    <row r="902" spans="1:7" x14ac:dyDescent="0.3">
      <c r="A902" s="206">
        <v>44715</v>
      </c>
      <c r="B902">
        <v>66.639999000000003</v>
      </c>
      <c r="C902">
        <v>67.25</v>
      </c>
      <c r="D902">
        <v>65.980002999999996</v>
      </c>
      <c r="E902">
        <v>66.190002000000007</v>
      </c>
      <c r="F902">
        <v>63.615791000000002</v>
      </c>
      <c r="G902">
        <v>2452000</v>
      </c>
    </row>
    <row r="903" spans="1:7" x14ac:dyDescent="0.3">
      <c r="A903" s="206">
        <v>44718</v>
      </c>
      <c r="B903">
        <v>66.720000999999996</v>
      </c>
      <c r="C903">
        <v>67.739998</v>
      </c>
      <c r="D903">
        <v>66.239998</v>
      </c>
      <c r="E903">
        <v>66.879997000000003</v>
      </c>
      <c r="F903">
        <v>64.278953999999999</v>
      </c>
      <c r="G903">
        <v>3267100</v>
      </c>
    </row>
    <row r="904" spans="1:7" x14ac:dyDescent="0.3">
      <c r="A904" s="206">
        <v>44719</v>
      </c>
      <c r="B904">
        <v>66.680000000000007</v>
      </c>
      <c r="C904">
        <v>67.900002000000001</v>
      </c>
      <c r="D904">
        <v>66.400002000000001</v>
      </c>
      <c r="E904">
        <v>67.690002000000007</v>
      </c>
      <c r="F904">
        <v>65.057456999999999</v>
      </c>
      <c r="G904">
        <v>3692800</v>
      </c>
    </row>
    <row r="905" spans="1:7" x14ac:dyDescent="0.3">
      <c r="A905" s="206">
        <v>44720</v>
      </c>
      <c r="B905">
        <v>67.440002000000007</v>
      </c>
      <c r="C905">
        <v>67.760002</v>
      </c>
      <c r="D905">
        <v>66.830001999999993</v>
      </c>
      <c r="E905">
        <v>67.239998</v>
      </c>
      <c r="F905">
        <v>64.624947000000006</v>
      </c>
      <c r="G905">
        <v>3099500</v>
      </c>
    </row>
    <row r="906" spans="1:7" x14ac:dyDescent="0.3">
      <c r="A906" s="206">
        <v>44721</v>
      </c>
      <c r="B906">
        <v>67.150002000000001</v>
      </c>
      <c r="C906">
        <v>67.559997999999993</v>
      </c>
      <c r="D906">
        <v>65.989998</v>
      </c>
      <c r="E906">
        <v>66.010002</v>
      </c>
      <c r="F906">
        <v>63.442794999999997</v>
      </c>
      <c r="G906">
        <v>3906500</v>
      </c>
    </row>
    <row r="907" spans="1:7" x14ac:dyDescent="0.3">
      <c r="A907" s="206">
        <v>44722</v>
      </c>
      <c r="B907">
        <v>64.449996999999996</v>
      </c>
      <c r="C907">
        <v>64.830001999999993</v>
      </c>
      <c r="D907">
        <v>63.27</v>
      </c>
      <c r="E907">
        <v>63.470001000000003</v>
      </c>
      <c r="F907">
        <v>61.001579</v>
      </c>
      <c r="G907">
        <v>5246300</v>
      </c>
    </row>
    <row r="908" spans="1:7" x14ac:dyDescent="0.3">
      <c r="A908" s="206">
        <v>44725</v>
      </c>
      <c r="B908">
        <v>62.290000999999997</v>
      </c>
      <c r="C908">
        <v>62.360000999999997</v>
      </c>
      <c r="D908">
        <v>60.549999</v>
      </c>
      <c r="E908">
        <v>61.040000999999997</v>
      </c>
      <c r="F908">
        <v>58.666083999999998</v>
      </c>
      <c r="G908">
        <v>6042200</v>
      </c>
    </row>
    <row r="909" spans="1:7" x14ac:dyDescent="0.3">
      <c r="A909" s="206">
        <v>44726</v>
      </c>
      <c r="B909">
        <v>61.41</v>
      </c>
      <c r="C909">
        <v>62.439999</v>
      </c>
      <c r="D909">
        <v>61.029998999999997</v>
      </c>
      <c r="E909">
        <v>61.860000999999997</v>
      </c>
      <c r="F909">
        <v>59.454197000000001</v>
      </c>
      <c r="G909">
        <v>4773700</v>
      </c>
    </row>
    <row r="910" spans="1:7" x14ac:dyDescent="0.3">
      <c r="A910" s="206">
        <v>44727</v>
      </c>
      <c r="B910">
        <v>62.599997999999999</v>
      </c>
      <c r="C910">
        <v>63.310001</v>
      </c>
      <c r="D910">
        <v>61.330002</v>
      </c>
      <c r="E910">
        <v>62.310001</v>
      </c>
      <c r="F910">
        <v>59.886691999999996</v>
      </c>
      <c r="G910">
        <v>4716900</v>
      </c>
    </row>
    <row r="911" spans="1:7" x14ac:dyDescent="0.3">
      <c r="A911" s="206">
        <v>44728</v>
      </c>
      <c r="B911">
        <v>61.299999</v>
      </c>
      <c r="C911">
        <v>61.380001</v>
      </c>
      <c r="D911">
        <v>60.209999000000003</v>
      </c>
      <c r="E911">
        <v>61.290000999999997</v>
      </c>
      <c r="F911">
        <v>58.906364000000004</v>
      </c>
      <c r="G911">
        <v>6145400</v>
      </c>
    </row>
    <row r="912" spans="1:7" x14ac:dyDescent="0.3">
      <c r="A912" s="206">
        <v>44729</v>
      </c>
      <c r="B912">
        <v>60.700001</v>
      </c>
      <c r="C912">
        <v>61.799999</v>
      </c>
      <c r="D912">
        <v>60.389999000000003</v>
      </c>
      <c r="E912">
        <v>60.869999</v>
      </c>
      <c r="F912">
        <v>58.502688999999997</v>
      </c>
      <c r="G912">
        <v>9326700</v>
      </c>
    </row>
    <row r="913" spans="1:7" x14ac:dyDescent="0.3">
      <c r="A913" s="206">
        <v>44733</v>
      </c>
      <c r="B913">
        <v>62.330002</v>
      </c>
      <c r="C913">
        <v>63.049999</v>
      </c>
      <c r="D913">
        <v>61.450001</v>
      </c>
      <c r="E913">
        <v>62.529998999999997</v>
      </c>
      <c r="F913">
        <v>60.098132999999997</v>
      </c>
      <c r="G913">
        <v>5463500</v>
      </c>
    </row>
    <row r="914" spans="1:7" x14ac:dyDescent="0.3">
      <c r="A914" s="206">
        <v>44734</v>
      </c>
      <c r="B914">
        <v>61.389999000000003</v>
      </c>
      <c r="C914">
        <v>62.43</v>
      </c>
      <c r="D914">
        <v>61.349997999999999</v>
      </c>
      <c r="E914">
        <v>61.75</v>
      </c>
      <c r="F914">
        <v>59.348472999999998</v>
      </c>
      <c r="G914">
        <v>4455300</v>
      </c>
    </row>
    <row r="915" spans="1:7" x14ac:dyDescent="0.3">
      <c r="A915" s="206">
        <v>44735</v>
      </c>
      <c r="B915">
        <v>62.200001</v>
      </c>
      <c r="C915">
        <v>62.5</v>
      </c>
      <c r="D915">
        <v>60.73</v>
      </c>
      <c r="E915">
        <v>61.330002</v>
      </c>
      <c r="F915">
        <v>58.944805000000002</v>
      </c>
      <c r="G915">
        <v>4429600</v>
      </c>
    </row>
    <row r="916" spans="1:7" x14ac:dyDescent="0.3">
      <c r="A916" s="206">
        <v>44736</v>
      </c>
      <c r="B916">
        <v>61.68</v>
      </c>
      <c r="C916">
        <v>64.580001999999993</v>
      </c>
      <c r="D916">
        <v>61.529998999999997</v>
      </c>
      <c r="E916">
        <v>64.220000999999996</v>
      </c>
      <c r="F916">
        <v>61.722411999999998</v>
      </c>
      <c r="G916">
        <v>6159400</v>
      </c>
    </row>
    <row r="917" spans="1:7" x14ac:dyDescent="0.3">
      <c r="A917" s="206">
        <v>44739</v>
      </c>
      <c r="B917">
        <v>64.550003000000004</v>
      </c>
      <c r="C917">
        <v>64.760002</v>
      </c>
      <c r="D917">
        <v>63.310001</v>
      </c>
      <c r="E917">
        <v>63.580002</v>
      </c>
      <c r="F917">
        <v>61.107300000000002</v>
      </c>
      <c r="G917">
        <v>3166200</v>
      </c>
    </row>
    <row r="918" spans="1:7" x14ac:dyDescent="0.3">
      <c r="A918" s="206">
        <v>44740</v>
      </c>
      <c r="B918">
        <v>64.519997000000004</v>
      </c>
      <c r="C918">
        <v>65.190002000000007</v>
      </c>
      <c r="D918">
        <v>63.709999000000003</v>
      </c>
      <c r="E918">
        <v>63.740001999999997</v>
      </c>
      <c r="F918">
        <v>61.261074000000001</v>
      </c>
      <c r="G918">
        <v>2994500</v>
      </c>
    </row>
    <row r="919" spans="1:7" x14ac:dyDescent="0.3">
      <c r="A919" s="206">
        <v>44741</v>
      </c>
      <c r="B919">
        <v>63.849997999999999</v>
      </c>
      <c r="C919">
        <v>63.950001</v>
      </c>
      <c r="D919">
        <v>62.709999000000003</v>
      </c>
      <c r="E919">
        <v>62.93</v>
      </c>
      <c r="F919">
        <v>60.482577999999997</v>
      </c>
      <c r="G919">
        <v>2303500</v>
      </c>
    </row>
    <row r="920" spans="1:7" x14ac:dyDescent="0.3">
      <c r="A920" s="206">
        <v>44742</v>
      </c>
      <c r="B920">
        <v>62.049999</v>
      </c>
      <c r="C920">
        <v>63.130001</v>
      </c>
      <c r="D920">
        <v>61.389999000000003</v>
      </c>
      <c r="E920">
        <v>62.790000999999997</v>
      </c>
      <c r="F920">
        <v>60.348022</v>
      </c>
      <c r="G920">
        <v>3842500</v>
      </c>
    </row>
    <row r="921" spans="1:7" x14ac:dyDescent="0.3">
      <c r="A921" s="206">
        <v>44743</v>
      </c>
      <c r="B921">
        <v>62.630001</v>
      </c>
      <c r="C921">
        <v>63.75</v>
      </c>
      <c r="D921">
        <v>62.02</v>
      </c>
      <c r="E921">
        <v>63.68</v>
      </c>
      <c r="F921">
        <v>61.203411000000003</v>
      </c>
      <c r="G921">
        <v>3811000</v>
      </c>
    </row>
    <row r="922" spans="1:7" x14ac:dyDescent="0.3">
      <c r="A922" s="206">
        <v>44747</v>
      </c>
      <c r="B922">
        <v>62.16</v>
      </c>
      <c r="C922">
        <v>62.470001000000003</v>
      </c>
      <c r="D922">
        <v>61.099997999999999</v>
      </c>
      <c r="E922">
        <v>62.34</v>
      </c>
      <c r="F922">
        <v>59.915526999999997</v>
      </c>
      <c r="G922">
        <v>3384800</v>
      </c>
    </row>
    <row r="923" spans="1:7" x14ac:dyDescent="0.3">
      <c r="A923" s="206">
        <v>44748</v>
      </c>
      <c r="B923">
        <v>61.650002000000001</v>
      </c>
      <c r="C923">
        <v>62.5</v>
      </c>
      <c r="D923">
        <v>60.810001</v>
      </c>
      <c r="E923">
        <v>61.93</v>
      </c>
      <c r="F923">
        <v>59.521473</v>
      </c>
      <c r="G923">
        <v>3818100</v>
      </c>
    </row>
    <row r="924" spans="1:7" x14ac:dyDescent="0.3">
      <c r="A924" s="206">
        <v>44749</v>
      </c>
      <c r="B924">
        <v>62.509998000000003</v>
      </c>
      <c r="C924">
        <v>63.240001999999997</v>
      </c>
      <c r="D924">
        <v>62.43</v>
      </c>
      <c r="E924">
        <v>63.029998999999997</v>
      </c>
      <c r="F924">
        <v>60.578690000000002</v>
      </c>
      <c r="G924">
        <v>5555200</v>
      </c>
    </row>
    <row r="925" spans="1:7" x14ac:dyDescent="0.3">
      <c r="A925" s="206">
        <v>44750</v>
      </c>
      <c r="B925">
        <v>63.330002</v>
      </c>
      <c r="C925">
        <v>63.880001</v>
      </c>
      <c r="D925">
        <v>62.580002</v>
      </c>
      <c r="E925">
        <v>62.630001</v>
      </c>
      <c r="F925">
        <v>60.194248000000002</v>
      </c>
      <c r="G925">
        <v>4159700</v>
      </c>
    </row>
    <row r="926" spans="1:7" x14ac:dyDescent="0.3">
      <c r="A926" s="206">
        <v>44753</v>
      </c>
      <c r="B926">
        <v>62.240001999999997</v>
      </c>
      <c r="C926">
        <v>62.880001</v>
      </c>
      <c r="D926">
        <v>61.939999</v>
      </c>
      <c r="E926">
        <v>62.110000999999997</v>
      </c>
      <c r="F926">
        <v>59.694473000000002</v>
      </c>
      <c r="G926">
        <v>2461900</v>
      </c>
    </row>
    <row r="927" spans="1:7" x14ac:dyDescent="0.3">
      <c r="A927" s="206">
        <v>44754</v>
      </c>
      <c r="B927">
        <v>61.509998000000003</v>
      </c>
      <c r="C927">
        <v>62.860000999999997</v>
      </c>
      <c r="D927">
        <v>61.220001000000003</v>
      </c>
      <c r="E927">
        <v>61.790000999999997</v>
      </c>
      <c r="F927">
        <v>59.386921000000001</v>
      </c>
      <c r="G927">
        <v>3829200</v>
      </c>
    </row>
    <row r="928" spans="1:7" x14ac:dyDescent="0.3">
      <c r="A928" s="206">
        <v>44755</v>
      </c>
      <c r="B928">
        <v>61.029998999999997</v>
      </c>
      <c r="C928">
        <v>61.130001</v>
      </c>
      <c r="D928">
        <v>59.299999</v>
      </c>
      <c r="E928">
        <v>59.950001</v>
      </c>
      <c r="F928">
        <v>57.618473000000002</v>
      </c>
      <c r="G928">
        <v>5967200</v>
      </c>
    </row>
    <row r="929" spans="1:7" x14ac:dyDescent="0.3">
      <c r="A929" s="206">
        <v>44756</v>
      </c>
      <c r="B929">
        <v>58.360000999999997</v>
      </c>
      <c r="C929">
        <v>58.619999</v>
      </c>
      <c r="D929">
        <v>57.41</v>
      </c>
      <c r="E929">
        <v>57.91</v>
      </c>
      <c r="F929">
        <v>55.657814000000002</v>
      </c>
      <c r="G929">
        <v>7424900</v>
      </c>
    </row>
    <row r="930" spans="1:7" x14ac:dyDescent="0.3">
      <c r="A930" s="206">
        <v>44757</v>
      </c>
      <c r="B930">
        <v>58.650002000000001</v>
      </c>
      <c r="C930">
        <v>59.450001</v>
      </c>
      <c r="D930">
        <v>57.82</v>
      </c>
      <c r="E930">
        <v>59.029998999999997</v>
      </c>
      <c r="F930">
        <v>56.734253000000002</v>
      </c>
      <c r="G930">
        <v>3918000</v>
      </c>
    </row>
    <row r="931" spans="1:7" x14ac:dyDescent="0.3">
      <c r="A931" s="206">
        <v>44760</v>
      </c>
      <c r="B931">
        <v>59.619999</v>
      </c>
      <c r="C931">
        <v>60.549999</v>
      </c>
      <c r="D931">
        <v>58.880001</v>
      </c>
      <c r="E931">
        <v>59.099997999999999</v>
      </c>
      <c r="F931">
        <v>56.801532999999999</v>
      </c>
      <c r="G931">
        <v>3704900</v>
      </c>
    </row>
    <row r="932" spans="1:7" x14ac:dyDescent="0.3">
      <c r="A932" s="206">
        <v>44761</v>
      </c>
      <c r="B932">
        <v>59.959999000000003</v>
      </c>
      <c r="C932">
        <v>61.23</v>
      </c>
      <c r="D932">
        <v>59.75</v>
      </c>
      <c r="E932">
        <v>60.799999</v>
      </c>
      <c r="F932">
        <v>58.435417000000001</v>
      </c>
      <c r="G932">
        <v>5173200</v>
      </c>
    </row>
    <row r="933" spans="1:7" x14ac:dyDescent="0.3">
      <c r="A933" s="206">
        <v>44762</v>
      </c>
      <c r="B933">
        <v>60.119999</v>
      </c>
      <c r="C933">
        <v>61.650002000000001</v>
      </c>
      <c r="D933">
        <v>60.119999</v>
      </c>
      <c r="E933">
        <v>61.279998999999997</v>
      </c>
      <c r="F933">
        <v>58.896743999999998</v>
      </c>
      <c r="G933">
        <v>5669700</v>
      </c>
    </row>
    <row r="934" spans="1:7" x14ac:dyDescent="0.3">
      <c r="A934" s="206">
        <v>44763</v>
      </c>
      <c r="B934">
        <v>61.049999</v>
      </c>
      <c r="C934">
        <v>61.299999</v>
      </c>
      <c r="D934">
        <v>60.169998</v>
      </c>
      <c r="E934">
        <v>61.110000999999997</v>
      </c>
      <c r="F934">
        <v>58.733359999999998</v>
      </c>
      <c r="G934">
        <v>3741500</v>
      </c>
    </row>
    <row r="935" spans="1:7" x14ac:dyDescent="0.3">
      <c r="A935" s="206">
        <v>44764</v>
      </c>
      <c r="B935">
        <v>61.369999</v>
      </c>
      <c r="C935">
        <v>61.880001</v>
      </c>
      <c r="D935">
        <v>60.330002</v>
      </c>
      <c r="E935">
        <v>60.849997999999999</v>
      </c>
      <c r="F935">
        <v>58.483471000000002</v>
      </c>
      <c r="G935">
        <v>3106400</v>
      </c>
    </row>
    <row r="936" spans="1:7" x14ac:dyDescent="0.3">
      <c r="A936" s="206">
        <v>44767</v>
      </c>
      <c r="B936">
        <v>61.240001999999997</v>
      </c>
      <c r="C936">
        <v>61.93</v>
      </c>
      <c r="D936">
        <v>60.779998999999997</v>
      </c>
      <c r="E936">
        <v>61.630001</v>
      </c>
      <c r="F936">
        <v>59.233134999999997</v>
      </c>
      <c r="G936">
        <v>2843100</v>
      </c>
    </row>
    <row r="937" spans="1:7" x14ac:dyDescent="0.3">
      <c r="A937" s="206">
        <v>44768</v>
      </c>
      <c r="B937">
        <v>61.380001</v>
      </c>
      <c r="C937">
        <v>61.900002000000001</v>
      </c>
      <c r="D937">
        <v>61</v>
      </c>
      <c r="E937">
        <v>61.25</v>
      </c>
      <c r="F937">
        <v>58.867916000000001</v>
      </c>
      <c r="G937">
        <v>2601400</v>
      </c>
    </row>
    <row r="938" spans="1:7" x14ac:dyDescent="0.3">
      <c r="A938" s="206">
        <v>44769</v>
      </c>
      <c r="B938">
        <v>61.580002</v>
      </c>
      <c r="C938">
        <v>62.459999000000003</v>
      </c>
      <c r="D938">
        <v>61.200001</v>
      </c>
      <c r="E938">
        <v>62.25</v>
      </c>
      <c r="F938">
        <v>59.829025000000001</v>
      </c>
      <c r="G938">
        <v>3364800</v>
      </c>
    </row>
    <row r="939" spans="1:7" x14ac:dyDescent="0.3">
      <c r="A939" s="206">
        <v>44770</v>
      </c>
      <c r="B939">
        <v>62.080002</v>
      </c>
      <c r="C939">
        <v>62.310001</v>
      </c>
      <c r="D939">
        <v>60.75</v>
      </c>
      <c r="E939">
        <v>61.849997999999999</v>
      </c>
      <c r="F939">
        <v>59.444580000000002</v>
      </c>
      <c r="G939">
        <v>4426000</v>
      </c>
    </row>
    <row r="940" spans="1:7" x14ac:dyDescent="0.3">
      <c r="A940" s="206">
        <v>44771</v>
      </c>
      <c r="B940">
        <v>62.23</v>
      </c>
      <c r="C940">
        <v>63.720001000000003</v>
      </c>
      <c r="D940">
        <v>61.709999000000003</v>
      </c>
      <c r="E940">
        <v>63.25</v>
      </c>
      <c r="F940">
        <v>60.790137999999999</v>
      </c>
      <c r="G940">
        <v>5638600</v>
      </c>
    </row>
    <row r="941" spans="1:7" x14ac:dyDescent="0.3">
      <c r="A941" s="206">
        <v>44774</v>
      </c>
      <c r="B941">
        <v>62.740001999999997</v>
      </c>
      <c r="C941">
        <v>63.080002</v>
      </c>
      <c r="D941">
        <v>62.060001</v>
      </c>
      <c r="E941">
        <v>62.889999000000003</v>
      </c>
      <c r="F941">
        <v>60.444133999999998</v>
      </c>
      <c r="G941">
        <v>3634300</v>
      </c>
    </row>
    <row r="942" spans="1:7" x14ac:dyDescent="0.3">
      <c r="A942" s="206">
        <v>44775</v>
      </c>
      <c r="B942">
        <v>62.889999000000003</v>
      </c>
      <c r="C942">
        <v>62.959999000000003</v>
      </c>
      <c r="D942">
        <v>61.93</v>
      </c>
      <c r="E942">
        <v>62.009998000000003</v>
      </c>
      <c r="F942">
        <v>59.598357999999998</v>
      </c>
      <c r="G942">
        <v>4002200</v>
      </c>
    </row>
    <row r="943" spans="1:7" x14ac:dyDescent="0.3">
      <c r="A943" s="206">
        <v>44776</v>
      </c>
      <c r="B943">
        <v>62.150002000000001</v>
      </c>
      <c r="C943">
        <v>63.77</v>
      </c>
      <c r="D943">
        <v>62.119999</v>
      </c>
      <c r="E943">
        <v>63.599997999999999</v>
      </c>
      <c r="F943">
        <v>61.126517999999997</v>
      </c>
      <c r="G943">
        <v>5137500</v>
      </c>
    </row>
    <row r="944" spans="1:7" x14ac:dyDescent="0.3">
      <c r="A944" s="206">
        <v>44777</v>
      </c>
      <c r="B944">
        <v>64.199996999999996</v>
      </c>
      <c r="C944">
        <v>64.879997000000003</v>
      </c>
      <c r="D944">
        <v>63.549999</v>
      </c>
      <c r="E944">
        <v>63.799999</v>
      </c>
      <c r="F944">
        <v>61.318741000000003</v>
      </c>
      <c r="G944">
        <v>7369900</v>
      </c>
    </row>
    <row r="945" spans="1:7" x14ac:dyDescent="0.3">
      <c r="A945" s="206">
        <v>44778</v>
      </c>
      <c r="B945">
        <v>63.650002000000001</v>
      </c>
      <c r="C945">
        <v>64.290001000000004</v>
      </c>
      <c r="D945">
        <v>63.080002</v>
      </c>
      <c r="E945">
        <v>63.299999</v>
      </c>
      <c r="F945">
        <v>60.838188000000002</v>
      </c>
      <c r="G945">
        <v>4169000</v>
      </c>
    </row>
    <row r="946" spans="1:7" x14ac:dyDescent="0.3">
      <c r="A946" s="206">
        <v>44781</v>
      </c>
      <c r="B946">
        <v>63.25</v>
      </c>
      <c r="C946">
        <v>63.549999</v>
      </c>
      <c r="D946">
        <v>62.669998</v>
      </c>
      <c r="E946">
        <v>62.939999</v>
      </c>
      <c r="F946">
        <v>60.973812000000002</v>
      </c>
      <c r="G946">
        <v>3466400</v>
      </c>
    </row>
    <row r="947" spans="1:7" x14ac:dyDescent="0.3">
      <c r="A947" s="206">
        <v>44782</v>
      </c>
      <c r="B947">
        <v>63.34</v>
      </c>
      <c r="C947">
        <v>64.459998999999996</v>
      </c>
      <c r="D947">
        <v>63.259998000000003</v>
      </c>
      <c r="E947">
        <v>63.900002000000001</v>
      </c>
      <c r="F947">
        <v>61.903827999999997</v>
      </c>
      <c r="G947">
        <v>3511400</v>
      </c>
    </row>
    <row r="948" spans="1:7" x14ac:dyDescent="0.3">
      <c r="A948" s="206">
        <v>44783</v>
      </c>
      <c r="B948">
        <v>64.860000999999997</v>
      </c>
      <c r="C948">
        <v>65.980002999999996</v>
      </c>
      <c r="D948">
        <v>64.639999000000003</v>
      </c>
      <c r="E948">
        <v>65.930000000000007</v>
      </c>
      <c r="F948">
        <v>63.870403000000003</v>
      </c>
      <c r="G948">
        <v>4220100</v>
      </c>
    </row>
    <row r="949" spans="1:7" x14ac:dyDescent="0.3">
      <c r="A949" s="206">
        <v>44784</v>
      </c>
      <c r="B949">
        <v>66.540001000000004</v>
      </c>
      <c r="C949">
        <v>67.580001999999993</v>
      </c>
      <c r="D949">
        <v>66.519997000000004</v>
      </c>
      <c r="E949">
        <v>66.690002000000007</v>
      </c>
      <c r="F949">
        <v>64.606667000000002</v>
      </c>
      <c r="G949">
        <v>4689300</v>
      </c>
    </row>
    <row r="950" spans="1:7" x14ac:dyDescent="0.3">
      <c r="A950" s="206">
        <v>44785</v>
      </c>
      <c r="B950">
        <v>66.809997999999993</v>
      </c>
      <c r="C950">
        <v>67.879997000000003</v>
      </c>
      <c r="D950">
        <v>66.809997999999993</v>
      </c>
      <c r="E950">
        <v>67.809997999999993</v>
      </c>
      <c r="F950">
        <v>65.691672999999994</v>
      </c>
      <c r="G950">
        <v>3965900</v>
      </c>
    </row>
    <row r="951" spans="1:7" x14ac:dyDescent="0.3">
      <c r="A951" s="206">
        <v>44788</v>
      </c>
      <c r="B951">
        <v>66.940002000000007</v>
      </c>
      <c r="C951">
        <v>67.599997999999999</v>
      </c>
      <c r="D951">
        <v>66.730002999999996</v>
      </c>
      <c r="E951">
        <v>67.339995999999999</v>
      </c>
      <c r="F951">
        <v>65.236366000000004</v>
      </c>
      <c r="G951">
        <v>3979200</v>
      </c>
    </row>
    <row r="952" spans="1:7" x14ac:dyDescent="0.3">
      <c r="A952" s="206">
        <v>44789</v>
      </c>
      <c r="B952">
        <v>67.150002000000001</v>
      </c>
      <c r="C952">
        <v>67.989998</v>
      </c>
      <c r="D952">
        <v>67.099997999999999</v>
      </c>
      <c r="E952">
        <v>67.660004000000001</v>
      </c>
      <c r="F952">
        <v>65.546370999999994</v>
      </c>
      <c r="G952">
        <v>2595700</v>
      </c>
    </row>
    <row r="953" spans="1:7" x14ac:dyDescent="0.3">
      <c r="A953" s="206">
        <v>44790</v>
      </c>
      <c r="B953">
        <v>66.889999000000003</v>
      </c>
      <c r="C953">
        <v>67.849997999999999</v>
      </c>
      <c r="D953">
        <v>66.800003000000004</v>
      </c>
      <c r="E953">
        <v>67.470000999999996</v>
      </c>
      <c r="F953">
        <v>65.362296999999998</v>
      </c>
      <c r="G953">
        <v>3101700</v>
      </c>
    </row>
    <row r="954" spans="1:7" x14ac:dyDescent="0.3">
      <c r="A954" s="206">
        <v>44791</v>
      </c>
      <c r="B954">
        <v>67.379997000000003</v>
      </c>
      <c r="C954">
        <v>68.129997000000003</v>
      </c>
      <c r="D954">
        <v>67.279999000000004</v>
      </c>
      <c r="E954">
        <v>68.010002</v>
      </c>
      <c r="F954">
        <v>65.885429000000002</v>
      </c>
      <c r="G954">
        <v>2562200</v>
      </c>
    </row>
    <row r="955" spans="1:7" x14ac:dyDescent="0.3">
      <c r="A955" s="206">
        <v>44792</v>
      </c>
      <c r="B955">
        <v>67.650002000000001</v>
      </c>
      <c r="C955">
        <v>67.730002999999996</v>
      </c>
      <c r="D955">
        <v>67.209998999999996</v>
      </c>
      <c r="E955">
        <v>67.389999000000003</v>
      </c>
      <c r="F955">
        <v>65.284805000000006</v>
      </c>
      <c r="G955">
        <v>3154700</v>
      </c>
    </row>
    <row r="956" spans="1:7" x14ac:dyDescent="0.3">
      <c r="A956" s="206">
        <v>44795</v>
      </c>
      <c r="B956">
        <v>66.470000999999996</v>
      </c>
      <c r="C956">
        <v>66.470000999999996</v>
      </c>
      <c r="D956">
        <v>65.699996999999996</v>
      </c>
      <c r="E956">
        <v>65.910004000000001</v>
      </c>
      <c r="F956">
        <v>63.851036000000001</v>
      </c>
      <c r="G956">
        <v>3676600</v>
      </c>
    </row>
    <row r="957" spans="1:7" x14ac:dyDescent="0.3">
      <c r="A957" s="206">
        <v>44796</v>
      </c>
      <c r="B957">
        <v>66.150002000000001</v>
      </c>
      <c r="C957">
        <v>66.319999999999993</v>
      </c>
      <c r="D957">
        <v>65.660004000000001</v>
      </c>
      <c r="E957">
        <v>65.669998000000007</v>
      </c>
      <c r="F957">
        <v>63.618533999999997</v>
      </c>
      <c r="G957">
        <v>3011400</v>
      </c>
    </row>
    <row r="958" spans="1:7" x14ac:dyDescent="0.3">
      <c r="A958" s="206">
        <v>44797</v>
      </c>
      <c r="B958">
        <v>65.489998</v>
      </c>
      <c r="C958">
        <v>66.25</v>
      </c>
      <c r="D958">
        <v>65.239998</v>
      </c>
      <c r="E958">
        <v>66.040001000000004</v>
      </c>
      <c r="F958">
        <v>63.976970999999999</v>
      </c>
      <c r="G958">
        <v>2594500</v>
      </c>
    </row>
    <row r="959" spans="1:7" x14ac:dyDescent="0.3">
      <c r="A959" s="206">
        <v>44798</v>
      </c>
      <c r="B959">
        <v>66.319999999999993</v>
      </c>
      <c r="C959">
        <v>67.279999000000004</v>
      </c>
      <c r="D959">
        <v>66.110000999999997</v>
      </c>
      <c r="E959">
        <v>67.269997000000004</v>
      </c>
      <c r="F959">
        <v>65.168541000000005</v>
      </c>
      <c r="G959">
        <v>2855700</v>
      </c>
    </row>
    <row r="960" spans="1:7" x14ac:dyDescent="0.3">
      <c r="A960" s="206">
        <v>44799</v>
      </c>
      <c r="B960">
        <v>67.589995999999999</v>
      </c>
      <c r="C960">
        <v>67.830001999999993</v>
      </c>
      <c r="D960">
        <v>65.629997000000003</v>
      </c>
      <c r="E960">
        <v>65.680000000000007</v>
      </c>
      <c r="F960">
        <v>63.628216000000002</v>
      </c>
      <c r="G960">
        <v>3356700</v>
      </c>
    </row>
    <row r="961" spans="1:7" x14ac:dyDescent="0.3">
      <c r="A961" s="206">
        <v>44802</v>
      </c>
      <c r="B961">
        <v>65.150002000000001</v>
      </c>
      <c r="C961">
        <v>65.919998000000007</v>
      </c>
      <c r="D961">
        <v>64.819999999999993</v>
      </c>
      <c r="E961">
        <v>65.430000000000007</v>
      </c>
      <c r="F961">
        <v>63.386023999999999</v>
      </c>
      <c r="G961">
        <v>2942400</v>
      </c>
    </row>
    <row r="962" spans="1:7" x14ac:dyDescent="0.3">
      <c r="A962" s="206">
        <v>44803</v>
      </c>
      <c r="B962">
        <v>65.510002</v>
      </c>
      <c r="C962">
        <v>65.730002999999996</v>
      </c>
      <c r="D962">
        <v>64.489998</v>
      </c>
      <c r="E962">
        <v>64.980002999999996</v>
      </c>
      <c r="F962">
        <v>62.950091999999998</v>
      </c>
      <c r="G962">
        <v>3883900</v>
      </c>
    </row>
    <row r="963" spans="1:7" x14ac:dyDescent="0.3">
      <c r="A963" s="206">
        <v>44804</v>
      </c>
      <c r="B963">
        <v>65.199996999999996</v>
      </c>
      <c r="C963">
        <v>65.279999000000004</v>
      </c>
      <c r="D963">
        <v>64.279999000000004</v>
      </c>
      <c r="E963">
        <v>64.330001999999993</v>
      </c>
      <c r="F963">
        <v>62.320388999999999</v>
      </c>
      <c r="G963">
        <v>4574900</v>
      </c>
    </row>
    <row r="964" spans="1:7" x14ac:dyDescent="0.3">
      <c r="A964" s="206">
        <v>44805</v>
      </c>
      <c r="B964">
        <v>63.990001999999997</v>
      </c>
      <c r="C964">
        <v>64.910004000000001</v>
      </c>
      <c r="D964">
        <v>63.169998</v>
      </c>
      <c r="E964">
        <v>64.839995999999999</v>
      </c>
      <c r="F964">
        <v>62.814453</v>
      </c>
      <c r="G964">
        <v>4042300</v>
      </c>
    </row>
    <row r="965" spans="1:7" x14ac:dyDescent="0.3">
      <c r="A965" s="206">
        <v>44806</v>
      </c>
      <c r="B965">
        <v>65.650002000000001</v>
      </c>
      <c r="C965">
        <v>66.709998999999996</v>
      </c>
      <c r="D965">
        <v>64.709998999999996</v>
      </c>
      <c r="E965">
        <v>65.059997999999993</v>
      </c>
      <c r="F965">
        <v>63.027583999999997</v>
      </c>
      <c r="G965">
        <v>4609600</v>
      </c>
    </row>
    <row r="966" spans="1:7" x14ac:dyDescent="0.3">
      <c r="A966" s="206">
        <v>44810</v>
      </c>
      <c r="B966">
        <v>65.379997000000003</v>
      </c>
      <c r="C966">
        <v>65.760002</v>
      </c>
      <c r="D966">
        <v>64.449996999999996</v>
      </c>
      <c r="E966">
        <v>65.050003000000004</v>
      </c>
      <c r="F966">
        <v>63.017901999999999</v>
      </c>
      <c r="G966">
        <v>4276600</v>
      </c>
    </row>
    <row r="967" spans="1:7" x14ac:dyDescent="0.3">
      <c r="A967" s="206">
        <v>44811</v>
      </c>
      <c r="B967">
        <v>64.75</v>
      </c>
      <c r="C967">
        <v>66.449996999999996</v>
      </c>
      <c r="D967">
        <v>64.690002000000007</v>
      </c>
      <c r="E967">
        <v>66.169998000000007</v>
      </c>
      <c r="F967">
        <v>64.102913000000001</v>
      </c>
      <c r="G967">
        <v>3491700</v>
      </c>
    </row>
    <row r="968" spans="1:7" x14ac:dyDescent="0.3">
      <c r="A968" s="206">
        <v>44812</v>
      </c>
      <c r="B968">
        <v>66.069999999999993</v>
      </c>
      <c r="C968">
        <v>67.089995999999999</v>
      </c>
      <c r="D968">
        <v>65.790001000000004</v>
      </c>
      <c r="E968">
        <v>66.819999999999993</v>
      </c>
      <c r="F968">
        <v>64.732605000000007</v>
      </c>
      <c r="G968">
        <v>6856900</v>
      </c>
    </row>
    <row r="969" spans="1:7" x14ac:dyDescent="0.3">
      <c r="A969" s="206">
        <v>44813</v>
      </c>
      <c r="B969">
        <v>67.239998</v>
      </c>
      <c r="C969">
        <v>67.959998999999996</v>
      </c>
      <c r="D969">
        <v>67.120002999999997</v>
      </c>
      <c r="E969">
        <v>67.639999000000003</v>
      </c>
      <c r="F969">
        <v>65.526984999999996</v>
      </c>
      <c r="G969">
        <v>3786300</v>
      </c>
    </row>
    <row r="970" spans="1:7" x14ac:dyDescent="0.3">
      <c r="A970" s="206">
        <v>44816</v>
      </c>
      <c r="B970">
        <v>68.239998</v>
      </c>
      <c r="C970">
        <v>68.919998000000007</v>
      </c>
      <c r="D970">
        <v>68.010002</v>
      </c>
      <c r="E970">
        <v>68.519997000000004</v>
      </c>
      <c r="F970">
        <v>66.379501000000005</v>
      </c>
      <c r="G970">
        <v>3306800</v>
      </c>
    </row>
    <row r="971" spans="1:7" x14ac:dyDescent="0.3">
      <c r="A971" s="206">
        <v>44817</v>
      </c>
      <c r="B971">
        <v>67.279999000000004</v>
      </c>
      <c r="C971">
        <v>67.959998999999996</v>
      </c>
      <c r="D971">
        <v>66.269997000000004</v>
      </c>
      <c r="E971">
        <v>66.470000999999996</v>
      </c>
      <c r="F971">
        <v>64.393539000000004</v>
      </c>
      <c r="G971">
        <v>5815200</v>
      </c>
    </row>
    <row r="972" spans="1:7" x14ac:dyDescent="0.3">
      <c r="A972" s="206">
        <v>44818</v>
      </c>
      <c r="B972">
        <v>66.870002999999997</v>
      </c>
      <c r="C972">
        <v>67.489998</v>
      </c>
      <c r="D972">
        <v>65.860000999999997</v>
      </c>
      <c r="E972">
        <v>66.410004000000001</v>
      </c>
      <c r="F972">
        <v>64.335419000000002</v>
      </c>
      <c r="G972">
        <v>3658300</v>
      </c>
    </row>
    <row r="973" spans="1:7" x14ac:dyDescent="0.3">
      <c r="A973" s="206">
        <v>44819</v>
      </c>
      <c r="B973">
        <v>66.279999000000004</v>
      </c>
      <c r="C973">
        <v>66.830001999999993</v>
      </c>
      <c r="D973">
        <v>65.5</v>
      </c>
      <c r="E973">
        <v>65.690002000000007</v>
      </c>
      <c r="F973">
        <v>63.637905000000003</v>
      </c>
      <c r="G973">
        <v>5801300</v>
      </c>
    </row>
    <row r="974" spans="1:7" x14ac:dyDescent="0.3">
      <c r="A974" s="206">
        <v>44820</v>
      </c>
      <c r="B974">
        <v>65.360000999999997</v>
      </c>
      <c r="C974">
        <v>65.360000999999997</v>
      </c>
      <c r="D974">
        <v>64.25</v>
      </c>
      <c r="E974">
        <v>65.080001999999993</v>
      </c>
      <c r="F974">
        <v>63.046967000000002</v>
      </c>
      <c r="G974">
        <v>10163100</v>
      </c>
    </row>
    <row r="975" spans="1:7" x14ac:dyDescent="0.3">
      <c r="A975" s="206">
        <v>44823</v>
      </c>
      <c r="B975">
        <v>64.339995999999999</v>
      </c>
      <c r="C975">
        <v>66.370002999999997</v>
      </c>
      <c r="D975">
        <v>64.300003000000004</v>
      </c>
      <c r="E975">
        <v>66.279999000000004</v>
      </c>
      <c r="F975">
        <v>64.209473000000003</v>
      </c>
      <c r="G975">
        <v>5107500</v>
      </c>
    </row>
    <row r="976" spans="1:7" x14ac:dyDescent="0.3">
      <c r="A976" s="206">
        <v>44824</v>
      </c>
      <c r="B976">
        <v>65.949996999999996</v>
      </c>
      <c r="C976">
        <v>65.949996999999996</v>
      </c>
      <c r="D976">
        <v>64.779999000000004</v>
      </c>
      <c r="E976">
        <v>65.489998</v>
      </c>
      <c r="F976">
        <v>63.444156999999997</v>
      </c>
      <c r="G976">
        <v>4218300</v>
      </c>
    </row>
    <row r="977" spans="1:7" x14ac:dyDescent="0.3">
      <c r="A977" s="206">
        <v>44825</v>
      </c>
      <c r="B977">
        <v>65.900002000000001</v>
      </c>
      <c r="C977">
        <v>66.220000999999996</v>
      </c>
      <c r="D977">
        <v>64.5</v>
      </c>
      <c r="E977">
        <v>64.519997000000004</v>
      </c>
      <c r="F977">
        <v>62.504455999999998</v>
      </c>
      <c r="G977">
        <v>3637200</v>
      </c>
    </row>
    <row r="978" spans="1:7" x14ac:dyDescent="0.3">
      <c r="A978" s="206">
        <v>44826</v>
      </c>
      <c r="B978">
        <v>64.589995999999999</v>
      </c>
      <c r="C978">
        <v>64.879997000000003</v>
      </c>
      <c r="D978">
        <v>63.32</v>
      </c>
      <c r="E978">
        <v>63.470001000000003</v>
      </c>
      <c r="F978">
        <v>61.487259000000002</v>
      </c>
      <c r="G978">
        <v>4480100</v>
      </c>
    </row>
    <row r="979" spans="1:7" x14ac:dyDescent="0.3">
      <c r="A979" s="206">
        <v>44827</v>
      </c>
      <c r="B979">
        <v>62.619999</v>
      </c>
      <c r="C979">
        <v>62.900002000000001</v>
      </c>
      <c r="D979">
        <v>60.990001999999997</v>
      </c>
      <c r="E979">
        <v>61.860000999999997</v>
      </c>
      <c r="F979">
        <v>59.927554999999998</v>
      </c>
      <c r="G979">
        <v>5009500</v>
      </c>
    </row>
    <row r="980" spans="1:7" x14ac:dyDescent="0.3">
      <c r="A980" s="206">
        <v>44830</v>
      </c>
      <c r="B980">
        <v>61.25</v>
      </c>
      <c r="C980">
        <v>62.07</v>
      </c>
      <c r="D980">
        <v>60.419998</v>
      </c>
      <c r="E980">
        <v>60.860000999999997</v>
      </c>
      <c r="F980">
        <v>58.958793999999997</v>
      </c>
      <c r="G980">
        <v>4195700</v>
      </c>
    </row>
    <row r="981" spans="1:7" x14ac:dyDescent="0.3">
      <c r="A981" s="206">
        <v>44831</v>
      </c>
      <c r="B981">
        <v>61.279998999999997</v>
      </c>
      <c r="C981">
        <v>61.639999000000003</v>
      </c>
      <c r="D981">
        <v>60.060001</v>
      </c>
      <c r="E981">
        <v>60.759998000000003</v>
      </c>
      <c r="F981">
        <v>58.861911999999997</v>
      </c>
      <c r="G981">
        <v>3838900</v>
      </c>
    </row>
    <row r="982" spans="1:7" x14ac:dyDescent="0.3">
      <c r="A982" s="206">
        <v>44832</v>
      </c>
      <c r="B982">
        <v>60.540000999999997</v>
      </c>
      <c r="C982">
        <v>62.419998</v>
      </c>
      <c r="D982">
        <v>60.5</v>
      </c>
      <c r="E982">
        <v>61.860000999999997</v>
      </c>
      <c r="F982">
        <v>59.927554999999998</v>
      </c>
      <c r="G982">
        <v>4762700</v>
      </c>
    </row>
    <row r="983" spans="1:7" x14ac:dyDescent="0.3">
      <c r="A983" s="206">
        <v>44833</v>
      </c>
      <c r="B983">
        <v>61.209999000000003</v>
      </c>
      <c r="C983">
        <v>61.459999000000003</v>
      </c>
      <c r="D983">
        <v>60.049999</v>
      </c>
      <c r="E983">
        <v>61.07</v>
      </c>
      <c r="F983">
        <v>59.162230999999998</v>
      </c>
      <c r="G983">
        <v>4845000</v>
      </c>
    </row>
    <row r="984" spans="1:7" x14ac:dyDescent="0.3">
      <c r="A984" s="206">
        <v>44834</v>
      </c>
      <c r="B984">
        <v>61.419998</v>
      </c>
      <c r="C984">
        <v>62.139999000000003</v>
      </c>
      <c r="D984">
        <v>60.689999</v>
      </c>
      <c r="E984">
        <v>60.779998999999997</v>
      </c>
      <c r="F984">
        <v>58.881287</v>
      </c>
      <c r="G984">
        <v>5510300</v>
      </c>
    </row>
    <row r="985" spans="1:7" x14ac:dyDescent="0.3">
      <c r="A985" s="206">
        <v>44837</v>
      </c>
      <c r="B985">
        <v>61.66</v>
      </c>
      <c r="C985">
        <v>62.990001999999997</v>
      </c>
      <c r="D985">
        <v>60.68</v>
      </c>
      <c r="E985">
        <v>62.619999</v>
      </c>
      <c r="F985">
        <v>60.663811000000003</v>
      </c>
      <c r="G985">
        <v>4854900</v>
      </c>
    </row>
    <row r="986" spans="1:7" x14ac:dyDescent="0.3">
      <c r="A986" s="206">
        <v>44838</v>
      </c>
      <c r="B986">
        <v>63.630001</v>
      </c>
      <c r="C986">
        <v>65.540001000000004</v>
      </c>
      <c r="D986">
        <v>63.610000999999997</v>
      </c>
      <c r="E986">
        <v>65.459998999999996</v>
      </c>
      <c r="F986">
        <v>63.415092000000001</v>
      </c>
      <c r="G986">
        <v>4337000</v>
      </c>
    </row>
    <row r="987" spans="1:7" x14ac:dyDescent="0.3">
      <c r="A987" s="206">
        <v>44839</v>
      </c>
      <c r="B987">
        <v>64.569999999999993</v>
      </c>
      <c r="C987">
        <v>65.620002999999997</v>
      </c>
      <c r="D987">
        <v>64.449996999999996</v>
      </c>
      <c r="E987">
        <v>65.260002</v>
      </c>
      <c r="F987">
        <v>63.221347999999999</v>
      </c>
      <c r="G987">
        <v>3087500</v>
      </c>
    </row>
    <row r="988" spans="1:7" x14ac:dyDescent="0.3">
      <c r="A988" s="206">
        <v>44840</v>
      </c>
      <c r="B988">
        <v>64.919998000000007</v>
      </c>
      <c r="C988">
        <v>65.489998</v>
      </c>
      <c r="D988">
        <v>64.279999000000004</v>
      </c>
      <c r="E988">
        <v>64.550003000000004</v>
      </c>
      <c r="F988">
        <v>62.533524</v>
      </c>
      <c r="G988">
        <v>4747700</v>
      </c>
    </row>
    <row r="989" spans="1:7" x14ac:dyDescent="0.3">
      <c r="A989" s="206">
        <v>44841</v>
      </c>
      <c r="B989">
        <v>64.029999000000004</v>
      </c>
      <c r="C989">
        <v>64.319999999999993</v>
      </c>
      <c r="D989">
        <v>62.709999000000003</v>
      </c>
      <c r="E989">
        <v>63.25</v>
      </c>
      <c r="F989">
        <v>61.274132000000002</v>
      </c>
      <c r="G989">
        <v>3725000</v>
      </c>
    </row>
    <row r="990" spans="1:7" x14ac:dyDescent="0.3">
      <c r="A990" s="206">
        <v>44844</v>
      </c>
      <c r="B990">
        <v>63.68</v>
      </c>
      <c r="C990">
        <v>64.199996999999996</v>
      </c>
      <c r="D990">
        <v>62.939999</v>
      </c>
      <c r="E990">
        <v>63.389999000000003</v>
      </c>
      <c r="F990">
        <v>61.409756000000002</v>
      </c>
      <c r="G990">
        <v>2796400</v>
      </c>
    </row>
    <row r="991" spans="1:7" x14ac:dyDescent="0.3">
      <c r="A991" s="206">
        <v>44845</v>
      </c>
      <c r="B991">
        <v>63.09</v>
      </c>
      <c r="C991">
        <v>64.349997999999999</v>
      </c>
      <c r="D991">
        <v>62.93</v>
      </c>
      <c r="E991">
        <v>63.32</v>
      </c>
      <c r="F991">
        <v>61.341946</v>
      </c>
      <c r="G991">
        <v>3918200</v>
      </c>
    </row>
    <row r="992" spans="1:7" x14ac:dyDescent="0.3">
      <c r="A992" s="206">
        <v>44846</v>
      </c>
      <c r="B992">
        <v>63.34</v>
      </c>
      <c r="C992">
        <v>63.860000999999997</v>
      </c>
      <c r="D992">
        <v>62.560001</v>
      </c>
      <c r="E992">
        <v>62.580002</v>
      </c>
      <c r="F992">
        <v>60.625061000000002</v>
      </c>
      <c r="G992">
        <v>4230300</v>
      </c>
    </row>
    <row r="993" spans="1:7" x14ac:dyDescent="0.3">
      <c r="A993" s="206">
        <v>44847</v>
      </c>
      <c r="B993">
        <v>61.77</v>
      </c>
      <c r="C993">
        <v>65.510002</v>
      </c>
      <c r="D993">
        <v>61.049999</v>
      </c>
      <c r="E993">
        <v>65.239998</v>
      </c>
      <c r="F993">
        <v>63.201962000000002</v>
      </c>
      <c r="G993">
        <v>6515100</v>
      </c>
    </row>
    <row r="994" spans="1:7" x14ac:dyDescent="0.3">
      <c r="A994" s="206">
        <v>44848</v>
      </c>
      <c r="B994">
        <v>65.559997999999993</v>
      </c>
      <c r="C994">
        <v>66.620002999999997</v>
      </c>
      <c r="D994">
        <v>64.589995999999999</v>
      </c>
      <c r="E994">
        <v>65.120002999999997</v>
      </c>
      <c r="F994">
        <v>63.085715999999998</v>
      </c>
      <c r="G994">
        <v>4847900</v>
      </c>
    </row>
    <row r="995" spans="1:7" x14ac:dyDescent="0.3">
      <c r="A995" s="206">
        <v>44851</v>
      </c>
      <c r="B995">
        <v>66.559997999999993</v>
      </c>
      <c r="C995">
        <v>67.069999999999993</v>
      </c>
      <c r="D995">
        <v>65.870002999999997</v>
      </c>
      <c r="E995">
        <v>66.269997000000004</v>
      </c>
      <c r="F995">
        <v>64.199782999999996</v>
      </c>
      <c r="G995">
        <v>4497800</v>
      </c>
    </row>
    <row r="996" spans="1:7" x14ac:dyDescent="0.3">
      <c r="A996" s="206">
        <v>44852</v>
      </c>
      <c r="B996">
        <v>67.739998</v>
      </c>
      <c r="C996">
        <v>67.980002999999996</v>
      </c>
      <c r="D996">
        <v>66.709998999999996</v>
      </c>
      <c r="E996">
        <v>67.379997000000003</v>
      </c>
      <c r="F996">
        <v>65.275101000000006</v>
      </c>
      <c r="G996">
        <v>3757700</v>
      </c>
    </row>
    <row r="997" spans="1:7" x14ac:dyDescent="0.3">
      <c r="A997" s="206">
        <v>44853</v>
      </c>
      <c r="B997">
        <v>67.239998</v>
      </c>
      <c r="C997">
        <v>67.919998000000007</v>
      </c>
      <c r="D997">
        <v>66.559997999999993</v>
      </c>
      <c r="E997">
        <v>67.339995999999999</v>
      </c>
      <c r="F997">
        <v>65.236366000000004</v>
      </c>
      <c r="G997">
        <v>3105600</v>
      </c>
    </row>
    <row r="998" spans="1:7" x14ac:dyDescent="0.3">
      <c r="A998" s="206">
        <v>44854</v>
      </c>
      <c r="B998">
        <v>67.019997000000004</v>
      </c>
      <c r="C998">
        <v>67.519997000000004</v>
      </c>
      <c r="D998">
        <v>65.680000000000007</v>
      </c>
      <c r="E998">
        <v>66.019997000000004</v>
      </c>
      <c r="F998">
        <v>63.957588000000001</v>
      </c>
      <c r="G998">
        <v>4430000</v>
      </c>
    </row>
    <row r="999" spans="1:7" x14ac:dyDescent="0.3">
      <c r="A999" s="206">
        <v>44855</v>
      </c>
      <c r="B999">
        <v>66.300003000000004</v>
      </c>
      <c r="C999">
        <v>68.180000000000007</v>
      </c>
      <c r="D999">
        <v>66.019997000000004</v>
      </c>
      <c r="E999">
        <v>68.059997999999993</v>
      </c>
      <c r="F999">
        <v>65.933860999999993</v>
      </c>
      <c r="G999">
        <v>5274400</v>
      </c>
    </row>
    <row r="1000" spans="1:7" x14ac:dyDescent="0.3">
      <c r="A1000" s="206">
        <v>44858</v>
      </c>
      <c r="B1000">
        <v>68.180000000000007</v>
      </c>
      <c r="C1000">
        <v>69.75</v>
      </c>
      <c r="D1000">
        <v>68.099997999999999</v>
      </c>
      <c r="E1000">
        <v>69.379997000000003</v>
      </c>
      <c r="F1000">
        <v>67.212624000000005</v>
      </c>
      <c r="G1000">
        <v>6390000</v>
      </c>
    </row>
    <row r="1001" spans="1:7" x14ac:dyDescent="0.3">
      <c r="A1001" s="206">
        <v>44859</v>
      </c>
      <c r="B1001">
        <v>68.779999000000004</v>
      </c>
      <c r="C1001">
        <v>71.050003000000004</v>
      </c>
      <c r="D1001">
        <v>68.650002000000001</v>
      </c>
      <c r="E1001">
        <v>70.930000000000007</v>
      </c>
      <c r="F1001">
        <v>68.714218000000002</v>
      </c>
      <c r="G1001">
        <v>5481800</v>
      </c>
    </row>
    <row r="1002" spans="1:7" x14ac:dyDescent="0.3">
      <c r="A1002" s="206">
        <v>44860</v>
      </c>
      <c r="B1002">
        <v>71.260002</v>
      </c>
      <c r="C1002">
        <v>71.730002999999996</v>
      </c>
      <c r="D1002">
        <v>70.690002000000007</v>
      </c>
      <c r="E1002">
        <v>70.849997999999999</v>
      </c>
      <c r="F1002">
        <v>68.636711000000005</v>
      </c>
      <c r="G1002">
        <v>3348500</v>
      </c>
    </row>
    <row r="1003" spans="1:7" x14ac:dyDescent="0.3">
      <c r="A1003" s="206">
        <v>44861</v>
      </c>
      <c r="B1003">
        <v>71.349997999999999</v>
      </c>
      <c r="C1003">
        <v>72.089995999999999</v>
      </c>
      <c r="D1003">
        <v>71.040001000000004</v>
      </c>
      <c r="E1003">
        <v>71.150002000000001</v>
      </c>
      <c r="F1003">
        <v>68.927338000000006</v>
      </c>
      <c r="G1003">
        <v>3204700</v>
      </c>
    </row>
    <row r="1004" spans="1:7" x14ac:dyDescent="0.3">
      <c r="A1004" s="206">
        <v>44862</v>
      </c>
      <c r="B1004">
        <v>71.620002999999997</v>
      </c>
      <c r="C1004">
        <v>73.209998999999996</v>
      </c>
      <c r="D1004">
        <v>71.5</v>
      </c>
      <c r="E1004">
        <v>73.139999000000003</v>
      </c>
      <c r="F1004">
        <v>70.855170999999999</v>
      </c>
      <c r="G1004">
        <v>3968300</v>
      </c>
    </row>
    <row r="1005" spans="1:7" x14ac:dyDescent="0.3">
      <c r="A1005" s="206">
        <v>44865</v>
      </c>
      <c r="B1005">
        <v>72.830001999999993</v>
      </c>
      <c r="C1005">
        <v>73.569999999999993</v>
      </c>
      <c r="D1005">
        <v>72.779999000000004</v>
      </c>
      <c r="E1005">
        <v>73.209998999999996</v>
      </c>
      <c r="F1005">
        <v>70.922980999999993</v>
      </c>
      <c r="G1005">
        <v>4705700</v>
      </c>
    </row>
    <row r="1006" spans="1:7" x14ac:dyDescent="0.3">
      <c r="A1006" s="206">
        <v>44866</v>
      </c>
      <c r="B1006">
        <v>73.669998000000007</v>
      </c>
      <c r="C1006">
        <v>74.330001999999993</v>
      </c>
      <c r="D1006">
        <v>73.519997000000004</v>
      </c>
      <c r="E1006">
        <v>73.940002000000007</v>
      </c>
      <c r="F1006">
        <v>71.630188000000004</v>
      </c>
      <c r="G1006">
        <v>3891500</v>
      </c>
    </row>
    <row r="1007" spans="1:7" x14ac:dyDescent="0.3">
      <c r="A1007" s="206">
        <v>44867</v>
      </c>
      <c r="B1007">
        <v>73.910004000000001</v>
      </c>
      <c r="C1007">
        <v>75.519997000000004</v>
      </c>
      <c r="D1007">
        <v>73.449996999999996</v>
      </c>
      <c r="E1007">
        <v>73.569999999999993</v>
      </c>
      <c r="F1007">
        <v>71.271743999999998</v>
      </c>
      <c r="G1007">
        <v>6051700</v>
      </c>
    </row>
    <row r="1008" spans="1:7" x14ac:dyDescent="0.3">
      <c r="A1008" s="206">
        <v>44868</v>
      </c>
      <c r="B1008">
        <v>72.660004000000001</v>
      </c>
      <c r="C1008">
        <v>73.769997000000004</v>
      </c>
      <c r="D1008">
        <v>71.449996999999996</v>
      </c>
      <c r="E1008">
        <v>73.110000999999997</v>
      </c>
      <c r="F1008">
        <v>70.826110999999997</v>
      </c>
      <c r="G1008">
        <v>4554200</v>
      </c>
    </row>
    <row r="1009" spans="1:7" x14ac:dyDescent="0.3">
      <c r="A1009" s="206">
        <v>44869</v>
      </c>
      <c r="B1009">
        <v>74.129997000000003</v>
      </c>
      <c r="C1009">
        <v>74.470000999999996</v>
      </c>
      <c r="D1009">
        <v>73.089995999999999</v>
      </c>
      <c r="E1009">
        <v>74.110000999999997</v>
      </c>
      <c r="F1009">
        <v>71.794867999999994</v>
      </c>
      <c r="G1009">
        <v>3364600</v>
      </c>
    </row>
    <row r="1010" spans="1:7" x14ac:dyDescent="0.3">
      <c r="A1010" s="206">
        <v>44872</v>
      </c>
      <c r="B1010">
        <v>74.099997999999999</v>
      </c>
      <c r="C1010">
        <v>74.349997999999999</v>
      </c>
      <c r="D1010">
        <v>73.260002</v>
      </c>
      <c r="E1010">
        <v>73.930000000000007</v>
      </c>
      <c r="F1010">
        <v>72.106978999999995</v>
      </c>
      <c r="G1010">
        <v>5016500</v>
      </c>
    </row>
    <row r="1011" spans="1:7" x14ac:dyDescent="0.3">
      <c r="A1011" s="206">
        <v>44873</v>
      </c>
      <c r="B1011">
        <v>73.709998999999996</v>
      </c>
      <c r="C1011">
        <v>73.959998999999996</v>
      </c>
      <c r="D1011">
        <v>72.709998999999996</v>
      </c>
      <c r="E1011">
        <v>73.410004000000001</v>
      </c>
      <c r="F1011">
        <v>71.599807999999996</v>
      </c>
      <c r="G1011">
        <v>4074100</v>
      </c>
    </row>
    <row r="1012" spans="1:7" x14ac:dyDescent="0.3">
      <c r="A1012" s="206">
        <v>44874</v>
      </c>
      <c r="B1012">
        <v>73.029999000000004</v>
      </c>
      <c r="C1012">
        <v>73.720000999999996</v>
      </c>
      <c r="D1012">
        <v>72.489998</v>
      </c>
      <c r="E1012">
        <v>72.769997000000004</v>
      </c>
      <c r="F1012">
        <v>70.975586000000007</v>
      </c>
      <c r="G1012">
        <v>3528200</v>
      </c>
    </row>
    <row r="1013" spans="1:7" x14ac:dyDescent="0.3">
      <c r="A1013" s="206">
        <v>44875</v>
      </c>
      <c r="B1013">
        <v>74.589995999999999</v>
      </c>
      <c r="C1013">
        <v>75.569999999999993</v>
      </c>
      <c r="D1013">
        <v>74.319999999999993</v>
      </c>
      <c r="E1013">
        <v>74.720000999999996</v>
      </c>
      <c r="F1013">
        <v>72.877494999999996</v>
      </c>
      <c r="G1013">
        <v>5099000</v>
      </c>
    </row>
    <row r="1014" spans="1:7" x14ac:dyDescent="0.3">
      <c r="A1014" s="206">
        <v>44876</v>
      </c>
      <c r="B1014">
        <v>75.120002999999997</v>
      </c>
      <c r="C1014">
        <v>75.629997000000003</v>
      </c>
      <c r="D1014">
        <v>74.199996999999996</v>
      </c>
      <c r="E1014">
        <v>74.489998</v>
      </c>
      <c r="F1014">
        <v>72.653167999999994</v>
      </c>
      <c r="G1014">
        <v>5303100</v>
      </c>
    </row>
    <row r="1015" spans="1:7" x14ac:dyDescent="0.3">
      <c r="A1015" s="206">
        <v>44879</v>
      </c>
      <c r="B1015">
        <v>74.209998999999996</v>
      </c>
      <c r="C1015">
        <v>74.819999999999993</v>
      </c>
      <c r="D1015">
        <v>73.75</v>
      </c>
      <c r="E1015">
        <v>73.790001000000004</v>
      </c>
      <c r="F1015">
        <v>71.970436000000007</v>
      </c>
      <c r="G1015">
        <v>4540900</v>
      </c>
    </row>
    <row r="1016" spans="1:7" x14ac:dyDescent="0.3">
      <c r="A1016" s="206">
        <v>44880</v>
      </c>
      <c r="B1016">
        <v>74.639999000000003</v>
      </c>
      <c r="C1016">
        <v>74.879997000000003</v>
      </c>
      <c r="D1016">
        <v>73.660004000000001</v>
      </c>
      <c r="E1016">
        <v>74.279999000000004</v>
      </c>
      <c r="F1016">
        <v>72.448357000000001</v>
      </c>
      <c r="G1016">
        <v>4088500</v>
      </c>
    </row>
    <row r="1017" spans="1:7" x14ac:dyDescent="0.3">
      <c r="A1017" s="206">
        <v>44881</v>
      </c>
      <c r="B1017">
        <v>74.400002000000001</v>
      </c>
      <c r="C1017">
        <v>74.819999999999993</v>
      </c>
      <c r="D1017">
        <v>74.150002000000001</v>
      </c>
      <c r="E1017">
        <v>74.360000999999997</v>
      </c>
      <c r="F1017">
        <v>72.526375000000002</v>
      </c>
      <c r="G1017">
        <v>4696400</v>
      </c>
    </row>
    <row r="1018" spans="1:7" x14ac:dyDescent="0.3">
      <c r="A1018" s="206">
        <v>44882</v>
      </c>
      <c r="B1018">
        <v>73.75</v>
      </c>
      <c r="C1018">
        <v>75</v>
      </c>
      <c r="D1018">
        <v>73.550003000000004</v>
      </c>
      <c r="E1018">
        <v>74.889999000000003</v>
      </c>
      <c r="F1018">
        <v>73.043312</v>
      </c>
      <c r="G1018">
        <v>3714200</v>
      </c>
    </row>
    <row r="1019" spans="1:7" x14ac:dyDescent="0.3">
      <c r="A1019" s="206">
        <v>44883</v>
      </c>
      <c r="B1019">
        <v>75.949996999999996</v>
      </c>
      <c r="C1019">
        <v>76.169998000000007</v>
      </c>
      <c r="D1019">
        <v>75.25</v>
      </c>
      <c r="E1019">
        <v>75.5</v>
      </c>
      <c r="F1019">
        <v>73.638267999999997</v>
      </c>
      <c r="G1019">
        <v>4626200</v>
      </c>
    </row>
    <row r="1020" spans="1:7" x14ac:dyDescent="0.3">
      <c r="A1020" s="206">
        <v>44886</v>
      </c>
      <c r="B1020">
        <v>75.360000999999997</v>
      </c>
      <c r="C1020">
        <v>76.059997999999993</v>
      </c>
      <c r="D1020">
        <v>75.089995999999999</v>
      </c>
      <c r="E1020">
        <v>75.889999000000003</v>
      </c>
      <c r="F1020">
        <v>74.018653999999998</v>
      </c>
      <c r="G1020">
        <v>3945200</v>
      </c>
    </row>
    <row r="1021" spans="1:7" x14ac:dyDescent="0.3">
      <c r="A1021" s="206">
        <v>44887</v>
      </c>
      <c r="B1021">
        <v>76.360000999999997</v>
      </c>
      <c r="C1021">
        <v>77.089995999999999</v>
      </c>
      <c r="D1021">
        <v>76.019997000000004</v>
      </c>
      <c r="E1021">
        <v>76.919998000000007</v>
      </c>
      <c r="F1021">
        <v>75.023253999999994</v>
      </c>
      <c r="G1021">
        <v>3126400</v>
      </c>
    </row>
    <row r="1022" spans="1:7" x14ac:dyDescent="0.3">
      <c r="A1022" s="206">
        <v>44888</v>
      </c>
      <c r="B1022">
        <v>76.720000999999996</v>
      </c>
      <c r="C1022">
        <v>77.099997999999999</v>
      </c>
      <c r="D1022">
        <v>76.589995999999999</v>
      </c>
      <c r="E1022">
        <v>76.720000999999996</v>
      </c>
      <c r="F1022">
        <v>74.828186000000002</v>
      </c>
      <c r="G1022">
        <v>2554700</v>
      </c>
    </row>
    <row r="1023" spans="1:7" x14ac:dyDescent="0.3">
      <c r="A1023" s="206">
        <v>44890</v>
      </c>
      <c r="B1023">
        <v>76.889999000000003</v>
      </c>
      <c r="C1023">
        <v>77.360000999999997</v>
      </c>
      <c r="D1023">
        <v>76.809997999999993</v>
      </c>
      <c r="E1023">
        <v>76.949996999999996</v>
      </c>
      <c r="F1023">
        <v>75.052504999999996</v>
      </c>
      <c r="G1023">
        <v>1196500</v>
      </c>
    </row>
    <row r="1024" spans="1:7" x14ac:dyDescent="0.3">
      <c r="A1024" s="206">
        <v>44893</v>
      </c>
      <c r="B1024">
        <v>76.300003000000004</v>
      </c>
      <c r="C1024">
        <v>76.959998999999996</v>
      </c>
      <c r="D1024">
        <v>75.540001000000004</v>
      </c>
      <c r="E1024">
        <v>75.730002999999996</v>
      </c>
      <c r="F1024">
        <v>73.862594999999999</v>
      </c>
      <c r="G1024">
        <v>3616800</v>
      </c>
    </row>
    <row r="1025" spans="1:7" x14ac:dyDescent="0.3">
      <c r="A1025" s="206">
        <v>44894</v>
      </c>
      <c r="B1025">
        <v>75.680000000000007</v>
      </c>
      <c r="C1025">
        <v>76.459998999999996</v>
      </c>
      <c r="D1025">
        <v>75.300003000000004</v>
      </c>
      <c r="E1025">
        <v>76.069999999999993</v>
      </c>
      <c r="F1025">
        <v>74.194214000000002</v>
      </c>
      <c r="G1025">
        <v>2978500</v>
      </c>
    </row>
    <row r="1026" spans="1:7" x14ac:dyDescent="0.3">
      <c r="A1026" s="206">
        <v>44895</v>
      </c>
      <c r="B1026">
        <v>75.5</v>
      </c>
      <c r="C1026">
        <v>76.970000999999996</v>
      </c>
      <c r="D1026">
        <v>74.889999000000003</v>
      </c>
      <c r="E1026">
        <v>76.699996999999996</v>
      </c>
      <c r="F1026">
        <v>74.808670000000006</v>
      </c>
      <c r="G1026">
        <v>6392700</v>
      </c>
    </row>
    <row r="1027" spans="1:7" x14ac:dyDescent="0.3">
      <c r="A1027" s="206">
        <v>44896</v>
      </c>
      <c r="B1027">
        <v>77.019997000000004</v>
      </c>
      <c r="C1027">
        <v>77.330001999999993</v>
      </c>
      <c r="D1027">
        <v>76.480002999999996</v>
      </c>
      <c r="E1027">
        <v>76.650002000000001</v>
      </c>
      <c r="F1027">
        <v>74.759911000000002</v>
      </c>
      <c r="G1027">
        <v>4056500</v>
      </c>
    </row>
    <row r="1028" spans="1:7" x14ac:dyDescent="0.3">
      <c r="A1028" s="206">
        <v>44897</v>
      </c>
      <c r="B1028">
        <v>76.059997999999993</v>
      </c>
      <c r="C1028">
        <v>77.019997000000004</v>
      </c>
      <c r="D1028">
        <v>76.059997999999993</v>
      </c>
      <c r="E1028">
        <v>76.910004000000001</v>
      </c>
      <c r="F1028">
        <v>75.013496000000004</v>
      </c>
      <c r="G1028">
        <v>2438500</v>
      </c>
    </row>
    <row r="1029" spans="1:7" x14ac:dyDescent="0.3">
      <c r="A1029" s="206">
        <v>44900</v>
      </c>
      <c r="B1029">
        <v>76.389999000000003</v>
      </c>
      <c r="C1029">
        <v>76.639999000000003</v>
      </c>
      <c r="D1029">
        <v>74.940002000000007</v>
      </c>
      <c r="E1029">
        <v>75.400002000000001</v>
      </c>
      <c r="F1029">
        <v>73.540740999999997</v>
      </c>
      <c r="G1029">
        <v>3237400</v>
      </c>
    </row>
    <row r="1030" spans="1:7" x14ac:dyDescent="0.3">
      <c r="A1030" s="206">
        <v>44901</v>
      </c>
      <c r="B1030">
        <v>75.379997000000003</v>
      </c>
      <c r="C1030">
        <v>75.860000999999997</v>
      </c>
      <c r="D1030">
        <v>74.769997000000004</v>
      </c>
      <c r="E1030">
        <v>75.279999000000004</v>
      </c>
      <c r="F1030">
        <v>73.423698000000002</v>
      </c>
      <c r="G1030">
        <v>2453100</v>
      </c>
    </row>
    <row r="1031" spans="1:7" x14ac:dyDescent="0.3">
      <c r="A1031" s="206">
        <v>44902</v>
      </c>
      <c r="B1031">
        <v>74.819999999999993</v>
      </c>
      <c r="C1031">
        <v>75.790001000000004</v>
      </c>
      <c r="D1031">
        <v>74.410004000000001</v>
      </c>
      <c r="E1031">
        <v>74.589995999999999</v>
      </c>
      <c r="F1031">
        <v>72.750693999999996</v>
      </c>
      <c r="G1031">
        <v>3514500</v>
      </c>
    </row>
    <row r="1032" spans="1:7" x14ac:dyDescent="0.3">
      <c r="A1032" s="206">
        <v>44903</v>
      </c>
      <c r="B1032">
        <v>75.199996999999996</v>
      </c>
      <c r="C1032">
        <v>75.199996999999996</v>
      </c>
      <c r="D1032">
        <v>73.440002000000007</v>
      </c>
      <c r="E1032">
        <v>73.610000999999997</v>
      </c>
      <c r="F1032">
        <v>71.794867999999994</v>
      </c>
      <c r="G1032">
        <v>3705100</v>
      </c>
    </row>
    <row r="1033" spans="1:7" x14ac:dyDescent="0.3">
      <c r="A1033" s="206">
        <v>44904</v>
      </c>
      <c r="B1033">
        <v>73.089995999999999</v>
      </c>
      <c r="C1033">
        <v>73.639999000000003</v>
      </c>
      <c r="D1033">
        <v>72.089995999999999</v>
      </c>
      <c r="E1033">
        <v>72.190002000000007</v>
      </c>
      <c r="F1033">
        <v>70.409889000000007</v>
      </c>
      <c r="G1033">
        <v>4479700</v>
      </c>
    </row>
    <row r="1034" spans="1:7" x14ac:dyDescent="0.3">
      <c r="A1034" s="206">
        <v>44907</v>
      </c>
      <c r="B1034">
        <v>72.260002</v>
      </c>
      <c r="C1034">
        <v>73.269997000000004</v>
      </c>
      <c r="D1034">
        <v>71.569999999999993</v>
      </c>
      <c r="E1034">
        <v>73.180000000000007</v>
      </c>
      <c r="F1034">
        <v>71.375473</v>
      </c>
      <c r="G1034">
        <v>4687000</v>
      </c>
    </row>
    <row r="1035" spans="1:7" x14ac:dyDescent="0.3">
      <c r="A1035" s="206">
        <v>44908</v>
      </c>
      <c r="B1035">
        <v>74.309997999999993</v>
      </c>
      <c r="C1035">
        <v>74.699996999999996</v>
      </c>
      <c r="D1035">
        <v>72.800003000000004</v>
      </c>
      <c r="E1035">
        <v>73.230002999999996</v>
      </c>
      <c r="F1035">
        <v>71.424248000000006</v>
      </c>
      <c r="G1035">
        <v>4743600</v>
      </c>
    </row>
    <row r="1036" spans="1:7" x14ac:dyDescent="0.3">
      <c r="A1036" s="206">
        <v>44909</v>
      </c>
      <c r="B1036">
        <v>73.540001000000004</v>
      </c>
      <c r="C1036">
        <v>73.989998</v>
      </c>
      <c r="D1036">
        <v>72.459998999999996</v>
      </c>
      <c r="E1036">
        <v>72.839995999999999</v>
      </c>
      <c r="F1036">
        <v>71.043853999999996</v>
      </c>
      <c r="G1036">
        <v>3117000</v>
      </c>
    </row>
    <row r="1037" spans="1:7" x14ac:dyDescent="0.3">
      <c r="A1037" s="206">
        <v>44910</v>
      </c>
      <c r="B1037">
        <v>71.879997000000003</v>
      </c>
      <c r="C1037">
        <v>72.120002999999997</v>
      </c>
      <c r="D1037">
        <v>71.110000999999997</v>
      </c>
      <c r="E1037">
        <v>71.699996999999996</v>
      </c>
      <c r="F1037">
        <v>69.931968999999995</v>
      </c>
      <c r="G1037">
        <v>4744800</v>
      </c>
    </row>
    <row r="1038" spans="1:7" x14ac:dyDescent="0.3">
      <c r="A1038" s="206">
        <v>44911</v>
      </c>
      <c r="B1038">
        <v>70.800003000000004</v>
      </c>
      <c r="C1038">
        <v>71.739998</v>
      </c>
      <c r="D1038">
        <v>70.629997000000003</v>
      </c>
      <c r="E1038">
        <v>71.470000999999996</v>
      </c>
      <c r="F1038">
        <v>69.707642000000007</v>
      </c>
      <c r="G1038">
        <v>8784100</v>
      </c>
    </row>
    <row r="1039" spans="1:7" x14ac:dyDescent="0.3">
      <c r="A1039" s="206">
        <v>44914</v>
      </c>
      <c r="B1039">
        <v>71.709998999999996</v>
      </c>
      <c r="C1039">
        <v>72.25</v>
      </c>
      <c r="D1039">
        <v>70.800003000000004</v>
      </c>
      <c r="E1039">
        <v>71.160004000000001</v>
      </c>
      <c r="F1039">
        <v>69.405288999999996</v>
      </c>
      <c r="G1039">
        <v>3670200</v>
      </c>
    </row>
    <row r="1040" spans="1:7" x14ac:dyDescent="0.3">
      <c r="A1040" s="206">
        <v>44915</v>
      </c>
      <c r="B1040">
        <v>71.410004000000001</v>
      </c>
      <c r="C1040">
        <v>72.419998000000007</v>
      </c>
      <c r="D1040">
        <v>71.379997000000003</v>
      </c>
      <c r="E1040">
        <v>71.790001000000004</v>
      </c>
      <c r="F1040">
        <v>70.019752999999994</v>
      </c>
      <c r="G1040">
        <v>3112400</v>
      </c>
    </row>
    <row r="1041" spans="1:7" x14ac:dyDescent="0.3">
      <c r="A1041" s="206">
        <v>44916</v>
      </c>
      <c r="B1041">
        <v>72.449996999999996</v>
      </c>
      <c r="C1041">
        <v>73.230002999999996</v>
      </c>
      <c r="D1041">
        <v>72.169998000000007</v>
      </c>
      <c r="E1041">
        <v>72.839995999999999</v>
      </c>
      <c r="F1041">
        <v>71.043853999999996</v>
      </c>
      <c r="G1041">
        <v>2962800</v>
      </c>
    </row>
    <row r="1042" spans="1:7" x14ac:dyDescent="0.3">
      <c r="A1042" s="206">
        <v>44917</v>
      </c>
      <c r="B1042">
        <v>72.470000999999996</v>
      </c>
      <c r="C1042">
        <v>72.739998</v>
      </c>
      <c r="D1042">
        <v>70.779999000000004</v>
      </c>
      <c r="E1042">
        <v>71.800003000000004</v>
      </c>
      <c r="F1042">
        <v>70.029503000000005</v>
      </c>
      <c r="G1042">
        <v>3136700</v>
      </c>
    </row>
    <row r="1043" spans="1:7" x14ac:dyDescent="0.3">
      <c r="A1043" s="206">
        <v>44918</v>
      </c>
      <c r="B1043">
        <v>71.790001000000004</v>
      </c>
      <c r="C1043">
        <v>72.550003000000004</v>
      </c>
      <c r="D1043">
        <v>71.470000999999996</v>
      </c>
      <c r="E1043">
        <v>72.269997000000004</v>
      </c>
      <c r="F1043">
        <v>70.487915000000001</v>
      </c>
      <c r="G1043">
        <v>1940500</v>
      </c>
    </row>
    <row r="1044" spans="1:7" x14ac:dyDescent="0.3">
      <c r="A1044" s="206">
        <v>44922</v>
      </c>
      <c r="B1044">
        <v>72.449996999999996</v>
      </c>
      <c r="C1044">
        <v>72.769997000000004</v>
      </c>
      <c r="D1044">
        <v>72.019997000000004</v>
      </c>
      <c r="E1044">
        <v>72.319999999999993</v>
      </c>
      <c r="F1044">
        <v>70.536674000000005</v>
      </c>
      <c r="G1044">
        <v>2409100</v>
      </c>
    </row>
    <row r="1045" spans="1:7" x14ac:dyDescent="0.3">
      <c r="A1045" s="206">
        <v>44923</v>
      </c>
      <c r="B1045">
        <v>72.510002</v>
      </c>
      <c r="C1045">
        <v>72.629997000000003</v>
      </c>
      <c r="D1045">
        <v>71.690002000000007</v>
      </c>
      <c r="E1045">
        <v>71.809997999999993</v>
      </c>
      <c r="F1045">
        <v>70.039260999999996</v>
      </c>
      <c r="G1045">
        <v>1987100</v>
      </c>
    </row>
    <row r="1046" spans="1:7" x14ac:dyDescent="0.3">
      <c r="A1046" s="206">
        <v>44924</v>
      </c>
      <c r="B1046">
        <v>72.110000999999997</v>
      </c>
      <c r="C1046">
        <v>73</v>
      </c>
      <c r="D1046">
        <v>71.989998</v>
      </c>
      <c r="E1046">
        <v>72.660004000000001</v>
      </c>
      <c r="F1046">
        <v>70.868301000000002</v>
      </c>
      <c r="G1046">
        <v>1786500</v>
      </c>
    </row>
    <row r="1047" spans="1:7" x14ac:dyDescent="0.3">
      <c r="A1047" s="206">
        <v>44925</v>
      </c>
      <c r="B1047">
        <v>72.309997999999993</v>
      </c>
      <c r="C1047">
        <v>72.790001000000004</v>
      </c>
      <c r="D1047">
        <v>71.849997999999999</v>
      </c>
      <c r="E1047">
        <v>72.370002999999997</v>
      </c>
      <c r="F1047">
        <v>70.585448999999997</v>
      </c>
      <c r="G1047">
        <v>2444600</v>
      </c>
    </row>
    <row r="1048" spans="1:7" x14ac:dyDescent="0.3">
      <c r="A1048" s="206">
        <v>44929</v>
      </c>
      <c r="B1048">
        <v>72.440002000000007</v>
      </c>
      <c r="C1048">
        <v>72.919998000000007</v>
      </c>
      <c r="D1048">
        <v>71.669998000000007</v>
      </c>
      <c r="E1048">
        <v>72.150002000000001</v>
      </c>
      <c r="F1048">
        <v>70.370872000000006</v>
      </c>
      <c r="G1048">
        <v>3107200</v>
      </c>
    </row>
    <row r="1049" spans="1:7" x14ac:dyDescent="0.3">
      <c r="A1049" s="206">
        <v>44930</v>
      </c>
      <c r="B1049">
        <v>72.650002000000001</v>
      </c>
      <c r="C1049">
        <v>73.569999999999993</v>
      </c>
      <c r="D1049">
        <v>72.5</v>
      </c>
      <c r="E1049">
        <v>73.190002000000007</v>
      </c>
      <c r="F1049">
        <v>71.385231000000005</v>
      </c>
      <c r="G1049">
        <v>3659400</v>
      </c>
    </row>
    <row r="1050" spans="1:7" x14ac:dyDescent="0.3">
      <c r="A1050" s="206">
        <v>44931</v>
      </c>
      <c r="B1050">
        <v>73.110000999999997</v>
      </c>
      <c r="C1050">
        <v>73.260002</v>
      </c>
      <c r="D1050">
        <v>71.949996999999996</v>
      </c>
      <c r="E1050">
        <v>72.599997999999999</v>
      </c>
      <c r="F1050">
        <v>70.809775999999999</v>
      </c>
      <c r="G1050">
        <v>2965800</v>
      </c>
    </row>
    <row r="1051" spans="1:7" x14ac:dyDescent="0.3">
      <c r="A1051" s="206">
        <v>44932</v>
      </c>
      <c r="B1051">
        <v>73.5</v>
      </c>
      <c r="C1051">
        <v>73.919998000000007</v>
      </c>
      <c r="D1051">
        <v>73.180000000000007</v>
      </c>
      <c r="E1051">
        <v>73.580001999999993</v>
      </c>
      <c r="F1051">
        <v>71.765609999999995</v>
      </c>
      <c r="G1051">
        <v>3890900</v>
      </c>
    </row>
    <row r="1052" spans="1:7" x14ac:dyDescent="0.3">
      <c r="A1052" s="206">
        <v>44935</v>
      </c>
      <c r="B1052">
        <v>72.300003000000004</v>
      </c>
      <c r="C1052">
        <v>72.849997999999999</v>
      </c>
      <c r="D1052">
        <v>71.099997999999999</v>
      </c>
      <c r="E1052">
        <v>71.339995999999999</v>
      </c>
      <c r="F1052">
        <v>69.580841000000007</v>
      </c>
      <c r="G1052">
        <v>4854200</v>
      </c>
    </row>
    <row r="1053" spans="1:7" x14ac:dyDescent="0.3">
      <c r="A1053" s="206">
        <v>44936</v>
      </c>
      <c r="B1053">
        <v>71.309997999999993</v>
      </c>
      <c r="C1053">
        <v>71.599997999999999</v>
      </c>
      <c r="D1053">
        <v>70.580001999999993</v>
      </c>
      <c r="E1053">
        <v>71.569999999999993</v>
      </c>
      <c r="F1053">
        <v>69.805167999999995</v>
      </c>
      <c r="G1053">
        <v>3230800</v>
      </c>
    </row>
    <row r="1054" spans="1:7" x14ac:dyDescent="0.3">
      <c r="A1054" s="206">
        <v>44937</v>
      </c>
      <c r="B1054">
        <v>71.419998000000007</v>
      </c>
      <c r="C1054">
        <v>71.769997000000004</v>
      </c>
      <c r="D1054">
        <v>71.169998000000007</v>
      </c>
      <c r="E1054">
        <v>71.569999999999993</v>
      </c>
      <c r="F1054">
        <v>69.805167999999995</v>
      </c>
      <c r="G1054">
        <v>2950300</v>
      </c>
    </row>
    <row r="1055" spans="1:7" x14ac:dyDescent="0.3">
      <c r="A1055" s="206">
        <v>44938</v>
      </c>
      <c r="B1055">
        <v>71.699996999999996</v>
      </c>
      <c r="C1055">
        <v>72.330001999999993</v>
      </c>
      <c r="D1055">
        <v>71.339995999999999</v>
      </c>
      <c r="E1055">
        <v>71.389999000000003</v>
      </c>
      <c r="F1055">
        <v>69.629608000000005</v>
      </c>
      <c r="G1055">
        <v>3979800</v>
      </c>
    </row>
    <row r="1056" spans="1:7" x14ac:dyDescent="0.3">
      <c r="A1056" s="206">
        <v>44939</v>
      </c>
      <c r="B1056">
        <v>70.790001000000004</v>
      </c>
      <c r="C1056">
        <v>72</v>
      </c>
      <c r="D1056">
        <v>70.599997999999999</v>
      </c>
      <c r="E1056">
        <v>71.919998000000007</v>
      </c>
      <c r="F1056">
        <v>70.146545000000003</v>
      </c>
      <c r="G1056">
        <v>2418900</v>
      </c>
    </row>
    <row r="1057" spans="1:7" x14ac:dyDescent="0.3">
      <c r="A1057" s="206">
        <v>44943</v>
      </c>
      <c r="B1057">
        <v>71.919998000000007</v>
      </c>
      <c r="C1057">
        <v>72.120002999999997</v>
      </c>
      <c r="D1057">
        <v>71.370002999999997</v>
      </c>
      <c r="E1057">
        <v>71.569999999999993</v>
      </c>
      <c r="F1057">
        <v>69.805167999999995</v>
      </c>
      <c r="G1057">
        <v>3081600</v>
      </c>
    </row>
    <row r="1058" spans="1:7" x14ac:dyDescent="0.3">
      <c r="A1058" s="206">
        <v>44944</v>
      </c>
      <c r="B1058">
        <v>71.230002999999996</v>
      </c>
      <c r="C1058">
        <v>71.879997000000003</v>
      </c>
      <c r="D1058">
        <v>70.080001999999993</v>
      </c>
      <c r="E1058">
        <v>70.160004000000001</v>
      </c>
      <c r="F1058">
        <v>68.429946999999999</v>
      </c>
      <c r="G1058">
        <v>3739800</v>
      </c>
    </row>
    <row r="1059" spans="1:7" x14ac:dyDescent="0.3">
      <c r="A1059" s="206">
        <v>44945</v>
      </c>
      <c r="B1059">
        <v>69.849997999999999</v>
      </c>
      <c r="C1059">
        <v>69.989998</v>
      </c>
      <c r="D1059">
        <v>69.120002999999997</v>
      </c>
      <c r="E1059">
        <v>69.430000000000007</v>
      </c>
      <c r="F1059">
        <v>67.717949000000004</v>
      </c>
      <c r="G1059">
        <v>3516500</v>
      </c>
    </row>
    <row r="1060" spans="1:7" x14ac:dyDescent="0.3">
      <c r="A1060" s="206">
        <v>44946</v>
      </c>
      <c r="B1060">
        <v>69.849997999999999</v>
      </c>
      <c r="C1060">
        <v>70.330001999999993</v>
      </c>
      <c r="D1060">
        <v>69.220000999999996</v>
      </c>
      <c r="E1060">
        <v>70.190002000000007</v>
      </c>
      <c r="F1060">
        <v>68.459205999999995</v>
      </c>
      <c r="G1060">
        <v>4296800</v>
      </c>
    </row>
    <row r="1061" spans="1:7" x14ac:dyDescent="0.3">
      <c r="A1061" s="206">
        <v>44949</v>
      </c>
      <c r="B1061">
        <v>70.260002</v>
      </c>
      <c r="C1061">
        <v>71.069999999999993</v>
      </c>
      <c r="D1061">
        <v>69.910004000000001</v>
      </c>
      <c r="E1061">
        <v>70.690002000000007</v>
      </c>
      <c r="F1061">
        <v>68.946883999999997</v>
      </c>
      <c r="G1061">
        <v>7660300</v>
      </c>
    </row>
    <row r="1062" spans="1:7" x14ac:dyDescent="0.3">
      <c r="A1062" s="206">
        <v>44950</v>
      </c>
      <c r="B1062">
        <v>69.5</v>
      </c>
      <c r="C1062">
        <v>71.269997000000004</v>
      </c>
      <c r="D1062">
        <v>68.709998999999996</v>
      </c>
      <c r="E1062">
        <v>70.970000999999996</v>
      </c>
      <c r="F1062">
        <v>69.219971000000001</v>
      </c>
      <c r="G1062">
        <v>3171300</v>
      </c>
    </row>
    <row r="1063" spans="1:7" x14ac:dyDescent="0.3">
      <c r="A1063" s="206">
        <v>44951</v>
      </c>
      <c r="B1063">
        <v>70.440002000000007</v>
      </c>
      <c r="C1063">
        <v>71.580001999999993</v>
      </c>
      <c r="D1063">
        <v>70.339995999999999</v>
      </c>
      <c r="E1063">
        <v>71.559997999999993</v>
      </c>
      <c r="F1063">
        <v>69.795424999999994</v>
      </c>
      <c r="G1063">
        <v>2561700</v>
      </c>
    </row>
    <row r="1064" spans="1:7" x14ac:dyDescent="0.3">
      <c r="A1064" s="206">
        <v>44952</v>
      </c>
      <c r="B1064">
        <v>71.760002</v>
      </c>
      <c r="C1064">
        <v>72.260002</v>
      </c>
      <c r="D1064">
        <v>71.150002000000001</v>
      </c>
      <c r="E1064">
        <v>72.220000999999996</v>
      </c>
      <c r="F1064">
        <v>70.439148000000003</v>
      </c>
      <c r="G1064">
        <v>3957100</v>
      </c>
    </row>
    <row r="1065" spans="1:7" x14ac:dyDescent="0.3">
      <c r="A1065" s="206">
        <v>44953</v>
      </c>
      <c r="B1065">
        <v>72.110000999999997</v>
      </c>
      <c r="C1065">
        <v>72.699996999999996</v>
      </c>
      <c r="D1065">
        <v>72.029999000000004</v>
      </c>
      <c r="E1065">
        <v>72.040001000000004</v>
      </c>
      <c r="F1065">
        <v>70.263587999999999</v>
      </c>
      <c r="G1065">
        <v>2491400</v>
      </c>
    </row>
    <row r="1066" spans="1:7" x14ac:dyDescent="0.3">
      <c r="A1066" s="206">
        <v>44956</v>
      </c>
      <c r="B1066">
        <v>71.660004000000001</v>
      </c>
      <c r="C1066">
        <v>72.639999000000003</v>
      </c>
      <c r="D1066">
        <v>71.660004000000001</v>
      </c>
      <c r="E1066">
        <v>72.160004000000001</v>
      </c>
      <c r="F1066">
        <v>70.380629999999996</v>
      </c>
      <c r="G1066">
        <v>2984300</v>
      </c>
    </row>
    <row r="1067" spans="1:7" x14ac:dyDescent="0.3">
      <c r="A1067" s="206">
        <v>44957</v>
      </c>
      <c r="B1067">
        <v>72.180000000000007</v>
      </c>
      <c r="C1067">
        <v>73.110000999999997</v>
      </c>
      <c r="D1067">
        <v>71.430000000000007</v>
      </c>
      <c r="E1067">
        <v>73.019997000000004</v>
      </c>
      <c r="F1067">
        <v>71.219420999999997</v>
      </c>
      <c r="G1067">
        <v>4274300</v>
      </c>
    </row>
    <row r="1068" spans="1:7" x14ac:dyDescent="0.3">
      <c r="A1068" s="206">
        <v>44958</v>
      </c>
      <c r="B1068">
        <v>72.419998000000007</v>
      </c>
      <c r="C1068">
        <v>73.279999000000004</v>
      </c>
      <c r="D1068">
        <v>71.970000999999996</v>
      </c>
      <c r="E1068">
        <v>72.680000000000007</v>
      </c>
      <c r="F1068">
        <v>70.887801999999994</v>
      </c>
      <c r="G1068">
        <v>4965200</v>
      </c>
    </row>
    <row r="1069" spans="1:7" x14ac:dyDescent="0.3">
      <c r="A1069" s="206">
        <v>44959</v>
      </c>
      <c r="B1069">
        <v>72.959998999999996</v>
      </c>
      <c r="C1069">
        <v>73.180000000000007</v>
      </c>
      <c r="D1069">
        <v>68.680000000000007</v>
      </c>
      <c r="E1069">
        <v>69.709998999999996</v>
      </c>
      <c r="F1069">
        <v>67.991034999999997</v>
      </c>
      <c r="G1069">
        <v>8329400</v>
      </c>
    </row>
    <row r="1070" spans="1:7" x14ac:dyDescent="0.3">
      <c r="A1070" s="206">
        <v>44960</v>
      </c>
      <c r="B1070">
        <v>69.569999999999993</v>
      </c>
      <c r="C1070">
        <v>70.160004000000001</v>
      </c>
      <c r="D1070">
        <v>69.279999000000004</v>
      </c>
      <c r="E1070">
        <v>69.790001000000004</v>
      </c>
      <c r="F1070">
        <v>68.069068999999999</v>
      </c>
      <c r="G1070">
        <v>4653600</v>
      </c>
    </row>
    <row r="1071" spans="1:7" x14ac:dyDescent="0.3">
      <c r="A1071" s="206">
        <v>44963</v>
      </c>
      <c r="B1071">
        <v>69.319999999999993</v>
      </c>
      <c r="C1071">
        <v>70.180000000000007</v>
      </c>
      <c r="D1071">
        <v>68.980002999999996</v>
      </c>
      <c r="E1071">
        <v>70.089995999999999</v>
      </c>
      <c r="F1071">
        <v>68.854973000000001</v>
      </c>
      <c r="G1071">
        <v>4945000</v>
      </c>
    </row>
    <row r="1072" spans="1:7" x14ac:dyDescent="0.3">
      <c r="A1072" s="206">
        <v>44964</v>
      </c>
      <c r="B1072">
        <v>69.650002000000001</v>
      </c>
      <c r="C1072">
        <v>71.540001000000004</v>
      </c>
      <c r="D1072">
        <v>69.480002999999996</v>
      </c>
      <c r="E1072">
        <v>71.260002</v>
      </c>
      <c r="F1072">
        <v>70.004363999999995</v>
      </c>
      <c r="G1072">
        <v>4129200</v>
      </c>
    </row>
    <row r="1073" spans="1:7" x14ac:dyDescent="0.3">
      <c r="A1073" s="206">
        <v>44965</v>
      </c>
      <c r="B1073">
        <v>70.860000999999997</v>
      </c>
      <c r="C1073">
        <v>71.510002</v>
      </c>
      <c r="D1073">
        <v>70.410004000000001</v>
      </c>
      <c r="E1073">
        <v>71.239998</v>
      </c>
      <c r="F1073">
        <v>69.984702999999996</v>
      </c>
      <c r="G1073">
        <v>4077200</v>
      </c>
    </row>
    <row r="1074" spans="1:7" x14ac:dyDescent="0.3">
      <c r="A1074" s="206">
        <v>44966</v>
      </c>
      <c r="B1074">
        <v>71.730002999999996</v>
      </c>
      <c r="C1074">
        <v>72.150002000000001</v>
      </c>
      <c r="D1074">
        <v>70.730002999999996</v>
      </c>
      <c r="E1074">
        <v>70.790001000000004</v>
      </c>
      <c r="F1074">
        <v>69.542641000000003</v>
      </c>
      <c r="G1074">
        <v>3870200</v>
      </c>
    </row>
    <row r="1075" spans="1:7" x14ac:dyDescent="0.3">
      <c r="A1075" s="206">
        <v>44967</v>
      </c>
      <c r="B1075">
        <v>70.510002</v>
      </c>
      <c r="C1075">
        <v>71.430000000000007</v>
      </c>
      <c r="D1075">
        <v>70.400002000000001</v>
      </c>
      <c r="E1075">
        <v>71.400002000000001</v>
      </c>
      <c r="F1075">
        <v>70.141891000000001</v>
      </c>
      <c r="G1075">
        <v>3015400</v>
      </c>
    </row>
    <row r="1076" spans="1:7" x14ac:dyDescent="0.3">
      <c r="A1076" s="206">
        <v>44970</v>
      </c>
      <c r="B1076">
        <v>71.419998000000007</v>
      </c>
      <c r="C1076">
        <v>72.5</v>
      </c>
      <c r="D1076">
        <v>71.239998</v>
      </c>
      <c r="E1076">
        <v>72.389999000000003</v>
      </c>
      <c r="F1076">
        <v>71.114440999999999</v>
      </c>
      <c r="G1076">
        <v>2935500</v>
      </c>
    </row>
    <row r="1077" spans="1:7" x14ac:dyDescent="0.3">
      <c r="A1077" s="206">
        <v>44971</v>
      </c>
      <c r="B1077">
        <v>72.309997999999993</v>
      </c>
      <c r="C1077">
        <v>72.690002000000007</v>
      </c>
      <c r="D1077">
        <v>71.639999000000003</v>
      </c>
      <c r="E1077">
        <v>72.050003000000004</v>
      </c>
      <c r="F1077">
        <v>70.780440999999996</v>
      </c>
      <c r="G1077">
        <v>2783000</v>
      </c>
    </row>
    <row r="1078" spans="1:7" x14ac:dyDescent="0.3">
      <c r="A1078" s="206">
        <v>44972</v>
      </c>
      <c r="B1078">
        <v>71.870002999999997</v>
      </c>
      <c r="C1078">
        <v>72.459998999999996</v>
      </c>
      <c r="D1078">
        <v>71.610000999999997</v>
      </c>
      <c r="E1078">
        <v>72.440002000000007</v>
      </c>
      <c r="F1078">
        <v>71.163567</v>
      </c>
      <c r="G1078">
        <v>2924200</v>
      </c>
    </row>
    <row r="1079" spans="1:7" x14ac:dyDescent="0.3">
      <c r="A1079" s="206">
        <v>44973</v>
      </c>
      <c r="B1079">
        <v>71.900002000000001</v>
      </c>
      <c r="C1079">
        <v>73.120002999999997</v>
      </c>
      <c r="D1079">
        <v>71.860000999999997</v>
      </c>
      <c r="E1079">
        <v>72.470000999999996</v>
      </c>
      <c r="F1079">
        <v>71.193038999999999</v>
      </c>
      <c r="G1079">
        <v>3215300</v>
      </c>
    </row>
    <row r="1080" spans="1:7" x14ac:dyDescent="0.3">
      <c r="A1080" s="206">
        <v>44974</v>
      </c>
      <c r="B1080">
        <v>72.419998000000007</v>
      </c>
      <c r="C1080">
        <v>73.099997999999999</v>
      </c>
      <c r="D1080">
        <v>72.169998000000007</v>
      </c>
      <c r="E1080">
        <v>72.540001000000004</v>
      </c>
      <c r="F1080">
        <v>71.261803</v>
      </c>
      <c r="G1080">
        <v>7285400</v>
      </c>
    </row>
    <row r="1081" spans="1:7" x14ac:dyDescent="0.3">
      <c r="A1081" s="206">
        <v>44978</v>
      </c>
      <c r="B1081">
        <v>72</v>
      </c>
      <c r="C1081">
        <v>72.169998000000007</v>
      </c>
      <c r="D1081">
        <v>70.480002999999996</v>
      </c>
      <c r="E1081">
        <v>71.050003000000004</v>
      </c>
      <c r="F1081">
        <v>69.798057999999997</v>
      </c>
      <c r="G1081">
        <v>4008200</v>
      </c>
    </row>
    <row r="1082" spans="1:7" x14ac:dyDescent="0.3">
      <c r="A1082" s="206">
        <v>44979</v>
      </c>
      <c r="B1082">
        <v>70.940002000000007</v>
      </c>
      <c r="C1082">
        <v>71.220000999999996</v>
      </c>
      <c r="D1082">
        <v>70.410004000000001</v>
      </c>
      <c r="E1082">
        <v>70.860000999999997</v>
      </c>
      <c r="F1082">
        <v>69.611403999999993</v>
      </c>
      <c r="G1082">
        <v>2484600</v>
      </c>
    </row>
    <row r="1083" spans="1:7" x14ac:dyDescent="0.3">
      <c r="A1083" s="206">
        <v>44980</v>
      </c>
      <c r="B1083">
        <v>71.220000999999996</v>
      </c>
      <c r="C1083">
        <v>71.790001000000004</v>
      </c>
      <c r="D1083">
        <v>70.080001999999993</v>
      </c>
      <c r="E1083">
        <v>70.580001999999993</v>
      </c>
      <c r="F1083">
        <v>69.336342000000002</v>
      </c>
      <c r="G1083">
        <v>3646000</v>
      </c>
    </row>
    <row r="1084" spans="1:7" x14ac:dyDescent="0.3">
      <c r="A1084" s="206">
        <v>44981</v>
      </c>
      <c r="B1084">
        <v>69.930000000000007</v>
      </c>
      <c r="C1084">
        <v>72.230002999999996</v>
      </c>
      <c r="D1084">
        <v>69.919998000000007</v>
      </c>
      <c r="E1084">
        <v>71.839995999999999</v>
      </c>
      <c r="F1084">
        <v>70.574127000000004</v>
      </c>
      <c r="G1084">
        <v>5222400</v>
      </c>
    </row>
    <row r="1085" spans="1:7" x14ac:dyDescent="0.3">
      <c r="A1085" s="206">
        <v>44984</v>
      </c>
      <c r="B1085">
        <v>71.959998999999996</v>
      </c>
      <c r="C1085">
        <v>72.389999000000003</v>
      </c>
      <c r="D1085">
        <v>71.519997000000004</v>
      </c>
      <c r="E1085">
        <v>71.779999000000004</v>
      </c>
      <c r="F1085">
        <v>70.515190000000004</v>
      </c>
      <c r="G1085">
        <v>3049500</v>
      </c>
    </row>
    <row r="1086" spans="1:7" x14ac:dyDescent="0.3">
      <c r="A1086" s="206">
        <v>44985</v>
      </c>
      <c r="B1086">
        <v>72.080001999999993</v>
      </c>
      <c r="C1086">
        <v>72.300003000000004</v>
      </c>
      <c r="D1086">
        <v>71.699996999999996</v>
      </c>
      <c r="E1086">
        <v>71.730002999999996</v>
      </c>
      <c r="F1086">
        <v>70.466071999999997</v>
      </c>
      <c r="G1086">
        <v>3567000</v>
      </c>
    </row>
    <row r="1087" spans="1:7" x14ac:dyDescent="0.3">
      <c r="A1087" s="206">
        <v>44986</v>
      </c>
      <c r="B1087">
        <v>71.510002</v>
      </c>
      <c r="C1087">
        <v>72.720000999999996</v>
      </c>
      <c r="D1087">
        <v>71.160004000000001</v>
      </c>
      <c r="E1087">
        <v>71.269997000000004</v>
      </c>
      <c r="F1087">
        <v>70.014174999999994</v>
      </c>
      <c r="G1087">
        <v>4878200</v>
      </c>
    </row>
    <row r="1088" spans="1:7" x14ac:dyDescent="0.3">
      <c r="A1088" s="206">
        <v>44987</v>
      </c>
      <c r="B1088">
        <v>70.959998999999996</v>
      </c>
      <c r="C1088">
        <v>70.980002999999996</v>
      </c>
      <c r="D1088">
        <v>68.690002000000007</v>
      </c>
      <c r="E1088">
        <v>69.389999000000003</v>
      </c>
      <c r="F1088">
        <v>68.167304999999999</v>
      </c>
      <c r="G1088">
        <v>6886300</v>
      </c>
    </row>
    <row r="1089" spans="1:7" x14ac:dyDescent="0.3">
      <c r="A1089" s="206">
        <v>44988</v>
      </c>
      <c r="B1089">
        <v>69.739998</v>
      </c>
      <c r="C1089">
        <v>70.599997999999999</v>
      </c>
      <c r="D1089">
        <v>69.260002</v>
      </c>
      <c r="E1089">
        <v>70.330001999999993</v>
      </c>
      <c r="F1089">
        <v>69.090744000000001</v>
      </c>
      <c r="G1089">
        <v>4587400</v>
      </c>
    </row>
    <row r="1090" spans="1:7" x14ac:dyDescent="0.3">
      <c r="A1090" s="206">
        <v>44991</v>
      </c>
      <c r="B1090">
        <v>70.279999000000004</v>
      </c>
      <c r="C1090">
        <v>70.660004000000001</v>
      </c>
      <c r="D1090">
        <v>69.400002000000001</v>
      </c>
      <c r="E1090">
        <v>69.690002000000007</v>
      </c>
      <c r="F1090">
        <v>68.462020999999993</v>
      </c>
      <c r="G1090">
        <v>3934100</v>
      </c>
    </row>
    <row r="1091" spans="1:7" x14ac:dyDescent="0.3">
      <c r="A1091" s="206">
        <v>44992</v>
      </c>
      <c r="B1091">
        <v>69.680000000000007</v>
      </c>
      <c r="C1091">
        <v>70.110000999999997</v>
      </c>
      <c r="D1091">
        <v>68.680000000000007</v>
      </c>
      <c r="E1091">
        <v>69.230002999999996</v>
      </c>
      <c r="F1091">
        <v>68.010131999999999</v>
      </c>
      <c r="G1091">
        <v>4891200</v>
      </c>
    </row>
    <row r="1092" spans="1:7" x14ac:dyDescent="0.3">
      <c r="A1092" s="206">
        <v>44993</v>
      </c>
      <c r="B1092">
        <v>69.230002999999996</v>
      </c>
      <c r="C1092">
        <v>69.540001000000004</v>
      </c>
      <c r="D1092">
        <v>66.569999999999993</v>
      </c>
      <c r="E1092">
        <v>67.5</v>
      </c>
      <c r="F1092">
        <v>66.310615999999996</v>
      </c>
      <c r="G1092">
        <v>5887800</v>
      </c>
    </row>
    <row r="1093" spans="1:7" x14ac:dyDescent="0.3">
      <c r="A1093" s="206">
        <v>44994</v>
      </c>
      <c r="B1093">
        <v>67.550003000000004</v>
      </c>
      <c r="C1093">
        <v>67.800003000000004</v>
      </c>
      <c r="D1093">
        <v>64.309997999999993</v>
      </c>
      <c r="E1093">
        <v>64.669998000000007</v>
      </c>
      <c r="F1093">
        <v>63.530476</v>
      </c>
      <c r="G1093">
        <v>7451200</v>
      </c>
    </row>
    <row r="1094" spans="1:7" x14ac:dyDescent="0.3">
      <c r="A1094" s="206">
        <v>44995</v>
      </c>
      <c r="B1094">
        <v>63.669998</v>
      </c>
      <c r="C1094">
        <v>64.059997999999993</v>
      </c>
      <c r="D1094">
        <v>62.119999</v>
      </c>
      <c r="E1094">
        <v>62.380001</v>
      </c>
      <c r="F1094">
        <v>61.280827000000002</v>
      </c>
      <c r="G1094">
        <v>9989700</v>
      </c>
    </row>
    <row r="1095" spans="1:7" x14ac:dyDescent="0.3">
      <c r="A1095" s="206">
        <v>44998</v>
      </c>
      <c r="B1095">
        <v>60</v>
      </c>
      <c r="C1095">
        <v>60.650002000000001</v>
      </c>
      <c r="D1095">
        <v>58.439999</v>
      </c>
      <c r="E1095">
        <v>58.959999000000003</v>
      </c>
      <c r="F1095">
        <v>57.921089000000002</v>
      </c>
      <c r="G1095">
        <v>10247300</v>
      </c>
    </row>
    <row r="1096" spans="1:7" x14ac:dyDescent="0.3">
      <c r="A1096" s="206">
        <v>44999</v>
      </c>
      <c r="B1096">
        <v>60.939999</v>
      </c>
      <c r="C1096">
        <v>61.27</v>
      </c>
      <c r="D1096">
        <v>58.450001</v>
      </c>
      <c r="E1096">
        <v>59.07</v>
      </c>
      <c r="F1096">
        <v>58.029152000000003</v>
      </c>
      <c r="G1096">
        <v>10939900</v>
      </c>
    </row>
    <row r="1097" spans="1:7" x14ac:dyDescent="0.3">
      <c r="A1097" s="206">
        <v>45000</v>
      </c>
      <c r="B1097">
        <v>56.560001</v>
      </c>
      <c r="C1097">
        <v>57.549999</v>
      </c>
      <c r="D1097">
        <v>55.389999000000003</v>
      </c>
      <c r="E1097">
        <v>56.299999</v>
      </c>
      <c r="F1097">
        <v>55.307960999999999</v>
      </c>
      <c r="G1097">
        <v>9897600</v>
      </c>
    </row>
    <row r="1098" spans="1:7" x14ac:dyDescent="0.3">
      <c r="A1098" s="206">
        <v>45001</v>
      </c>
      <c r="B1098">
        <v>55.849997999999999</v>
      </c>
      <c r="C1098">
        <v>57.869999</v>
      </c>
      <c r="D1098">
        <v>54.52</v>
      </c>
      <c r="E1098">
        <v>57.689999</v>
      </c>
      <c r="F1098">
        <v>56.673465999999998</v>
      </c>
      <c r="G1098">
        <v>7764300</v>
      </c>
    </row>
    <row r="1099" spans="1:7" x14ac:dyDescent="0.3">
      <c r="A1099" s="206">
        <v>45002</v>
      </c>
      <c r="B1099">
        <v>57.07</v>
      </c>
      <c r="C1099">
        <v>57.360000999999997</v>
      </c>
      <c r="D1099">
        <v>54.740001999999997</v>
      </c>
      <c r="E1099">
        <v>54.869999</v>
      </c>
      <c r="F1099">
        <v>53.903156000000003</v>
      </c>
      <c r="G1099">
        <v>13077500</v>
      </c>
    </row>
    <row r="1100" spans="1:7" x14ac:dyDescent="0.3">
      <c r="A1100" s="206">
        <v>45005</v>
      </c>
      <c r="B1100">
        <v>55.209999000000003</v>
      </c>
      <c r="C1100">
        <v>57.57</v>
      </c>
      <c r="D1100">
        <v>55.209999000000003</v>
      </c>
      <c r="E1100">
        <v>56.98</v>
      </c>
      <c r="F1100">
        <v>55.975979000000002</v>
      </c>
      <c r="G1100">
        <v>9909800</v>
      </c>
    </row>
    <row r="1101" spans="1:7" x14ac:dyDescent="0.3">
      <c r="A1101" s="206">
        <v>45006</v>
      </c>
      <c r="B1101">
        <v>58.560001</v>
      </c>
      <c r="C1101">
        <v>59.049999</v>
      </c>
      <c r="D1101">
        <v>58.27</v>
      </c>
      <c r="E1101">
        <v>58.529998999999997</v>
      </c>
      <c r="F1101">
        <v>57.498665000000003</v>
      </c>
      <c r="G1101">
        <v>8011300</v>
      </c>
    </row>
    <row r="1102" spans="1:7" x14ac:dyDescent="0.3">
      <c r="A1102" s="206">
        <v>45007</v>
      </c>
      <c r="B1102">
        <v>58.450001</v>
      </c>
      <c r="C1102">
        <v>58.869999</v>
      </c>
      <c r="D1102">
        <v>56.009998000000003</v>
      </c>
      <c r="E1102">
        <v>56.110000999999997</v>
      </c>
      <c r="F1102">
        <v>55.121307000000002</v>
      </c>
      <c r="G1102">
        <v>5599500</v>
      </c>
    </row>
    <row r="1103" spans="1:7" x14ac:dyDescent="0.3">
      <c r="A1103" s="206">
        <v>45008</v>
      </c>
      <c r="B1103">
        <v>56.119999</v>
      </c>
      <c r="C1103">
        <v>56.540000999999997</v>
      </c>
      <c r="D1103">
        <v>54.099997999999999</v>
      </c>
      <c r="E1103">
        <v>54.299999</v>
      </c>
      <c r="F1103">
        <v>53.343201000000001</v>
      </c>
      <c r="G1103">
        <v>5849700</v>
      </c>
    </row>
    <row r="1104" spans="1:7" x14ac:dyDescent="0.3">
      <c r="A1104" s="206">
        <v>45009</v>
      </c>
      <c r="B1104">
        <v>53.09</v>
      </c>
      <c r="C1104">
        <v>54.369999</v>
      </c>
      <c r="D1104">
        <v>52.830002</v>
      </c>
      <c r="E1104">
        <v>54.349997999999999</v>
      </c>
      <c r="F1104">
        <v>53.392319000000001</v>
      </c>
      <c r="G1104">
        <v>6625300</v>
      </c>
    </row>
    <row r="1105" spans="1:7" x14ac:dyDescent="0.3">
      <c r="A1105" s="206">
        <v>45012</v>
      </c>
      <c r="B1105">
        <v>55.59</v>
      </c>
      <c r="C1105">
        <v>56.169998</v>
      </c>
      <c r="D1105">
        <v>54.580002</v>
      </c>
      <c r="E1105">
        <v>55.849997999999999</v>
      </c>
      <c r="F1105">
        <v>54.865887000000001</v>
      </c>
      <c r="G1105">
        <v>5466400</v>
      </c>
    </row>
    <row r="1106" spans="1:7" x14ac:dyDescent="0.3">
      <c r="A1106" s="206">
        <v>45013</v>
      </c>
      <c r="B1106">
        <v>55.73</v>
      </c>
      <c r="C1106">
        <v>56.009998000000003</v>
      </c>
      <c r="D1106">
        <v>54.950001</v>
      </c>
      <c r="E1106">
        <v>55.43</v>
      </c>
      <c r="F1106">
        <v>54.453288999999998</v>
      </c>
      <c r="G1106">
        <v>5199300</v>
      </c>
    </row>
    <row r="1107" spans="1:7" x14ac:dyDescent="0.3">
      <c r="A1107" s="206">
        <v>45014</v>
      </c>
      <c r="B1107">
        <v>56.380001</v>
      </c>
      <c r="C1107">
        <v>56.52</v>
      </c>
      <c r="D1107">
        <v>55.740001999999997</v>
      </c>
      <c r="E1107">
        <v>56.490001999999997</v>
      </c>
      <c r="F1107">
        <v>55.494613999999999</v>
      </c>
      <c r="G1107">
        <v>4827800</v>
      </c>
    </row>
    <row r="1108" spans="1:7" x14ac:dyDescent="0.3">
      <c r="A1108" s="206">
        <v>45015</v>
      </c>
      <c r="B1108">
        <v>57.110000999999997</v>
      </c>
      <c r="C1108">
        <v>57.849997999999999</v>
      </c>
      <c r="D1108">
        <v>56.790000999999997</v>
      </c>
      <c r="E1108">
        <v>57.049999</v>
      </c>
      <c r="F1108">
        <v>56.044742999999997</v>
      </c>
      <c r="G1108">
        <v>4868500</v>
      </c>
    </row>
    <row r="1109" spans="1:7" x14ac:dyDescent="0.3">
      <c r="A1109" s="206">
        <v>45016</v>
      </c>
      <c r="B1109">
        <v>57.529998999999997</v>
      </c>
      <c r="C1109">
        <v>57.990001999999997</v>
      </c>
      <c r="D1109">
        <v>57.400002000000001</v>
      </c>
      <c r="E1109">
        <v>57.939999</v>
      </c>
      <c r="F1109">
        <v>56.919063999999999</v>
      </c>
      <c r="G1109">
        <v>6143500</v>
      </c>
    </row>
    <row r="1110" spans="1:7" x14ac:dyDescent="0.3">
      <c r="A1110" s="206">
        <v>45019</v>
      </c>
      <c r="B1110">
        <v>58.27</v>
      </c>
      <c r="C1110">
        <v>58.830002</v>
      </c>
      <c r="D1110">
        <v>57.830002</v>
      </c>
      <c r="E1110">
        <v>57.970001000000003</v>
      </c>
      <c r="F1110">
        <v>56.948532</v>
      </c>
      <c r="G1110">
        <v>4840000</v>
      </c>
    </row>
    <row r="1111" spans="1:7" x14ac:dyDescent="0.3">
      <c r="A1111" s="206">
        <v>45020</v>
      </c>
      <c r="B1111">
        <v>58.700001</v>
      </c>
      <c r="C1111">
        <v>58.77</v>
      </c>
      <c r="D1111">
        <v>56.73</v>
      </c>
      <c r="E1111">
        <v>57.439999</v>
      </c>
      <c r="F1111">
        <v>56.427872000000001</v>
      </c>
      <c r="G1111">
        <v>5373800</v>
      </c>
    </row>
    <row r="1112" spans="1:7" x14ac:dyDescent="0.3">
      <c r="A1112" s="206">
        <v>45021</v>
      </c>
      <c r="B1112">
        <v>56.900002000000001</v>
      </c>
      <c r="C1112">
        <v>58.759998000000003</v>
      </c>
      <c r="D1112">
        <v>56.849997999999999</v>
      </c>
      <c r="E1112">
        <v>58.66</v>
      </c>
      <c r="F1112">
        <v>57.626376999999998</v>
      </c>
      <c r="G1112">
        <v>5258100</v>
      </c>
    </row>
    <row r="1113" spans="1:7" x14ac:dyDescent="0.3">
      <c r="A1113" s="206">
        <v>45022</v>
      </c>
      <c r="B1113">
        <v>59</v>
      </c>
      <c r="C1113">
        <v>59.400002000000001</v>
      </c>
      <c r="D1113">
        <v>58.779998999999997</v>
      </c>
      <c r="E1113">
        <v>59.07</v>
      </c>
      <c r="F1113">
        <v>58.029152000000003</v>
      </c>
      <c r="G1113">
        <v>4250700</v>
      </c>
    </row>
    <row r="1114" spans="1:7" x14ac:dyDescent="0.3">
      <c r="A1114" s="206">
        <v>45026</v>
      </c>
      <c r="B1114">
        <v>58.919998</v>
      </c>
      <c r="C1114">
        <v>59.75</v>
      </c>
      <c r="D1114">
        <v>58.91</v>
      </c>
      <c r="E1114">
        <v>59.48</v>
      </c>
      <c r="F1114">
        <v>58.431922999999998</v>
      </c>
      <c r="G1114">
        <v>2913300</v>
      </c>
    </row>
    <row r="1115" spans="1:7" x14ac:dyDescent="0.3">
      <c r="A1115" s="206">
        <v>45027</v>
      </c>
      <c r="B1115">
        <v>59.599997999999999</v>
      </c>
      <c r="C1115">
        <v>60.529998999999997</v>
      </c>
      <c r="D1115">
        <v>59.200001</v>
      </c>
      <c r="E1115">
        <v>60.119999</v>
      </c>
      <c r="F1115">
        <v>59.060645999999998</v>
      </c>
      <c r="G1115">
        <v>4326100</v>
      </c>
    </row>
    <row r="1116" spans="1:7" x14ac:dyDescent="0.3">
      <c r="A1116" s="206">
        <v>45028</v>
      </c>
      <c r="B1116">
        <v>60.34</v>
      </c>
      <c r="C1116">
        <v>61</v>
      </c>
      <c r="D1116">
        <v>59.709999000000003</v>
      </c>
      <c r="E1116">
        <v>60.009998000000003</v>
      </c>
      <c r="F1116">
        <v>58.952587000000001</v>
      </c>
      <c r="G1116">
        <v>4242800</v>
      </c>
    </row>
    <row r="1117" spans="1:7" x14ac:dyDescent="0.3">
      <c r="A1117" s="206">
        <v>45029</v>
      </c>
      <c r="B1117">
        <v>59.849997999999999</v>
      </c>
      <c r="C1117">
        <v>59.919998</v>
      </c>
      <c r="D1117">
        <v>59.220001000000003</v>
      </c>
      <c r="E1117">
        <v>59.779998999999997</v>
      </c>
      <c r="F1117">
        <v>58.726638999999999</v>
      </c>
      <c r="G1117">
        <v>4443300</v>
      </c>
    </row>
    <row r="1118" spans="1:7" x14ac:dyDescent="0.3">
      <c r="A1118" s="206">
        <v>45030</v>
      </c>
      <c r="B1118">
        <v>60.419998</v>
      </c>
      <c r="C1118">
        <v>60.900002000000001</v>
      </c>
      <c r="D1118">
        <v>60.049999</v>
      </c>
      <c r="E1118">
        <v>60.619999</v>
      </c>
      <c r="F1118">
        <v>59.551837999999996</v>
      </c>
      <c r="G1118">
        <v>4332100</v>
      </c>
    </row>
    <row r="1119" spans="1:7" x14ac:dyDescent="0.3">
      <c r="A1119" s="206">
        <v>45033</v>
      </c>
      <c r="B1119">
        <v>60.200001</v>
      </c>
      <c r="C1119">
        <v>61.549999</v>
      </c>
      <c r="D1119">
        <v>59.880001</v>
      </c>
      <c r="E1119">
        <v>61.540000999999997</v>
      </c>
      <c r="F1119">
        <v>60.455627</v>
      </c>
      <c r="G1119">
        <v>3841800</v>
      </c>
    </row>
    <row r="1120" spans="1:7" x14ac:dyDescent="0.3">
      <c r="A1120" s="206">
        <v>45034</v>
      </c>
      <c r="B1120">
        <v>61.77</v>
      </c>
      <c r="C1120">
        <v>61.810001</v>
      </c>
      <c r="D1120">
        <v>61.259998000000003</v>
      </c>
      <c r="E1120">
        <v>61.310001</v>
      </c>
      <c r="F1120">
        <v>60.229683000000001</v>
      </c>
      <c r="G1120">
        <v>4018400</v>
      </c>
    </row>
    <row r="1121" spans="1:7" x14ac:dyDescent="0.3">
      <c r="A1121" s="206">
        <v>45035</v>
      </c>
      <c r="B1121">
        <v>61.419998</v>
      </c>
      <c r="C1121">
        <v>62</v>
      </c>
      <c r="D1121">
        <v>61.18</v>
      </c>
      <c r="E1121">
        <v>61.810001</v>
      </c>
      <c r="F1121">
        <v>60.720871000000002</v>
      </c>
      <c r="G1121">
        <v>5445500</v>
      </c>
    </row>
    <row r="1122" spans="1:7" x14ac:dyDescent="0.3">
      <c r="A1122" s="206">
        <v>45036</v>
      </c>
      <c r="B1122">
        <v>61.470001000000003</v>
      </c>
      <c r="C1122">
        <v>61.68</v>
      </c>
      <c r="D1122">
        <v>60.66</v>
      </c>
      <c r="E1122">
        <v>60.810001</v>
      </c>
      <c r="F1122">
        <v>59.738495</v>
      </c>
      <c r="G1122">
        <v>4059200</v>
      </c>
    </row>
    <row r="1123" spans="1:7" x14ac:dyDescent="0.3">
      <c r="A1123" s="206">
        <v>45037</v>
      </c>
      <c r="B1123">
        <v>60.610000999999997</v>
      </c>
      <c r="C1123">
        <v>60.700001</v>
      </c>
      <c r="D1123">
        <v>59.720001000000003</v>
      </c>
      <c r="E1123">
        <v>60.169998</v>
      </c>
      <c r="F1123">
        <v>59.109768000000003</v>
      </c>
      <c r="G1123">
        <v>3897900</v>
      </c>
    </row>
    <row r="1124" spans="1:7" x14ac:dyDescent="0.3">
      <c r="A1124" s="206">
        <v>45040</v>
      </c>
      <c r="B1124">
        <v>60.049999</v>
      </c>
      <c r="C1124">
        <v>60.459999000000003</v>
      </c>
      <c r="D1124">
        <v>59.990001999999997</v>
      </c>
      <c r="E1124">
        <v>60.41</v>
      </c>
      <c r="F1124">
        <v>59.345539000000002</v>
      </c>
      <c r="G1124">
        <v>4816500</v>
      </c>
    </row>
    <row r="1125" spans="1:7" x14ac:dyDescent="0.3">
      <c r="A1125" s="206">
        <v>45041</v>
      </c>
      <c r="B1125">
        <v>59.790000999999997</v>
      </c>
      <c r="C1125">
        <v>59.790000999999997</v>
      </c>
      <c r="D1125">
        <v>58.860000999999997</v>
      </c>
      <c r="E1125">
        <v>59.209999000000003</v>
      </c>
      <c r="F1125">
        <v>58.166682999999999</v>
      </c>
      <c r="G1125">
        <v>3867700</v>
      </c>
    </row>
    <row r="1126" spans="1:7" x14ac:dyDescent="0.3">
      <c r="A1126" s="206">
        <v>45042</v>
      </c>
      <c r="B1126">
        <v>59.049999</v>
      </c>
      <c r="C1126">
        <v>59.84</v>
      </c>
      <c r="D1126">
        <v>58.5</v>
      </c>
      <c r="E1126">
        <v>58.919998</v>
      </c>
      <c r="F1126">
        <v>57.881793999999999</v>
      </c>
      <c r="G1126">
        <v>4378500</v>
      </c>
    </row>
    <row r="1127" spans="1:7" x14ac:dyDescent="0.3">
      <c r="A1127" s="206">
        <v>45043</v>
      </c>
      <c r="B1127">
        <v>59.009998000000003</v>
      </c>
      <c r="C1127">
        <v>60.419998</v>
      </c>
      <c r="D1127">
        <v>59.009998000000003</v>
      </c>
      <c r="E1127">
        <v>60.310001</v>
      </c>
      <c r="F1127">
        <v>59.247303000000002</v>
      </c>
      <c r="G1127">
        <v>6748300</v>
      </c>
    </row>
    <row r="1128" spans="1:7" x14ac:dyDescent="0.3">
      <c r="A1128" s="206">
        <v>45044</v>
      </c>
      <c r="B1128">
        <v>60.07</v>
      </c>
      <c r="C1128">
        <v>61.470001000000003</v>
      </c>
      <c r="D1128">
        <v>59.860000999999997</v>
      </c>
      <c r="E1128">
        <v>61.330002</v>
      </c>
      <c r="F1128">
        <v>60.249332000000003</v>
      </c>
      <c r="G1128">
        <v>4721700</v>
      </c>
    </row>
    <row r="1129" spans="1:7" x14ac:dyDescent="0.3">
      <c r="A1129" s="206">
        <v>45047</v>
      </c>
      <c r="B1129">
        <v>60.950001</v>
      </c>
      <c r="C1129">
        <v>61.799999</v>
      </c>
      <c r="D1129">
        <v>60.889999000000003</v>
      </c>
      <c r="E1129">
        <v>61.259998000000003</v>
      </c>
      <c r="F1129">
        <v>60.180560999999997</v>
      </c>
      <c r="G1129">
        <v>4704700</v>
      </c>
    </row>
    <row r="1130" spans="1:7" x14ac:dyDescent="0.3">
      <c r="A1130" s="206">
        <v>45048</v>
      </c>
      <c r="B1130">
        <v>60.669998</v>
      </c>
      <c r="C1130">
        <v>60.830002</v>
      </c>
      <c r="D1130">
        <v>58.34</v>
      </c>
      <c r="E1130">
        <v>59.43</v>
      </c>
      <c r="F1130">
        <v>58.382809000000002</v>
      </c>
      <c r="G1130">
        <v>4774300</v>
      </c>
    </row>
    <row r="1131" spans="1:7" x14ac:dyDescent="0.3">
      <c r="A1131" s="206">
        <v>45049</v>
      </c>
      <c r="B1131">
        <v>59.68</v>
      </c>
      <c r="C1131">
        <v>60.599997999999999</v>
      </c>
      <c r="D1131">
        <v>58.66</v>
      </c>
      <c r="E1131">
        <v>58.709999000000003</v>
      </c>
      <c r="F1131">
        <v>57.675494999999998</v>
      </c>
      <c r="G1131">
        <v>6285400</v>
      </c>
    </row>
    <row r="1132" spans="1:7" x14ac:dyDescent="0.3">
      <c r="A1132" s="206">
        <v>45050</v>
      </c>
      <c r="B1132">
        <v>58.060001</v>
      </c>
      <c r="C1132">
        <v>58.139999000000003</v>
      </c>
      <c r="D1132">
        <v>53.189999</v>
      </c>
      <c r="E1132">
        <v>54.110000999999997</v>
      </c>
      <c r="F1132">
        <v>53.156551</v>
      </c>
      <c r="G1132">
        <v>12380300</v>
      </c>
    </row>
    <row r="1133" spans="1:7" x14ac:dyDescent="0.3">
      <c r="A1133" s="206">
        <v>45051</v>
      </c>
      <c r="B1133">
        <v>55.02</v>
      </c>
      <c r="C1133">
        <v>55.77</v>
      </c>
      <c r="D1133">
        <v>54.52</v>
      </c>
      <c r="E1133">
        <v>54.66</v>
      </c>
      <c r="F1133">
        <v>53.696860999999998</v>
      </c>
      <c r="G1133">
        <v>6799600</v>
      </c>
    </row>
    <row r="1134" spans="1:7" x14ac:dyDescent="0.3">
      <c r="A1134" s="206">
        <v>45054</v>
      </c>
      <c r="B1134">
        <v>54.330002</v>
      </c>
      <c r="C1134">
        <v>54.84</v>
      </c>
      <c r="D1134">
        <v>53.540000999999997</v>
      </c>
      <c r="E1134">
        <v>53.689999</v>
      </c>
      <c r="F1134">
        <v>53.250542000000003</v>
      </c>
      <c r="G1134">
        <v>5420000</v>
      </c>
    </row>
    <row r="1135" spans="1:7" x14ac:dyDescent="0.3">
      <c r="A1135" s="206">
        <v>45055</v>
      </c>
      <c r="B1135">
        <v>53</v>
      </c>
      <c r="C1135">
        <v>53.130001</v>
      </c>
      <c r="D1135">
        <v>52.450001</v>
      </c>
      <c r="E1135">
        <v>52.790000999999997</v>
      </c>
      <c r="F1135">
        <v>52.357909999999997</v>
      </c>
      <c r="G1135">
        <v>7741400</v>
      </c>
    </row>
    <row r="1136" spans="1:7" x14ac:dyDescent="0.3">
      <c r="A1136" s="206">
        <v>45056</v>
      </c>
      <c r="B1136">
        <v>52.939999</v>
      </c>
      <c r="C1136">
        <v>53.07</v>
      </c>
      <c r="D1136">
        <v>51.349997999999999</v>
      </c>
      <c r="E1136">
        <v>51.82</v>
      </c>
      <c r="F1136">
        <v>51.395847000000003</v>
      </c>
      <c r="G1136">
        <v>9041900</v>
      </c>
    </row>
    <row r="1137" spans="1:7" x14ac:dyDescent="0.3">
      <c r="A1137" s="206">
        <v>45057</v>
      </c>
      <c r="B1137">
        <v>51.310001</v>
      </c>
      <c r="C1137">
        <v>51.48</v>
      </c>
      <c r="D1137">
        <v>50.790000999999997</v>
      </c>
      <c r="E1137">
        <v>51.23</v>
      </c>
      <c r="F1137">
        <v>50.810676999999998</v>
      </c>
      <c r="G1137">
        <v>6096600</v>
      </c>
    </row>
    <row r="1138" spans="1:7" x14ac:dyDescent="0.3">
      <c r="A1138" s="206">
        <v>45058</v>
      </c>
      <c r="B1138">
        <v>51.259998000000003</v>
      </c>
      <c r="C1138">
        <v>51.34</v>
      </c>
      <c r="D1138">
        <v>49.200001</v>
      </c>
      <c r="E1138">
        <v>50.220001000000003</v>
      </c>
      <c r="F1138">
        <v>49.808945000000001</v>
      </c>
      <c r="G1138">
        <v>12674800</v>
      </c>
    </row>
    <row r="1139" spans="1:7" x14ac:dyDescent="0.3">
      <c r="A1139" s="206">
        <v>45061</v>
      </c>
      <c r="B1139">
        <v>50.009998000000003</v>
      </c>
      <c r="C1139">
        <v>50.740001999999997</v>
      </c>
      <c r="D1139">
        <v>49.77</v>
      </c>
      <c r="E1139">
        <v>50.48</v>
      </c>
      <c r="F1139">
        <v>50.066814000000001</v>
      </c>
      <c r="G1139">
        <v>10654300</v>
      </c>
    </row>
    <row r="1140" spans="1:7" x14ac:dyDescent="0.3">
      <c r="A1140" s="206">
        <v>45062</v>
      </c>
      <c r="B1140">
        <v>50.540000999999997</v>
      </c>
      <c r="C1140">
        <v>50.540000999999997</v>
      </c>
      <c r="D1140">
        <v>48.950001</v>
      </c>
      <c r="E1140">
        <v>49.119999</v>
      </c>
      <c r="F1140">
        <v>48.717948999999997</v>
      </c>
      <c r="G1140">
        <v>10426800</v>
      </c>
    </row>
    <row r="1141" spans="1:7" x14ac:dyDescent="0.3">
      <c r="A1141" s="206">
        <v>45063</v>
      </c>
      <c r="B1141">
        <v>49.57</v>
      </c>
      <c r="C1141">
        <v>51.790000999999997</v>
      </c>
      <c r="D1141">
        <v>49.43</v>
      </c>
      <c r="E1141">
        <v>51.700001</v>
      </c>
      <c r="F1141">
        <v>51.276833000000003</v>
      </c>
      <c r="G1141">
        <v>6853400</v>
      </c>
    </row>
    <row r="1142" spans="1:7" x14ac:dyDescent="0.3">
      <c r="A1142" s="206">
        <v>45064</v>
      </c>
      <c r="B1142">
        <v>51.689999</v>
      </c>
      <c r="C1142">
        <v>51.939999</v>
      </c>
      <c r="D1142">
        <v>51.139999000000003</v>
      </c>
      <c r="E1142">
        <v>51.880001</v>
      </c>
      <c r="F1142">
        <v>51.455359999999999</v>
      </c>
      <c r="G1142">
        <v>5315900</v>
      </c>
    </row>
    <row r="1143" spans="1:7" x14ac:dyDescent="0.3">
      <c r="A1143" s="206">
        <v>45065</v>
      </c>
      <c r="B1143">
        <v>52.25</v>
      </c>
      <c r="C1143">
        <v>52.400002000000001</v>
      </c>
      <c r="D1143">
        <v>51.369999</v>
      </c>
      <c r="E1143">
        <v>51.580002</v>
      </c>
      <c r="F1143">
        <v>51.157814000000002</v>
      </c>
      <c r="G1143">
        <v>5965100</v>
      </c>
    </row>
    <row r="1144" spans="1:7" x14ac:dyDescent="0.3">
      <c r="A1144" s="206">
        <v>45068</v>
      </c>
      <c r="B1144">
        <v>51.619999</v>
      </c>
      <c r="C1144">
        <v>52.450001</v>
      </c>
      <c r="D1144">
        <v>51.290000999999997</v>
      </c>
      <c r="E1144">
        <v>52.369999</v>
      </c>
      <c r="F1144">
        <v>51.941344999999998</v>
      </c>
      <c r="G1144">
        <v>4044300</v>
      </c>
    </row>
    <row r="1145" spans="1:7" x14ac:dyDescent="0.3">
      <c r="A1145" s="206">
        <v>45069</v>
      </c>
      <c r="B1145">
        <v>52.43</v>
      </c>
      <c r="C1145">
        <v>52.880001</v>
      </c>
      <c r="D1145">
        <v>51.82</v>
      </c>
      <c r="E1145">
        <v>51.84</v>
      </c>
      <c r="F1145">
        <v>51.415683999999999</v>
      </c>
      <c r="G1145">
        <v>4350100</v>
      </c>
    </row>
    <row r="1146" spans="1:7" x14ac:dyDescent="0.3">
      <c r="A1146" s="206">
        <v>45070</v>
      </c>
      <c r="B1146">
        <v>51.529998999999997</v>
      </c>
      <c r="C1146">
        <v>51.639999000000003</v>
      </c>
      <c r="D1146">
        <v>50.110000999999997</v>
      </c>
      <c r="E1146">
        <v>50.25</v>
      </c>
      <c r="F1146">
        <v>49.838698999999998</v>
      </c>
      <c r="G1146">
        <v>5656200</v>
      </c>
    </row>
    <row r="1147" spans="1:7" x14ac:dyDescent="0.3">
      <c r="A1147" s="206">
        <v>45071</v>
      </c>
      <c r="B1147">
        <v>53.07</v>
      </c>
      <c r="C1147">
        <v>53.07</v>
      </c>
      <c r="D1147">
        <v>51.580002</v>
      </c>
      <c r="E1147">
        <v>52.77</v>
      </c>
      <c r="F1147">
        <v>52.338073999999999</v>
      </c>
      <c r="G1147">
        <v>9299300</v>
      </c>
    </row>
    <row r="1148" spans="1:7" x14ac:dyDescent="0.3">
      <c r="A1148" s="206">
        <v>45072</v>
      </c>
      <c r="B1148">
        <v>52.700001</v>
      </c>
      <c r="C1148">
        <v>53.049999</v>
      </c>
      <c r="D1148">
        <v>51.799999</v>
      </c>
      <c r="E1148">
        <v>51.810001</v>
      </c>
      <c r="F1148">
        <v>51.385933000000001</v>
      </c>
      <c r="G1148">
        <v>5274300</v>
      </c>
    </row>
    <row r="1149" spans="1:7" x14ac:dyDescent="0.3">
      <c r="A1149" s="206">
        <v>45076</v>
      </c>
      <c r="B1149">
        <v>52.279998999999997</v>
      </c>
      <c r="C1149">
        <v>52.279998999999997</v>
      </c>
      <c r="D1149">
        <v>51.139999000000003</v>
      </c>
      <c r="E1149">
        <v>51.650002000000001</v>
      </c>
      <c r="F1149">
        <v>51.227241999999997</v>
      </c>
      <c r="G1149">
        <v>4277400</v>
      </c>
    </row>
    <row r="1150" spans="1:7" x14ac:dyDescent="0.3">
      <c r="A1150" s="206">
        <v>45077</v>
      </c>
      <c r="B1150">
        <v>50.950001</v>
      </c>
      <c r="C1150">
        <v>51.099997999999999</v>
      </c>
      <c r="D1150">
        <v>49.380001</v>
      </c>
      <c r="E1150">
        <v>49.549999</v>
      </c>
      <c r="F1150">
        <v>49.144427999999998</v>
      </c>
      <c r="G1150">
        <v>8296800</v>
      </c>
    </row>
    <row r="1151" spans="1:7" x14ac:dyDescent="0.3">
      <c r="A1151" s="206">
        <v>45078</v>
      </c>
      <c r="B1151">
        <v>49.77</v>
      </c>
      <c r="C1151">
        <v>50.75</v>
      </c>
      <c r="D1151">
        <v>49.549999</v>
      </c>
      <c r="E1151">
        <v>50.380001</v>
      </c>
      <c r="F1151">
        <v>49.967635999999999</v>
      </c>
      <c r="G1151">
        <v>4951400</v>
      </c>
    </row>
    <row r="1152" spans="1:7" x14ac:dyDescent="0.3">
      <c r="A1152" s="206">
        <v>45079</v>
      </c>
      <c r="B1152">
        <v>51.23</v>
      </c>
      <c r="C1152">
        <v>53.380001</v>
      </c>
      <c r="D1152">
        <v>50.830002</v>
      </c>
      <c r="E1152">
        <v>52.970001000000003</v>
      </c>
      <c r="F1152">
        <v>52.536437999999997</v>
      </c>
      <c r="G1152">
        <v>6943200</v>
      </c>
    </row>
    <row r="1153" spans="1:7" x14ac:dyDescent="0.3">
      <c r="A1153" s="206">
        <v>45082</v>
      </c>
      <c r="B1153">
        <v>53.209999000000003</v>
      </c>
      <c r="C1153">
        <v>53.209999000000003</v>
      </c>
      <c r="D1153">
        <v>52.209999000000003</v>
      </c>
      <c r="E1153">
        <v>52.650002000000001</v>
      </c>
      <c r="F1153">
        <v>52.219054999999997</v>
      </c>
      <c r="G1153">
        <v>5527200</v>
      </c>
    </row>
    <row r="1154" spans="1:7" x14ac:dyDescent="0.3">
      <c r="A1154" s="206">
        <v>45083</v>
      </c>
      <c r="B1154">
        <v>52.73</v>
      </c>
      <c r="C1154">
        <v>53.830002</v>
      </c>
      <c r="D1154">
        <v>52.59</v>
      </c>
      <c r="E1154">
        <v>53.400002000000001</v>
      </c>
      <c r="F1154">
        <v>52.962916999999997</v>
      </c>
      <c r="G1154">
        <v>4235100</v>
      </c>
    </row>
    <row r="1155" spans="1:7" x14ac:dyDescent="0.3">
      <c r="A1155" s="206">
        <v>45084</v>
      </c>
      <c r="B1155">
        <v>53.450001</v>
      </c>
      <c r="C1155">
        <v>55.07</v>
      </c>
      <c r="D1155">
        <v>53.279998999999997</v>
      </c>
      <c r="E1155">
        <v>54.849997999999999</v>
      </c>
      <c r="F1155">
        <v>54.401046999999998</v>
      </c>
      <c r="G1155">
        <v>6209700</v>
      </c>
    </row>
    <row r="1156" spans="1:7" x14ac:dyDescent="0.3">
      <c r="A1156" s="206">
        <v>45085</v>
      </c>
      <c r="B1156">
        <v>54.830002</v>
      </c>
      <c r="C1156">
        <v>55.02</v>
      </c>
      <c r="D1156">
        <v>53.439999</v>
      </c>
      <c r="E1156">
        <v>53.759998000000003</v>
      </c>
      <c r="F1156">
        <v>53.319969</v>
      </c>
      <c r="G1156">
        <v>5200400</v>
      </c>
    </row>
    <row r="1157" spans="1:7" x14ac:dyDescent="0.3">
      <c r="A1157" s="206">
        <v>45086</v>
      </c>
      <c r="B1157">
        <v>53.860000999999997</v>
      </c>
      <c r="C1157">
        <v>54.32</v>
      </c>
      <c r="D1157">
        <v>53.619999</v>
      </c>
      <c r="E1157">
        <v>53.869999</v>
      </c>
      <c r="F1157">
        <v>53.429070000000003</v>
      </c>
      <c r="G1157">
        <v>3701400</v>
      </c>
    </row>
    <row r="1158" spans="1:7" x14ac:dyDescent="0.3">
      <c r="A1158" s="206">
        <v>45089</v>
      </c>
      <c r="B1158">
        <v>53.779998999999997</v>
      </c>
      <c r="C1158">
        <v>54.5</v>
      </c>
      <c r="D1158">
        <v>53.470001000000003</v>
      </c>
      <c r="E1158">
        <v>54.009998000000003</v>
      </c>
      <c r="F1158">
        <v>53.567920999999998</v>
      </c>
      <c r="G1158">
        <v>3976700</v>
      </c>
    </row>
    <row r="1159" spans="1:7" x14ac:dyDescent="0.3">
      <c r="A1159" s="206">
        <v>45090</v>
      </c>
      <c r="B1159">
        <v>54.119999</v>
      </c>
      <c r="C1159">
        <v>55.369999</v>
      </c>
      <c r="D1159">
        <v>54.049999</v>
      </c>
      <c r="E1159">
        <v>55.169998</v>
      </c>
      <c r="F1159">
        <v>54.718426000000001</v>
      </c>
      <c r="G1159">
        <v>7442100</v>
      </c>
    </row>
    <row r="1160" spans="1:7" x14ac:dyDescent="0.3">
      <c r="A1160" s="206">
        <v>45091</v>
      </c>
      <c r="B1160">
        <v>55.310001</v>
      </c>
      <c r="C1160">
        <v>56.009998000000003</v>
      </c>
      <c r="D1160">
        <v>53.82</v>
      </c>
      <c r="E1160">
        <v>53.939999</v>
      </c>
      <c r="F1160">
        <v>53.498493000000003</v>
      </c>
      <c r="G1160">
        <v>4402400</v>
      </c>
    </row>
    <row r="1161" spans="1:7" x14ac:dyDescent="0.3">
      <c r="A1161" s="206">
        <v>45092</v>
      </c>
      <c r="B1161">
        <v>53.73</v>
      </c>
      <c r="C1161">
        <v>55.259998000000003</v>
      </c>
      <c r="D1161">
        <v>53.68</v>
      </c>
      <c r="E1161">
        <v>55.16</v>
      </c>
      <c r="F1161">
        <v>54.708511000000001</v>
      </c>
      <c r="G1161">
        <v>5212900</v>
      </c>
    </row>
    <row r="1162" spans="1:7" x14ac:dyDescent="0.3">
      <c r="A1162" s="206">
        <v>45093</v>
      </c>
      <c r="B1162">
        <v>55.299999</v>
      </c>
      <c r="C1162">
        <v>55.830002</v>
      </c>
      <c r="D1162">
        <v>54.779998999999997</v>
      </c>
      <c r="E1162">
        <v>55.5</v>
      </c>
      <c r="F1162">
        <v>55.045726999999999</v>
      </c>
      <c r="G1162">
        <v>10278200</v>
      </c>
    </row>
    <row r="1163" spans="1:7" x14ac:dyDescent="0.3">
      <c r="A1163" s="206">
        <v>45097</v>
      </c>
      <c r="B1163">
        <v>54.950001</v>
      </c>
      <c r="C1163">
        <v>55.169998</v>
      </c>
      <c r="D1163">
        <v>53.740001999999997</v>
      </c>
      <c r="E1163">
        <v>54.52</v>
      </c>
      <c r="F1163">
        <v>54.073749999999997</v>
      </c>
      <c r="G1163">
        <v>5981400</v>
      </c>
    </row>
    <row r="1164" spans="1:7" x14ac:dyDescent="0.3">
      <c r="A1164" s="206">
        <v>45098</v>
      </c>
      <c r="B1164">
        <v>54.48</v>
      </c>
      <c r="C1164">
        <v>55.139999000000003</v>
      </c>
      <c r="D1164">
        <v>54.110000999999997</v>
      </c>
      <c r="E1164">
        <v>54.549999</v>
      </c>
      <c r="F1164">
        <v>54.103504000000001</v>
      </c>
      <c r="G1164">
        <v>4225000</v>
      </c>
    </row>
    <row r="1165" spans="1:7" x14ac:dyDescent="0.3">
      <c r="A1165" s="206">
        <v>45099</v>
      </c>
      <c r="B1165">
        <v>54.509998000000003</v>
      </c>
      <c r="C1165">
        <v>54.509998000000003</v>
      </c>
      <c r="D1165">
        <v>53.470001000000003</v>
      </c>
      <c r="E1165">
        <v>53.860000999999997</v>
      </c>
      <c r="F1165">
        <v>53.419150999999999</v>
      </c>
      <c r="G1165">
        <v>4227900</v>
      </c>
    </row>
    <row r="1166" spans="1:7" x14ac:dyDescent="0.3">
      <c r="A1166" s="206">
        <v>45100</v>
      </c>
      <c r="B1166">
        <v>53.009998000000003</v>
      </c>
      <c r="C1166">
        <v>53.799999</v>
      </c>
      <c r="D1166">
        <v>52.970001000000003</v>
      </c>
      <c r="E1166">
        <v>53.330002</v>
      </c>
      <c r="F1166">
        <v>52.89349</v>
      </c>
      <c r="G1166">
        <v>7023000</v>
      </c>
    </row>
    <row r="1167" spans="1:7" x14ac:dyDescent="0.3">
      <c r="A1167" s="206">
        <v>45103</v>
      </c>
      <c r="B1167">
        <v>53.580002</v>
      </c>
      <c r="C1167">
        <v>54.450001</v>
      </c>
      <c r="D1167">
        <v>53.040000999999997</v>
      </c>
      <c r="E1167">
        <v>54.060001</v>
      </c>
      <c r="F1167">
        <v>53.617516000000002</v>
      </c>
      <c r="G1167">
        <v>5637900</v>
      </c>
    </row>
    <row r="1168" spans="1:7" x14ac:dyDescent="0.3">
      <c r="A1168" s="206">
        <v>45104</v>
      </c>
      <c r="B1168">
        <v>54.630001</v>
      </c>
      <c r="C1168">
        <v>55.259998000000003</v>
      </c>
      <c r="D1168">
        <v>54.040000999999997</v>
      </c>
      <c r="E1168">
        <v>54.98</v>
      </c>
      <c r="F1168">
        <v>54.529983999999999</v>
      </c>
      <c r="G1168">
        <v>4812400</v>
      </c>
    </row>
    <row r="1169" spans="1:7" x14ac:dyDescent="0.3">
      <c r="A1169" s="206">
        <v>45105</v>
      </c>
      <c r="B1169">
        <v>54.689999</v>
      </c>
      <c r="C1169">
        <v>54.919998</v>
      </c>
      <c r="D1169">
        <v>53.919998</v>
      </c>
      <c r="E1169">
        <v>54.869999</v>
      </c>
      <c r="F1169">
        <v>54.420883000000003</v>
      </c>
      <c r="G1169">
        <v>5112000</v>
      </c>
    </row>
    <row r="1170" spans="1:7" x14ac:dyDescent="0.3">
      <c r="A1170" s="206">
        <v>45106</v>
      </c>
      <c r="B1170">
        <v>55.259998000000003</v>
      </c>
      <c r="C1170">
        <v>56.290000999999997</v>
      </c>
      <c r="D1170">
        <v>55.18</v>
      </c>
      <c r="E1170">
        <v>56.18</v>
      </c>
      <c r="F1170">
        <v>55.720160999999997</v>
      </c>
      <c r="G1170">
        <v>5015100</v>
      </c>
    </row>
    <row r="1171" spans="1:7" x14ac:dyDescent="0.3">
      <c r="A1171" s="206">
        <v>45107</v>
      </c>
      <c r="B1171">
        <v>56.5</v>
      </c>
      <c r="C1171">
        <v>56.889999000000003</v>
      </c>
      <c r="D1171">
        <v>56.119999</v>
      </c>
      <c r="E1171">
        <v>56.529998999999997</v>
      </c>
      <c r="F1171">
        <v>56.067295000000001</v>
      </c>
      <c r="G1171">
        <v>5850600</v>
      </c>
    </row>
    <row r="1172" spans="1:7" x14ac:dyDescent="0.3">
      <c r="A1172" s="206">
        <v>45110</v>
      </c>
      <c r="B1172">
        <v>56.709999000000003</v>
      </c>
      <c r="C1172">
        <v>57.810001</v>
      </c>
      <c r="D1172">
        <v>56.619999</v>
      </c>
      <c r="E1172">
        <v>57.279998999999997</v>
      </c>
      <c r="F1172">
        <v>56.811157000000001</v>
      </c>
      <c r="G1172">
        <v>2429100</v>
      </c>
    </row>
    <row r="1173" spans="1:7" x14ac:dyDescent="0.3">
      <c r="A1173" s="206">
        <v>45112</v>
      </c>
      <c r="B1173">
        <v>56.330002</v>
      </c>
      <c r="C1173">
        <v>57.099997999999999</v>
      </c>
      <c r="D1173">
        <v>56.130001</v>
      </c>
      <c r="E1173">
        <v>56.779998999999997</v>
      </c>
      <c r="F1173">
        <v>56.315249999999999</v>
      </c>
      <c r="G1173">
        <v>3786900</v>
      </c>
    </row>
    <row r="1174" spans="1:7" x14ac:dyDescent="0.3">
      <c r="A1174" s="206">
        <v>45113</v>
      </c>
      <c r="B1174">
        <v>56.200001</v>
      </c>
      <c r="C1174">
        <v>56.889999000000003</v>
      </c>
      <c r="D1174">
        <v>56.169998</v>
      </c>
      <c r="E1174">
        <v>56.709999000000003</v>
      </c>
      <c r="F1174">
        <v>56.245823000000001</v>
      </c>
      <c r="G1174">
        <v>4467000</v>
      </c>
    </row>
    <row r="1175" spans="1:7" x14ac:dyDescent="0.3">
      <c r="A1175" s="206">
        <v>45114</v>
      </c>
      <c r="B1175">
        <v>56.650002000000001</v>
      </c>
      <c r="C1175">
        <v>58.02</v>
      </c>
      <c r="D1175">
        <v>56.630001</v>
      </c>
      <c r="E1175">
        <v>57.610000999999997</v>
      </c>
      <c r="F1175">
        <v>57.138458</v>
      </c>
      <c r="G1175">
        <v>4615900</v>
      </c>
    </row>
    <row r="1176" spans="1:7" x14ac:dyDescent="0.3">
      <c r="A1176" s="206">
        <v>45117</v>
      </c>
      <c r="B1176">
        <v>57.43</v>
      </c>
      <c r="C1176">
        <v>58.16</v>
      </c>
      <c r="D1176">
        <v>57.209999000000003</v>
      </c>
      <c r="E1176">
        <v>57.41</v>
      </c>
      <c r="F1176">
        <v>56.940094000000002</v>
      </c>
      <c r="G1176">
        <v>4030200</v>
      </c>
    </row>
    <row r="1177" spans="1:7" x14ac:dyDescent="0.3">
      <c r="A1177" s="206">
        <v>45118</v>
      </c>
      <c r="B1177">
        <v>57.720001000000003</v>
      </c>
      <c r="C1177">
        <v>59.330002</v>
      </c>
      <c r="D1177">
        <v>57.720001000000003</v>
      </c>
      <c r="E1177">
        <v>59.240001999999997</v>
      </c>
      <c r="F1177">
        <v>58.755116000000001</v>
      </c>
      <c r="G1177">
        <v>5993300</v>
      </c>
    </row>
    <row r="1178" spans="1:7" x14ac:dyDescent="0.3">
      <c r="A1178" s="206">
        <v>45119</v>
      </c>
      <c r="B1178">
        <v>59.990001999999997</v>
      </c>
      <c r="C1178">
        <v>60.209999000000003</v>
      </c>
      <c r="D1178">
        <v>58.52</v>
      </c>
      <c r="E1178">
        <v>58.700001</v>
      </c>
      <c r="F1178">
        <v>58.219535999999998</v>
      </c>
      <c r="G1178">
        <v>5803100</v>
      </c>
    </row>
    <row r="1179" spans="1:7" x14ac:dyDescent="0.3">
      <c r="A1179" s="206">
        <v>45120</v>
      </c>
      <c r="B1179">
        <v>58.720001000000003</v>
      </c>
      <c r="C1179">
        <v>59.389999000000003</v>
      </c>
      <c r="D1179">
        <v>58.580002</v>
      </c>
      <c r="E1179">
        <v>59.169998</v>
      </c>
      <c r="F1179">
        <v>58.685687999999999</v>
      </c>
      <c r="G1179">
        <v>4034100</v>
      </c>
    </row>
    <row r="1180" spans="1:7" x14ac:dyDescent="0.3">
      <c r="A1180" s="206">
        <v>45121</v>
      </c>
      <c r="B1180">
        <v>59.259998000000003</v>
      </c>
      <c r="C1180">
        <v>59.330002</v>
      </c>
      <c r="D1180">
        <v>57.700001</v>
      </c>
      <c r="E1180">
        <v>58.16</v>
      </c>
      <c r="F1180">
        <v>57.683956000000002</v>
      </c>
      <c r="G1180">
        <v>3357900</v>
      </c>
    </row>
    <row r="1181" spans="1:7" x14ac:dyDescent="0.3">
      <c r="A1181" s="206">
        <v>45124</v>
      </c>
      <c r="B1181">
        <v>58.02</v>
      </c>
      <c r="C1181">
        <v>59.360000999999997</v>
      </c>
      <c r="D1181">
        <v>57.950001</v>
      </c>
      <c r="E1181">
        <v>59</v>
      </c>
      <c r="F1181">
        <v>58.517077999999998</v>
      </c>
      <c r="G1181">
        <v>2873300</v>
      </c>
    </row>
    <row r="1182" spans="1:7" x14ac:dyDescent="0.3">
      <c r="A1182" s="206">
        <v>45125</v>
      </c>
      <c r="B1182">
        <v>58.75</v>
      </c>
      <c r="C1182">
        <v>59.959999000000003</v>
      </c>
      <c r="D1182">
        <v>58.700001</v>
      </c>
      <c r="E1182">
        <v>59.369999</v>
      </c>
      <c r="F1182">
        <v>58.884048</v>
      </c>
      <c r="G1182">
        <v>3308700</v>
      </c>
    </row>
    <row r="1183" spans="1:7" x14ac:dyDescent="0.3">
      <c r="A1183" s="206">
        <v>45126</v>
      </c>
      <c r="B1183">
        <v>59.279998999999997</v>
      </c>
      <c r="C1183">
        <v>60.290000999999997</v>
      </c>
      <c r="D1183">
        <v>59.189999</v>
      </c>
      <c r="E1183">
        <v>60.259998000000003</v>
      </c>
      <c r="F1183">
        <v>59.766765999999997</v>
      </c>
      <c r="G1183">
        <v>4294800</v>
      </c>
    </row>
    <row r="1184" spans="1:7" x14ac:dyDescent="0.3">
      <c r="A1184" s="206">
        <v>45127</v>
      </c>
      <c r="B1184">
        <v>60.709999000000003</v>
      </c>
      <c r="C1184">
        <v>61.150002000000001</v>
      </c>
      <c r="D1184">
        <v>60.32</v>
      </c>
      <c r="E1184">
        <v>60.939999</v>
      </c>
      <c r="F1184">
        <v>60.441200000000002</v>
      </c>
      <c r="G1184">
        <v>3216800</v>
      </c>
    </row>
    <row r="1185" spans="1:7" x14ac:dyDescent="0.3">
      <c r="A1185" s="206">
        <v>45128</v>
      </c>
      <c r="B1185">
        <v>61.130001</v>
      </c>
      <c r="C1185">
        <v>61.34</v>
      </c>
      <c r="D1185">
        <v>60.529998999999997</v>
      </c>
      <c r="E1185">
        <v>61.200001</v>
      </c>
      <c r="F1185">
        <v>60.699074000000003</v>
      </c>
      <c r="G1185">
        <v>3341100</v>
      </c>
    </row>
    <row r="1186" spans="1:7" x14ac:dyDescent="0.3">
      <c r="A1186" s="206">
        <v>45131</v>
      </c>
      <c r="B1186">
        <v>61.32</v>
      </c>
      <c r="C1186">
        <v>62.560001</v>
      </c>
      <c r="D1186">
        <v>61.279998999999997</v>
      </c>
      <c r="E1186">
        <v>61.98</v>
      </c>
      <c r="F1186">
        <v>61.472687000000001</v>
      </c>
      <c r="G1186">
        <v>2891600</v>
      </c>
    </row>
    <row r="1187" spans="1:7" x14ac:dyDescent="0.3">
      <c r="A1187" s="206">
        <v>45132</v>
      </c>
      <c r="B1187">
        <v>61.900002000000001</v>
      </c>
      <c r="C1187">
        <v>62.099997999999999</v>
      </c>
      <c r="D1187">
        <v>61.419998</v>
      </c>
      <c r="E1187">
        <v>61.720001000000003</v>
      </c>
      <c r="F1187">
        <v>61.214816999999996</v>
      </c>
      <c r="G1187">
        <v>3158600</v>
      </c>
    </row>
    <row r="1188" spans="1:7" x14ac:dyDescent="0.3">
      <c r="A1188" s="206">
        <v>45133</v>
      </c>
      <c r="B1188">
        <v>62.009998000000003</v>
      </c>
      <c r="C1188">
        <v>62.990001999999997</v>
      </c>
      <c r="D1188">
        <v>61.889999000000003</v>
      </c>
      <c r="E1188">
        <v>62.849997999999999</v>
      </c>
      <c r="F1188">
        <v>62.335566999999998</v>
      </c>
      <c r="G1188">
        <v>3073700</v>
      </c>
    </row>
    <row r="1189" spans="1:7" x14ac:dyDescent="0.3">
      <c r="A1189" s="206">
        <v>45134</v>
      </c>
      <c r="B1189">
        <v>63.09</v>
      </c>
      <c r="C1189">
        <v>63.34</v>
      </c>
      <c r="D1189">
        <v>62.32</v>
      </c>
      <c r="E1189">
        <v>62.32</v>
      </c>
      <c r="F1189">
        <v>61.809905999999998</v>
      </c>
      <c r="G1189">
        <v>3852900</v>
      </c>
    </row>
    <row r="1190" spans="1:7" x14ac:dyDescent="0.3">
      <c r="A1190" s="206">
        <v>45135</v>
      </c>
      <c r="B1190">
        <v>62.950001</v>
      </c>
      <c r="C1190">
        <v>62.990001999999997</v>
      </c>
      <c r="D1190">
        <v>62.139999000000003</v>
      </c>
      <c r="E1190">
        <v>62.560001</v>
      </c>
      <c r="F1190">
        <v>62.047942999999997</v>
      </c>
      <c r="G1190">
        <v>3802500</v>
      </c>
    </row>
    <row r="1191" spans="1:7" x14ac:dyDescent="0.3">
      <c r="A1191" s="206">
        <v>45138</v>
      </c>
      <c r="B1191">
        <v>62.740001999999997</v>
      </c>
      <c r="C1191">
        <v>63.16</v>
      </c>
      <c r="D1191">
        <v>62.709999000000003</v>
      </c>
      <c r="E1191">
        <v>62.970001000000003</v>
      </c>
      <c r="F1191">
        <v>62.454585999999999</v>
      </c>
      <c r="G1191">
        <v>3069000</v>
      </c>
    </row>
    <row r="1192" spans="1:7" x14ac:dyDescent="0.3">
      <c r="A1192" s="206">
        <v>45139</v>
      </c>
      <c r="B1192">
        <v>62.669998</v>
      </c>
      <c r="C1192">
        <v>63.02</v>
      </c>
      <c r="D1192">
        <v>62.400002000000001</v>
      </c>
      <c r="E1192">
        <v>62.82</v>
      </c>
      <c r="F1192">
        <v>62.305813000000001</v>
      </c>
      <c r="G1192">
        <v>4311200</v>
      </c>
    </row>
    <row r="1193" spans="1:7" x14ac:dyDescent="0.3">
      <c r="A1193" s="206">
        <v>45140</v>
      </c>
      <c r="B1193">
        <v>62.630001</v>
      </c>
      <c r="C1193">
        <v>63.400002000000001</v>
      </c>
      <c r="D1193">
        <v>62.369999</v>
      </c>
      <c r="E1193">
        <v>62.75</v>
      </c>
      <c r="F1193">
        <v>62.236384999999999</v>
      </c>
      <c r="G1193">
        <v>6407800</v>
      </c>
    </row>
    <row r="1194" spans="1:7" x14ac:dyDescent="0.3">
      <c r="A1194" s="206">
        <v>45141</v>
      </c>
      <c r="B1194">
        <v>63.529998999999997</v>
      </c>
      <c r="C1194">
        <v>64.830001999999993</v>
      </c>
      <c r="D1194">
        <v>62.709999000000003</v>
      </c>
      <c r="E1194">
        <v>64.419998000000007</v>
      </c>
      <c r="F1194">
        <v>63.892715000000003</v>
      </c>
      <c r="G1194">
        <v>5455200</v>
      </c>
    </row>
    <row r="1195" spans="1:7" x14ac:dyDescent="0.3">
      <c r="A1195" s="206">
        <v>45142</v>
      </c>
      <c r="B1195">
        <v>64.540001000000004</v>
      </c>
      <c r="C1195">
        <v>65.139999000000003</v>
      </c>
      <c r="D1195">
        <v>63.389999000000003</v>
      </c>
      <c r="E1195">
        <v>63.529998999999997</v>
      </c>
      <c r="F1195">
        <v>63.009998000000003</v>
      </c>
      <c r="G1195">
        <v>4204600</v>
      </c>
    </row>
    <row r="1196" spans="1:7" x14ac:dyDescent="0.3">
      <c r="A1196" s="206">
        <v>45145</v>
      </c>
      <c r="B1196">
        <v>63.389999000000003</v>
      </c>
      <c r="C1196">
        <v>64.669998000000007</v>
      </c>
      <c r="D1196">
        <v>63.389999000000003</v>
      </c>
      <c r="E1196">
        <v>64.180000000000007</v>
      </c>
      <c r="F1196">
        <v>64.180000000000007</v>
      </c>
      <c r="G1196">
        <v>3821300</v>
      </c>
    </row>
    <row r="1197" spans="1:7" x14ac:dyDescent="0.3">
      <c r="A1197" s="206">
        <v>45146</v>
      </c>
      <c r="B1197">
        <v>63.099997999999999</v>
      </c>
      <c r="C1197">
        <v>63.689999</v>
      </c>
      <c r="D1197">
        <v>62.310001</v>
      </c>
      <c r="E1197">
        <v>63.5</v>
      </c>
      <c r="F1197">
        <v>63.5</v>
      </c>
      <c r="G1197">
        <v>4362300</v>
      </c>
    </row>
    <row r="1198" spans="1:7" x14ac:dyDescent="0.3">
      <c r="A1198" s="206">
        <v>45147</v>
      </c>
      <c r="B1198">
        <v>63.330002</v>
      </c>
      <c r="C1198">
        <v>63.84</v>
      </c>
      <c r="D1198">
        <v>62.580002</v>
      </c>
      <c r="E1198">
        <v>62.630001</v>
      </c>
      <c r="F1198">
        <v>62.630001</v>
      </c>
      <c r="G1198">
        <v>2921300</v>
      </c>
    </row>
    <row r="1199" spans="1:7" x14ac:dyDescent="0.3">
      <c r="A1199" s="206">
        <v>45148</v>
      </c>
      <c r="B1199">
        <v>62.599997999999999</v>
      </c>
      <c r="C1199">
        <v>63.419998</v>
      </c>
      <c r="D1199">
        <v>62.16</v>
      </c>
      <c r="E1199">
        <v>62.66</v>
      </c>
      <c r="F1199">
        <v>62.66</v>
      </c>
      <c r="G1199">
        <v>3915000</v>
      </c>
    </row>
    <row r="1200" spans="1:7" x14ac:dyDescent="0.3">
      <c r="A1200" s="206">
        <v>45149</v>
      </c>
      <c r="B1200">
        <v>62.68</v>
      </c>
      <c r="C1200">
        <v>63.77</v>
      </c>
      <c r="D1200">
        <v>62.459999000000003</v>
      </c>
      <c r="E1200">
        <v>63.650002000000001</v>
      </c>
      <c r="F1200">
        <v>63.650002000000001</v>
      </c>
      <c r="G1200">
        <v>2854200</v>
      </c>
    </row>
    <row r="1201" spans="1:7" x14ac:dyDescent="0.3">
      <c r="A1201" s="206">
        <v>45152</v>
      </c>
      <c r="B1201">
        <v>63.509998000000003</v>
      </c>
      <c r="C1201">
        <v>63.970001000000003</v>
      </c>
      <c r="D1201">
        <v>63.380001</v>
      </c>
      <c r="E1201">
        <v>63.57</v>
      </c>
      <c r="F1201">
        <v>63.57</v>
      </c>
      <c r="G1201">
        <v>2764600</v>
      </c>
    </row>
    <row r="1202" spans="1:7" x14ac:dyDescent="0.3">
      <c r="A1202" s="206">
        <v>45153</v>
      </c>
      <c r="B1202">
        <v>62.849997999999999</v>
      </c>
      <c r="C1202">
        <v>63.130001</v>
      </c>
      <c r="D1202">
        <v>61.790000999999997</v>
      </c>
      <c r="E1202">
        <v>61.860000999999997</v>
      </c>
      <c r="F1202">
        <v>61.860000999999997</v>
      </c>
      <c r="G1202">
        <v>3677300</v>
      </c>
    </row>
    <row r="1203" spans="1:7" x14ac:dyDescent="0.3">
      <c r="A1203" s="206">
        <v>45154</v>
      </c>
      <c r="B1203">
        <v>61.77</v>
      </c>
      <c r="C1203">
        <v>62.419998</v>
      </c>
      <c r="D1203">
        <v>61.509998000000003</v>
      </c>
      <c r="E1203">
        <v>61.66</v>
      </c>
      <c r="F1203">
        <v>61.66</v>
      </c>
      <c r="G1203">
        <v>2573300</v>
      </c>
    </row>
    <row r="1204" spans="1:7" x14ac:dyDescent="0.3">
      <c r="A1204" s="206">
        <v>45155</v>
      </c>
      <c r="B1204">
        <v>62.110000999999997</v>
      </c>
      <c r="C1204">
        <v>62.869999</v>
      </c>
      <c r="D1204">
        <v>61.73</v>
      </c>
      <c r="E1204">
        <v>61.84</v>
      </c>
      <c r="F1204">
        <v>61.84</v>
      </c>
      <c r="G1204">
        <v>3764300</v>
      </c>
    </row>
    <row r="1205" spans="1:7" x14ac:dyDescent="0.3">
      <c r="A1205" s="206">
        <v>45156</v>
      </c>
      <c r="B1205">
        <v>61.32</v>
      </c>
      <c r="C1205">
        <v>62.580002</v>
      </c>
      <c r="D1205">
        <v>61.25</v>
      </c>
      <c r="E1205">
        <v>62.259998000000003</v>
      </c>
      <c r="F1205">
        <v>62.259998000000003</v>
      </c>
      <c r="G1205">
        <v>3225400</v>
      </c>
    </row>
    <row r="1206" spans="1:7" x14ac:dyDescent="0.3">
      <c r="A1206" s="206">
        <v>45159</v>
      </c>
      <c r="B1206">
        <v>62.259998000000003</v>
      </c>
      <c r="C1206">
        <v>62.560001</v>
      </c>
      <c r="D1206">
        <v>61.450001</v>
      </c>
      <c r="E1206">
        <v>61.950001</v>
      </c>
      <c r="F1206">
        <v>61.950001</v>
      </c>
      <c r="G1206">
        <v>2137800</v>
      </c>
    </row>
    <row r="1207" spans="1:7" x14ac:dyDescent="0.3">
      <c r="A1207" s="206">
        <v>45160</v>
      </c>
      <c r="B1207">
        <v>61.830002</v>
      </c>
      <c r="C1207">
        <v>62.34</v>
      </c>
      <c r="D1207">
        <v>61.099997999999999</v>
      </c>
      <c r="E1207">
        <v>61.32</v>
      </c>
      <c r="F1207">
        <v>61.32</v>
      </c>
      <c r="G1207">
        <v>2524300</v>
      </c>
    </row>
    <row r="1208" spans="1:7" x14ac:dyDescent="0.3">
      <c r="A1208" s="206">
        <v>45161</v>
      </c>
      <c r="B1208">
        <v>61.360000999999997</v>
      </c>
      <c r="C1208">
        <v>61.799999</v>
      </c>
      <c r="D1208">
        <v>61.049999</v>
      </c>
      <c r="E1208">
        <v>61.73</v>
      </c>
      <c r="F1208">
        <v>61.73</v>
      </c>
      <c r="G1208">
        <v>2251400</v>
      </c>
    </row>
    <row r="1209" spans="1:7" x14ac:dyDescent="0.3">
      <c r="A1209" s="206">
        <v>45162</v>
      </c>
      <c r="B1209">
        <v>61.669998</v>
      </c>
      <c r="C1209">
        <v>62.91</v>
      </c>
      <c r="D1209">
        <v>61.459999000000003</v>
      </c>
      <c r="E1209">
        <v>62.27</v>
      </c>
      <c r="F1209">
        <v>62.27</v>
      </c>
      <c r="G1209">
        <v>2418100</v>
      </c>
    </row>
    <row r="1210" spans="1:7" x14ac:dyDescent="0.3">
      <c r="A1210" s="206">
        <v>45163</v>
      </c>
      <c r="B1210">
        <v>62.48</v>
      </c>
      <c r="C1210">
        <v>62.740001999999997</v>
      </c>
      <c r="D1210">
        <v>61.700001</v>
      </c>
      <c r="E1210">
        <v>62.41</v>
      </c>
      <c r="F1210">
        <v>62.41</v>
      </c>
      <c r="G1210">
        <v>2109500</v>
      </c>
    </row>
    <row r="1211" spans="1:7" x14ac:dyDescent="0.3">
      <c r="A1211" s="206">
        <v>45166</v>
      </c>
      <c r="B1211">
        <v>62.5</v>
      </c>
      <c r="C1211">
        <v>62.990001999999997</v>
      </c>
      <c r="D1211">
        <v>62.330002</v>
      </c>
      <c r="E1211">
        <v>62.529998999999997</v>
      </c>
      <c r="F1211">
        <v>62.529998999999997</v>
      </c>
      <c r="G1211">
        <v>2134600</v>
      </c>
    </row>
    <row r="1212" spans="1:7" x14ac:dyDescent="0.3">
      <c r="A1212" s="206">
        <v>45167</v>
      </c>
      <c r="B1212">
        <v>62.77</v>
      </c>
      <c r="C1212">
        <v>63.139999000000003</v>
      </c>
      <c r="D1212">
        <v>62.330002</v>
      </c>
      <c r="E1212">
        <v>62.849997999999999</v>
      </c>
      <c r="F1212">
        <v>62.849997999999999</v>
      </c>
      <c r="G1212">
        <v>2834700</v>
      </c>
    </row>
    <row r="1213" spans="1:7" x14ac:dyDescent="0.3">
      <c r="A1213" s="206">
        <v>45168</v>
      </c>
      <c r="B1213">
        <v>63.049999</v>
      </c>
      <c r="C1213">
        <v>63.41</v>
      </c>
      <c r="D1213">
        <v>62.77</v>
      </c>
      <c r="E1213">
        <v>62.939999</v>
      </c>
      <c r="F1213">
        <v>62.939999</v>
      </c>
      <c r="G1213">
        <v>2343500</v>
      </c>
    </row>
    <row r="1214" spans="1:7" x14ac:dyDescent="0.3">
      <c r="A1214" s="206">
        <v>45169</v>
      </c>
      <c r="B1214">
        <v>63.130001</v>
      </c>
      <c r="C1214">
        <v>63.490001999999997</v>
      </c>
      <c r="D1214">
        <v>62.82</v>
      </c>
      <c r="E1214">
        <v>63.34</v>
      </c>
      <c r="F1214">
        <v>63.34</v>
      </c>
      <c r="G1214">
        <v>4953500</v>
      </c>
    </row>
    <row r="1215" spans="1:7" x14ac:dyDescent="0.3">
      <c r="A1215" s="206">
        <v>45170</v>
      </c>
      <c r="B1215">
        <v>63.799999</v>
      </c>
      <c r="C1215">
        <v>64.559997999999993</v>
      </c>
      <c r="D1215">
        <v>63.799999</v>
      </c>
      <c r="E1215">
        <v>64.300003000000004</v>
      </c>
      <c r="F1215">
        <v>64.300003000000004</v>
      </c>
      <c r="G1215">
        <v>3087100</v>
      </c>
    </row>
    <row r="1216" spans="1:7" x14ac:dyDescent="0.3">
      <c r="A1216" s="206">
        <v>45174</v>
      </c>
      <c r="B1216">
        <v>64.300003000000004</v>
      </c>
      <c r="C1216">
        <v>64.860000999999997</v>
      </c>
      <c r="D1216">
        <v>63.75</v>
      </c>
      <c r="E1216">
        <v>63.77</v>
      </c>
      <c r="F1216">
        <v>63.77</v>
      </c>
      <c r="G1216">
        <v>3978900</v>
      </c>
    </row>
    <row r="1217" spans="1:7" x14ac:dyDescent="0.3">
      <c r="A1217" s="206">
        <v>45175</v>
      </c>
      <c r="B1217">
        <v>63.360000999999997</v>
      </c>
      <c r="C1217">
        <v>63.869999</v>
      </c>
      <c r="D1217">
        <v>62.919998</v>
      </c>
      <c r="E1217">
        <v>63.200001</v>
      </c>
      <c r="F1217">
        <v>63.200001</v>
      </c>
      <c r="G1217">
        <v>3028200</v>
      </c>
    </row>
    <row r="1218" spans="1:7" x14ac:dyDescent="0.3">
      <c r="A1218" s="206">
        <v>45176</v>
      </c>
      <c r="B1218">
        <v>62.950001</v>
      </c>
      <c r="C1218">
        <v>63.5</v>
      </c>
      <c r="D1218">
        <v>62.5</v>
      </c>
      <c r="E1218">
        <v>62.77</v>
      </c>
      <c r="F1218">
        <v>62.77</v>
      </c>
      <c r="G1218">
        <v>3155400</v>
      </c>
    </row>
    <row r="1219" spans="1:7" x14ac:dyDescent="0.3">
      <c r="A1219" s="206">
        <v>45177</v>
      </c>
      <c r="B1219">
        <v>62.720001000000003</v>
      </c>
      <c r="C1219">
        <v>63.669998</v>
      </c>
      <c r="D1219">
        <v>62.549999</v>
      </c>
      <c r="E1219">
        <v>63.310001</v>
      </c>
      <c r="F1219">
        <v>63.310001</v>
      </c>
      <c r="G1219">
        <v>2821300</v>
      </c>
    </row>
    <row r="1220" spans="1:7" x14ac:dyDescent="0.3">
      <c r="A1220" s="206">
        <v>45180</v>
      </c>
      <c r="B1220">
        <v>63.669998</v>
      </c>
      <c r="C1220">
        <v>64.230002999999996</v>
      </c>
      <c r="D1220">
        <v>63.240001999999997</v>
      </c>
      <c r="E1220">
        <v>63.400002000000001</v>
      </c>
      <c r="F1220">
        <v>63.400002000000001</v>
      </c>
      <c r="G1220">
        <v>2188200</v>
      </c>
    </row>
    <row r="1221" spans="1:7" x14ac:dyDescent="0.3">
      <c r="A1221" s="206">
        <v>45181</v>
      </c>
      <c r="B1221">
        <v>63.529998999999997</v>
      </c>
      <c r="C1221">
        <v>64.599997999999999</v>
      </c>
      <c r="D1221">
        <v>63.43</v>
      </c>
      <c r="E1221">
        <v>63.990001999999997</v>
      </c>
      <c r="F1221">
        <v>63.990001999999997</v>
      </c>
      <c r="G1221">
        <v>3328300</v>
      </c>
    </row>
    <row r="1222" spans="1:7" x14ac:dyDescent="0.3">
      <c r="A1222" s="206">
        <v>45182</v>
      </c>
      <c r="B1222">
        <v>64.209998999999996</v>
      </c>
      <c r="C1222">
        <v>64.440002000000007</v>
      </c>
      <c r="D1222">
        <v>63.52</v>
      </c>
      <c r="E1222">
        <v>63.790000999999997</v>
      </c>
      <c r="F1222">
        <v>63.790000999999997</v>
      </c>
      <c r="G1222">
        <v>4550200</v>
      </c>
    </row>
    <row r="1223" spans="1:7" x14ac:dyDescent="0.3">
      <c r="A1223" s="206">
        <v>45183</v>
      </c>
      <c r="B1223">
        <v>65.099997999999999</v>
      </c>
      <c r="C1223">
        <v>65.970000999999996</v>
      </c>
      <c r="D1223">
        <v>64.730002999999996</v>
      </c>
      <c r="E1223">
        <v>65.930000000000007</v>
      </c>
      <c r="F1223">
        <v>65.930000000000007</v>
      </c>
      <c r="G1223">
        <v>4939900</v>
      </c>
    </row>
    <row r="1224" spans="1:7" x14ac:dyDescent="0.3">
      <c r="A1224" s="206">
        <v>45184</v>
      </c>
      <c r="B1224">
        <v>65.370002999999997</v>
      </c>
      <c r="C1224">
        <v>66.180000000000007</v>
      </c>
      <c r="D1224">
        <v>65.330001999999993</v>
      </c>
      <c r="E1224">
        <v>65.650002000000001</v>
      </c>
      <c r="F1224">
        <v>65.650002000000001</v>
      </c>
      <c r="G1224">
        <v>7679900</v>
      </c>
    </row>
    <row r="1225" spans="1:7" x14ac:dyDescent="0.3">
      <c r="A1225" s="206">
        <v>45187</v>
      </c>
      <c r="B1225">
        <v>65.650002000000001</v>
      </c>
      <c r="C1225">
        <v>66.379997000000003</v>
      </c>
      <c r="D1225">
        <v>65.160004000000001</v>
      </c>
      <c r="E1225">
        <v>66.300003000000004</v>
      </c>
      <c r="F1225">
        <v>66.300003000000004</v>
      </c>
      <c r="G1225">
        <v>3644800</v>
      </c>
    </row>
    <row r="1226" spans="1:7" x14ac:dyDescent="0.3">
      <c r="A1226" s="206">
        <v>45188</v>
      </c>
      <c r="B1226">
        <v>66.5</v>
      </c>
      <c r="C1226">
        <v>66.819999999999993</v>
      </c>
      <c r="D1226">
        <v>65.900002000000001</v>
      </c>
      <c r="E1226">
        <v>66.360000999999997</v>
      </c>
      <c r="F1226">
        <v>66.360000999999997</v>
      </c>
      <c r="G1226">
        <v>3331100</v>
      </c>
    </row>
    <row r="1227" spans="1:7" x14ac:dyDescent="0.3">
      <c r="A1227" s="206">
        <v>45189</v>
      </c>
      <c r="B1227">
        <v>66.660004000000001</v>
      </c>
      <c r="C1227">
        <v>66.980002999999996</v>
      </c>
      <c r="D1227">
        <v>66.069999999999993</v>
      </c>
      <c r="E1227">
        <v>66.089995999999999</v>
      </c>
      <c r="F1227">
        <v>66.089995999999999</v>
      </c>
      <c r="G1227">
        <v>4142500</v>
      </c>
    </row>
    <row r="1228" spans="1:7" x14ac:dyDescent="0.3">
      <c r="A1228" s="206">
        <v>45190</v>
      </c>
      <c r="B1228">
        <v>65.860000999999997</v>
      </c>
      <c r="C1228">
        <v>65.870002999999997</v>
      </c>
      <c r="D1228">
        <v>64.470000999999996</v>
      </c>
      <c r="E1228">
        <v>64.690002000000007</v>
      </c>
      <c r="F1228">
        <v>64.690002000000007</v>
      </c>
      <c r="G1228">
        <v>4891400</v>
      </c>
    </row>
    <row r="1229" spans="1:7" x14ac:dyDescent="0.3">
      <c r="A1229" s="206">
        <v>45191</v>
      </c>
      <c r="B1229">
        <v>64.690002000000007</v>
      </c>
      <c r="C1229">
        <v>65.339995999999999</v>
      </c>
      <c r="D1229">
        <v>64.330001999999993</v>
      </c>
      <c r="E1229">
        <v>64.419998000000007</v>
      </c>
      <c r="F1229">
        <v>64.419998000000007</v>
      </c>
      <c r="G1229">
        <v>2492900</v>
      </c>
    </row>
    <row r="1230" spans="1:7" x14ac:dyDescent="0.3">
      <c r="A1230" s="206">
        <v>45194</v>
      </c>
      <c r="B1230">
        <v>64.120002999999997</v>
      </c>
      <c r="C1230">
        <v>65.069999999999993</v>
      </c>
      <c r="D1230">
        <v>64.019997000000004</v>
      </c>
      <c r="E1230">
        <v>65.050003000000004</v>
      </c>
      <c r="F1230">
        <v>65.050003000000004</v>
      </c>
      <c r="G1230">
        <v>2335700</v>
      </c>
    </row>
    <row r="1231" spans="1:7" x14ac:dyDescent="0.3">
      <c r="A1231" s="206">
        <v>45195</v>
      </c>
      <c r="B1231">
        <v>64.550003000000004</v>
      </c>
      <c r="C1231">
        <v>65.050003000000004</v>
      </c>
      <c r="D1231">
        <v>63.040000999999997</v>
      </c>
      <c r="E1231">
        <v>63.060001</v>
      </c>
      <c r="F1231">
        <v>63.060001</v>
      </c>
      <c r="G1231">
        <v>5531000</v>
      </c>
    </row>
    <row r="1232" spans="1:7" x14ac:dyDescent="0.3">
      <c r="A1232" s="206">
        <v>45196</v>
      </c>
      <c r="B1232">
        <v>63.18</v>
      </c>
      <c r="C1232">
        <v>63.369999</v>
      </c>
      <c r="D1232">
        <v>62.049999</v>
      </c>
      <c r="E1232">
        <v>62.799999</v>
      </c>
      <c r="F1232">
        <v>62.799999</v>
      </c>
      <c r="G1232">
        <v>7114600</v>
      </c>
    </row>
    <row r="1233" spans="1:7" x14ac:dyDescent="0.3">
      <c r="A1233" s="206">
        <v>45197</v>
      </c>
      <c r="B1233">
        <v>62.669998</v>
      </c>
      <c r="C1233">
        <v>63.330002</v>
      </c>
      <c r="D1233">
        <v>62.639999000000003</v>
      </c>
      <c r="E1233">
        <v>62.900002000000001</v>
      </c>
      <c r="F1233">
        <v>62.900002000000001</v>
      </c>
      <c r="G1233">
        <v>3483700</v>
      </c>
    </row>
    <row r="1234" spans="1:7" x14ac:dyDescent="0.3">
      <c r="A1234" s="206">
        <v>45198</v>
      </c>
      <c r="B1234">
        <v>63.09</v>
      </c>
      <c r="C1234">
        <v>63.619999</v>
      </c>
      <c r="D1234">
        <v>62.709999000000003</v>
      </c>
      <c r="E1234">
        <v>62.91</v>
      </c>
      <c r="F1234">
        <v>62.91</v>
      </c>
      <c r="G1234">
        <v>3330500</v>
      </c>
    </row>
    <row r="1235" spans="1:7" x14ac:dyDescent="0.3">
      <c r="A1235" s="206">
        <v>45201</v>
      </c>
      <c r="B1235">
        <v>62.48</v>
      </c>
      <c r="C1235">
        <v>62.759998000000003</v>
      </c>
      <c r="D1235">
        <v>61.189999</v>
      </c>
      <c r="E1235">
        <v>61.689999</v>
      </c>
      <c r="F1235">
        <v>61.689999</v>
      </c>
      <c r="G1235">
        <v>3259500</v>
      </c>
    </row>
    <row r="1236" spans="1:7" x14ac:dyDescent="0.3">
      <c r="A1236" s="206">
        <v>45202</v>
      </c>
      <c r="B1236">
        <v>61.09</v>
      </c>
      <c r="C1236">
        <v>61.299999</v>
      </c>
      <c r="D1236">
        <v>59.709999000000003</v>
      </c>
      <c r="E1236">
        <v>60.259998000000003</v>
      </c>
      <c r="F1236">
        <v>60.259998000000003</v>
      </c>
      <c r="G1236">
        <v>3797500</v>
      </c>
    </row>
    <row r="1237" spans="1:7" x14ac:dyDescent="0.3">
      <c r="A1237" s="206">
        <v>45203</v>
      </c>
      <c r="B1237">
        <v>60.16</v>
      </c>
      <c r="C1237">
        <v>60.259998000000003</v>
      </c>
      <c r="D1237">
        <v>58.990001999999997</v>
      </c>
      <c r="E1237">
        <v>60</v>
      </c>
      <c r="F1237">
        <v>60</v>
      </c>
      <c r="G1237">
        <v>3456700</v>
      </c>
    </row>
    <row r="1238" spans="1:7" x14ac:dyDescent="0.3">
      <c r="A1238" s="206">
        <v>45204</v>
      </c>
      <c r="B1238">
        <v>59.490001999999997</v>
      </c>
      <c r="C1238">
        <v>60.450001</v>
      </c>
      <c r="D1238">
        <v>59.439999</v>
      </c>
      <c r="E1238">
        <v>60.290000999999997</v>
      </c>
      <c r="F1238">
        <v>60.290000999999997</v>
      </c>
      <c r="G1238">
        <v>3632300</v>
      </c>
    </row>
    <row r="1239" spans="1:7" x14ac:dyDescent="0.3">
      <c r="A1239" s="206">
        <v>45205</v>
      </c>
      <c r="B1239">
        <v>59.82</v>
      </c>
      <c r="C1239">
        <v>61.619999</v>
      </c>
      <c r="D1239">
        <v>59.57</v>
      </c>
      <c r="E1239">
        <v>61.32</v>
      </c>
      <c r="F1239">
        <v>61.32</v>
      </c>
      <c r="G1239">
        <v>3938400</v>
      </c>
    </row>
    <row r="1240" spans="1:7" x14ac:dyDescent="0.3">
      <c r="A1240" s="206">
        <v>45208</v>
      </c>
      <c r="B1240">
        <v>61.029998999999997</v>
      </c>
      <c r="C1240">
        <v>61.98</v>
      </c>
      <c r="D1240">
        <v>60.950001</v>
      </c>
      <c r="E1240">
        <v>61.900002000000001</v>
      </c>
      <c r="F1240">
        <v>61.900002000000001</v>
      </c>
      <c r="G1240">
        <v>3180900</v>
      </c>
    </row>
    <row r="1241" spans="1:7" x14ac:dyDescent="0.3">
      <c r="A1241" s="206">
        <v>45209</v>
      </c>
      <c r="B1241">
        <v>62</v>
      </c>
      <c r="C1241">
        <v>62.869999</v>
      </c>
      <c r="D1241">
        <v>62</v>
      </c>
      <c r="E1241">
        <v>62.18</v>
      </c>
      <c r="F1241">
        <v>62.18</v>
      </c>
      <c r="G1241">
        <v>3089900</v>
      </c>
    </row>
    <row r="1242" spans="1:7" x14ac:dyDescent="0.3">
      <c r="A1242" s="206">
        <v>45210</v>
      </c>
      <c r="B1242">
        <v>62.529998999999997</v>
      </c>
      <c r="C1242">
        <v>63.150002000000001</v>
      </c>
      <c r="D1242">
        <v>62.080002</v>
      </c>
      <c r="E1242">
        <v>62.849997999999999</v>
      </c>
      <c r="F1242">
        <v>62.849997999999999</v>
      </c>
      <c r="G1242">
        <v>3143000</v>
      </c>
    </row>
    <row r="1243" spans="1:7" x14ac:dyDescent="0.3">
      <c r="A1243" s="206">
        <v>45211</v>
      </c>
      <c r="B1243">
        <v>63.099997999999999</v>
      </c>
      <c r="C1243">
        <v>63.16</v>
      </c>
      <c r="D1243">
        <v>61.82</v>
      </c>
      <c r="E1243">
        <v>62.48</v>
      </c>
      <c r="F1243">
        <v>62.48</v>
      </c>
      <c r="G1243">
        <v>2617200</v>
      </c>
    </row>
    <row r="1244" spans="1:7" x14ac:dyDescent="0.3">
      <c r="A1244" s="206">
        <v>45212</v>
      </c>
      <c r="B1244">
        <v>63.130001</v>
      </c>
      <c r="C1244">
        <v>63.619999</v>
      </c>
      <c r="D1244">
        <v>61.919998</v>
      </c>
      <c r="E1244">
        <v>62.060001</v>
      </c>
      <c r="F1244">
        <v>62.060001</v>
      </c>
      <c r="G1244">
        <v>3012900</v>
      </c>
    </row>
    <row r="1245" spans="1:7" x14ac:dyDescent="0.3">
      <c r="A1245" s="206">
        <v>45215</v>
      </c>
      <c r="B1245">
        <v>62.740001999999997</v>
      </c>
      <c r="C1245">
        <v>63.98</v>
      </c>
      <c r="D1245">
        <v>62.450001</v>
      </c>
      <c r="E1245">
        <v>63.349997999999999</v>
      </c>
      <c r="F1245">
        <v>63.349997999999999</v>
      </c>
      <c r="G1245">
        <v>2619900</v>
      </c>
    </row>
    <row r="1246" spans="1:7" x14ac:dyDescent="0.3">
      <c r="A1246" s="206">
        <v>45216</v>
      </c>
      <c r="B1246">
        <v>62.970001000000003</v>
      </c>
      <c r="C1246">
        <v>64.709998999999996</v>
      </c>
      <c r="D1246">
        <v>62.970001000000003</v>
      </c>
      <c r="E1246">
        <v>63.939999</v>
      </c>
      <c r="F1246">
        <v>63.939999</v>
      </c>
      <c r="G1246">
        <v>4090700</v>
      </c>
    </row>
    <row r="1247" spans="1:7" x14ac:dyDescent="0.3">
      <c r="A1247" s="206">
        <v>45217</v>
      </c>
      <c r="B1247">
        <v>63.439999</v>
      </c>
      <c r="C1247">
        <v>63.669998</v>
      </c>
      <c r="D1247">
        <v>62.639999000000003</v>
      </c>
      <c r="E1247">
        <v>63.080002</v>
      </c>
      <c r="F1247">
        <v>63.080002</v>
      </c>
      <c r="G1247">
        <v>2979600</v>
      </c>
    </row>
    <row r="1248" spans="1:7" x14ac:dyDescent="0.3">
      <c r="A1248" s="206">
        <v>45218</v>
      </c>
      <c r="B1248">
        <v>62.93</v>
      </c>
      <c r="C1248">
        <v>63.279998999999997</v>
      </c>
      <c r="D1248">
        <v>61.68</v>
      </c>
      <c r="E1248">
        <v>61.919998</v>
      </c>
      <c r="F1248">
        <v>61.919998</v>
      </c>
      <c r="G1248">
        <v>3990600</v>
      </c>
    </row>
    <row r="1249" spans="1:7" x14ac:dyDescent="0.3">
      <c r="A1249" s="206">
        <v>45219</v>
      </c>
      <c r="B1249">
        <v>61.84</v>
      </c>
      <c r="C1249">
        <v>61.93</v>
      </c>
      <c r="D1249">
        <v>59.73</v>
      </c>
      <c r="E1249">
        <v>60.119999</v>
      </c>
      <c r="F1249">
        <v>60.119999</v>
      </c>
      <c r="G1249">
        <v>4589600</v>
      </c>
    </row>
    <row r="1250" spans="1:7" x14ac:dyDescent="0.3">
      <c r="A1250" s="206">
        <v>45222</v>
      </c>
      <c r="B1250">
        <v>59.93</v>
      </c>
      <c r="C1250">
        <v>59.990001999999997</v>
      </c>
      <c r="D1250">
        <v>58.439999</v>
      </c>
      <c r="E1250">
        <v>58.490001999999997</v>
      </c>
      <c r="F1250">
        <v>58.490001999999997</v>
      </c>
      <c r="G1250">
        <v>8494700</v>
      </c>
    </row>
    <row r="1251" spans="1:7" x14ac:dyDescent="0.3">
      <c r="A1251" s="206">
        <v>45223</v>
      </c>
      <c r="B1251">
        <v>58.779998999999997</v>
      </c>
      <c r="C1251">
        <v>59.310001</v>
      </c>
      <c r="D1251">
        <v>58.630001</v>
      </c>
      <c r="E1251">
        <v>59.209999000000003</v>
      </c>
      <c r="F1251">
        <v>59.209999000000003</v>
      </c>
      <c r="G1251">
        <v>5061800</v>
      </c>
    </row>
    <row r="1252" spans="1:7" x14ac:dyDescent="0.3">
      <c r="A1252" s="206">
        <v>45224</v>
      </c>
      <c r="B1252">
        <v>59.290000999999997</v>
      </c>
      <c r="C1252">
        <v>59.77</v>
      </c>
      <c r="D1252">
        <v>58.709999000000003</v>
      </c>
      <c r="E1252">
        <v>58.959999000000003</v>
      </c>
      <c r="F1252">
        <v>58.959999000000003</v>
      </c>
      <c r="G1252">
        <v>3735500</v>
      </c>
    </row>
    <row r="1253" spans="1:7" x14ac:dyDescent="0.3">
      <c r="A1253" s="206">
        <v>45225</v>
      </c>
      <c r="B1253">
        <v>58.970001000000003</v>
      </c>
      <c r="C1253">
        <v>60.009998000000003</v>
      </c>
      <c r="D1253">
        <v>58.939999</v>
      </c>
      <c r="E1253">
        <v>59.599997999999999</v>
      </c>
      <c r="F1253">
        <v>59.599997999999999</v>
      </c>
      <c r="G1253">
        <v>3139400</v>
      </c>
    </row>
    <row r="1254" spans="1:7" x14ac:dyDescent="0.3">
      <c r="A1254" s="206">
        <v>45226</v>
      </c>
      <c r="B1254">
        <v>59.540000999999997</v>
      </c>
      <c r="C1254">
        <v>59.740001999999997</v>
      </c>
      <c r="D1254">
        <v>57.91</v>
      </c>
      <c r="E1254">
        <v>58.290000999999997</v>
      </c>
      <c r="F1254">
        <v>58.290000999999997</v>
      </c>
      <c r="G1254">
        <v>4686900</v>
      </c>
    </row>
    <row r="1255" spans="1:7" x14ac:dyDescent="0.3">
      <c r="A1255" s="206">
        <v>45229</v>
      </c>
      <c r="B1255">
        <v>58.939999</v>
      </c>
      <c r="C1255">
        <v>59.639999000000003</v>
      </c>
      <c r="D1255">
        <v>58.48</v>
      </c>
      <c r="E1255">
        <v>59.419998</v>
      </c>
      <c r="F1255">
        <v>59.419998</v>
      </c>
      <c r="G1255">
        <v>3133600</v>
      </c>
    </row>
    <row r="1256" spans="1:7" x14ac:dyDescent="0.3">
      <c r="A1256" s="206">
        <v>45230</v>
      </c>
      <c r="B1256">
        <v>59.599997999999999</v>
      </c>
      <c r="C1256">
        <v>60.07</v>
      </c>
      <c r="D1256">
        <v>59.240001999999997</v>
      </c>
      <c r="E1256">
        <v>60.009998000000003</v>
      </c>
      <c r="F1256">
        <v>60.009998000000003</v>
      </c>
      <c r="G1256">
        <v>2713000</v>
      </c>
    </row>
    <row r="1257" spans="1:7" x14ac:dyDescent="0.3">
      <c r="A1257" s="206">
        <v>45231</v>
      </c>
      <c r="B1257">
        <v>60</v>
      </c>
      <c r="C1257">
        <v>60.34</v>
      </c>
      <c r="D1257">
        <v>59.18</v>
      </c>
      <c r="E1257">
        <v>59.98</v>
      </c>
      <c r="F1257">
        <v>59.98</v>
      </c>
      <c r="G1257">
        <v>4322600</v>
      </c>
    </row>
    <row r="1258" spans="1:7" x14ac:dyDescent="0.3">
      <c r="A1258" s="206">
        <v>45232</v>
      </c>
      <c r="B1258">
        <v>59.990001999999997</v>
      </c>
      <c r="C1258">
        <v>62.259998000000003</v>
      </c>
      <c r="D1258">
        <v>59.200001</v>
      </c>
      <c r="E1258">
        <v>60.009998000000003</v>
      </c>
      <c r="F1258">
        <v>60.009998000000003</v>
      </c>
      <c r="G1258">
        <v>4566800</v>
      </c>
    </row>
    <row r="1259" spans="1:7" x14ac:dyDescent="0.3">
      <c r="A1259" s="206">
        <v>45233</v>
      </c>
      <c r="B1259">
        <v>61.110000999999997</v>
      </c>
      <c r="C1259">
        <v>62.400002000000001</v>
      </c>
      <c r="D1259">
        <v>61.110000999999997</v>
      </c>
      <c r="E1259">
        <v>61.759998000000003</v>
      </c>
      <c r="F1259">
        <v>61.759998000000003</v>
      </c>
      <c r="G1259">
        <v>4119200</v>
      </c>
    </row>
    <row r="1260" spans="1:7" x14ac:dyDescent="0.3">
      <c r="A1260" s="206">
        <v>45236</v>
      </c>
      <c r="B1260">
        <v>61.75</v>
      </c>
      <c r="C1260">
        <v>61.759998000000003</v>
      </c>
      <c r="D1260">
        <v>59.75</v>
      </c>
      <c r="E1260">
        <v>60.43</v>
      </c>
      <c r="F1260">
        <v>60.43</v>
      </c>
      <c r="G1260">
        <v>4459500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E2-3171-4FA6-91E8-7CC3D783EDDC}">
  <dimension ref="A2:Q115"/>
  <sheetViews>
    <sheetView topLeftCell="A70" zoomScale="130" zoomScaleNormal="130" workbookViewId="0">
      <selection activeCell="G86" sqref="G86"/>
    </sheetView>
  </sheetViews>
  <sheetFormatPr defaultRowHeight="14.4" x14ac:dyDescent="0.3"/>
  <cols>
    <col min="2" max="2" width="27.77734375" bestFit="1" customWidth="1"/>
    <col min="3" max="3" width="12.21875" customWidth="1"/>
    <col min="4" max="4" width="12.21875" style="66" customWidth="1"/>
    <col min="5" max="5" width="11.33203125" bestFit="1" customWidth="1"/>
    <col min="6" max="6" width="11.109375" bestFit="1" customWidth="1"/>
    <col min="7" max="7" width="11.33203125" bestFit="1" customWidth="1"/>
    <col min="8" max="11" width="11.109375" bestFit="1" customWidth="1"/>
  </cols>
  <sheetData>
    <row r="2" spans="1:4" x14ac:dyDescent="0.3">
      <c r="A2" t="s">
        <v>644</v>
      </c>
    </row>
    <row r="3" spans="1:4" x14ac:dyDescent="0.3">
      <c r="C3" t="s">
        <v>649</v>
      </c>
      <c r="D3" s="66" t="s">
        <v>648</v>
      </c>
    </row>
    <row r="4" spans="1:4" x14ac:dyDescent="0.3">
      <c r="B4" t="s">
        <v>645</v>
      </c>
      <c r="C4" s="238">
        <f t="shared" ref="C4:C9" si="0">D4/$D$10</f>
        <v>0.60626356753322386</v>
      </c>
      <c r="D4" s="66">
        <f>'By Segment (2)'!K85</f>
        <v>45802</v>
      </c>
    </row>
    <row r="5" spans="1:4" x14ac:dyDescent="0.3">
      <c r="B5" t="s">
        <v>372</v>
      </c>
      <c r="C5" s="238">
        <f t="shared" si="0"/>
        <v>0.15099009900990099</v>
      </c>
      <c r="D5" s="66">
        <f>'By Segment (2)'!K121</f>
        <v>11407</v>
      </c>
    </row>
    <row r="6" spans="1:4" x14ac:dyDescent="0.3">
      <c r="B6" t="s">
        <v>647</v>
      </c>
      <c r="C6" s="238">
        <f t="shared" si="0"/>
        <v>0.12242547784190183</v>
      </c>
      <c r="D6" s="66">
        <f>'By Segment (2)'!K232</f>
        <v>9249</v>
      </c>
    </row>
    <row r="7" spans="1:4" x14ac:dyDescent="0.3">
      <c r="B7" t="s">
        <v>646</v>
      </c>
      <c r="C7" s="238">
        <f t="shared" si="0"/>
        <v>7.985651506327103E-2</v>
      </c>
      <c r="D7" s="66">
        <f>'By Segment (2)'!K158</f>
        <v>6033</v>
      </c>
    </row>
    <row r="8" spans="1:4" x14ac:dyDescent="0.3">
      <c r="B8" t="s">
        <v>395</v>
      </c>
      <c r="C8" s="238">
        <f t="shared" si="0"/>
        <v>3.2548843119606076E-2</v>
      </c>
      <c r="D8" s="66">
        <f>'By Segment (2)'!K195</f>
        <v>2459</v>
      </c>
    </row>
    <row r="9" spans="1:4" x14ac:dyDescent="0.3">
      <c r="B9" t="s">
        <v>634</v>
      </c>
      <c r="C9" s="238">
        <f t="shared" si="0"/>
        <v>7.915497432096151E-3</v>
      </c>
      <c r="D9" s="66">
        <f>'By Segment (2)'!K269</f>
        <v>598</v>
      </c>
    </row>
    <row r="10" spans="1:4" x14ac:dyDescent="0.3">
      <c r="C10" s="239">
        <f>SUM(C4:C9)</f>
        <v>1</v>
      </c>
      <c r="D10" s="66">
        <f>SUM(D4:D9)</f>
        <v>75548</v>
      </c>
    </row>
    <row r="19" spans="1:4" x14ac:dyDescent="0.3">
      <c r="A19" t="s">
        <v>650</v>
      </c>
    </row>
    <row r="20" spans="1:4" x14ac:dyDescent="0.3">
      <c r="C20" t="s">
        <v>649</v>
      </c>
      <c r="D20" s="66" t="s">
        <v>648</v>
      </c>
    </row>
    <row r="21" spans="1:4" x14ac:dyDescent="0.3">
      <c r="B21" t="s">
        <v>651</v>
      </c>
      <c r="C21" s="238">
        <f>D21/$D$24</f>
        <v>0.72653147667707951</v>
      </c>
      <c r="D21" s="66">
        <f>'By Segment (2)'!K51+'By Segment (2)'!K53</f>
        <v>54888</v>
      </c>
    </row>
    <row r="22" spans="1:4" x14ac:dyDescent="0.3">
      <c r="B22" t="s">
        <v>652</v>
      </c>
      <c r="C22" s="238">
        <f t="shared" ref="C22:C23" si="1">D22/$D$24</f>
        <v>0.24076084078996135</v>
      </c>
      <c r="D22" s="66">
        <f>'By Segment (2)'!K55</f>
        <v>18189</v>
      </c>
    </row>
    <row r="23" spans="1:4" x14ac:dyDescent="0.3">
      <c r="B23" t="s">
        <v>653</v>
      </c>
      <c r="C23" s="238">
        <f t="shared" si="1"/>
        <v>3.2707682532959179E-2</v>
      </c>
      <c r="D23" s="66">
        <f>'By Segment (2)'!K56</f>
        <v>2471</v>
      </c>
    </row>
    <row r="24" spans="1:4" x14ac:dyDescent="0.3">
      <c r="C24" s="239">
        <f>SUM(C21:C23)</f>
        <v>1</v>
      </c>
      <c r="D24" s="66">
        <f>SUM(D21:D23)</f>
        <v>75548</v>
      </c>
    </row>
    <row r="37" spans="1:4" x14ac:dyDescent="0.3">
      <c r="A37" t="s">
        <v>654</v>
      </c>
    </row>
    <row r="39" spans="1:4" x14ac:dyDescent="0.3">
      <c r="C39" t="s">
        <v>649</v>
      </c>
      <c r="D39" s="66" t="s">
        <v>648</v>
      </c>
    </row>
    <row r="40" spans="1:4" x14ac:dyDescent="0.3">
      <c r="B40" t="s">
        <v>403</v>
      </c>
      <c r="C40" s="238">
        <f>D40/$D$44</f>
        <v>0.38130033324076645</v>
      </c>
      <c r="D40" s="66">
        <v>21969</v>
      </c>
    </row>
    <row r="41" spans="1:4" x14ac:dyDescent="0.3">
      <c r="B41" t="s">
        <v>655</v>
      </c>
      <c r="C41" s="238">
        <f t="shared" ref="C41:C43" si="2">D41/$D$44</f>
        <v>0.30291932796445431</v>
      </c>
      <c r="D41" s="66">
        <v>17453</v>
      </c>
    </row>
    <row r="42" spans="1:4" x14ac:dyDescent="0.3">
      <c r="B42" t="s">
        <v>656</v>
      </c>
      <c r="C42" s="238">
        <f t="shared" si="2"/>
        <v>0.28893015828936408</v>
      </c>
      <c r="D42" s="66">
        <v>16647</v>
      </c>
    </row>
    <row r="43" spans="1:4" x14ac:dyDescent="0.3">
      <c r="B43" t="s">
        <v>634</v>
      </c>
      <c r="C43" s="238">
        <f t="shared" si="2"/>
        <v>2.6850180505415162E-2</v>
      </c>
      <c r="D43" s="66">
        <v>1547</v>
      </c>
    </row>
    <row r="44" spans="1:4" x14ac:dyDescent="0.3">
      <c r="C44" s="239">
        <f>SUM(C40:C43)</f>
        <v>1</v>
      </c>
      <c r="D44" s="66">
        <f>SUM(D40:D43)</f>
        <v>57616</v>
      </c>
    </row>
    <row r="53" spans="1:3" x14ac:dyDescent="0.3">
      <c r="A53" t="s">
        <v>662</v>
      </c>
    </row>
    <row r="54" spans="1:3" x14ac:dyDescent="0.3">
      <c r="B54" s="49" t="s">
        <v>659</v>
      </c>
      <c r="C54">
        <v>5</v>
      </c>
    </row>
    <row r="55" spans="1:3" x14ac:dyDescent="0.3">
      <c r="B55" s="49" t="s">
        <v>658</v>
      </c>
      <c r="C55">
        <v>5</v>
      </c>
    </row>
    <row r="56" spans="1:3" x14ac:dyDescent="0.3">
      <c r="B56" s="49" t="s">
        <v>660</v>
      </c>
      <c r="C56">
        <v>2</v>
      </c>
    </row>
    <row r="57" spans="1:3" x14ac:dyDescent="0.3">
      <c r="B57" s="49" t="s">
        <v>657</v>
      </c>
      <c r="C57">
        <v>2</v>
      </c>
    </row>
    <row r="58" spans="1:3" x14ac:dyDescent="0.3">
      <c r="B58" s="49" t="s">
        <v>661</v>
      </c>
      <c r="C58">
        <v>2</v>
      </c>
    </row>
    <row r="60" spans="1:3" x14ac:dyDescent="0.3">
      <c r="B60" s="49" t="s">
        <v>660</v>
      </c>
      <c r="C60">
        <v>2</v>
      </c>
    </row>
    <row r="61" spans="1:3" x14ac:dyDescent="0.3">
      <c r="B61" s="49" t="s">
        <v>659</v>
      </c>
      <c r="C61">
        <v>5</v>
      </c>
    </row>
    <row r="72" spans="1:9" x14ac:dyDescent="0.3">
      <c r="A72" t="s">
        <v>663</v>
      </c>
    </row>
    <row r="74" spans="1:9" x14ac:dyDescent="0.3">
      <c r="B74" t="s">
        <v>2</v>
      </c>
      <c r="C74" t="s">
        <v>3</v>
      </c>
      <c r="D74" s="66" t="s">
        <v>4</v>
      </c>
      <c r="E74" t="s">
        <v>5</v>
      </c>
      <c r="F74" t="s">
        <v>6</v>
      </c>
      <c r="G74" t="s">
        <v>7</v>
      </c>
      <c r="H74" t="s">
        <v>8</v>
      </c>
    </row>
    <row r="76" spans="1:9" x14ac:dyDescent="0.3">
      <c r="A76" t="s">
        <v>599</v>
      </c>
      <c r="B76" s="218">
        <v>37202</v>
      </c>
      <c r="C76" s="218">
        <v>38992</v>
      </c>
      <c r="D76" s="218">
        <v>43840</v>
      </c>
      <c r="E76" s="218">
        <v>42235</v>
      </c>
      <c r="F76" s="218">
        <v>42034</v>
      </c>
      <c r="G76" s="218">
        <v>42009</v>
      </c>
      <c r="H76" s="218">
        <v>49397</v>
      </c>
    </row>
    <row r="77" spans="1:9" x14ac:dyDescent="0.3">
      <c r="B77" s="218"/>
      <c r="C77" s="218">
        <f>B76*$H$78^5</f>
        <v>42009</v>
      </c>
      <c r="D77" s="218"/>
      <c r="E77" s="218"/>
      <c r="F77" s="218"/>
      <c r="G77" s="218"/>
      <c r="H77" s="218"/>
    </row>
    <row r="78" spans="1:9" x14ac:dyDescent="0.3">
      <c r="G78" s="224">
        <f>G76/B76</f>
        <v>1.1292134831460674</v>
      </c>
      <c r="H78" s="240">
        <f>G78^(1/5)</f>
        <v>1.0246020277165884</v>
      </c>
      <c r="I78" s="224">
        <f>H78^5</f>
        <v>1.1292134831460674</v>
      </c>
    </row>
    <row r="79" spans="1:9" x14ac:dyDescent="0.3">
      <c r="H79" s="241">
        <f>H78-1</f>
        <v>2.4602027716588371E-2</v>
      </c>
    </row>
    <row r="81" spans="1:13" x14ac:dyDescent="0.3">
      <c r="C81">
        <v>2023</v>
      </c>
      <c r="D81" s="66">
        <v>2024</v>
      </c>
      <c r="E81">
        <v>2025</v>
      </c>
      <c r="F81" s="66">
        <v>2026</v>
      </c>
      <c r="G81">
        <v>2027</v>
      </c>
      <c r="H81" s="66">
        <v>2028</v>
      </c>
    </row>
    <row r="82" spans="1:13" x14ac:dyDescent="0.3">
      <c r="B82" s="218"/>
      <c r="C82" s="218">
        <v>43329.333333333336</v>
      </c>
      <c r="D82" s="218">
        <v>44168.226979284562</v>
      </c>
      <c r="E82" s="218">
        <v>44992.893972843762</v>
      </c>
      <c r="F82" s="218">
        <v>45810.531994779514</v>
      </c>
      <c r="G82" s="218">
        <v>46620.771676488286</v>
      </c>
      <c r="H82" s="218">
        <v>47407.054416992163</v>
      </c>
    </row>
    <row r="83" spans="1:13" x14ac:dyDescent="0.3">
      <c r="B83" s="218"/>
      <c r="C83" s="218"/>
      <c r="D83" s="218"/>
      <c r="E83" s="218"/>
      <c r="F83" s="218"/>
      <c r="G83" s="224">
        <f>H82/C82</f>
        <v>1.0941099428483898</v>
      </c>
      <c r="H83" s="240">
        <f>G83^(1/5)</f>
        <v>1.0181510018771081</v>
      </c>
      <c r="I83" s="224">
        <f>H83^5</f>
        <v>1.0941099428483894</v>
      </c>
    </row>
    <row r="84" spans="1:13" x14ac:dyDescent="0.3">
      <c r="H84" s="241">
        <f>H83-1</f>
        <v>1.8151001877108053E-2</v>
      </c>
    </row>
    <row r="88" spans="1:13" x14ac:dyDescent="0.3">
      <c r="A88" t="s">
        <v>664</v>
      </c>
    </row>
    <row r="90" spans="1:13" x14ac:dyDescent="0.3">
      <c r="C90" t="s">
        <v>665</v>
      </c>
      <c r="D90" s="66" t="s">
        <v>666</v>
      </c>
      <c r="E90" t="s">
        <v>667</v>
      </c>
      <c r="F90" t="s">
        <v>668</v>
      </c>
      <c r="G90" t="s">
        <v>640</v>
      </c>
    </row>
    <row r="91" spans="1:13" x14ac:dyDescent="0.3">
      <c r="C91" s="218">
        <v>8131</v>
      </c>
      <c r="D91" s="218">
        <v>49344</v>
      </c>
      <c r="E91" s="218">
        <f>50498+115757</f>
        <v>166255</v>
      </c>
      <c r="F91" s="218">
        <v>53050</v>
      </c>
      <c r="G91" s="218">
        <f>SUM(C91:F91)</f>
        <v>276780</v>
      </c>
    </row>
    <row r="93" spans="1:13" x14ac:dyDescent="0.3">
      <c r="A93" t="s">
        <v>669</v>
      </c>
      <c r="C93" t="s">
        <v>648</v>
      </c>
      <c r="D93" s="66" t="s">
        <v>672</v>
      </c>
      <c r="E93" t="s">
        <v>673</v>
      </c>
      <c r="F93" s="66" t="s">
        <v>674</v>
      </c>
      <c r="G93" t="s">
        <v>675</v>
      </c>
      <c r="H93" s="66" t="s">
        <v>676</v>
      </c>
      <c r="I93" t="s">
        <v>677</v>
      </c>
      <c r="J93" s="66" t="s">
        <v>678</v>
      </c>
      <c r="K93" t="s">
        <v>679</v>
      </c>
      <c r="L93" s="66" t="s">
        <v>680</v>
      </c>
      <c r="M93" t="s">
        <v>681</v>
      </c>
    </row>
    <row r="94" spans="1:13" x14ac:dyDescent="0.3">
      <c r="B94" t="s">
        <v>670</v>
      </c>
      <c r="C94" s="218">
        <v>272456</v>
      </c>
      <c r="D94" s="218">
        <v>3.76</v>
      </c>
      <c r="E94" s="233">
        <v>3.71</v>
      </c>
      <c r="F94" s="233">
        <v>3.77</v>
      </c>
      <c r="G94" s="233">
        <v>3.52</v>
      </c>
      <c r="H94" s="233">
        <v>3.66</v>
      </c>
      <c r="I94" s="233">
        <v>3.81</v>
      </c>
      <c r="J94" s="233">
        <v>4.04</v>
      </c>
      <c r="K94" s="233">
        <v>4.07</v>
      </c>
      <c r="L94" s="233">
        <v>4.17</v>
      </c>
      <c r="M94" s="233">
        <v>4.1900000000000004</v>
      </c>
    </row>
    <row r="95" spans="1:13" x14ac:dyDescent="0.3">
      <c r="B95" t="s">
        <v>671</v>
      </c>
      <c r="C95" s="218">
        <v>84058</v>
      </c>
      <c r="D95" s="218">
        <v>4.29</v>
      </c>
      <c r="E95" s="233">
        <v>4.12</v>
      </c>
      <c r="F95" s="233">
        <v>4.2300000000000004</v>
      </c>
      <c r="G95" s="233">
        <v>4.13</v>
      </c>
      <c r="H95" s="233">
        <v>4.1100000000000003</v>
      </c>
      <c r="I95" s="233">
        <v>4.37</v>
      </c>
      <c r="J95" s="233">
        <v>4.7300000000000004</v>
      </c>
      <c r="K95" s="233">
        <v>4.92</v>
      </c>
      <c r="L95" s="233">
        <v>5.12</v>
      </c>
      <c r="M95" s="233">
        <v>5.18</v>
      </c>
    </row>
    <row r="98" spans="1:17" x14ac:dyDescent="0.3">
      <c r="A98" t="s">
        <v>682</v>
      </c>
      <c r="D98" t="s">
        <v>686</v>
      </c>
      <c r="E98" s="66" t="s">
        <v>685</v>
      </c>
      <c r="F98" t="s">
        <v>684</v>
      </c>
      <c r="G98" t="s">
        <v>683</v>
      </c>
      <c r="H98" s="66" t="s">
        <v>672</v>
      </c>
      <c r="I98" t="s">
        <v>673</v>
      </c>
      <c r="J98" s="66" t="s">
        <v>674</v>
      </c>
      <c r="K98" t="s">
        <v>675</v>
      </c>
      <c r="L98" s="66" t="s">
        <v>676</v>
      </c>
      <c r="M98" t="s">
        <v>677</v>
      </c>
      <c r="N98" s="66" t="s">
        <v>678</v>
      </c>
      <c r="O98" t="s">
        <v>679</v>
      </c>
      <c r="P98" s="66" t="s">
        <v>680</v>
      </c>
      <c r="Q98" t="s">
        <v>681</v>
      </c>
    </row>
    <row r="99" spans="1:17" x14ac:dyDescent="0.3">
      <c r="D99" s="242">
        <v>95.9</v>
      </c>
      <c r="E99" s="243">
        <v>89.6</v>
      </c>
      <c r="F99" s="242">
        <v>96.3</v>
      </c>
      <c r="G99" s="242">
        <v>106.3</v>
      </c>
      <c r="H99" s="243">
        <v>94.3</v>
      </c>
      <c r="I99" s="242">
        <v>106.2</v>
      </c>
      <c r="J99" s="242">
        <v>106.3</v>
      </c>
      <c r="K99" s="242">
        <v>103.8</v>
      </c>
      <c r="L99" s="242">
        <v>85.8</v>
      </c>
      <c r="M99" s="242">
        <v>85.7</v>
      </c>
      <c r="N99" s="242">
        <v>87.3</v>
      </c>
      <c r="O99" s="242">
        <v>90.5</v>
      </c>
      <c r="P99" s="242">
        <v>85.3</v>
      </c>
      <c r="Q99" s="242">
        <v>83.6</v>
      </c>
    </row>
    <row r="100" spans="1:17" x14ac:dyDescent="0.3">
      <c r="G100" s="242">
        <f>AVERAGE(G99:J99)</f>
        <v>103.27500000000001</v>
      </c>
      <c r="K100" s="242">
        <f>AVERAGE(K99:N99)</f>
        <v>90.65</v>
      </c>
      <c r="O100" s="242">
        <f>AVERAGE(O99:Q99)</f>
        <v>86.466666666666654</v>
      </c>
    </row>
    <row r="104" spans="1:17" x14ac:dyDescent="0.3">
      <c r="A104" t="s">
        <v>687</v>
      </c>
    </row>
    <row r="105" spans="1:17" s="66" customFormat="1" x14ac:dyDescent="0.3"/>
    <row r="106" spans="1:17" x14ac:dyDescent="0.3">
      <c r="D106" s="66" t="s">
        <v>19</v>
      </c>
    </row>
    <row r="107" spans="1:17" x14ac:dyDescent="0.3">
      <c r="C107" s="217">
        <v>2020</v>
      </c>
      <c r="D107" s="66">
        <v>67842</v>
      </c>
    </row>
    <row r="108" spans="1:17" x14ac:dyDescent="0.3">
      <c r="C108" s="244">
        <v>2021</v>
      </c>
      <c r="D108" s="66">
        <v>71080</v>
      </c>
    </row>
    <row r="109" spans="1:17" x14ac:dyDescent="0.3">
      <c r="C109" s="217">
        <v>2022</v>
      </c>
      <c r="D109" s="66">
        <v>69898</v>
      </c>
    </row>
    <row r="110" spans="1:17" x14ac:dyDescent="0.3">
      <c r="C110" s="217">
        <v>2023</v>
      </c>
      <c r="D110" s="66">
        <v>63836.000000000007</v>
      </c>
    </row>
    <row r="111" spans="1:17" x14ac:dyDescent="0.3">
      <c r="C111" s="217">
        <v>2024</v>
      </c>
      <c r="D111" s="66">
        <v>67709.054460089697</v>
      </c>
    </row>
    <row r="112" spans="1:17" x14ac:dyDescent="0.3">
      <c r="C112" s="217">
        <v>2025</v>
      </c>
      <c r="D112" s="66">
        <v>72138.736876667957</v>
      </c>
    </row>
    <row r="113" spans="3:4" x14ac:dyDescent="0.3">
      <c r="C113" s="217">
        <v>2026</v>
      </c>
      <c r="D113" s="66">
        <v>72704.66640857303</v>
      </c>
    </row>
    <row r="114" spans="3:4" x14ac:dyDescent="0.3">
      <c r="C114" s="217">
        <v>2027</v>
      </c>
      <c r="D114" s="66">
        <v>73190.758189429092</v>
      </c>
    </row>
    <row r="115" spans="3:4" x14ac:dyDescent="0.3">
      <c r="C115" s="217">
        <v>2028</v>
      </c>
      <c r="D115" s="66">
        <v>73570.861504497545</v>
      </c>
    </row>
  </sheetData>
  <phoneticPr fontId="6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3BE0B09C50B49B3EA5CAA3AD69C6D" ma:contentTypeVersion="17" ma:contentTypeDescription="Create a new document." ma:contentTypeScope="" ma:versionID="669e20b74af15fd2894b0acfbe3703be">
  <xsd:schema xmlns:xsd="http://www.w3.org/2001/XMLSchema" xmlns:xs="http://www.w3.org/2001/XMLSchema" xmlns:p="http://schemas.microsoft.com/office/2006/metadata/properties" xmlns:ns2="d69768c5-dca8-44f2-9a70-3f7cf6015766" xmlns:ns3="652f5dca-c987-4b3e-9c60-de7848617939" targetNamespace="http://schemas.microsoft.com/office/2006/metadata/properties" ma:root="true" ma:fieldsID="d5d18f21b21122a5f6641a756779f4b3" ns2:_="" ns3:_="">
    <xsd:import namespace="d69768c5-dca8-44f2-9a70-3f7cf6015766"/>
    <xsd:import namespace="652f5dca-c987-4b3e-9c60-de7848617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768c5-dca8-44f2-9a70-3f7cf6015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f5dca-c987-4b3e-9c60-de784861793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de8896-6829-485a-962f-3216b3318c54}" ma:internalName="TaxCatchAll" ma:showField="CatchAllData" ma:web="652f5dca-c987-4b3e-9c60-de78486179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2f5dca-c987-4b3e-9c60-de7848617939" xsi:nil="true"/>
    <lcf76f155ced4ddcb4097134ff3c332f xmlns="d69768c5-dca8-44f2-9a70-3f7cf60157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2BDFEC-AB38-49BD-AEBA-02BCC04E4A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E27BA-DFBD-448F-ADF0-AC90A4003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9768c5-dca8-44f2-9a70-3f7cf6015766"/>
    <ds:schemaRef ds:uri="652f5dca-c987-4b3e-9c60-de78486179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F781A6-B63D-4BA1-8E85-B33D158A3328}">
  <ds:schemaRefs>
    <ds:schemaRef ds:uri="http://schemas.microsoft.com/office/2006/metadata/properties"/>
    <ds:schemaRef ds:uri="http://schemas.microsoft.com/office/infopath/2007/PartnerControls"/>
    <ds:schemaRef ds:uri="652f5dca-c987-4b3e-9c60-de7848617939"/>
    <ds:schemaRef ds:uri="d69768c5-dca8-44f2-9a70-3f7cf60157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F.Analysis</vt:lpstr>
      <vt:lpstr>Valuation Graph</vt:lpstr>
      <vt:lpstr>Targeted Price</vt:lpstr>
      <vt:lpstr>Relative V.</vt:lpstr>
      <vt:lpstr>FCFE</vt:lpstr>
      <vt:lpstr>Cost.E</vt:lpstr>
      <vt:lpstr>Income - Adjusted</vt:lpstr>
      <vt:lpstr>By Segment (2)</vt:lpstr>
      <vt:lpstr>Bal Sheet - Standardized</vt:lpstr>
      <vt:lpstr>By Segment</vt:lpstr>
      <vt:lpstr>Cash Flow - Standardized</vt:lpstr>
      <vt:lpstr>By Measure</vt:lpstr>
      <vt:lpstr>By Geography</vt:lpstr>
      <vt:lpstr>Stock P.</vt:lpstr>
      <vt:lpstr>Graph</vt:lpstr>
      <vt:lpstr>FCFE!Print_Area</vt:lpstr>
      <vt:lpstr>'Income - Adjusted'!Print_Area</vt:lpstr>
      <vt:lpstr>'Relative V.'!Print_Area</vt:lpstr>
      <vt:lpstr>'Bal Sheet - Standardized'!Print_Titles</vt:lpstr>
      <vt:lpstr>'By Geography'!Print_Titles</vt:lpstr>
      <vt:lpstr>'By Measure'!Print_Titles</vt:lpstr>
      <vt:lpstr>'By Segment'!Print_Titles</vt:lpstr>
      <vt:lpstr>'By Segment (2)'!Print_Titles</vt:lpstr>
      <vt:lpstr>'Income - Adjusted'!Print_Titles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yada so</cp:lastModifiedBy>
  <cp:revision/>
  <cp:lastPrinted>2023-11-11T06:46:33Z</cp:lastPrinted>
  <dcterms:created xsi:type="dcterms:W3CDTF">2013-04-03T15:49:21Z</dcterms:created>
  <dcterms:modified xsi:type="dcterms:W3CDTF">2023-11-17T06:11:20Z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0x0101004803BE0B09C50B49B3EA5CAA3AD69C6D</vt:lpwstr>
  </property>
  <property fmtid="{D5CDD505-2E9C-101B-9397-08002B2CF9AE}" pid="3" name="MediaServiceImageTags">
    <vt:lpwstr/>
  </property>
</Properties>
</file>