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ensity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<sst xmlns="http://schemas.openxmlformats.org/spreadsheetml/2006/main" count="51" uniqueCount="41">
  <si>
    <t xml:space="preserve">cushion</t>
  </si>
  <si>
    <t xml:space="preserve">foam</t>
  </si>
  <si>
    <t xml:space="preserve">sag_height</t>
  </si>
  <si>
    <t xml:space="preserve">sag_width</t>
  </si>
  <si>
    <t xml:space="preserve">vf_thickness</t>
  </si>
  <si>
    <t xml:space="preserve">length</t>
  </si>
  <si>
    <t xml:space="preserve">width</t>
  </si>
  <si>
    <t xml:space="preserve">mass</t>
  </si>
  <si>
    <t xml:space="preserve">T1</t>
  </si>
  <si>
    <t xml:space="preserve">T2</t>
  </si>
  <si>
    <t xml:space="preserve">T3</t>
  </si>
  <si>
    <t xml:space="preserve">t_avg</t>
  </si>
  <si>
    <t xml:space="preserve">vol_VF</t>
  </si>
  <si>
    <t xml:space="preserve">vol_HR</t>
  </si>
  <si>
    <t xml:space="preserve">min_VF_g</t>
  </si>
  <si>
    <t xml:space="preserve">max_VF_g</t>
  </si>
  <si>
    <t xml:space="preserve">min_HR_g</t>
  </si>
  <si>
    <t xml:space="preserve">max_HR_g</t>
  </si>
  <si>
    <t xml:space="preserve">min_HR_density</t>
  </si>
  <si>
    <t xml:space="preserve">max_HR_density</t>
  </si>
  <si>
    <t xml:space="preserve">in_spec_?</t>
  </si>
  <si>
    <t xml:space="preserve">W855791-01</t>
  </si>
  <si>
    <t xml:space="preserve">EN40-230</t>
  </si>
  <si>
    <t xml:space="preserve">W855791-02</t>
  </si>
  <si>
    <t xml:space="preserve">W855791-03</t>
  </si>
  <si>
    <t xml:space="preserve">W855791-04</t>
  </si>
  <si>
    <t xml:space="preserve">W855791-05</t>
  </si>
  <si>
    <t xml:space="preserve">W825414-01</t>
  </si>
  <si>
    <t xml:space="preserve">EN50-250</t>
  </si>
  <si>
    <t xml:space="preserve">W825414-02</t>
  </si>
  <si>
    <t xml:space="preserve">W825414-03</t>
  </si>
  <si>
    <t xml:space="preserve">W825414-04</t>
  </si>
  <si>
    <t xml:space="preserve">W825414-05</t>
  </si>
  <si>
    <t xml:space="preserve">Density Specifications (kg/m3)</t>
  </si>
  <si>
    <t xml:space="preserve">VF</t>
  </si>
  <si>
    <t xml:space="preserve">ratios</t>
  </si>
  <si>
    <t xml:space="preserve">min</t>
  </si>
  <si>
    <t xml:space="preserve">max</t>
  </si>
  <si>
    <t xml:space="preserve">mean</t>
  </si>
  <si>
    <t xml:space="preserve">VF:EN40-230</t>
  </si>
  <si>
    <t xml:space="preserve">VF:EN50-250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</si>
</sst>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"/>
    <numFmt numFmtId="166" formatCode="0.000"/>
    <numFmt numFmtId="167" formatCode="0.0000"/>
    <numFmt numFmtId="168" formatCode="General"/>
  </numFmts>
  <fonts count="7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CCCCCC"/>
        <bgColor rgb="FFD9D9D9"/>
      </patternFill>
    </fill>
    <fill>
      <patternFill patternType="solid">
        <fgColor rgb="FFF8CBAD"/>
        <bgColor rgb="FFD9D9D9"/>
      </patternFill>
    </fill>
    <fill>
      <patternFill patternType="solid">
        <fgColor rgb="FFD9D9D9"/>
        <bgColor rgb="FFCCCCCC"/>
      </patternFill>
    </fill>
    <fill>
      <patternFill patternType="solid">
        <fgColor rgb="FFB4C7E7"/>
        <bgColor rgb="FFCCCCCC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medium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4C7E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FFF99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U20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J16" activeCellId="0" sqref="J16"/>
    </sheetView>
  </sheetViews>
  <sheetFormatPr defaultColWidth="11.53515625" defaultRowHeight="12.8" zeroHeight="false" outlineLevelRow="0" outlineLevelCol="0"/>
  <sheetData>
    <row r="1" customFormat="false" ht="13.8" hidden="false" customHeight="false" outlineLevel="0" collapsed="false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</row>
    <row r="2" customFormat="false" ht="13.8" hidden="false" customHeight="false" outlineLevel="0" collapsed="false">
      <c r="A2" s="6" t="s">
        <v>21</v>
      </c>
      <c r="B2" s="7" t="s">
        <v>22</v>
      </c>
      <c r="C2" s="8" t="n">
        <v>33</v>
      </c>
      <c r="D2" s="8" t="n">
        <v>102.5</v>
      </c>
      <c r="E2" s="8" t="n">
        <v>25</v>
      </c>
      <c r="F2" s="8" t="n">
        <v>470</v>
      </c>
      <c r="G2" s="8" t="n">
        <f aca="false">505-40</f>
        <v>465</v>
      </c>
      <c r="H2" s="8" t="n">
        <v>1099</v>
      </c>
      <c r="I2" s="8" t="n">
        <v>103</v>
      </c>
      <c r="J2" s="8" t="n">
        <v>103</v>
      </c>
      <c r="K2" s="8" t="n">
        <v>103</v>
      </c>
      <c r="L2" s="9" t="n">
        <f aca="false">AVERAGE(I2:K2)</f>
        <v>103</v>
      </c>
      <c r="M2" s="9" t="n">
        <f aca="false">E2*F2*G2</f>
        <v>5463750</v>
      </c>
      <c r="N2" s="9" t="n">
        <f aca="false">K2*G2*F2 - (C2*D2*F2) - M2</f>
        <v>15457125</v>
      </c>
      <c r="O2" s="10" t="n">
        <f aca="false">$M2*M$14/1000000</f>
        <v>316.8975</v>
      </c>
      <c r="P2" s="10" t="n">
        <f aca="false">$M2*N$14/1000000</f>
        <v>338.7525</v>
      </c>
      <c r="Q2" s="10" t="n">
        <f aca="false">H2-P2</f>
        <v>760.2475</v>
      </c>
      <c r="R2" s="10" t="n">
        <f aca="false">H2-O2</f>
        <v>782.1025</v>
      </c>
      <c r="S2" s="11" t="n">
        <f aca="false">Q2/1000/($N2/1000000000)</f>
        <v>49.1842758598381</v>
      </c>
      <c r="T2" s="11" t="n">
        <f aca="false">R2/1000/($N2/1000000000)</f>
        <v>50.5981869202714</v>
      </c>
      <c r="U2" s="12" t="b">
        <f aca="false">AND(T2&lt;=$N$15, T2 &gt;=$M$15)</f>
        <v>0</v>
      </c>
    </row>
    <row r="3" customFormat="false" ht="13.8" hidden="false" customHeight="false" outlineLevel="0" collapsed="false">
      <c r="A3" s="6" t="s">
        <v>23</v>
      </c>
      <c r="B3" s="7" t="s">
        <v>22</v>
      </c>
      <c r="C3" s="8" t="n">
        <v>32</v>
      </c>
      <c r="D3" s="8" t="n">
        <v>97.5</v>
      </c>
      <c r="E3" s="8" t="n">
        <v>25</v>
      </c>
      <c r="F3" s="8" t="n">
        <f aca="false">649-180</f>
        <v>469</v>
      </c>
      <c r="G3" s="8" t="n">
        <f aca="false">683-220</f>
        <v>463</v>
      </c>
      <c r="H3" s="8" t="n">
        <v>1006.5</v>
      </c>
      <c r="I3" s="8" t="n">
        <v>99</v>
      </c>
      <c r="J3" s="8" t="n">
        <v>99.5</v>
      </c>
      <c r="K3" s="8" t="n">
        <v>99</v>
      </c>
      <c r="L3" s="9" t="n">
        <f aca="false">AVERAGE(I3:K3)</f>
        <v>99.1666666666667</v>
      </c>
      <c r="M3" s="9" t="n">
        <f aca="false">E3*F3*G3</f>
        <v>5428675</v>
      </c>
      <c r="N3" s="9" t="n">
        <f aca="false">K3*G3*F3 - (C3*D3*F3) - M3</f>
        <v>14605598</v>
      </c>
      <c r="O3" s="10" t="n">
        <f aca="false">$M3*M$14/1000000</f>
        <v>314.86315</v>
      </c>
      <c r="P3" s="10" t="n">
        <f aca="false">$M3*N$14/1000000</f>
        <v>336.57785</v>
      </c>
      <c r="Q3" s="10" t="n">
        <f aca="false">H3-P3</f>
        <v>669.92215</v>
      </c>
      <c r="R3" s="10" t="n">
        <f aca="false">H3-O3</f>
        <v>691.63685</v>
      </c>
      <c r="S3" s="11" t="n">
        <f aca="false">Q3/1000/($N3/1000000000)</f>
        <v>45.867492039696</v>
      </c>
      <c r="T3" s="11" t="n">
        <f aca="false">R3/1000/($N3/1000000000)</f>
        <v>47.3542302068015</v>
      </c>
      <c r="U3" s="12" t="n">
        <f aca="false">AND(T3&lt;=$N$15, T3 &gt;=$M$15)</f>
        <v>0</v>
      </c>
    </row>
    <row r="4" customFormat="false" ht="13.8" hidden="false" customHeight="false" outlineLevel="0" collapsed="false">
      <c r="A4" s="6" t="s">
        <v>24</v>
      </c>
      <c r="B4" s="7" t="s">
        <v>22</v>
      </c>
      <c r="C4" s="8" t="n">
        <v>31</v>
      </c>
      <c r="D4" s="8" t="n">
        <v>89.5</v>
      </c>
      <c r="E4" s="8" t="n">
        <v>24</v>
      </c>
      <c r="F4" s="8" t="n">
        <f aca="false">594-130</f>
        <v>464</v>
      </c>
      <c r="G4" s="8" t="n">
        <f aca="false">720-256</f>
        <v>464</v>
      </c>
      <c r="H4" s="8" t="n">
        <v>1072.8</v>
      </c>
      <c r="I4" s="8" t="n">
        <v>101</v>
      </c>
      <c r="J4" s="8" t="n">
        <v>101</v>
      </c>
      <c r="K4" s="8" t="n">
        <v>101.5</v>
      </c>
      <c r="L4" s="9" t="n">
        <f aca="false">AVERAGE(I4:K4)</f>
        <v>101.166666666667</v>
      </c>
      <c r="M4" s="9" t="n">
        <f aca="false">E4*F4*G4</f>
        <v>5167104</v>
      </c>
      <c r="N4" s="9" t="n">
        <f aca="false">K4*G4*F4 - (C4*D4*F4) - M4</f>
        <v>15398072</v>
      </c>
      <c r="O4" s="10" t="n">
        <f aca="false">$M4*M$14/1000000</f>
        <v>299.692032</v>
      </c>
      <c r="P4" s="10" t="n">
        <f aca="false">$M4*N$14/1000000</f>
        <v>320.360448</v>
      </c>
      <c r="Q4" s="10" t="n">
        <f aca="false">H4-P4</f>
        <v>752.439552</v>
      </c>
      <c r="R4" s="10" t="n">
        <f aca="false">H4-O4</f>
        <v>773.107968</v>
      </c>
      <c r="S4" s="11" t="n">
        <f aca="false">Q4/1000/($N4/1000000000)</f>
        <v>48.8658289167631</v>
      </c>
      <c r="T4" s="11" t="n">
        <f aca="false">R4/1000/($N4/1000000000)</f>
        <v>50.2081018974324</v>
      </c>
      <c r="U4" s="12" t="n">
        <f aca="false">AND(T4&lt;=$N$15, T4 &gt;=$M$15)</f>
        <v>0</v>
      </c>
    </row>
    <row r="5" customFormat="false" ht="13.8" hidden="false" customHeight="false" outlineLevel="0" collapsed="false">
      <c r="A5" s="6" t="s">
        <v>25</v>
      </c>
      <c r="B5" s="7" t="s">
        <v>22</v>
      </c>
      <c r="C5" s="8" t="n">
        <v>30.5</v>
      </c>
      <c r="D5" s="8" t="n">
        <v>102</v>
      </c>
      <c r="E5" s="8" t="n">
        <v>25</v>
      </c>
      <c r="F5" s="8" t="n">
        <f aca="false">610-150</f>
        <v>460</v>
      </c>
      <c r="G5" s="8" t="n">
        <f aca="false">740-276</f>
        <v>464</v>
      </c>
      <c r="H5" s="8" t="n">
        <v>1088.4</v>
      </c>
      <c r="I5" s="8" t="n">
        <v>100.5</v>
      </c>
      <c r="J5" s="8" t="n">
        <v>100.5</v>
      </c>
      <c r="K5" s="8" t="n">
        <v>100</v>
      </c>
      <c r="L5" s="9" t="n">
        <f aca="false">AVERAGE(I5:K5)</f>
        <v>100.333333333333</v>
      </c>
      <c r="M5" s="9" t="n">
        <f aca="false">E5*F5*G5</f>
        <v>5336000</v>
      </c>
      <c r="N5" s="9" t="n">
        <f aca="false">K5*G5*F5 - (C5*D5*F5) - M5</f>
        <v>14576940</v>
      </c>
      <c r="O5" s="10" t="n">
        <f aca="false">$M5*M$14/1000000</f>
        <v>309.488</v>
      </c>
      <c r="P5" s="10" t="n">
        <f aca="false">$M5*N$14/1000000</f>
        <v>330.832</v>
      </c>
      <c r="Q5" s="10" t="n">
        <f aca="false">H5-P5</f>
        <v>757.568</v>
      </c>
      <c r="R5" s="10" t="n">
        <f aca="false">H5-O5</f>
        <v>778.912</v>
      </c>
      <c r="S5" s="11" t="n">
        <f aca="false">Q5/1000/($N5/1000000000)</f>
        <v>51.9703037811777</v>
      </c>
      <c r="T5" s="11" t="n">
        <f aca="false">R5/1000/($N5/1000000000)</f>
        <v>53.4345342712531</v>
      </c>
      <c r="U5" s="12" t="n">
        <f aca="false">AND(T5&lt;=$N$15, T5 &gt;=$M$15)</f>
        <v>0</v>
      </c>
    </row>
    <row r="6" customFormat="false" ht="13.8" hidden="false" customHeight="false" outlineLevel="0" collapsed="false">
      <c r="A6" s="6" t="s">
        <v>26</v>
      </c>
      <c r="B6" s="7" t="s">
        <v>22</v>
      </c>
      <c r="C6" s="8" t="n">
        <v>22</v>
      </c>
      <c r="D6" s="8" t="n">
        <v>95</v>
      </c>
      <c r="E6" s="8" t="n">
        <v>26</v>
      </c>
      <c r="F6" s="8" t="n">
        <f aca="false">560-100</f>
        <v>460</v>
      </c>
      <c r="G6" s="8" t="n">
        <f aca="false">664-200</f>
        <v>464</v>
      </c>
      <c r="H6" s="8" t="n">
        <v>1091.2</v>
      </c>
      <c r="I6" s="8" t="n">
        <v>102</v>
      </c>
      <c r="J6" s="8" t="n">
        <v>102</v>
      </c>
      <c r="K6" s="8" t="n">
        <v>102</v>
      </c>
      <c r="L6" s="9" t="n">
        <f aca="false">AVERAGE(I6:K6)</f>
        <v>102</v>
      </c>
      <c r="M6" s="9" t="n">
        <f aca="false">E6*F6*G6</f>
        <v>5549440</v>
      </c>
      <c r="N6" s="9" t="n">
        <f aca="false">K6*G6*F6 - (C6*D6*F6) - M6</f>
        <v>15260040</v>
      </c>
      <c r="O6" s="10" t="n">
        <f aca="false">$M6*M$14/1000000</f>
        <v>321.86752</v>
      </c>
      <c r="P6" s="10" t="n">
        <f aca="false">$M6*N$14/1000000</f>
        <v>344.06528</v>
      </c>
      <c r="Q6" s="10" t="n">
        <f aca="false">H6-P6</f>
        <v>747.13472</v>
      </c>
      <c r="R6" s="10" t="n">
        <f aca="false">H6-O6</f>
        <v>769.33248</v>
      </c>
      <c r="S6" s="11" t="n">
        <f aca="false">Q6/1000/($N6/1000000000)</f>
        <v>48.9602071816326</v>
      </c>
      <c r="T6" s="11" t="n">
        <f aca="false">R6/1000/($N6/1000000000)</f>
        <v>50.4148403280725</v>
      </c>
      <c r="U6" s="12" t="n">
        <f aca="false">AND(T6&lt;=$N$15, T6 &gt;=$M$15)</f>
        <v>0</v>
      </c>
    </row>
    <row r="7" customFormat="false" ht="13.8" hidden="false" customHeight="false" outlineLevel="0" collapsed="false">
      <c r="A7" s="13" t="s">
        <v>27</v>
      </c>
      <c r="B7" s="14" t="s">
        <v>28</v>
      </c>
      <c r="C7" s="8" t="n">
        <v>23</v>
      </c>
      <c r="D7" s="8" t="n">
        <v>101</v>
      </c>
      <c r="E7" s="8" t="n">
        <v>25.5</v>
      </c>
      <c r="F7" s="8" t="n">
        <v>458.5</v>
      </c>
      <c r="G7" s="8" t="n">
        <v>461</v>
      </c>
      <c r="H7" s="8" t="n">
        <v>1099.5</v>
      </c>
      <c r="I7" s="8" t="n">
        <v>101</v>
      </c>
      <c r="J7" s="8" t="n">
        <v>100.5</v>
      </c>
      <c r="K7" s="8" t="n">
        <v>100</v>
      </c>
      <c r="L7" s="9" t="n">
        <f aca="false">AVERAGE(I7:K7)</f>
        <v>100.5</v>
      </c>
      <c r="M7" s="9" t="n">
        <f aca="false">E7*F7*G7</f>
        <v>5389896.75</v>
      </c>
      <c r="N7" s="9" t="n">
        <f aca="false">K7*G7*F7 - (C7*D7*F7) - M7</f>
        <v>14681857.75</v>
      </c>
      <c r="O7" s="10" t="n">
        <f aca="false">$M7*M$14/1000000</f>
        <v>312.6140115</v>
      </c>
      <c r="P7" s="10" t="n">
        <f aca="false">$M7*N$14/1000000</f>
        <v>334.1735985</v>
      </c>
      <c r="Q7" s="10" t="n">
        <f aca="false">H7-P7</f>
        <v>765.3264015</v>
      </c>
      <c r="R7" s="10" t="n">
        <f aca="false">H7-O7</f>
        <v>786.8859885</v>
      </c>
      <c r="S7" s="11" t="n">
        <f aca="false">Q7/1000/($N7/1000000000)</f>
        <v>52.1273543533685</v>
      </c>
      <c r="T7" s="11" t="n">
        <f aca="false">R7/1000/($N7/1000000000)</f>
        <v>53.5958052379305</v>
      </c>
      <c r="U7" s="12" t="b">
        <f aca="false">AND(T7&lt;=$N$16, T7 &gt;=$M$16)</f>
        <v>0</v>
      </c>
    </row>
    <row r="8" customFormat="false" ht="13.8" hidden="false" customHeight="false" outlineLevel="0" collapsed="false">
      <c r="A8" s="13" t="s">
        <v>29</v>
      </c>
      <c r="B8" s="14" t="s">
        <v>28</v>
      </c>
      <c r="C8" s="8" t="n">
        <v>22</v>
      </c>
      <c r="D8" s="8" t="n">
        <v>99</v>
      </c>
      <c r="E8" s="8" t="n">
        <v>24</v>
      </c>
      <c r="F8" s="8" t="n">
        <v>461.5</v>
      </c>
      <c r="G8" s="8" t="n">
        <v>460</v>
      </c>
      <c r="H8" s="8" t="n">
        <v>1091.1</v>
      </c>
      <c r="I8" s="8" t="n">
        <v>100.5</v>
      </c>
      <c r="J8" s="8" t="n">
        <v>100</v>
      </c>
      <c r="K8" s="8" t="n">
        <v>100</v>
      </c>
      <c r="L8" s="9" t="n">
        <f aca="false">AVERAGE(I8:K8)</f>
        <v>100.166666666667</v>
      </c>
      <c r="M8" s="9" t="n">
        <f aca="false">E8*F8*G8</f>
        <v>5094960</v>
      </c>
      <c r="N8" s="9" t="n">
        <f aca="false">K8*G8*F8 - (C8*D8*F8) - M8</f>
        <v>15128893</v>
      </c>
      <c r="O8" s="10" t="n">
        <f aca="false">$M8*M$14/1000000</f>
        <v>295.50768</v>
      </c>
      <c r="P8" s="10" t="n">
        <f aca="false">$M8*N$14/1000000</f>
        <v>315.88752</v>
      </c>
      <c r="Q8" s="10" t="n">
        <f aca="false">H8-P8</f>
        <v>775.21248</v>
      </c>
      <c r="R8" s="10" t="n">
        <f aca="false">H8-O8</f>
        <v>795.59232</v>
      </c>
      <c r="S8" s="11" t="n">
        <f aca="false">Q8/1000/($N8/1000000000)</f>
        <v>51.24052896666</v>
      </c>
      <c r="T8" s="11" t="n">
        <f aca="false">R8/1000/($N8/1000000000)</f>
        <v>52.5876096816866</v>
      </c>
      <c r="U8" s="12" t="n">
        <f aca="false">AND(T8&lt;=$N$16, T8 &gt;=$M$16)</f>
        <v>1</v>
      </c>
    </row>
    <row r="9" customFormat="false" ht="13.8" hidden="false" customHeight="false" outlineLevel="0" collapsed="false">
      <c r="A9" s="13" t="s">
        <v>30</v>
      </c>
      <c r="B9" s="14" t="s">
        <v>28</v>
      </c>
      <c r="C9" s="8" t="n">
        <v>24</v>
      </c>
      <c r="D9" s="8" t="n">
        <v>99</v>
      </c>
      <c r="E9" s="8" t="n">
        <v>25</v>
      </c>
      <c r="F9" s="8" t="n">
        <v>455</v>
      </c>
      <c r="G9" s="8" t="n">
        <v>461</v>
      </c>
      <c r="H9" s="8" t="n">
        <v>1089.7</v>
      </c>
      <c r="I9" s="8" t="n">
        <v>101</v>
      </c>
      <c r="J9" s="8" t="n">
        <v>100.5</v>
      </c>
      <c r="K9" s="8" t="n">
        <v>100.5</v>
      </c>
      <c r="L9" s="9" t="n">
        <f aca="false">AVERAGE(I9:K9)</f>
        <v>100.666666666667</v>
      </c>
      <c r="M9" s="9" t="n">
        <f aca="false">E9*F9*G9</f>
        <v>5243875</v>
      </c>
      <c r="N9" s="9" t="n">
        <f aca="false">K9*G9*F9 - (C9*D9*F9) - M9</f>
        <v>14755422.5</v>
      </c>
      <c r="O9" s="10" t="n">
        <f aca="false">$M9*M$14/1000000</f>
        <v>304.14475</v>
      </c>
      <c r="P9" s="10" t="n">
        <f aca="false">$M9*N$14/1000000</f>
        <v>325.12025</v>
      </c>
      <c r="Q9" s="10" t="n">
        <f aca="false">H9-P9</f>
        <v>764.57975</v>
      </c>
      <c r="R9" s="10" t="n">
        <f aca="false">H9-O9</f>
        <v>785.55525</v>
      </c>
      <c r="S9" s="11" t="n">
        <f aca="false">Q9/1000/($N9/1000000000)</f>
        <v>51.8168659691039</v>
      </c>
      <c r="T9" s="11" t="n">
        <f aca="false">R9/1000/($N9/1000000000)</f>
        <v>53.2384111671489</v>
      </c>
      <c r="U9" s="12" t="n">
        <f aca="false">AND(T9&lt;=$N$16, T9 &gt;=$M$16)</f>
        <v>1</v>
      </c>
    </row>
    <row r="10" customFormat="false" ht="13.8" hidden="false" customHeight="false" outlineLevel="0" collapsed="false">
      <c r="A10" s="13" t="s">
        <v>31</v>
      </c>
      <c r="B10" s="14" t="s">
        <v>28</v>
      </c>
      <c r="C10" s="8" t="n">
        <v>25</v>
      </c>
      <c r="D10" s="8" t="n">
        <v>97</v>
      </c>
      <c r="E10" s="8" t="n">
        <v>23</v>
      </c>
      <c r="F10" s="8" t="n">
        <v>457</v>
      </c>
      <c r="G10" s="8" t="n">
        <v>462</v>
      </c>
      <c r="H10" s="8" t="n">
        <v>1082.8</v>
      </c>
      <c r="I10" s="8" t="n">
        <v>99.5</v>
      </c>
      <c r="J10" s="8" t="n">
        <v>100</v>
      </c>
      <c r="K10" s="8" t="n">
        <v>100</v>
      </c>
      <c r="L10" s="9" t="n">
        <f aca="false">AVERAGE(I10:K10)</f>
        <v>99.8333333333333</v>
      </c>
      <c r="M10" s="9" t="n">
        <f aca="false">E10*F10*G10</f>
        <v>4856082</v>
      </c>
      <c r="N10" s="9" t="n">
        <f aca="false">K10*G10*F10 - (C10*D10*F10) - M10</f>
        <v>15149093</v>
      </c>
      <c r="O10" s="10" t="n">
        <f aca="false">$M10*M$14/1000000</f>
        <v>281.652756</v>
      </c>
      <c r="P10" s="10" t="n">
        <f aca="false">$M10*N$14/1000000</f>
        <v>301.077084</v>
      </c>
      <c r="Q10" s="10" t="n">
        <f aca="false">H10-P10</f>
        <v>781.722916</v>
      </c>
      <c r="R10" s="10" t="n">
        <f aca="false">H10-O10</f>
        <v>801.147244</v>
      </c>
      <c r="S10" s="11" t="n">
        <f aca="false">Q10/1000/($N10/1000000000)</f>
        <v>51.6019616487931</v>
      </c>
      <c r="T10" s="11" t="n">
        <f aca="false">R10/1000/($N10/1000000000)</f>
        <v>52.884172273548</v>
      </c>
      <c r="U10" s="12" t="n">
        <f aca="false">AND(T10&lt;=$N$16, T10 &gt;=$M$16)</f>
        <v>1</v>
      </c>
    </row>
    <row r="11" customFormat="false" ht="13.8" hidden="false" customHeight="false" outlineLevel="0" collapsed="false">
      <c r="A11" s="13" t="s">
        <v>32</v>
      </c>
      <c r="B11" s="14" t="s">
        <v>28</v>
      </c>
      <c r="C11" s="8" t="n">
        <v>24</v>
      </c>
      <c r="D11" s="8" t="n">
        <v>96</v>
      </c>
      <c r="E11" s="8" t="n">
        <v>25</v>
      </c>
      <c r="F11" s="8" t="n">
        <v>457</v>
      </c>
      <c r="G11" s="8" t="n">
        <v>456</v>
      </c>
      <c r="H11" s="8" t="n">
        <v>1090.9</v>
      </c>
      <c r="I11" s="8" t="n">
        <v>101</v>
      </c>
      <c r="J11" s="8" t="n">
        <v>101</v>
      </c>
      <c r="K11" s="8" t="n">
        <v>101</v>
      </c>
      <c r="L11" s="9" t="n">
        <f aca="false">AVERAGE(I11:K11)</f>
        <v>101</v>
      </c>
      <c r="M11" s="9" t="n">
        <f aca="false">E11*F11*G11</f>
        <v>5209800</v>
      </c>
      <c r="N11" s="9" t="n">
        <f aca="false">K11*G11*F11 - (C11*D11*F11) - M11</f>
        <v>14784864</v>
      </c>
      <c r="O11" s="10" t="n">
        <f aca="false">$M11*M$14/1000000</f>
        <v>302.1684</v>
      </c>
      <c r="P11" s="10" t="n">
        <f aca="false">$M11*N$14/1000000</f>
        <v>323.0076</v>
      </c>
      <c r="Q11" s="10" t="n">
        <f aca="false">H11-P11</f>
        <v>767.8924</v>
      </c>
      <c r="R11" s="10" t="n">
        <f aca="false">H11-O11</f>
        <v>788.7316</v>
      </c>
      <c r="S11" s="11" t="n">
        <f aca="false">Q11/1000/($N11/1000000000)</f>
        <v>51.9377384871447</v>
      </c>
      <c r="T11" s="11" t="n">
        <f aca="false">R11/1000/($N11/1000000000)</f>
        <v>53.3472340361061</v>
      </c>
      <c r="U11" s="12" t="n">
        <f aca="false">AND(T11&lt;=$N$16, T11 &gt;=$M$16)</f>
        <v>1</v>
      </c>
    </row>
    <row r="13" customFormat="false" ht="12.8" hidden="false" customHeight="false" outlineLevel="0" collapsed="false">
      <c r="L13" s="0" t="s">
        <v>33</v>
      </c>
    </row>
    <row r="14" customFormat="false" ht="12.8" hidden="false" customHeight="false" outlineLevel="0" collapsed="false">
      <c r="L14" s="0" t="s">
        <v>34</v>
      </c>
      <c r="M14" s="0" t="n">
        <v>58</v>
      </c>
      <c r="N14" s="0" t="n">
        <v>62</v>
      </c>
    </row>
    <row r="15" customFormat="false" ht="12.8" hidden="false" customHeight="false" outlineLevel="0" collapsed="false">
      <c r="L15" s="0" t="s">
        <v>22</v>
      </c>
      <c r="M15" s="0" t="n">
        <v>39</v>
      </c>
      <c r="N15" s="0" t="n">
        <v>42</v>
      </c>
    </row>
    <row r="16" customFormat="false" ht="12.8" hidden="false" customHeight="false" outlineLevel="0" collapsed="false">
      <c r="L16" s="0" t="s">
        <v>28</v>
      </c>
      <c r="M16" s="0" t="n">
        <v>49</v>
      </c>
      <c r="N16" s="0" t="n">
        <v>53.5</v>
      </c>
    </row>
    <row r="18" customFormat="false" ht="12.8" hidden="false" customHeight="false" outlineLevel="0" collapsed="false">
      <c r="L18" s="0" t="s">
        <v>35</v>
      </c>
      <c r="M18" s="0" t="s">
        <v>36</v>
      </c>
      <c r="N18" s="0" t="s">
        <v>37</v>
      </c>
      <c r="O18" s="0" t="s">
        <v>38</v>
      </c>
    </row>
    <row r="19" customFormat="false" ht="12.8" hidden="false" customHeight="false" outlineLevel="0" collapsed="false">
      <c r="L19" s="0" t="s">
        <v>39</v>
      </c>
      <c r="M19" s="10" t="n">
        <f aca="false">MIN(M14:N14/MAX(M15:N15))</f>
        <v>1.38095238095238</v>
      </c>
      <c r="N19" s="10" t="n">
        <f aca="false">MAX(M14:N14/MIN(M15:N15))</f>
        <v>1.58974358974359</v>
      </c>
      <c r="O19" s="10" t="n">
        <f aca="false">AVERAGE(M19:N19)</f>
        <v>1.48534798534799</v>
      </c>
    </row>
    <row r="20" customFormat="false" ht="12.8" hidden="false" customHeight="false" outlineLevel="0" collapsed="false">
      <c r="L20" s="0" t="s">
        <v>40</v>
      </c>
      <c r="M20" s="10" t="n">
        <f aca="false">MIN(M14:N14)/MAX(M16:N16)</f>
        <v>1.08411214953271</v>
      </c>
      <c r="N20" s="10" t="n">
        <f aca="false">MAX(M14:N14/MIN(M14:N15))</f>
        <v>1.58974358974359</v>
      </c>
      <c r="O20" s="10" t="n">
        <f aca="false">AVERAGE(M20:N20)</f>
        <v>1.33692786963815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61</TotalTime>
  <Application>LibreOffice/7.5.3.2$MacOSX_AARCH64 LibreOffice_project/9f56dff12ba03b9acd7730a5a481eea045e468f3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2023-09-26T13:47:54Z</dcterms:created>
  <dc:creator/>
  <dc:description/>
  <dc:language>en-AU</dc:language>
  <cp:lastModifiedBy/>
  <dcterms:modified xsi:type="dcterms:W3CDTF">2023-09-26T14:49:27Z</dcterms:modified>
  <cp:revision>4</cp:revision>
  <dc:subject/>
  <dc:title/>
</cp:coreProperties>
</file>