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-my.sharepoint.com/personal/22704912_student_uwa_edu_au/Documents/"/>
    </mc:Choice>
  </mc:AlternateContent>
  <xr:revisionPtr revIDLastSave="1386" documentId="8_{51E3E3CC-AE85-451F-A350-C3AEC9EF9180}" xr6:coauthVersionLast="47" xr6:coauthVersionMax="47" xr10:uidLastSave="{756D0243-F128-4516-9023-540FF8776CBA}"/>
  <bookViews>
    <workbookView xWindow="-108" yWindow="-108" windowWidth="23256" windowHeight="12456" activeTab="3" xr2:uid="{49B4C4B5-1FA4-45F7-82C1-CF2628265CA8}"/>
  </bookViews>
  <sheets>
    <sheet name="Test Data" sheetId="1" r:id="rId1"/>
    <sheet name="Hysteresis Statistics" sheetId="4" r:id="rId2"/>
    <sheet name="LCDOD Statistics" sheetId="5" r:id="rId3"/>
    <sheet name="Altered Hysteresis" sheetId="3" r:id="rId4"/>
    <sheet name="Power - Sample Size Calculatio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E9" i="5"/>
  <c r="D9" i="5"/>
  <c r="G9" i="5" s="1"/>
  <c r="E8" i="5"/>
  <c r="D8" i="5"/>
  <c r="G8" i="5" s="1"/>
  <c r="F7" i="5"/>
  <c r="E7" i="5"/>
  <c r="D7" i="5"/>
  <c r="G7" i="5" s="1"/>
  <c r="E6" i="5"/>
  <c r="D6" i="5"/>
  <c r="G6" i="5" s="1"/>
  <c r="G5" i="5"/>
  <c r="F5" i="5"/>
  <c r="E5" i="5"/>
  <c r="D5" i="5"/>
  <c r="E4" i="5"/>
  <c r="D4" i="5"/>
  <c r="G4" i="5" s="1"/>
  <c r="K6" i="4"/>
  <c r="G6" i="4"/>
  <c r="Q31" i="3"/>
  <c r="P31" i="3"/>
  <c r="O31" i="3"/>
  <c r="D31" i="3" s="1"/>
  <c r="N31" i="3"/>
  <c r="M31" i="3"/>
  <c r="F31" i="3" s="1"/>
  <c r="L31" i="3"/>
  <c r="K31" i="3"/>
  <c r="J31" i="3"/>
  <c r="I31" i="3"/>
  <c r="H31" i="3"/>
  <c r="G31" i="3"/>
  <c r="G34" i="3"/>
  <c r="Q28" i="3"/>
  <c r="P28" i="3"/>
  <c r="O28" i="3"/>
  <c r="D28" i="3" s="1"/>
  <c r="N28" i="3"/>
  <c r="E28" i="3" s="1"/>
  <c r="M28" i="3"/>
  <c r="L28" i="3"/>
  <c r="K28" i="3"/>
  <c r="J28" i="3"/>
  <c r="I28" i="3"/>
  <c r="H28" i="3"/>
  <c r="G28" i="3"/>
  <c r="Q25" i="3"/>
  <c r="P25" i="3"/>
  <c r="O25" i="3"/>
  <c r="D25" i="3" s="1"/>
  <c r="N25" i="3"/>
  <c r="E25" i="3" s="1"/>
  <c r="M25" i="3"/>
  <c r="F25" i="3" s="1"/>
  <c r="L25" i="3"/>
  <c r="K25" i="3"/>
  <c r="J25" i="3"/>
  <c r="I25" i="3"/>
  <c r="H25" i="3"/>
  <c r="G25" i="3"/>
  <c r="Q22" i="3"/>
  <c r="P22" i="3"/>
  <c r="C22" i="3" s="1"/>
  <c r="O22" i="3"/>
  <c r="N22" i="3"/>
  <c r="M22" i="3"/>
  <c r="L22" i="3"/>
  <c r="K22" i="3"/>
  <c r="J22" i="3"/>
  <c r="I22" i="3"/>
  <c r="H22" i="3"/>
  <c r="G22" i="3"/>
  <c r="Q19" i="3"/>
  <c r="P19" i="3"/>
  <c r="O19" i="3"/>
  <c r="N19" i="3"/>
  <c r="M19" i="3"/>
  <c r="L19" i="3"/>
  <c r="K19" i="3"/>
  <c r="J19" i="3"/>
  <c r="I19" i="3"/>
  <c r="H19" i="3"/>
  <c r="G19" i="3"/>
  <c r="Q16" i="3"/>
  <c r="P16" i="3"/>
  <c r="C16" i="3" s="1"/>
  <c r="O16" i="3"/>
  <c r="N16" i="3"/>
  <c r="E16" i="3" s="1"/>
  <c r="M16" i="3"/>
  <c r="L16" i="3"/>
  <c r="K16" i="3"/>
  <c r="J16" i="3"/>
  <c r="I16" i="3"/>
  <c r="H16" i="3"/>
  <c r="G16" i="3"/>
  <c r="Q13" i="3"/>
  <c r="P13" i="3"/>
  <c r="O13" i="3"/>
  <c r="N13" i="3"/>
  <c r="E13" i="3" s="1"/>
  <c r="M13" i="3"/>
  <c r="F13" i="3" s="1"/>
  <c r="L13" i="3"/>
  <c r="K13" i="3"/>
  <c r="J13" i="3"/>
  <c r="I13" i="3"/>
  <c r="H13" i="3"/>
  <c r="G13" i="3"/>
  <c r="Q10" i="3"/>
  <c r="P10" i="3"/>
  <c r="O10" i="3"/>
  <c r="N10" i="3"/>
  <c r="M10" i="3"/>
  <c r="L10" i="3"/>
  <c r="K10" i="3"/>
  <c r="J10" i="3"/>
  <c r="I10" i="3"/>
  <c r="H10" i="3"/>
  <c r="G10" i="3"/>
  <c r="Q7" i="3"/>
  <c r="P7" i="3"/>
  <c r="O7" i="3"/>
  <c r="N7" i="3"/>
  <c r="E7" i="3" s="1"/>
  <c r="M7" i="3"/>
  <c r="L7" i="3"/>
  <c r="K7" i="3"/>
  <c r="J7" i="3"/>
  <c r="I7" i="3"/>
  <c r="H7" i="3"/>
  <c r="G7" i="3"/>
  <c r="L47" i="1"/>
  <c r="L46" i="1"/>
  <c r="K47" i="1"/>
  <c r="K46" i="1"/>
  <c r="J46" i="1"/>
  <c r="J47" i="1"/>
  <c r="I46" i="1"/>
  <c r="I47" i="1"/>
  <c r="H47" i="1"/>
  <c r="H46" i="1"/>
  <c r="G46" i="1"/>
  <c r="G47" i="1"/>
  <c r="F47" i="1"/>
  <c r="F46" i="1"/>
  <c r="H94" i="1"/>
  <c r="G94" i="1"/>
  <c r="H91" i="1"/>
  <c r="G91" i="1"/>
  <c r="H93" i="1"/>
  <c r="G93" i="1"/>
  <c r="H90" i="1"/>
  <c r="G90" i="1"/>
  <c r="H92" i="1"/>
  <c r="G92" i="1"/>
  <c r="H89" i="1"/>
  <c r="G89" i="1"/>
  <c r="L74" i="1"/>
  <c r="K74" i="1"/>
  <c r="J74" i="1"/>
  <c r="I74" i="1"/>
  <c r="H74" i="1"/>
  <c r="G74" i="1"/>
  <c r="F74" i="1"/>
  <c r="L73" i="1"/>
  <c r="K73" i="1"/>
  <c r="J73" i="1"/>
  <c r="I73" i="1"/>
  <c r="H73" i="1"/>
  <c r="G73" i="1"/>
  <c r="K71" i="1"/>
  <c r="L71" i="1"/>
  <c r="J71" i="1"/>
  <c r="I71" i="1"/>
  <c r="H71" i="1"/>
  <c r="G71" i="1"/>
  <c r="F71" i="1"/>
  <c r="F73" i="1"/>
  <c r="L70" i="1"/>
  <c r="K70" i="1"/>
  <c r="J70" i="1"/>
  <c r="I70" i="1"/>
  <c r="H70" i="1"/>
  <c r="E70" i="1" s="1"/>
  <c r="L14" i="4" s="1"/>
  <c r="G70" i="1"/>
  <c r="F70" i="1"/>
  <c r="H109" i="1"/>
  <c r="G109" i="1"/>
  <c r="H106" i="1"/>
  <c r="G106" i="1"/>
  <c r="H108" i="1"/>
  <c r="G108" i="1"/>
  <c r="H105" i="1"/>
  <c r="G105" i="1"/>
  <c r="F105" i="1"/>
  <c r="F107" i="1"/>
  <c r="H107" i="1" s="1"/>
  <c r="N17" i="2"/>
  <c r="H104" i="1"/>
  <c r="F104" i="1"/>
  <c r="G104" i="1" s="1"/>
  <c r="L72" i="1"/>
  <c r="K72" i="1"/>
  <c r="J72" i="1"/>
  <c r="I72" i="1"/>
  <c r="H72" i="1"/>
  <c r="G72" i="1"/>
  <c r="F72" i="1"/>
  <c r="L69" i="1"/>
  <c r="K69" i="1"/>
  <c r="J69" i="1"/>
  <c r="I69" i="1"/>
  <c r="H69" i="1"/>
  <c r="G69" i="1"/>
  <c r="F69" i="1"/>
  <c r="L59" i="1"/>
  <c r="K59" i="1"/>
  <c r="J59" i="1"/>
  <c r="I59" i="1"/>
  <c r="H59" i="1"/>
  <c r="G59" i="1"/>
  <c r="F59" i="1"/>
  <c r="L56" i="1"/>
  <c r="K56" i="1"/>
  <c r="J56" i="1"/>
  <c r="I56" i="1"/>
  <c r="H56" i="1"/>
  <c r="G56" i="1"/>
  <c r="F56" i="1"/>
  <c r="G87" i="1"/>
  <c r="L58" i="1"/>
  <c r="K58" i="1"/>
  <c r="J58" i="1"/>
  <c r="I58" i="1"/>
  <c r="H58" i="1"/>
  <c r="G58" i="1"/>
  <c r="F58" i="1"/>
  <c r="L55" i="1"/>
  <c r="K55" i="1"/>
  <c r="J55" i="1"/>
  <c r="I55" i="1"/>
  <c r="H55" i="1"/>
  <c r="G55" i="1"/>
  <c r="F55" i="1"/>
  <c r="L57" i="1"/>
  <c r="K57" i="1"/>
  <c r="J57" i="1"/>
  <c r="I57" i="1"/>
  <c r="H57" i="1"/>
  <c r="G57" i="1"/>
  <c r="F57" i="1"/>
  <c r="L54" i="1"/>
  <c r="K54" i="1"/>
  <c r="J54" i="1"/>
  <c r="I54" i="1"/>
  <c r="H54" i="1"/>
  <c r="G54" i="1"/>
  <c r="F54" i="1"/>
  <c r="H66" i="1"/>
  <c r="F85" i="1"/>
  <c r="H85" i="1" s="1"/>
  <c r="F84" i="1"/>
  <c r="G84" i="1" s="1"/>
  <c r="F82" i="1"/>
  <c r="H82" i="1" s="1"/>
  <c r="F101" i="1"/>
  <c r="H101" i="1" s="1"/>
  <c r="F99" i="1"/>
  <c r="G99" i="1" s="1"/>
  <c r="F98" i="1"/>
  <c r="H98" i="1" s="1"/>
  <c r="F96" i="1"/>
  <c r="G96" i="1" s="1"/>
  <c r="F95" i="1"/>
  <c r="H95" i="1" s="1"/>
  <c r="G80" i="1"/>
  <c r="G81" i="1"/>
  <c r="F81" i="1"/>
  <c r="H81" i="1" s="1"/>
  <c r="F103" i="1"/>
  <c r="G103" i="1" s="1"/>
  <c r="H100" i="1"/>
  <c r="F100" i="1"/>
  <c r="G100" i="1" s="1"/>
  <c r="H97" i="1"/>
  <c r="G97" i="1"/>
  <c r="F97" i="1"/>
  <c r="H88" i="1"/>
  <c r="G88" i="1"/>
  <c r="F88" i="1"/>
  <c r="H87" i="1"/>
  <c r="F87" i="1"/>
  <c r="L48" i="1"/>
  <c r="K48" i="1"/>
  <c r="J48" i="1"/>
  <c r="I48" i="1"/>
  <c r="H48" i="1"/>
  <c r="G48" i="1"/>
  <c r="F48" i="1"/>
  <c r="L53" i="1"/>
  <c r="K53" i="1"/>
  <c r="J53" i="1"/>
  <c r="I53" i="1"/>
  <c r="H53" i="1"/>
  <c r="G53" i="1"/>
  <c r="F53" i="1"/>
  <c r="L52" i="1"/>
  <c r="K52" i="1"/>
  <c r="J52" i="1"/>
  <c r="I52" i="1"/>
  <c r="H52" i="1"/>
  <c r="G52" i="1"/>
  <c r="F52" i="1"/>
  <c r="L50" i="1"/>
  <c r="K50" i="1"/>
  <c r="J50" i="1"/>
  <c r="I50" i="1"/>
  <c r="H50" i="1"/>
  <c r="G50" i="1"/>
  <c r="F50" i="1"/>
  <c r="L49" i="1"/>
  <c r="K49" i="1"/>
  <c r="J49" i="1"/>
  <c r="I49" i="1"/>
  <c r="H49" i="1"/>
  <c r="G49" i="1"/>
  <c r="F49" i="1"/>
  <c r="L62" i="1"/>
  <c r="K62" i="1"/>
  <c r="J62" i="1"/>
  <c r="I62" i="1"/>
  <c r="H62" i="1"/>
  <c r="G62" i="1"/>
  <c r="F62" i="1"/>
  <c r="L61" i="1"/>
  <c r="K61" i="1"/>
  <c r="J61" i="1"/>
  <c r="I61" i="1"/>
  <c r="H61" i="1"/>
  <c r="G61" i="1"/>
  <c r="F61" i="1"/>
  <c r="L65" i="1"/>
  <c r="K65" i="1"/>
  <c r="J65" i="1"/>
  <c r="I65" i="1"/>
  <c r="H65" i="1"/>
  <c r="G65" i="1"/>
  <c r="F65" i="1"/>
  <c r="L64" i="1"/>
  <c r="K64" i="1"/>
  <c r="J64" i="1"/>
  <c r="I64" i="1"/>
  <c r="H64" i="1"/>
  <c r="G64" i="1"/>
  <c r="F64" i="1"/>
  <c r="L67" i="1"/>
  <c r="K67" i="1"/>
  <c r="J67" i="1"/>
  <c r="I67" i="1"/>
  <c r="H67" i="1"/>
  <c r="G67" i="1"/>
  <c r="F67" i="1"/>
  <c r="L68" i="1"/>
  <c r="K68" i="1"/>
  <c r="J68" i="1"/>
  <c r="I68" i="1"/>
  <c r="H68" i="1"/>
  <c r="G68" i="1"/>
  <c r="F68" i="1"/>
  <c r="F86" i="1"/>
  <c r="G86" i="1" s="1"/>
  <c r="F83" i="1"/>
  <c r="H83" i="1" s="1"/>
  <c r="H80" i="1"/>
  <c r="F80" i="1"/>
  <c r="H102" i="1"/>
  <c r="G102" i="1"/>
  <c r="F102" i="1"/>
  <c r="K38" i="1"/>
  <c r="J38" i="1"/>
  <c r="I38" i="1"/>
  <c r="H38" i="1"/>
  <c r="G38" i="1"/>
  <c r="F38" i="1"/>
  <c r="L66" i="1"/>
  <c r="K66" i="1"/>
  <c r="J66" i="1"/>
  <c r="I66" i="1"/>
  <c r="G66" i="1"/>
  <c r="F66" i="1"/>
  <c r="K35" i="1"/>
  <c r="J35" i="1"/>
  <c r="I35" i="1"/>
  <c r="H35" i="1"/>
  <c r="G35" i="1"/>
  <c r="F35" i="1"/>
  <c r="L63" i="1"/>
  <c r="K63" i="1"/>
  <c r="J63" i="1"/>
  <c r="I63" i="1"/>
  <c r="H63" i="1"/>
  <c r="G63" i="1"/>
  <c r="F63" i="1"/>
  <c r="C98" i="1"/>
  <c r="B63" i="1"/>
  <c r="B35" i="1"/>
  <c r="K32" i="1"/>
  <c r="J32" i="1"/>
  <c r="I32" i="1"/>
  <c r="H32" i="1"/>
  <c r="G32" i="1"/>
  <c r="F32" i="1"/>
  <c r="L60" i="1"/>
  <c r="K60" i="1"/>
  <c r="J60" i="1"/>
  <c r="I60" i="1"/>
  <c r="H60" i="1"/>
  <c r="G60" i="1"/>
  <c r="F60" i="1"/>
  <c r="K29" i="1"/>
  <c r="J29" i="1"/>
  <c r="I29" i="1"/>
  <c r="H29" i="1"/>
  <c r="G29" i="1"/>
  <c r="F29" i="1"/>
  <c r="L51" i="1"/>
  <c r="K51" i="1"/>
  <c r="J51" i="1"/>
  <c r="I51" i="1"/>
  <c r="H51" i="1"/>
  <c r="G51" i="1"/>
  <c r="F51" i="1"/>
  <c r="K26" i="1"/>
  <c r="J26" i="1"/>
  <c r="I26" i="1"/>
  <c r="H26" i="1"/>
  <c r="G26" i="1"/>
  <c r="F26" i="1"/>
  <c r="K23" i="1"/>
  <c r="J23" i="1"/>
  <c r="I23" i="1"/>
  <c r="H23" i="1"/>
  <c r="G23" i="1"/>
  <c r="F23" i="1"/>
  <c r="L45" i="1"/>
  <c r="K45" i="1"/>
  <c r="J45" i="1"/>
  <c r="I45" i="1"/>
  <c r="H45" i="1"/>
  <c r="G45" i="1"/>
  <c r="F45" i="1"/>
  <c r="K21" i="1"/>
  <c r="J21" i="1"/>
  <c r="I21" i="1"/>
  <c r="H21" i="1"/>
  <c r="G21" i="1"/>
  <c r="F21" i="1"/>
  <c r="K22" i="1"/>
  <c r="J22" i="1"/>
  <c r="I22" i="1"/>
  <c r="H22" i="1"/>
  <c r="G22" i="1"/>
  <c r="F22" i="1"/>
  <c r="E19" i="3" l="1"/>
  <c r="D22" i="3"/>
  <c r="D16" i="3"/>
  <c r="F7" i="3"/>
  <c r="C13" i="3"/>
  <c r="C10" i="3"/>
  <c r="F28" i="3"/>
  <c r="F19" i="3"/>
  <c r="C28" i="3"/>
  <c r="D10" i="3"/>
  <c r="D13" i="3"/>
  <c r="C19" i="3"/>
  <c r="C31" i="3"/>
  <c r="C7" i="3"/>
  <c r="D19" i="3"/>
  <c r="C25" i="3"/>
  <c r="D7" i="3"/>
  <c r="E31" i="3"/>
  <c r="E22" i="3"/>
  <c r="E10" i="3"/>
  <c r="F16" i="3"/>
  <c r="F22" i="3"/>
  <c r="D73" i="1"/>
  <c r="E15" i="4" s="1"/>
  <c r="F10" i="3"/>
  <c r="D71" i="1"/>
  <c r="F14" i="4" s="1"/>
  <c r="D74" i="1"/>
  <c r="F15" i="4" s="1"/>
  <c r="E71" i="1"/>
  <c r="M14" i="4" s="1"/>
  <c r="E74" i="1"/>
  <c r="M15" i="4" s="1"/>
  <c r="D70" i="1"/>
  <c r="E14" i="4" s="1"/>
  <c r="E73" i="1"/>
  <c r="L15" i="4" s="1"/>
  <c r="G107" i="1"/>
  <c r="E56" i="1"/>
  <c r="M9" i="4" s="1"/>
  <c r="D69" i="1"/>
  <c r="D14" i="4" s="1"/>
  <c r="D55" i="1"/>
  <c r="E9" i="4" s="1"/>
  <c r="E59" i="1"/>
  <c r="M10" i="4" s="1"/>
  <c r="E72" i="1"/>
  <c r="K15" i="4" s="1"/>
  <c r="D59" i="1"/>
  <c r="F10" i="4" s="1"/>
  <c r="D72" i="1"/>
  <c r="D15" i="4" s="1"/>
  <c r="D56" i="1"/>
  <c r="F9" i="4" s="1"/>
  <c r="E69" i="1"/>
  <c r="K14" i="4" s="1"/>
  <c r="P14" i="4" s="1"/>
  <c r="E55" i="1"/>
  <c r="L9" i="4" s="1"/>
  <c r="E58" i="1"/>
  <c r="L10" i="4" s="1"/>
  <c r="D58" i="1"/>
  <c r="E10" i="4" s="1"/>
  <c r="E57" i="1"/>
  <c r="K10" i="4" s="1"/>
  <c r="D57" i="1"/>
  <c r="D10" i="4" s="1"/>
  <c r="E54" i="1"/>
  <c r="K9" i="4" s="1"/>
  <c r="D54" i="1"/>
  <c r="D9" i="4" s="1"/>
  <c r="E53" i="1"/>
  <c r="M8" i="4" s="1"/>
  <c r="D47" i="1"/>
  <c r="E46" i="1"/>
  <c r="L6" i="4" s="1"/>
  <c r="H86" i="1"/>
  <c r="E47" i="1"/>
  <c r="M6" i="4" s="1"/>
  <c r="E49" i="1"/>
  <c r="L7" i="4" s="1"/>
  <c r="D60" i="1"/>
  <c r="D11" i="4" s="1"/>
  <c r="H84" i="1"/>
  <c r="E51" i="1"/>
  <c r="K8" i="4" s="1"/>
  <c r="D52" i="1"/>
  <c r="E8" i="4" s="1"/>
  <c r="D48" i="1"/>
  <c r="H99" i="1"/>
  <c r="H96" i="1"/>
  <c r="D53" i="1"/>
  <c r="F8" i="4" s="1"/>
  <c r="E48" i="1"/>
  <c r="K7" i="4" s="1"/>
  <c r="D45" i="1"/>
  <c r="E50" i="1"/>
  <c r="M7" i="4" s="1"/>
  <c r="D46" i="1"/>
  <c r="G85" i="1"/>
  <c r="G95" i="1"/>
  <c r="D51" i="1"/>
  <c r="D8" i="4" s="1"/>
  <c r="D49" i="1"/>
  <c r="E7" i="4" s="1"/>
  <c r="G82" i="1"/>
  <c r="D50" i="1"/>
  <c r="F7" i="4" s="1"/>
  <c r="E60" i="1"/>
  <c r="K11" i="4" s="1"/>
  <c r="E52" i="1"/>
  <c r="L8" i="4" s="1"/>
  <c r="G98" i="1"/>
  <c r="G101" i="1"/>
  <c r="H103" i="1"/>
  <c r="E62" i="1"/>
  <c r="M11" i="4" s="1"/>
  <c r="G83" i="1"/>
  <c r="D62" i="1"/>
  <c r="F11" i="4" s="1"/>
  <c r="D61" i="1"/>
  <c r="E11" i="4" s="1"/>
  <c r="E63" i="1"/>
  <c r="K12" i="4" s="1"/>
  <c r="E61" i="1"/>
  <c r="L11" i="4" s="1"/>
  <c r="D65" i="1"/>
  <c r="F12" i="4" s="1"/>
  <c r="E65" i="1"/>
  <c r="M12" i="4" s="1"/>
  <c r="E66" i="1"/>
  <c r="K13" i="4" s="1"/>
  <c r="E64" i="1"/>
  <c r="L12" i="4" s="1"/>
  <c r="D64" i="1"/>
  <c r="E12" i="4" s="1"/>
  <c r="E67" i="1"/>
  <c r="L13" i="4" s="1"/>
  <c r="E35" i="1"/>
  <c r="D67" i="1"/>
  <c r="E13" i="4" s="1"/>
  <c r="D38" i="1"/>
  <c r="E68" i="1"/>
  <c r="M13" i="4" s="1"/>
  <c r="D68" i="1"/>
  <c r="F13" i="4" s="1"/>
  <c r="D35" i="1"/>
  <c r="D32" i="1"/>
  <c r="E38" i="1"/>
  <c r="D63" i="1"/>
  <c r="D12" i="4" s="1"/>
  <c r="E22" i="1"/>
  <c r="D66" i="1"/>
  <c r="D13" i="4" s="1"/>
  <c r="E32" i="1"/>
  <c r="D26" i="1"/>
  <c r="D29" i="1"/>
  <c r="D23" i="1"/>
  <c r="E26" i="1"/>
  <c r="D21" i="1"/>
  <c r="E21" i="1"/>
  <c r="E23" i="1"/>
  <c r="E29" i="1"/>
  <c r="D22" i="1"/>
  <c r="G7" i="4" l="1"/>
  <c r="N10" i="4"/>
  <c r="G11" i="4"/>
  <c r="N7" i="4"/>
  <c r="P6" i="4"/>
  <c r="G12" i="4"/>
  <c r="H11" i="4" s="1"/>
  <c r="G13" i="4"/>
  <c r="N6" i="4"/>
  <c r="P11" i="4"/>
  <c r="N11" i="4"/>
  <c r="O11" i="4" s="1"/>
  <c r="N15" i="4"/>
  <c r="N13" i="4"/>
  <c r="G9" i="4"/>
  <c r="I9" i="4"/>
  <c r="N14" i="4"/>
  <c r="N9" i="4"/>
  <c r="O9" i="4" s="1"/>
  <c r="G10" i="4"/>
  <c r="G14" i="4"/>
  <c r="I14" i="4"/>
  <c r="I6" i="4"/>
  <c r="G8" i="4"/>
  <c r="H6" i="4" s="1"/>
  <c r="N8" i="4"/>
  <c r="G15" i="4"/>
  <c r="N12" i="4"/>
  <c r="I11" i="4"/>
  <c r="H14" i="4" l="1"/>
  <c r="O14" i="4"/>
  <c r="P9" i="4"/>
  <c r="H9" i="4"/>
  <c r="J6" i="4"/>
  <c r="O6" i="4"/>
  <c r="Q6" i="4"/>
</calcChain>
</file>

<file path=xl/sharedStrings.xml><?xml version="1.0" encoding="utf-8"?>
<sst xmlns="http://schemas.openxmlformats.org/spreadsheetml/2006/main" count="355" uniqueCount="117">
  <si>
    <t>Testing Data</t>
  </si>
  <si>
    <t>Gauge Length [mm]</t>
  </si>
  <si>
    <t>Cushion ID</t>
  </si>
  <si>
    <t>Type</t>
  </si>
  <si>
    <t>d190-1 (mm)</t>
  </si>
  <si>
    <t>d190-2 (mm)</t>
  </si>
  <si>
    <t>d190-3 (mm)</t>
  </si>
  <si>
    <t>d250-1 (mm)</t>
  </si>
  <si>
    <t>d250-2 (mm)</t>
  </si>
  <si>
    <t>d250-3 (mm)</t>
  </si>
  <si>
    <t>Time (s)</t>
  </si>
  <si>
    <t>W850844-01B</t>
  </si>
  <si>
    <t>Contour blank</t>
  </si>
  <si>
    <t>Cushion Dimensions</t>
  </si>
  <si>
    <t>Specified</t>
  </si>
  <si>
    <t>460x460x100</t>
  </si>
  <si>
    <t>Immersion - TEST 02</t>
  </si>
  <si>
    <t>Hysteresis - TEST 03</t>
  </si>
  <si>
    <t>W850844-01A</t>
  </si>
  <si>
    <t>H_250</t>
  </si>
  <si>
    <t>H_500</t>
  </si>
  <si>
    <t>Lth [mm]</t>
  </si>
  <si>
    <t>Loaded Contour Depth [mm]</t>
  </si>
  <si>
    <t>L_180 Overload Deflection [mm]</t>
  </si>
  <si>
    <t>L_225 Overload Deflection [mm]</t>
  </si>
  <si>
    <t>W798553-01A</t>
  </si>
  <si>
    <t>Avg Comp Thickness 8N</t>
  </si>
  <si>
    <t>Avg Comp Thickness 250N</t>
  </si>
  <si>
    <t>Avg Comp Thickness 500N</t>
  </si>
  <si>
    <t>Avg Comp Thickness 750N</t>
  </si>
  <si>
    <t>Avg Unload Thickness 8N</t>
  </si>
  <si>
    <t>Avg Unload Thickness 250N</t>
  </si>
  <si>
    <t>Avg Unload Thickness 500N</t>
  </si>
  <si>
    <t>t_190</t>
  </si>
  <si>
    <t>t_250</t>
  </si>
  <si>
    <t>W798553-02A</t>
  </si>
  <si>
    <t>W798553-03A</t>
  </si>
  <si>
    <t>W819482-01A</t>
  </si>
  <si>
    <t>430x460x115</t>
  </si>
  <si>
    <t>W819482-02A</t>
  </si>
  <si>
    <t>W819482-01B</t>
  </si>
  <si>
    <t>W819482-02B</t>
  </si>
  <si>
    <t>W819482-03A</t>
  </si>
  <si>
    <t>W819482-03B</t>
  </si>
  <si>
    <t>W819482-03C</t>
  </si>
  <si>
    <t>W819482-01C</t>
  </si>
  <si>
    <t>W819482-02C</t>
  </si>
  <si>
    <t>W798553-01C</t>
  </si>
  <si>
    <t>W798553-01B</t>
  </si>
  <si>
    <t>W798553-02B</t>
  </si>
  <si>
    <t>W798553-02C</t>
  </si>
  <si>
    <t>W798553-03B</t>
  </si>
  <si>
    <t>W798553-03C</t>
  </si>
  <si>
    <t>W896204-01</t>
  </si>
  <si>
    <t>W896204-02</t>
  </si>
  <si>
    <t>W884993-01A</t>
  </si>
  <si>
    <t>W884993-02A</t>
  </si>
  <si>
    <t>W896204-01A</t>
  </si>
  <si>
    <t>W896204-01B</t>
  </si>
  <si>
    <t>W896204-01C</t>
  </si>
  <si>
    <t>W896204-02A</t>
  </si>
  <si>
    <t>W896204-02B</t>
  </si>
  <si>
    <t>W896204-02C</t>
  </si>
  <si>
    <t>W884993-01B</t>
  </si>
  <si>
    <t>W884993-01C</t>
  </si>
  <si>
    <t>W884993-02B</t>
  </si>
  <si>
    <t>W884993-02C</t>
  </si>
  <si>
    <t>Hysteresis Statistics</t>
  </si>
  <si>
    <t>W798553</t>
  </si>
  <si>
    <t>A</t>
  </si>
  <si>
    <t>B</t>
  </si>
  <si>
    <t>C</t>
  </si>
  <si>
    <t>AVG</t>
  </si>
  <si>
    <t>T Test</t>
  </si>
  <si>
    <t>W819482</t>
  </si>
  <si>
    <t>Trials</t>
  </si>
  <si>
    <t>Cushion Samples</t>
  </si>
  <si>
    <t>Stats</t>
  </si>
  <si>
    <t>z_a</t>
  </si>
  <si>
    <t>Power Test Parameters</t>
  </si>
  <si>
    <t>z_(1-B)</t>
  </si>
  <si>
    <t>(for a=0.05)</t>
  </si>
  <si>
    <t>(for B=0.8)</t>
  </si>
  <si>
    <t>Power Test</t>
  </si>
  <si>
    <t>Sample Size</t>
  </si>
  <si>
    <t>Difference</t>
  </si>
  <si>
    <t>(Clinically relevant)</t>
  </si>
  <si>
    <t>STD</t>
  </si>
  <si>
    <t>W896204</t>
  </si>
  <si>
    <t>FW04619</t>
  </si>
  <si>
    <t>FW04621</t>
  </si>
  <si>
    <t>W884993</t>
  </si>
  <si>
    <t>LCDOD - TEST 05</t>
  </si>
  <si>
    <t>LCDOD Statistics</t>
  </si>
  <si>
    <t>Measured L (mm)</t>
  </si>
  <si>
    <t>Measured W (mm)</t>
  </si>
  <si>
    <t>Measured H (mm)</t>
  </si>
  <si>
    <t>Cushion Specification</t>
  </si>
  <si>
    <t>L_180</t>
  </si>
  <si>
    <t>L_225</t>
  </si>
  <si>
    <t>LCD</t>
  </si>
  <si>
    <t>Deflection Factor (% of initial Lth)</t>
  </si>
  <si>
    <t>1200N Hysteresis</t>
  </si>
  <si>
    <t>H_750</t>
  </si>
  <si>
    <t>H_1000</t>
  </si>
  <si>
    <t>Avg Comp Thickness 1000N</t>
  </si>
  <si>
    <t>Avg Comp Thickness 1200N</t>
  </si>
  <si>
    <t>Avg Unload Thickness 1000N</t>
  </si>
  <si>
    <t>Avg Unload Thickness 750N</t>
  </si>
  <si>
    <t>Median</t>
  </si>
  <si>
    <t>to be done ONLY for test variables with p&gt;0.05</t>
  </si>
  <si>
    <t>RECORD</t>
  </si>
  <si>
    <t>DUMMY SAMPLE - not to be recorded</t>
  </si>
  <si>
    <t>OMMITTED TEST</t>
  </si>
  <si>
    <t>T Test (FW04619 / FW04621)</t>
  </si>
  <si>
    <t>Intra-cushion AVG</t>
  </si>
  <si>
    <t>Intra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</si>
</sst>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0" fontId="0" fillId="0" borderId="4" xfId="0" applyBorder="1"/>
    <xf numFmtId="0" fontId="1" fillId="2" borderId="0" xfId="0" applyFont="1" applyFill="1"/>
    <xf numFmtId="0" fontId="0" fillId="2" borderId="0" xfId="0" applyFill="1"/>
    <xf numFmtId="0" fontId="0" fillId="2" borderId="4" xfId="0" applyFill="1" applyBorder="1"/>
    <xf numFmtId="0" fontId="1" fillId="0" borderId="5" xfId="0" applyFont="1" applyBorder="1"/>
    <xf numFmtId="0" fontId="0" fillId="0" borderId="1" xfId="0" applyBorder="1"/>
    <xf numFmtId="0" fontId="4" fillId="0" borderId="0" xfId="0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7" xfId="0" applyBorder="1"/>
    <xf numFmtId="0" fontId="1" fillId="0" borderId="14" xfId="0" applyFont="1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7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LCD, L_180, L_225 Deflection in</a:t>
            </a:r>
            <a:r>
              <a:rPr lang="en-AU" baseline="0"/>
              <a:t> FW04619 Contour Cushions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Data'!$F$79</c:f>
              <c:strCache>
                <c:ptCount val="1"/>
                <c:pt idx="0">
                  <c:v>Loaded Contour Depth [mm]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Data'!$C$80:$C$94</c:f>
              <c:strCache>
                <c:ptCount val="15"/>
                <c:pt idx="0">
                  <c:v>W798553-01A</c:v>
                </c:pt>
                <c:pt idx="1">
                  <c:v>W798553-01B</c:v>
                </c:pt>
                <c:pt idx="2">
                  <c:v>W798553-01C</c:v>
                </c:pt>
                <c:pt idx="3">
                  <c:v>W798553-02A</c:v>
                </c:pt>
                <c:pt idx="4">
                  <c:v>W798553-02B</c:v>
                </c:pt>
                <c:pt idx="5">
                  <c:v>W798553-02C</c:v>
                </c:pt>
                <c:pt idx="6">
                  <c:v>W798553-03A</c:v>
                </c:pt>
                <c:pt idx="7">
                  <c:v>W798553-03B</c:v>
                </c:pt>
                <c:pt idx="8">
                  <c:v>W798553-03C</c:v>
                </c:pt>
                <c:pt idx="9">
                  <c:v>W896204-01A</c:v>
                </c:pt>
                <c:pt idx="10">
                  <c:v>W896204-01B</c:v>
                </c:pt>
                <c:pt idx="11">
                  <c:v>W896204-01C</c:v>
                </c:pt>
                <c:pt idx="12">
                  <c:v>W896204-02A</c:v>
                </c:pt>
                <c:pt idx="13">
                  <c:v>W896204-02B</c:v>
                </c:pt>
                <c:pt idx="14">
                  <c:v>W896204-02C</c:v>
                </c:pt>
              </c:strCache>
            </c:strRef>
          </c:cat>
          <c:val>
            <c:numRef>
              <c:f>'Test Data'!$F$80:$F$94</c:f>
              <c:numCache>
                <c:formatCode>0.00</c:formatCode>
                <c:ptCount val="15"/>
                <c:pt idx="0">
                  <c:v>25.510000000000005</c:v>
                </c:pt>
                <c:pt idx="1">
                  <c:v>23.61</c:v>
                </c:pt>
                <c:pt idx="2">
                  <c:v>24.58</c:v>
                </c:pt>
                <c:pt idx="3" formatCode="General">
                  <c:v>24.710000000000008</c:v>
                </c:pt>
                <c:pt idx="4" formatCode="General">
                  <c:v>24.430000000000007</c:v>
                </c:pt>
                <c:pt idx="5" formatCode="General">
                  <c:v>25.439999999999998</c:v>
                </c:pt>
                <c:pt idx="6" formatCode="General">
                  <c:v>26.86</c:v>
                </c:pt>
                <c:pt idx="7" formatCode="General">
                  <c:v>26.590000000000003</c:v>
                </c:pt>
                <c:pt idx="8" formatCode="General">
                  <c:v>26.89</c:v>
                </c:pt>
                <c:pt idx="9" formatCode="General">
                  <c:v>23.42</c:v>
                </c:pt>
                <c:pt idx="10" formatCode="General">
                  <c:v>24.43</c:v>
                </c:pt>
                <c:pt idx="11" formatCode="General">
                  <c:v>25.05</c:v>
                </c:pt>
                <c:pt idx="12" formatCode="General">
                  <c:v>22.46</c:v>
                </c:pt>
                <c:pt idx="13" formatCode="General">
                  <c:v>23.73</c:v>
                </c:pt>
                <c:pt idx="14" formatCode="General">
                  <c:v>24.33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6-4E7D-A4F4-74CF0F5D742B}"/>
            </c:ext>
          </c:extLst>
        </c:ser>
        <c:ser>
          <c:idx val="1"/>
          <c:order val="1"/>
          <c:tx>
            <c:strRef>
              <c:f>'Test Data'!$G$79</c:f>
              <c:strCache>
                <c:ptCount val="1"/>
                <c:pt idx="0">
                  <c:v>L_180 Overload Deflection [mm]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Data'!$C$80:$C$94</c:f>
              <c:strCache>
                <c:ptCount val="15"/>
                <c:pt idx="0">
                  <c:v>W798553-01A</c:v>
                </c:pt>
                <c:pt idx="1">
                  <c:v>W798553-01B</c:v>
                </c:pt>
                <c:pt idx="2">
                  <c:v>W798553-01C</c:v>
                </c:pt>
                <c:pt idx="3">
                  <c:v>W798553-02A</c:v>
                </c:pt>
                <c:pt idx="4">
                  <c:v>W798553-02B</c:v>
                </c:pt>
                <c:pt idx="5">
                  <c:v>W798553-02C</c:v>
                </c:pt>
                <c:pt idx="6">
                  <c:v>W798553-03A</c:v>
                </c:pt>
                <c:pt idx="7">
                  <c:v>W798553-03B</c:v>
                </c:pt>
                <c:pt idx="8">
                  <c:v>W798553-03C</c:v>
                </c:pt>
                <c:pt idx="9">
                  <c:v>W896204-01A</c:v>
                </c:pt>
                <c:pt idx="10">
                  <c:v>W896204-01B</c:v>
                </c:pt>
                <c:pt idx="11">
                  <c:v>W896204-01C</c:v>
                </c:pt>
                <c:pt idx="12">
                  <c:v>W896204-02A</c:v>
                </c:pt>
                <c:pt idx="13">
                  <c:v>W896204-02B</c:v>
                </c:pt>
                <c:pt idx="14">
                  <c:v>W896204-02C</c:v>
                </c:pt>
              </c:strCache>
            </c:strRef>
          </c:cat>
          <c:val>
            <c:numRef>
              <c:f>'Test Data'!$G$80:$G$94</c:f>
              <c:numCache>
                <c:formatCode>0.00</c:formatCode>
                <c:ptCount val="15"/>
                <c:pt idx="0">
                  <c:v>6.8099999999999881</c:v>
                </c:pt>
                <c:pt idx="1">
                  <c:v>5.8599999999999994</c:v>
                </c:pt>
                <c:pt idx="2">
                  <c:v>5.769999999999996</c:v>
                </c:pt>
                <c:pt idx="3" formatCode="General">
                  <c:v>6.1199999999999903</c:v>
                </c:pt>
                <c:pt idx="4" formatCode="General">
                  <c:v>5.6099999999999852</c:v>
                </c:pt>
                <c:pt idx="5" formatCode="General">
                  <c:v>5.3100000000000023</c:v>
                </c:pt>
                <c:pt idx="6" formatCode="General">
                  <c:v>5.980000000000004</c:v>
                </c:pt>
                <c:pt idx="7" formatCode="General">
                  <c:v>5.8599999999999994</c:v>
                </c:pt>
                <c:pt idx="8" formatCode="General">
                  <c:v>5.7000000000000028</c:v>
                </c:pt>
                <c:pt idx="9" formatCode="General">
                  <c:v>4.259999999999998</c:v>
                </c:pt>
                <c:pt idx="10" formatCode="General">
                  <c:v>4.4499999999999993</c:v>
                </c:pt>
                <c:pt idx="11" formatCode="General">
                  <c:v>4.3900000000000006</c:v>
                </c:pt>
                <c:pt idx="12" formatCode="General">
                  <c:v>4.1199999999999974</c:v>
                </c:pt>
                <c:pt idx="13" formatCode="General">
                  <c:v>4.259999999999998</c:v>
                </c:pt>
                <c:pt idx="14" formatCode="General">
                  <c:v>4.2200000000000024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6-4E7D-A4F4-74CF0F5D742B}"/>
            </c:ext>
          </c:extLst>
        </c:ser>
        <c:ser>
          <c:idx val="2"/>
          <c:order val="2"/>
          <c:tx>
            <c:strRef>
              <c:f>'Test Data'!$H$79</c:f>
              <c:strCache>
                <c:ptCount val="1"/>
                <c:pt idx="0">
                  <c:v>L_225 Overload Deflection [mm]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Data'!$C$80:$C$94</c:f>
              <c:strCache>
                <c:ptCount val="15"/>
                <c:pt idx="0">
                  <c:v>W798553-01A</c:v>
                </c:pt>
                <c:pt idx="1">
                  <c:v>W798553-01B</c:v>
                </c:pt>
                <c:pt idx="2">
                  <c:v>W798553-01C</c:v>
                </c:pt>
                <c:pt idx="3">
                  <c:v>W798553-02A</c:v>
                </c:pt>
                <c:pt idx="4">
                  <c:v>W798553-02B</c:v>
                </c:pt>
                <c:pt idx="5">
                  <c:v>W798553-02C</c:v>
                </c:pt>
                <c:pt idx="6">
                  <c:v>W798553-03A</c:v>
                </c:pt>
                <c:pt idx="7">
                  <c:v>W798553-03B</c:v>
                </c:pt>
                <c:pt idx="8">
                  <c:v>W798553-03C</c:v>
                </c:pt>
                <c:pt idx="9">
                  <c:v>W896204-01A</c:v>
                </c:pt>
                <c:pt idx="10">
                  <c:v>W896204-01B</c:v>
                </c:pt>
                <c:pt idx="11">
                  <c:v>W896204-01C</c:v>
                </c:pt>
                <c:pt idx="12">
                  <c:v>W896204-02A</c:v>
                </c:pt>
                <c:pt idx="13">
                  <c:v>W896204-02B</c:v>
                </c:pt>
                <c:pt idx="14">
                  <c:v>W896204-02C</c:v>
                </c:pt>
              </c:strCache>
            </c:strRef>
          </c:cat>
          <c:val>
            <c:numRef>
              <c:f>'Test Data'!$H$80:$H$94</c:f>
              <c:numCache>
                <c:formatCode>0.00</c:formatCode>
                <c:ptCount val="15"/>
                <c:pt idx="0">
                  <c:v>12.789999999999992</c:v>
                </c:pt>
                <c:pt idx="1">
                  <c:v>10.939999999999998</c:v>
                </c:pt>
                <c:pt idx="2">
                  <c:v>10.540000000000006</c:v>
                </c:pt>
                <c:pt idx="3" formatCode="General">
                  <c:v>11.199999999999989</c:v>
                </c:pt>
                <c:pt idx="4" formatCode="General">
                  <c:v>10.289999999999992</c:v>
                </c:pt>
                <c:pt idx="5" formatCode="General">
                  <c:v>9.64</c:v>
                </c:pt>
                <c:pt idx="6" formatCode="General">
                  <c:v>11.459999999999994</c:v>
                </c:pt>
                <c:pt idx="7" formatCode="General">
                  <c:v>11.329999999999998</c:v>
                </c:pt>
                <c:pt idx="8" formatCode="General">
                  <c:v>10.839999999999989</c:v>
                </c:pt>
                <c:pt idx="9" formatCode="General">
                  <c:v>8.4899999999999984</c:v>
                </c:pt>
                <c:pt idx="10" formatCode="General">
                  <c:v>8.68</c:v>
                </c:pt>
                <c:pt idx="11" formatCode="General">
                  <c:v>8.4499999999999993</c:v>
                </c:pt>
                <c:pt idx="12" formatCode="General">
                  <c:v>8.16</c:v>
                </c:pt>
                <c:pt idx="13" formatCode="General">
                  <c:v>8.41</c:v>
                </c:pt>
                <c:pt idx="14" formatCode="General">
                  <c:v>8.3299999999999983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6-4E7D-A4F4-74CF0F5D7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263760"/>
        <c:axId val="1997896384"/>
      </c:barChart>
      <c:catAx>
        <c:axId val="200126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FW</a:t>
                </a:r>
                <a:r>
                  <a:rPr lang="en-AU" baseline="0"/>
                  <a:t>04619 Samples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96384"/>
        <c:crosses val="autoZero"/>
        <c:auto val="1"/>
        <c:lblAlgn val="ctr"/>
        <c:lblOffset val="100"/>
        <c:noMultiLvlLbl val="0"/>
      </c:catAx>
      <c:valAx>
        <c:axId val="199789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LCD, L_180,</a:t>
            </a:r>
            <a:r>
              <a:rPr lang="en-AU" baseline="0"/>
              <a:t> L_225 Deflection in FW04621 Contour Cushions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LCD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Data'!$C$95:$C$109</c:f>
              <c:strCache>
                <c:ptCount val="15"/>
                <c:pt idx="0">
                  <c:v>W819482-01A</c:v>
                </c:pt>
                <c:pt idx="1">
                  <c:v>W819482-01B</c:v>
                </c:pt>
                <c:pt idx="2">
                  <c:v>W819482-01C</c:v>
                </c:pt>
                <c:pt idx="3">
                  <c:v>W819482-02A</c:v>
                </c:pt>
                <c:pt idx="4">
                  <c:v>W819482-02B</c:v>
                </c:pt>
                <c:pt idx="5">
                  <c:v>W819482-02C</c:v>
                </c:pt>
                <c:pt idx="6">
                  <c:v>W819482-03A</c:v>
                </c:pt>
                <c:pt idx="7">
                  <c:v>W819482-03B</c:v>
                </c:pt>
                <c:pt idx="8">
                  <c:v>W819482-03C</c:v>
                </c:pt>
                <c:pt idx="9">
                  <c:v>W884993-01A</c:v>
                </c:pt>
                <c:pt idx="10">
                  <c:v>W884993-01B</c:v>
                </c:pt>
                <c:pt idx="11">
                  <c:v>W884993-01C</c:v>
                </c:pt>
                <c:pt idx="12">
                  <c:v>W884993-02A</c:v>
                </c:pt>
                <c:pt idx="13">
                  <c:v>W884993-02B</c:v>
                </c:pt>
                <c:pt idx="14">
                  <c:v>W884993-02C</c:v>
                </c:pt>
              </c:strCache>
            </c:strRef>
          </c:cat>
          <c:val>
            <c:numRef>
              <c:f>'Test Data'!$F$95:$F$109</c:f>
              <c:numCache>
                <c:formatCode>General</c:formatCode>
                <c:ptCount val="15"/>
                <c:pt idx="0">
                  <c:v>27.090000000000003</c:v>
                </c:pt>
                <c:pt idx="1">
                  <c:v>28.960000000000008</c:v>
                </c:pt>
                <c:pt idx="2">
                  <c:v>27.25</c:v>
                </c:pt>
                <c:pt idx="3">
                  <c:v>27.400000000000006</c:v>
                </c:pt>
                <c:pt idx="4">
                  <c:v>27.539999999999992</c:v>
                </c:pt>
                <c:pt idx="5">
                  <c:v>25.400000000000006</c:v>
                </c:pt>
                <c:pt idx="6">
                  <c:v>26.189999999999998</c:v>
                </c:pt>
                <c:pt idx="7">
                  <c:v>26.61</c:v>
                </c:pt>
                <c:pt idx="8">
                  <c:v>24.230000000000004</c:v>
                </c:pt>
                <c:pt idx="9">
                  <c:v>27.89</c:v>
                </c:pt>
                <c:pt idx="10">
                  <c:v>28.14</c:v>
                </c:pt>
                <c:pt idx="11">
                  <c:v>28.08</c:v>
                </c:pt>
                <c:pt idx="12">
                  <c:v>27.13</c:v>
                </c:pt>
                <c:pt idx="13">
                  <c:v>27.6</c:v>
                </c:pt>
                <c:pt idx="14">
                  <c:v>27.44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8-40F7-956C-FC8FD8277EA2}"/>
            </c:ext>
          </c:extLst>
        </c:ser>
        <c:ser>
          <c:idx val="1"/>
          <c:order val="1"/>
          <c:tx>
            <c:v>L_180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Data'!$C$95:$C$109</c:f>
              <c:strCache>
                <c:ptCount val="15"/>
                <c:pt idx="0">
                  <c:v>W819482-01A</c:v>
                </c:pt>
                <c:pt idx="1">
                  <c:v>W819482-01B</c:v>
                </c:pt>
                <c:pt idx="2">
                  <c:v>W819482-01C</c:v>
                </c:pt>
                <c:pt idx="3">
                  <c:v>W819482-02A</c:v>
                </c:pt>
                <c:pt idx="4">
                  <c:v>W819482-02B</c:v>
                </c:pt>
                <c:pt idx="5">
                  <c:v>W819482-02C</c:v>
                </c:pt>
                <c:pt idx="6">
                  <c:v>W819482-03A</c:v>
                </c:pt>
                <c:pt idx="7">
                  <c:v>W819482-03B</c:v>
                </c:pt>
                <c:pt idx="8">
                  <c:v>W819482-03C</c:v>
                </c:pt>
                <c:pt idx="9">
                  <c:v>W884993-01A</c:v>
                </c:pt>
                <c:pt idx="10">
                  <c:v>W884993-01B</c:v>
                </c:pt>
                <c:pt idx="11">
                  <c:v>W884993-01C</c:v>
                </c:pt>
                <c:pt idx="12">
                  <c:v>W884993-02A</c:v>
                </c:pt>
                <c:pt idx="13">
                  <c:v>W884993-02B</c:v>
                </c:pt>
                <c:pt idx="14">
                  <c:v>W884993-02C</c:v>
                </c:pt>
              </c:strCache>
            </c:strRef>
          </c:cat>
          <c:val>
            <c:numRef>
              <c:f>'Test Data'!$G$95:$G$109</c:f>
              <c:numCache>
                <c:formatCode>General</c:formatCode>
                <c:ptCount val="15"/>
                <c:pt idx="0">
                  <c:v>4.6299999999999955</c:v>
                </c:pt>
                <c:pt idx="1">
                  <c:v>5.5099999999999909</c:v>
                </c:pt>
                <c:pt idx="2">
                  <c:v>5.1400000000000006</c:v>
                </c:pt>
                <c:pt idx="3">
                  <c:v>4.8499999999999943</c:v>
                </c:pt>
                <c:pt idx="4">
                  <c:v>4.7300000000000182</c:v>
                </c:pt>
                <c:pt idx="5">
                  <c:v>4.5899999999999892</c:v>
                </c:pt>
                <c:pt idx="6">
                  <c:v>5.0300000000000011</c:v>
                </c:pt>
                <c:pt idx="7">
                  <c:v>4.8500000000000085</c:v>
                </c:pt>
                <c:pt idx="8">
                  <c:v>4.7599999999999909</c:v>
                </c:pt>
                <c:pt idx="9">
                  <c:v>4.7800000000000011</c:v>
                </c:pt>
                <c:pt idx="10">
                  <c:v>4.6199999999999974</c:v>
                </c:pt>
                <c:pt idx="11">
                  <c:v>4.5399999999999991</c:v>
                </c:pt>
                <c:pt idx="12">
                  <c:v>4.5600000000000023</c:v>
                </c:pt>
                <c:pt idx="13">
                  <c:v>4.43</c:v>
                </c:pt>
                <c:pt idx="14">
                  <c:v>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8-40F7-956C-FC8FD8277EA2}"/>
            </c:ext>
          </c:extLst>
        </c:ser>
        <c:ser>
          <c:idx val="2"/>
          <c:order val="2"/>
          <c:tx>
            <c:v>L_225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Data'!$C$95:$C$109</c:f>
              <c:strCache>
                <c:ptCount val="15"/>
                <c:pt idx="0">
                  <c:v>W819482-01A</c:v>
                </c:pt>
                <c:pt idx="1">
                  <c:v>W819482-01B</c:v>
                </c:pt>
                <c:pt idx="2">
                  <c:v>W819482-01C</c:v>
                </c:pt>
                <c:pt idx="3">
                  <c:v>W819482-02A</c:v>
                </c:pt>
                <c:pt idx="4">
                  <c:v>W819482-02B</c:v>
                </c:pt>
                <c:pt idx="5">
                  <c:v>W819482-02C</c:v>
                </c:pt>
                <c:pt idx="6">
                  <c:v>W819482-03A</c:v>
                </c:pt>
                <c:pt idx="7">
                  <c:v>W819482-03B</c:v>
                </c:pt>
                <c:pt idx="8">
                  <c:v>W819482-03C</c:v>
                </c:pt>
                <c:pt idx="9">
                  <c:v>W884993-01A</c:v>
                </c:pt>
                <c:pt idx="10">
                  <c:v>W884993-01B</c:v>
                </c:pt>
                <c:pt idx="11">
                  <c:v>W884993-01C</c:v>
                </c:pt>
                <c:pt idx="12">
                  <c:v>W884993-02A</c:v>
                </c:pt>
                <c:pt idx="13">
                  <c:v>W884993-02B</c:v>
                </c:pt>
                <c:pt idx="14">
                  <c:v>W884993-02C</c:v>
                </c:pt>
              </c:strCache>
            </c:strRef>
          </c:cat>
          <c:val>
            <c:numRef>
              <c:f>'Test Data'!$H$95:$H$109</c:f>
              <c:numCache>
                <c:formatCode>General</c:formatCode>
                <c:ptCount val="15"/>
                <c:pt idx="0">
                  <c:v>8.9699999999999989</c:v>
                </c:pt>
                <c:pt idx="1">
                  <c:v>9.8599999999999852</c:v>
                </c:pt>
                <c:pt idx="2">
                  <c:v>9.289999999999992</c:v>
                </c:pt>
                <c:pt idx="3">
                  <c:v>9.5799999999999841</c:v>
                </c:pt>
                <c:pt idx="4">
                  <c:v>9.2300000000000182</c:v>
                </c:pt>
                <c:pt idx="5">
                  <c:v>8.7099999999999937</c:v>
                </c:pt>
                <c:pt idx="6">
                  <c:v>9.8499999999999943</c:v>
                </c:pt>
                <c:pt idx="7">
                  <c:v>9.39</c:v>
                </c:pt>
                <c:pt idx="8">
                  <c:v>8.9599999999999937</c:v>
                </c:pt>
                <c:pt idx="9">
                  <c:v>9.18</c:v>
                </c:pt>
                <c:pt idx="10">
                  <c:v>8.7999999999999972</c:v>
                </c:pt>
                <c:pt idx="11">
                  <c:v>8.6600000000000037</c:v>
                </c:pt>
                <c:pt idx="12">
                  <c:v>8.7900000000000027</c:v>
                </c:pt>
                <c:pt idx="13">
                  <c:v>8.4499999999999957</c:v>
                </c:pt>
                <c:pt idx="14">
                  <c:v>8.2199999999999953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8-40F7-956C-FC8FD827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983440"/>
        <c:axId val="1170418112"/>
      </c:barChart>
      <c:catAx>
        <c:axId val="125298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FW04621</a:t>
                </a:r>
                <a:r>
                  <a:rPr lang="en-AU" baseline="0"/>
                  <a:t> Samples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18112"/>
        <c:crosses val="autoZero"/>
        <c:auto val="1"/>
        <c:lblAlgn val="ctr"/>
        <c:lblOffset val="100"/>
        <c:noMultiLvlLbl val="0"/>
      </c:catAx>
      <c:valAx>
        <c:axId val="1170418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77</xdr:row>
      <xdr:rowOff>0</xdr:rowOff>
    </xdr:from>
    <xdr:to>
      <xdr:col>13</xdr:col>
      <xdr:colOff>834166</xdr:colOff>
      <xdr:row>100</xdr:row>
      <xdr:rowOff>88078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D0948-81E4-44D9-9AF1-BB9D71E42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101</xdr:row>
      <xdr:rowOff>110938</xdr:rowOff>
    </xdr:from>
    <xdr:to>
      <xdr:col>13</xdr:col>
      <xdr:colOff>841786</xdr:colOff>
      <xdr:row>121</xdr:row>
      <xdr:rowOff>44899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0A9DDD-08DA-43D3-BFCC-08D187615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30480</xdr:rowOff>
    </xdr:from>
    <xdr:to>
      <xdr:col>11</xdr:col>
      <xdr:colOff>449581</xdr:colOff>
      <xdr:row>22</xdr:row>
      <xdr:rowOff>44279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5344F-7862-6BE1-B7F4-BAEA98BC6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1" y="30480"/>
          <a:ext cx="6812280" cy="4204799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</xdr:colOff>
      <xdr:row>0</xdr:row>
      <xdr:rowOff>175260</xdr:rowOff>
    </xdr:from>
    <xdr:to>
      <xdr:col>14</xdr:col>
      <xdr:colOff>792726</xdr:colOff>
      <xdr:row>5</xdr:row>
      <xdr:rowOff>175339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ECC6A5-F297-E3BF-F322-9D02749E7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8540" y="175260"/>
          <a:ext cx="2834886" cy="914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E1CE-16A5-4BC9-BCAC-EF98364183B1}">
  <dimension ref="B1:L125"/>
  <sheetViews>
    <sheetView topLeftCell="A26" zoomScale="85" zoomScaleNormal="85" workbookViewId="0">
      <selection activeCell="I83" sqref="I83"/>
    </sheetView>
  </sheetViews>
  <sheetFormatPr defaultRowHeight="14.4" x14ac:dyDescent="0.3"/>
  <cols>
    <col min="2" max="2" width="23.109375" bestFit="1" customWidth="1"/>
    <col min="3" max="3" width="14.109375" bestFit="1" customWidth="1"/>
    <col min="4" max="4" width="16" bestFit="1" customWidth="1"/>
    <col min="5" max="5" width="25.6640625" bestFit="1" customWidth="1"/>
    <col min="6" max="6" width="28.5546875" bestFit="1" customWidth="1"/>
    <col min="7" max="7" width="33.21875" bestFit="1" customWidth="1"/>
    <col min="8" max="8" width="30.21875" bestFit="1" customWidth="1"/>
    <col min="9" max="9" width="28.5546875" bestFit="1" customWidth="1"/>
    <col min="10" max="10" width="25.77734375" bestFit="1" customWidth="1"/>
    <col min="11" max="11" width="23.33203125" bestFit="1" customWidth="1"/>
    <col min="12" max="14" width="24.44140625" bestFit="1" customWidth="1"/>
    <col min="15" max="15" width="14.77734375" customWidth="1"/>
    <col min="16" max="16" width="17.6640625" customWidth="1"/>
  </cols>
  <sheetData>
    <row r="1" spans="2:7" ht="29.4" thickBot="1" x14ac:dyDescent="0.6">
      <c r="B1" s="2" t="s">
        <v>0</v>
      </c>
    </row>
    <row r="2" spans="2:7" ht="15" thickBot="1" x14ac:dyDescent="0.35">
      <c r="B2" s="4" t="s">
        <v>1</v>
      </c>
      <c r="C2" s="5">
        <v>100</v>
      </c>
    </row>
    <row r="4" spans="2:7" x14ac:dyDescent="0.3">
      <c r="B4" s="3" t="s">
        <v>13</v>
      </c>
    </row>
    <row r="5" spans="2:7" x14ac:dyDescent="0.3">
      <c r="B5" s="1" t="s">
        <v>2</v>
      </c>
      <c r="C5" s="1" t="s">
        <v>14</v>
      </c>
      <c r="D5" s="1" t="s">
        <v>94</v>
      </c>
      <c r="E5" s="1" t="s">
        <v>95</v>
      </c>
      <c r="F5" s="1" t="s">
        <v>96</v>
      </c>
    </row>
    <row r="6" spans="2:7" x14ac:dyDescent="0.3">
      <c r="B6" t="s">
        <v>11</v>
      </c>
      <c r="C6" t="s">
        <v>15</v>
      </c>
      <c r="D6">
        <v>466</v>
      </c>
      <c r="E6">
        <v>465</v>
      </c>
      <c r="F6">
        <v>109</v>
      </c>
      <c r="G6" t="s">
        <v>112</v>
      </c>
    </row>
    <row r="7" spans="2:7" x14ac:dyDescent="0.3">
      <c r="B7" t="s">
        <v>25</v>
      </c>
      <c r="C7" t="s">
        <v>15</v>
      </c>
      <c r="D7">
        <v>461</v>
      </c>
      <c r="E7">
        <v>464</v>
      </c>
      <c r="F7">
        <v>108</v>
      </c>
    </row>
    <row r="8" spans="2:7" x14ac:dyDescent="0.3">
      <c r="B8" t="s">
        <v>35</v>
      </c>
      <c r="C8" t="s">
        <v>15</v>
      </c>
      <c r="D8">
        <v>469</v>
      </c>
      <c r="E8">
        <v>462</v>
      </c>
      <c r="F8">
        <v>109</v>
      </c>
    </row>
    <row r="9" spans="2:7" x14ac:dyDescent="0.3">
      <c r="B9" t="s">
        <v>36</v>
      </c>
      <c r="C9" t="s">
        <v>15</v>
      </c>
      <c r="D9">
        <v>459</v>
      </c>
      <c r="E9">
        <v>464</v>
      </c>
      <c r="F9">
        <v>109</v>
      </c>
    </row>
    <row r="10" spans="2:7" x14ac:dyDescent="0.3">
      <c r="B10" t="s">
        <v>53</v>
      </c>
      <c r="C10" t="s">
        <v>15</v>
      </c>
      <c r="D10">
        <v>463</v>
      </c>
      <c r="E10">
        <v>464</v>
      </c>
      <c r="F10">
        <v>109</v>
      </c>
    </row>
    <row r="11" spans="2:7" x14ac:dyDescent="0.3">
      <c r="B11" t="s">
        <v>54</v>
      </c>
      <c r="C11" t="s">
        <v>15</v>
      </c>
      <c r="D11">
        <v>464</v>
      </c>
      <c r="E11">
        <v>464</v>
      </c>
      <c r="F11">
        <v>109</v>
      </c>
    </row>
    <row r="12" spans="2:7" x14ac:dyDescent="0.3">
      <c r="B12" t="s">
        <v>37</v>
      </c>
      <c r="C12" t="s">
        <v>38</v>
      </c>
      <c r="D12">
        <v>434</v>
      </c>
      <c r="E12">
        <v>465</v>
      </c>
      <c r="F12">
        <v>121</v>
      </c>
    </row>
    <row r="13" spans="2:7" x14ac:dyDescent="0.3">
      <c r="B13" t="s">
        <v>39</v>
      </c>
      <c r="C13" t="s">
        <v>38</v>
      </c>
      <c r="D13">
        <v>434</v>
      </c>
      <c r="E13">
        <v>463</v>
      </c>
      <c r="F13">
        <v>121</v>
      </c>
    </row>
    <row r="14" spans="2:7" x14ac:dyDescent="0.3">
      <c r="B14" t="s">
        <v>42</v>
      </c>
      <c r="C14" t="s">
        <v>38</v>
      </c>
      <c r="D14">
        <v>432</v>
      </c>
      <c r="E14">
        <v>465</v>
      </c>
      <c r="F14">
        <v>121</v>
      </c>
    </row>
    <row r="15" spans="2:7" x14ac:dyDescent="0.3">
      <c r="B15" t="s">
        <v>55</v>
      </c>
      <c r="C15" t="s">
        <v>38</v>
      </c>
      <c r="D15">
        <v>429</v>
      </c>
      <c r="E15">
        <v>463</v>
      </c>
      <c r="F15">
        <v>119</v>
      </c>
    </row>
    <row r="16" spans="2:7" x14ac:dyDescent="0.3">
      <c r="B16" t="s">
        <v>56</v>
      </c>
      <c r="C16" t="s">
        <v>38</v>
      </c>
      <c r="D16">
        <v>433</v>
      </c>
      <c r="E16">
        <v>464</v>
      </c>
      <c r="F16">
        <v>119</v>
      </c>
    </row>
    <row r="19" spans="2:12" x14ac:dyDescent="0.3">
      <c r="B19" s="47" t="s">
        <v>16</v>
      </c>
      <c r="C19" s="1" t="s">
        <v>113</v>
      </c>
    </row>
    <row r="20" spans="2:12" x14ac:dyDescent="0.3">
      <c r="B20" s="8" t="s">
        <v>2</v>
      </c>
      <c r="C20" s="8" t="s">
        <v>3</v>
      </c>
      <c r="D20" s="8" t="s">
        <v>33</v>
      </c>
      <c r="E20" s="8" t="s">
        <v>34</v>
      </c>
      <c r="F20" s="8" t="s">
        <v>4</v>
      </c>
      <c r="G20" s="8" t="s">
        <v>5</v>
      </c>
      <c r="H20" s="8" t="s">
        <v>6</v>
      </c>
      <c r="I20" s="8" t="s">
        <v>7</v>
      </c>
      <c r="J20" s="8" t="s">
        <v>8</v>
      </c>
      <c r="K20" s="8" t="s">
        <v>9</v>
      </c>
      <c r="L20" s="8" t="s">
        <v>10</v>
      </c>
    </row>
    <row r="21" spans="2:12" x14ac:dyDescent="0.3">
      <c r="B21" s="9" t="s">
        <v>18</v>
      </c>
      <c r="C21" s="9" t="s">
        <v>12</v>
      </c>
      <c r="D21" s="9">
        <f>F7-AVERAGE(F21:H21)</f>
        <v>57.002236666666668</v>
      </c>
      <c r="E21" s="9">
        <f>F7-AVERAGE(I21:K21)</f>
        <v>53.164746666666666</v>
      </c>
      <c r="F21" s="9">
        <f>F6-(C2-41.68242)</f>
        <v>50.68242</v>
      </c>
      <c r="G21" s="9">
        <f>F6-(C2-42.09748)</f>
        <v>51.097479999999997</v>
      </c>
      <c r="H21" s="9">
        <f>F6-(C2-42.21339)</f>
        <v>51.213389999999997</v>
      </c>
      <c r="I21" s="9">
        <f>F6-(C2-45.73164)</f>
        <v>54.731639999999999</v>
      </c>
      <c r="J21" s="9">
        <f>F6-(C2-45.8744)</f>
        <v>54.874400000000001</v>
      </c>
      <c r="K21" s="9">
        <f>F6-(C2-45.89972)</f>
        <v>54.899720000000002</v>
      </c>
      <c r="L21" s="9">
        <v>1975</v>
      </c>
    </row>
    <row r="22" spans="2:12" x14ac:dyDescent="0.3">
      <c r="B22" s="9" t="s">
        <v>11</v>
      </c>
      <c r="C22" s="9" t="s">
        <v>12</v>
      </c>
      <c r="D22" s="9">
        <f>F6-AVERAGE(F22:H22)</f>
        <v>60.412606666666669</v>
      </c>
      <c r="E22" s="9">
        <f>F6-AVERAGE(I22:K22)</f>
        <v>56.741836666666664</v>
      </c>
      <c r="F22" s="9">
        <f>F6-(C2-39.3767)</f>
        <v>48.3767</v>
      </c>
      <c r="G22" s="9">
        <f>F6-(C2-39.64442)</f>
        <v>48.644419999999997</v>
      </c>
      <c r="H22" s="9">
        <f>F6-(C2-39.74106)</f>
        <v>48.741059999999997</v>
      </c>
      <c r="I22" s="9">
        <f>F6-(C2-43.24427)</f>
        <v>52.24427</v>
      </c>
      <c r="J22" s="9">
        <f>F6-(C2-43.26659)</f>
        <v>52.266590000000001</v>
      </c>
      <c r="K22" s="9">
        <f>F6-(C2-43.26363)</f>
        <v>52.263629999999999</v>
      </c>
      <c r="L22" s="9">
        <v>1975</v>
      </c>
    </row>
    <row r="23" spans="2:12" x14ac:dyDescent="0.3">
      <c r="B23" s="10" t="s">
        <v>25</v>
      </c>
      <c r="C23" s="9" t="s">
        <v>12</v>
      </c>
      <c r="D23" s="9">
        <f>F7-AVERAGE(F23:H23)</f>
        <v>32.638716666666667</v>
      </c>
      <c r="E23" s="9">
        <f>F7-AVERAGE(I23:K23)</f>
        <v>36.17613333333334</v>
      </c>
      <c r="F23" s="9">
        <f>F7-31.90392</f>
        <v>76.096080000000001</v>
      </c>
      <c r="G23" s="9">
        <f>F7-32.8625</f>
        <v>75.137500000000003</v>
      </c>
      <c r="H23" s="9">
        <f>F7-33.14973</f>
        <v>74.850269999999995</v>
      </c>
      <c r="I23" s="9">
        <f>F7-36.27734</f>
        <v>71.722659999999991</v>
      </c>
      <c r="J23" s="9">
        <f>F7-35.56726</f>
        <v>72.432739999999995</v>
      </c>
      <c r="K23" s="9">
        <f>F7-36.6838</f>
        <v>71.316200000000009</v>
      </c>
      <c r="L23" s="9">
        <v>1919</v>
      </c>
    </row>
    <row r="24" spans="2:12" x14ac:dyDescent="0.3">
      <c r="B24" s="9" t="s">
        <v>48</v>
      </c>
      <c r="C24" s="9" t="s">
        <v>12</v>
      </c>
      <c r="D24" s="9"/>
      <c r="E24" s="9"/>
      <c r="F24" s="9"/>
      <c r="G24" s="9"/>
      <c r="H24" s="9"/>
      <c r="I24" s="9"/>
      <c r="J24" s="9"/>
      <c r="K24" s="9"/>
      <c r="L24" s="9"/>
    </row>
    <row r="25" spans="2:12" x14ac:dyDescent="0.3">
      <c r="B25" s="9" t="s">
        <v>47</v>
      </c>
      <c r="C25" s="9" t="s">
        <v>12</v>
      </c>
      <c r="D25" s="9"/>
      <c r="E25" s="9"/>
      <c r="F25" s="9"/>
      <c r="G25" s="9"/>
      <c r="H25" s="9"/>
      <c r="I25" s="9"/>
      <c r="J25" s="9"/>
      <c r="K25" s="9"/>
      <c r="L25" s="9"/>
    </row>
    <row r="26" spans="2:12" x14ac:dyDescent="0.3">
      <c r="B26" s="10" t="s">
        <v>35</v>
      </c>
      <c r="C26" s="9" t="s">
        <v>12</v>
      </c>
      <c r="D26" s="9">
        <f>F8-AVERAGE(F26:H26)</f>
        <v>33.042943333333326</v>
      </c>
      <c r="E26" s="9">
        <f>F8-AVERAGE(I26:K26)</f>
        <v>36.897183333333331</v>
      </c>
      <c r="F26" s="9">
        <f>F8-32.90851</f>
        <v>76.091489999999993</v>
      </c>
      <c r="G26" s="9">
        <f>F8-33.06117</f>
        <v>75.938829999999996</v>
      </c>
      <c r="H26" s="9">
        <f>F8-33.15915</f>
        <v>75.840850000000003</v>
      </c>
      <c r="I26" s="9">
        <f>F8-37.0163</f>
        <v>71.983699999999999</v>
      </c>
      <c r="J26" s="9">
        <f>F8-36.87464</f>
        <v>72.125360000000001</v>
      </c>
      <c r="K26" s="9">
        <f>F8-36.80061</f>
        <v>72.199389999999994</v>
      </c>
      <c r="L26" s="9">
        <v>1918</v>
      </c>
    </row>
    <row r="27" spans="2:12" x14ac:dyDescent="0.3">
      <c r="B27" s="9" t="s">
        <v>49</v>
      </c>
      <c r="C27" s="9" t="s">
        <v>12</v>
      </c>
      <c r="D27" s="9"/>
      <c r="E27" s="9"/>
      <c r="F27" s="9"/>
      <c r="G27" s="9"/>
      <c r="H27" s="9"/>
      <c r="I27" s="9"/>
      <c r="J27" s="9"/>
      <c r="K27" s="9"/>
      <c r="L27" s="9"/>
    </row>
    <row r="28" spans="2:12" x14ac:dyDescent="0.3">
      <c r="B28" s="9" t="s">
        <v>50</v>
      </c>
      <c r="C28" s="9" t="s">
        <v>12</v>
      </c>
      <c r="D28" s="9"/>
      <c r="E28" s="9"/>
      <c r="F28" s="9"/>
      <c r="G28" s="9"/>
      <c r="H28" s="9"/>
      <c r="I28" s="9"/>
      <c r="J28" s="9"/>
      <c r="K28" s="9"/>
      <c r="L28" s="9"/>
    </row>
    <row r="29" spans="2:12" x14ac:dyDescent="0.3">
      <c r="B29" s="10" t="s">
        <v>36</v>
      </c>
      <c r="C29" s="9" t="s">
        <v>12</v>
      </c>
      <c r="D29" s="9">
        <f>109-AVERAGE(F29:H29)</f>
        <v>31.086956666666666</v>
      </c>
      <c r="E29" s="9">
        <f>109-AVERAGE(I29:K29)</f>
        <v>34.867943333333329</v>
      </c>
      <c r="F29" s="9">
        <f>F9-30.65825</f>
        <v>78.341750000000005</v>
      </c>
      <c r="G29" s="9">
        <f>109-31.20272</f>
        <v>77.797280000000001</v>
      </c>
      <c r="H29" s="9">
        <f>109-31.3999</f>
        <v>77.600099999999998</v>
      </c>
      <c r="I29" s="9">
        <f>109-34.77526</f>
        <v>74.224739999999997</v>
      </c>
      <c r="J29" s="9">
        <f>109-34.89154</f>
        <v>74.108460000000008</v>
      </c>
      <c r="K29" s="9">
        <f>109-34.93703</f>
        <v>74.062970000000007</v>
      </c>
      <c r="L29" s="9">
        <v>1907</v>
      </c>
    </row>
    <row r="30" spans="2:12" x14ac:dyDescent="0.3">
      <c r="B30" s="9" t="s">
        <v>51</v>
      </c>
      <c r="C30" s="9" t="s">
        <v>12</v>
      </c>
      <c r="D30" s="9"/>
      <c r="E30" s="9"/>
      <c r="F30" s="9"/>
      <c r="G30" s="9"/>
      <c r="H30" s="9"/>
      <c r="I30" s="9"/>
      <c r="J30" s="9"/>
      <c r="K30" s="9"/>
      <c r="L30" s="9"/>
    </row>
    <row r="31" spans="2:12" x14ac:dyDescent="0.3">
      <c r="B31" s="9" t="s">
        <v>52</v>
      </c>
      <c r="C31" s="9" t="s">
        <v>12</v>
      </c>
      <c r="D31" s="9"/>
      <c r="E31" s="9"/>
      <c r="F31" s="9"/>
      <c r="G31" s="9"/>
      <c r="H31" s="9"/>
      <c r="I31" s="9"/>
      <c r="J31" s="9"/>
      <c r="K31" s="9"/>
      <c r="L31" s="9"/>
    </row>
    <row r="32" spans="2:12" x14ac:dyDescent="0.3">
      <c r="B32" s="10" t="s">
        <v>37</v>
      </c>
      <c r="C32" s="9" t="s">
        <v>12</v>
      </c>
      <c r="D32" s="9">
        <f>121-AVERAGE(F32:H32)</f>
        <v>31.933596666666674</v>
      </c>
      <c r="E32" s="9">
        <f>121-AVERAGE(I32:K32)</f>
        <v>35.156050000000008</v>
      </c>
      <c r="F32" s="9">
        <f>121-31.58141</f>
        <v>89.418589999999995</v>
      </c>
      <c r="G32" s="9">
        <f>121-32.029</f>
        <v>88.971000000000004</v>
      </c>
      <c r="H32" s="9">
        <f>121-32.19038</f>
        <v>88.809619999999995</v>
      </c>
      <c r="I32" s="9">
        <f>121-35.05106</f>
        <v>85.948939999999993</v>
      </c>
      <c r="J32" s="9">
        <f>121-35.18042</f>
        <v>85.819580000000002</v>
      </c>
      <c r="K32" s="9">
        <f>121-35.23667</f>
        <v>85.763329999999996</v>
      </c>
      <c r="L32" s="9">
        <v>1917</v>
      </c>
    </row>
    <row r="33" spans="2:12" x14ac:dyDescent="0.3">
      <c r="B33" s="9" t="s">
        <v>40</v>
      </c>
      <c r="C33" s="9" t="s">
        <v>12</v>
      </c>
      <c r="D33" s="9"/>
      <c r="E33" s="9"/>
      <c r="F33" s="9"/>
      <c r="G33" s="9"/>
      <c r="H33" s="9"/>
      <c r="I33" s="9"/>
      <c r="J33" s="9"/>
      <c r="K33" s="9"/>
      <c r="L33" s="9"/>
    </row>
    <row r="34" spans="2:12" x14ac:dyDescent="0.3">
      <c r="B34" s="9" t="s">
        <v>45</v>
      </c>
      <c r="C34" s="9" t="s">
        <v>12</v>
      </c>
      <c r="D34" s="9"/>
      <c r="E34" s="9"/>
      <c r="F34" s="9"/>
      <c r="G34" s="9"/>
      <c r="H34" s="9"/>
      <c r="I34" s="9"/>
      <c r="J34" s="9"/>
      <c r="K34" s="9"/>
      <c r="L34" s="9"/>
    </row>
    <row r="35" spans="2:12" x14ac:dyDescent="0.3">
      <c r="B35" s="10" t="str">
        <f>$B$13</f>
        <v>W819482-02A</v>
      </c>
      <c r="C35" s="9" t="s">
        <v>12</v>
      </c>
      <c r="D35" s="9">
        <f>121-AVERAGE(F35:H35)</f>
        <v>32.471316666666667</v>
      </c>
      <c r="E35" s="9">
        <f>121-AVERAGE(I35:K35)</f>
        <v>35.807673333333327</v>
      </c>
      <c r="F35" s="9">
        <f>121-32.09722</f>
        <v>88.902780000000007</v>
      </c>
      <c r="G35" s="9">
        <f>121-32.56921</f>
        <v>88.430790000000002</v>
      </c>
      <c r="H35" s="9">
        <f>121-32.74752</f>
        <v>88.252479999999991</v>
      </c>
      <c r="I35" s="9">
        <f>121-35.676</f>
        <v>85.323999999999998</v>
      </c>
      <c r="J35" s="9">
        <f>121-35.83711</f>
        <v>85.162890000000004</v>
      </c>
      <c r="K35" s="9">
        <f>121-35.90991</f>
        <v>85.090090000000004</v>
      </c>
      <c r="L35" s="9">
        <v>1920</v>
      </c>
    </row>
    <row r="36" spans="2:12" x14ac:dyDescent="0.3">
      <c r="B36" s="9" t="s">
        <v>41</v>
      </c>
      <c r="C36" s="9" t="s">
        <v>12</v>
      </c>
      <c r="D36" s="9"/>
      <c r="E36" s="9"/>
      <c r="F36" s="9"/>
      <c r="G36" s="9"/>
      <c r="H36" s="9"/>
      <c r="I36" s="9"/>
      <c r="J36" s="9"/>
      <c r="K36" s="9"/>
      <c r="L36" s="9"/>
    </row>
    <row r="37" spans="2:12" x14ac:dyDescent="0.3">
      <c r="B37" s="9" t="s">
        <v>46</v>
      </c>
      <c r="C37" s="9" t="s">
        <v>12</v>
      </c>
      <c r="D37" s="9"/>
      <c r="E37" s="9"/>
      <c r="F37" s="9"/>
      <c r="G37" s="9"/>
      <c r="H37" s="9"/>
      <c r="I37" s="9"/>
      <c r="J37" s="9"/>
      <c r="K37" s="9"/>
      <c r="L37" s="9"/>
    </row>
    <row r="38" spans="2:12" x14ac:dyDescent="0.3">
      <c r="B38" s="10" t="s">
        <v>42</v>
      </c>
      <c r="C38" s="9" t="s">
        <v>12</v>
      </c>
      <c r="D38" s="9">
        <f>121-AVERAGE(F38:H38)</f>
        <v>31.143169999999998</v>
      </c>
      <c r="E38" s="9">
        <f>121-AVERAGE(I38:K38)</f>
        <v>34.63670333333333</v>
      </c>
      <c r="F38" s="9">
        <f>121-30.77952</f>
        <v>90.220479999999995</v>
      </c>
      <c r="G38" s="9">
        <f>121-31.24468</f>
        <v>89.755319999999998</v>
      </c>
      <c r="H38" s="9">
        <f>121-31.40531</f>
        <v>89.59469</v>
      </c>
      <c r="I38" s="9">
        <f>121-34.52477</f>
        <v>86.47523000000001</v>
      </c>
      <c r="J38" s="9">
        <f>121-34.66776</f>
        <v>86.332239999999999</v>
      </c>
      <c r="K38" s="9">
        <f>121-34.71758</f>
        <v>86.282420000000002</v>
      </c>
      <c r="L38" s="9">
        <v>1911</v>
      </c>
    </row>
    <row r="39" spans="2:12" x14ac:dyDescent="0.3">
      <c r="B39" s="9" t="s">
        <v>43</v>
      </c>
      <c r="C39" s="9" t="s">
        <v>12</v>
      </c>
      <c r="D39" s="9"/>
      <c r="E39" s="9"/>
      <c r="F39" s="9"/>
      <c r="G39" s="9"/>
      <c r="H39" s="9"/>
      <c r="I39" s="9"/>
      <c r="J39" s="9"/>
      <c r="K39" s="9"/>
      <c r="L39" s="9"/>
    </row>
    <row r="40" spans="2:12" x14ac:dyDescent="0.3">
      <c r="B40" s="9" t="s">
        <v>44</v>
      </c>
      <c r="C40" s="9" t="s">
        <v>12</v>
      </c>
      <c r="D40" s="9"/>
      <c r="E40" s="9"/>
      <c r="F40" s="9"/>
      <c r="G40" s="9"/>
      <c r="H40" s="9"/>
      <c r="I40" s="9"/>
      <c r="J40" s="9"/>
      <c r="K40" s="9"/>
      <c r="L40" s="9"/>
    </row>
    <row r="43" spans="2:12" x14ac:dyDescent="0.3">
      <c r="B43" s="18" t="s">
        <v>17</v>
      </c>
    </row>
    <row r="44" spans="2:12" x14ac:dyDescent="0.3">
      <c r="B44" s="3" t="s">
        <v>2</v>
      </c>
      <c r="C44" s="3" t="s">
        <v>3</v>
      </c>
      <c r="D44" s="3" t="s">
        <v>19</v>
      </c>
      <c r="E44" s="3" t="s">
        <v>20</v>
      </c>
      <c r="F44" s="3" t="s">
        <v>26</v>
      </c>
      <c r="G44" s="3" t="s">
        <v>27</v>
      </c>
      <c r="H44" s="3" t="s">
        <v>28</v>
      </c>
      <c r="I44" s="3" t="s">
        <v>29</v>
      </c>
      <c r="J44" s="3" t="s">
        <v>32</v>
      </c>
      <c r="K44" s="3" t="s">
        <v>31</v>
      </c>
      <c r="L44" s="3" t="s">
        <v>30</v>
      </c>
    </row>
    <row r="45" spans="2:12" x14ac:dyDescent="0.3">
      <c r="B45" t="s">
        <v>25</v>
      </c>
      <c r="C45" t="s">
        <v>12</v>
      </c>
      <c r="D45">
        <f t="shared" ref="D45:D60" si="0">1-K45/G45</f>
        <v>9.7718698298727036E-2</v>
      </c>
      <c r="E45">
        <v>6.7659999999999998E-2</v>
      </c>
      <c r="F45">
        <f>$F$7-1.40637</f>
        <v>106.59363</v>
      </c>
      <c r="G45">
        <f>F7-18.21135</f>
        <v>89.788650000000004</v>
      </c>
      <c r="H45">
        <f>F7-31.64065</f>
        <v>76.359350000000006</v>
      </c>
      <c r="I45">
        <f>F7-40.56929</f>
        <v>67.430710000000005</v>
      </c>
      <c r="J45">
        <f>F7-36.46867</f>
        <v>71.531329999999997</v>
      </c>
      <c r="K45">
        <f>F7-26.98538</f>
        <v>81.014620000000008</v>
      </c>
      <c r="L45">
        <f>F7-4.64618</f>
        <v>103.35382</v>
      </c>
    </row>
    <row r="46" spans="2:12" x14ac:dyDescent="0.3">
      <c r="B46" t="s">
        <v>48</v>
      </c>
      <c r="C46" t="s">
        <v>12</v>
      </c>
      <c r="D46">
        <f t="shared" si="0"/>
        <v>0.10606032978109992</v>
      </c>
      <c r="E46">
        <f t="shared" ref="E46:E60" si="1">1-J46/H46</f>
        <v>7.4534935288190551E-2</v>
      </c>
      <c r="F46">
        <f>F7-1.66387</f>
        <v>106.33613</v>
      </c>
      <c r="G46">
        <f>F7-18.06034</f>
        <v>89.939660000000003</v>
      </c>
      <c r="H46">
        <f>F7-31.42356</f>
        <v>76.576440000000005</v>
      </c>
      <c r="I46">
        <f>F7-41.21409</f>
        <v>66.785910000000001</v>
      </c>
      <c r="J46">
        <f>F7-37.13118</f>
        <v>70.868819999999999</v>
      </c>
      <c r="K46">
        <f>F7-27.59937</f>
        <v>80.400630000000007</v>
      </c>
      <c r="L46">
        <f>F7-5.05439</f>
        <v>102.94561</v>
      </c>
    </row>
    <row r="47" spans="2:12" x14ac:dyDescent="0.3">
      <c r="B47" t="s">
        <v>47</v>
      </c>
      <c r="C47" t="s">
        <v>12</v>
      </c>
      <c r="D47">
        <f t="shared" si="0"/>
        <v>0.10361932330237844</v>
      </c>
      <c r="E47">
        <f t="shared" si="1"/>
        <v>6.6041746459816419E-2</v>
      </c>
      <c r="F47">
        <f>F7-1.40754</f>
        <v>106.59246</v>
      </c>
      <c r="G47">
        <f>F7-18.16608</f>
        <v>89.833920000000006</v>
      </c>
      <c r="H47">
        <f>F7-32.0223</f>
        <v>75.977699999999999</v>
      </c>
      <c r="I47">
        <f>F7-41.15094</f>
        <v>66.849060000000009</v>
      </c>
      <c r="J47">
        <f>F7-37.04</f>
        <v>70.960000000000008</v>
      </c>
      <c r="K47">
        <f>F7-27.47461</f>
        <v>80.525390000000002</v>
      </c>
      <c r="L47">
        <f>F7-4.61357</f>
        <v>103.38643</v>
      </c>
    </row>
    <row r="48" spans="2:12" x14ac:dyDescent="0.3">
      <c r="B48" s="7" t="s">
        <v>35</v>
      </c>
      <c r="C48" t="s">
        <v>12</v>
      </c>
      <c r="D48">
        <f t="shared" si="0"/>
        <v>9.671497960802089E-2</v>
      </c>
      <c r="E48">
        <f t="shared" si="1"/>
        <v>5.9083284286596705E-2</v>
      </c>
      <c r="F48">
        <f>109-1.05343</f>
        <v>107.94656999999999</v>
      </c>
      <c r="G48">
        <f>109-18.61152</f>
        <v>90.388480000000001</v>
      </c>
      <c r="H48">
        <f>109-32.15153</f>
        <v>76.848469999999992</v>
      </c>
      <c r="I48">
        <f>109-40.53236</f>
        <v>68.467640000000003</v>
      </c>
      <c r="J48">
        <f>109-36.69199</f>
        <v>72.308009999999996</v>
      </c>
      <c r="K48">
        <f>109-27.35344</f>
        <v>81.646559999999994</v>
      </c>
      <c r="L48">
        <f>109-4.36289</f>
        <v>104.63711000000001</v>
      </c>
    </row>
    <row r="49" spans="2:12" x14ac:dyDescent="0.3">
      <c r="B49" t="s">
        <v>49</v>
      </c>
      <c r="C49" t="s">
        <v>12</v>
      </c>
      <c r="D49">
        <f t="shared" si="0"/>
        <v>0.10450889480273107</v>
      </c>
      <c r="E49">
        <f t="shared" si="1"/>
        <v>8.0477917952233358E-2</v>
      </c>
      <c r="F49">
        <f>109-1.48127</f>
        <v>107.51873000000001</v>
      </c>
      <c r="G49">
        <f>109-18.1773</f>
        <v>90.822699999999998</v>
      </c>
      <c r="H49">
        <f>109-31.33646</f>
        <v>77.663539999999998</v>
      </c>
      <c r="I49">
        <f>109-41.54229</f>
        <v>67.457709999999992</v>
      </c>
      <c r="J49">
        <f>109-37.58666</f>
        <v>71.413340000000005</v>
      </c>
      <c r="K49">
        <f>109-27.66908</f>
        <v>81.330919999999992</v>
      </c>
      <c r="L49">
        <f>109-4.91182</f>
        <v>104.08817999999999</v>
      </c>
    </row>
    <row r="50" spans="2:12" x14ac:dyDescent="0.3">
      <c r="B50" t="s">
        <v>50</v>
      </c>
      <c r="C50" t="s">
        <v>12</v>
      </c>
      <c r="D50">
        <f t="shared" si="0"/>
        <v>0.10069271534663671</v>
      </c>
      <c r="E50">
        <f t="shared" si="1"/>
        <v>6.9604724334176082E-2</v>
      </c>
      <c r="F50">
        <f>109-1.21807</f>
        <v>107.78193</v>
      </c>
      <c r="G50">
        <f>109-18.35382</f>
        <v>90.646180000000001</v>
      </c>
      <c r="H50">
        <f>109-32.00968</f>
        <v>76.990319999999997</v>
      </c>
      <c r="I50">
        <f>109-41.33113</f>
        <v>67.668869999999998</v>
      </c>
      <c r="J50">
        <f>109-37.36857</f>
        <v>71.631429999999995</v>
      </c>
      <c r="K50">
        <f>109-27.48123</f>
        <v>81.518770000000004</v>
      </c>
      <c r="L50">
        <f>109-4.49373</f>
        <v>104.50627</v>
      </c>
    </row>
    <row r="51" spans="2:12" x14ac:dyDescent="0.3">
      <c r="B51" s="7" t="s">
        <v>36</v>
      </c>
      <c r="C51" t="s">
        <v>12</v>
      </c>
      <c r="D51">
        <f t="shared" si="0"/>
        <v>9.6350544623135526E-2</v>
      </c>
      <c r="E51">
        <f t="shared" si="1"/>
        <v>6.8691800155875504E-2</v>
      </c>
      <c r="F51">
        <f>109-1.48395</f>
        <v>107.51605000000001</v>
      </c>
      <c r="G51">
        <f>109-18.23632</f>
        <v>90.763679999999994</v>
      </c>
      <c r="H51">
        <f>109-31.57926</f>
        <v>77.420739999999995</v>
      </c>
      <c r="I51">
        <f>109-40.84926</f>
        <v>68.150739999999999</v>
      </c>
      <c r="J51">
        <f>109-36.89743</f>
        <v>72.10257</v>
      </c>
      <c r="K51">
        <f>109-26.98145</f>
        <v>82.018550000000005</v>
      </c>
      <c r="L51">
        <f>109-4.82307</f>
        <v>104.17693</v>
      </c>
    </row>
    <row r="52" spans="2:12" x14ac:dyDescent="0.3">
      <c r="B52" t="s">
        <v>51</v>
      </c>
      <c r="C52" t="s">
        <v>12</v>
      </c>
      <c r="D52">
        <f t="shared" si="0"/>
        <v>9.6574041831761992E-2</v>
      </c>
      <c r="E52">
        <f t="shared" si="1"/>
        <v>6.5047254723435866E-2</v>
      </c>
      <c r="F52">
        <f>109-1.12924</f>
        <v>107.87076</v>
      </c>
      <c r="G52">
        <f>109-18.02224</f>
        <v>90.977760000000004</v>
      </c>
      <c r="H52">
        <f>109-31.66699</f>
        <v>77.333010000000002</v>
      </c>
      <c r="I52">
        <f>109-40.61001</f>
        <v>68.389989999999997</v>
      </c>
      <c r="J52">
        <f>109-36.69729</f>
        <v>72.30270999999999</v>
      </c>
      <c r="K52">
        <f>109-26.80833</f>
        <v>82.191670000000002</v>
      </c>
      <c r="L52">
        <f>109-4.30445</f>
        <v>104.69555</v>
      </c>
    </row>
    <row r="53" spans="2:12" x14ac:dyDescent="0.3">
      <c r="B53" t="s">
        <v>52</v>
      </c>
      <c r="C53" t="s">
        <v>12</v>
      </c>
      <c r="D53">
        <f t="shared" si="0"/>
        <v>9.5174058626073088E-2</v>
      </c>
      <c r="E53">
        <f t="shared" si="1"/>
        <v>6.66518044677884E-2</v>
      </c>
      <c r="F53">
        <f>109-1.34053</f>
        <v>107.65947</v>
      </c>
      <c r="G53">
        <f>109-18.04013</f>
        <v>90.959869999999995</v>
      </c>
      <c r="H53">
        <f>109-31.44306</f>
        <v>77.556939999999997</v>
      </c>
      <c r="I53">
        <f>109-40.56948</f>
        <v>68.430520000000001</v>
      </c>
      <c r="J53">
        <f>109-36.61237</f>
        <v>72.387630000000001</v>
      </c>
      <c r="K53">
        <f>109-26.69715</f>
        <v>82.302850000000007</v>
      </c>
      <c r="L53">
        <f>109-4.55526</f>
        <v>104.44474</v>
      </c>
    </row>
    <row r="54" spans="2:12" x14ac:dyDescent="0.3">
      <c r="B54" s="7" t="s">
        <v>57</v>
      </c>
      <c r="C54" t="s">
        <v>12</v>
      </c>
      <c r="D54">
        <f t="shared" ref="D54:D59" si="2">1-K54/G54</f>
        <v>8.995265541703612E-2</v>
      </c>
      <c r="E54">
        <f t="shared" ref="E54:E59" si="3">1-J54/H54</f>
        <v>5.8199212749784346E-2</v>
      </c>
      <c r="F54">
        <f>109-1.52604</f>
        <v>107.47396000000001</v>
      </c>
      <c r="G54">
        <f>109-21.28986</f>
        <v>87.710139999999996</v>
      </c>
      <c r="H54">
        <f>109-34.97271</f>
        <v>74.027289999999994</v>
      </c>
      <c r="I54">
        <f>109-43.8134</f>
        <v>65.186599999999999</v>
      </c>
      <c r="J54">
        <f>109-39.28104</f>
        <v>69.71896000000001</v>
      </c>
      <c r="K54">
        <f>109-29.17962</f>
        <v>79.82038</v>
      </c>
      <c r="L54">
        <f>109-5.91402</f>
        <v>103.08598000000001</v>
      </c>
    </row>
    <row r="55" spans="2:12" x14ac:dyDescent="0.3">
      <c r="B55" t="s">
        <v>58</v>
      </c>
      <c r="C55" t="s">
        <v>12</v>
      </c>
      <c r="D55">
        <f t="shared" si="2"/>
        <v>8.892307077151973E-2</v>
      </c>
      <c r="E55">
        <f t="shared" si="3"/>
        <v>5.9477113135099957E-2</v>
      </c>
      <c r="F55">
        <f>109-1.62754</f>
        <v>107.37246</v>
      </c>
      <c r="G55">
        <f>109-20.46707</f>
        <v>88.532929999999993</v>
      </c>
      <c r="H55">
        <f>109-33.86673</f>
        <v>75.13327000000001</v>
      </c>
      <c r="I55">
        <f>109-42.85018</f>
        <v>66.149820000000005</v>
      </c>
      <c r="J55">
        <f>109-38.33544</f>
        <v>70.664559999999994</v>
      </c>
      <c r="K55">
        <f>109-28.33969</f>
        <v>80.660309999999996</v>
      </c>
      <c r="L55">
        <f>109-5.969</f>
        <v>103.03100000000001</v>
      </c>
    </row>
    <row r="56" spans="2:12" x14ac:dyDescent="0.3">
      <c r="B56" t="s">
        <v>59</v>
      </c>
      <c r="C56" t="s">
        <v>12</v>
      </c>
      <c r="D56">
        <f t="shared" si="2"/>
        <v>8.7161111169402172E-2</v>
      </c>
      <c r="E56">
        <f t="shared" si="3"/>
        <v>5.8868147708090013E-2</v>
      </c>
      <c r="F56">
        <f>109-1.64942</f>
        <v>107.35057999999999</v>
      </c>
      <c r="G56">
        <f>109-20.36437</f>
        <v>88.635629999999992</v>
      </c>
      <c r="H56">
        <f>109-33.5891</f>
        <v>75.410899999999998</v>
      </c>
      <c r="I56">
        <f>109-42.52152</f>
        <v>66.47847999999999</v>
      </c>
      <c r="J56">
        <f>109-38.0284</f>
        <v>70.971599999999995</v>
      </c>
      <c r="K56">
        <f>109-28.08995</f>
        <v>80.910049999999998</v>
      </c>
      <c r="L56">
        <f>109-5.97468</f>
        <v>103.02531999999999</v>
      </c>
    </row>
    <row r="57" spans="2:12" x14ac:dyDescent="0.3">
      <c r="B57" s="7" t="s">
        <v>60</v>
      </c>
      <c r="C57" t="s">
        <v>12</v>
      </c>
      <c r="D57">
        <f t="shared" si="2"/>
        <v>7.9768752398543086E-2</v>
      </c>
      <c r="E57">
        <f t="shared" si="3"/>
        <v>5.2191011133053133E-2</v>
      </c>
      <c r="F57">
        <f>109-1.0139</f>
        <v>107.98609999999999</v>
      </c>
      <c r="G57">
        <f>109-19.8834</f>
        <v>89.116600000000005</v>
      </c>
      <c r="H57">
        <f>109-32.56634</f>
        <v>76.433660000000003</v>
      </c>
      <c r="I57">
        <f>109-40.813</f>
        <v>68.186999999999998</v>
      </c>
      <c r="J57">
        <f>109-36.55549</f>
        <v>72.444510000000008</v>
      </c>
      <c r="K57">
        <f>109-26.99212</f>
        <v>82.00788</v>
      </c>
      <c r="L57">
        <f>109-5.06188</f>
        <v>103.93812</v>
      </c>
    </row>
    <row r="58" spans="2:12" x14ac:dyDescent="0.3">
      <c r="B58" t="s">
        <v>61</v>
      </c>
      <c r="C58" t="s">
        <v>12</v>
      </c>
      <c r="D58">
        <f t="shared" si="2"/>
        <v>8.026281841446703E-2</v>
      </c>
      <c r="E58">
        <f t="shared" si="3"/>
        <v>5.6538558633745017E-2</v>
      </c>
      <c r="F58">
        <f>109-1.43992</f>
        <v>107.56008</v>
      </c>
      <c r="G58">
        <f>109-19.58313</f>
        <v>89.416870000000003</v>
      </c>
      <c r="H58">
        <f>109-31.95435</f>
        <v>77.045649999999995</v>
      </c>
      <c r="I58">
        <f>109-40.59033</f>
        <v>68.409670000000006</v>
      </c>
      <c r="J58">
        <f>109-36.3104</f>
        <v>72.689599999999999</v>
      </c>
      <c r="K58">
        <f>109-26.75998</f>
        <v>82.240020000000001</v>
      </c>
      <c r="L58">
        <f>109-5.59471</f>
        <v>103.40528999999999</v>
      </c>
    </row>
    <row r="59" spans="2:12" x14ac:dyDescent="0.3">
      <c r="B59" t="s">
        <v>62</v>
      </c>
      <c r="C59" t="s">
        <v>12</v>
      </c>
      <c r="D59">
        <f t="shared" si="2"/>
        <v>7.6984879080910451E-2</v>
      </c>
      <c r="E59">
        <f t="shared" si="3"/>
        <v>6.1696807396391162E-2</v>
      </c>
      <c r="F59">
        <f>109-2.27385</f>
        <v>106.72615</v>
      </c>
      <c r="G59">
        <f>109-22.18451</f>
        <v>86.815489999999997</v>
      </c>
      <c r="H59">
        <f>109-34.09969</f>
        <v>74.90030999999999</v>
      </c>
      <c r="I59">
        <f>109-43.09573</f>
        <v>65.904269999999997</v>
      </c>
      <c r="J59">
        <f>109-38.7208</f>
        <v>70.279200000000003</v>
      </c>
      <c r="K59">
        <f>109-28.86799</f>
        <v>80.132010000000008</v>
      </c>
      <c r="L59">
        <f>109-4.84981</f>
        <v>104.15018999999999</v>
      </c>
    </row>
    <row r="60" spans="2:12" x14ac:dyDescent="0.3">
      <c r="B60" s="7" t="s">
        <v>37</v>
      </c>
      <c r="C60" t="s">
        <v>12</v>
      </c>
      <c r="D60">
        <f t="shared" si="0"/>
        <v>7.4443111429316811E-2</v>
      </c>
      <c r="E60">
        <f t="shared" si="1"/>
        <v>4.5418174868912198E-2</v>
      </c>
      <c r="F60">
        <f>121-1.3804</f>
        <v>119.61960000000001</v>
      </c>
      <c r="G60">
        <f>121-20.61771</f>
        <v>100.38229</v>
      </c>
      <c r="H60">
        <f>121-32.5669</f>
        <v>88.433099999999996</v>
      </c>
      <c r="I60">
        <f>121-40.3466</f>
        <v>80.653400000000005</v>
      </c>
      <c r="J60">
        <f>121-36.58337</f>
        <v>84.416629999999998</v>
      </c>
      <c r="K60">
        <f>121-28.09048</f>
        <v>92.909520000000001</v>
      </c>
      <c r="L60">
        <f>121-5.6774</f>
        <v>115.32259999999999</v>
      </c>
    </row>
    <row r="61" spans="2:12" x14ac:dyDescent="0.3">
      <c r="B61" t="s">
        <v>40</v>
      </c>
      <c r="C61" t="s">
        <v>12</v>
      </c>
      <c r="D61">
        <f t="shared" ref="D61:D68" si="4">1-K61/G61</f>
        <v>7.5902138756952398E-2</v>
      </c>
      <c r="E61">
        <f t="shared" ref="E61:E68" si="5">1-J61/H61</f>
        <v>4.8535398010665642E-2</v>
      </c>
      <c r="F61">
        <f>121-1.80637</f>
        <v>119.19363</v>
      </c>
      <c r="G61">
        <f>121-21.07607</f>
        <v>99.923929999999999</v>
      </c>
      <c r="H61">
        <f>121-32.67498</f>
        <v>88.325019999999995</v>
      </c>
      <c r="I61">
        <f>121-40.70211</f>
        <v>80.297889999999995</v>
      </c>
      <c r="J61">
        <f>121-36.96187</f>
        <v>84.038129999999995</v>
      </c>
      <c r="K61">
        <f>121-28.66051</f>
        <v>92.339489999999998</v>
      </c>
      <c r="L61">
        <f>121-6.25365</f>
        <v>114.74635000000001</v>
      </c>
    </row>
    <row r="62" spans="2:12" x14ac:dyDescent="0.3">
      <c r="B62" t="s">
        <v>45</v>
      </c>
      <c r="C62" t="s">
        <v>12</v>
      </c>
      <c r="D62">
        <f t="shared" si="4"/>
        <v>7.1593836683018774E-2</v>
      </c>
      <c r="E62">
        <f t="shared" si="5"/>
        <v>4.1346306510171904E-2</v>
      </c>
      <c r="F62">
        <f>121-1.443873</f>
        <v>119.556127</v>
      </c>
      <c r="G62">
        <f>121-20.98762</f>
        <v>100.01238000000001</v>
      </c>
      <c r="H62">
        <f>121-32.75947</f>
        <v>88.240530000000007</v>
      </c>
      <c r="I62">
        <f>121-40.14135</f>
        <v>80.858649999999997</v>
      </c>
      <c r="J62">
        <f>121-36.40789</f>
        <v>84.592109999999991</v>
      </c>
      <c r="K62">
        <f>121-28.14789</f>
        <v>92.852109999999996</v>
      </c>
      <c r="L62">
        <f>121-5.62606</f>
        <v>115.37394</v>
      </c>
    </row>
    <row r="63" spans="2:12" x14ac:dyDescent="0.3">
      <c r="B63" s="7" t="str">
        <f>$B$13</f>
        <v>W819482-02A</v>
      </c>
      <c r="C63" t="s">
        <v>12</v>
      </c>
      <c r="D63">
        <f t="shared" si="4"/>
        <v>7.5209523443549364E-2</v>
      </c>
      <c r="E63">
        <f t="shared" si="5"/>
        <v>4.3581242036926371E-2</v>
      </c>
      <c r="F63">
        <f>121-1.39936</f>
        <v>119.60064</v>
      </c>
      <c r="G63">
        <f>121-20.55062</f>
        <v>100.44938</v>
      </c>
      <c r="H63">
        <f>121-33.36895</f>
        <v>87.631050000000002</v>
      </c>
      <c r="I63">
        <f>121-41.19798</f>
        <v>79.802019999999999</v>
      </c>
      <c r="J63">
        <f>121-37.18802</f>
        <v>83.811980000000005</v>
      </c>
      <c r="K63">
        <f>121-28.10537</f>
        <v>92.894630000000006</v>
      </c>
      <c r="L63">
        <f>121-5.3748</f>
        <v>115.62520000000001</v>
      </c>
    </row>
    <row r="64" spans="2:12" x14ac:dyDescent="0.3">
      <c r="B64" t="s">
        <v>41</v>
      </c>
      <c r="C64" t="s">
        <v>12</v>
      </c>
      <c r="D64">
        <f t="shared" si="4"/>
        <v>7.3892179680238645E-2</v>
      </c>
      <c r="E64">
        <f t="shared" si="5"/>
        <v>4.7442367181552147E-2</v>
      </c>
      <c r="F64">
        <f>121-1.8379</f>
        <v>119.1621</v>
      </c>
      <c r="G64">
        <f>121-19.82204</f>
        <v>101.17796</v>
      </c>
      <c r="H64">
        <f>121-31.85331</f>
        <v>89.146690000000007</v>
      </c>
      <c r="I64">
        <f>121-40.03342</f>
        <v>80.966579999999993</v>
      </c>
      <c r="J64">
        <f>121-36.08264</f>
        <v>84.917360000000002</v>
      </c>
      <c r="K64">
        <f>121-27.2983</f>
        <v>93.701700000000002</v>
      </c>
      <c r="L64">
        <f>121-5.90888</f>
        <v>115.09112</v>
      </c>
    </row>
    <row r="65" spans="2:12" x14ac:dyDescent="0.3">
      <c r="B65" t="s">
        <v>46</v>
      </c>
      <c r="C65" t="s">
        <v>12</v>
      </c>
      <c r="D65">
        <f t="shared" si="4"/>
        <v>7.8849153913997272E-2</v>
      </c>
      <c r="E65">
        <f t="shared" si="5"/>
        <v>4.0308031800595945E-2</v>
      </c>
      <c r="F65">
        <f>121-1.46288</f>
        <v>119.53712</v>
      </c>
      <c r="G65">
        <f>121-19.77152</f>
        <v>101.22848</v>
      </c>
      <c r="H65">
        <f>121-31.88972</f>
        <v>89.110280000000003</v>
      </c>
      <c r="I65">
        <f>121-39.43071</f>
        <v>81.569289999999995</v>
      </c>
      <c r="J65">
        <f>121-35.48158</f>
        <v>85.518419999999992</v>
      </c>
      <c r="K65">
        <f>121-27.7533</f>
        <v>93.246700000000004</v>
      </c>
      <c r="L65">
        <f>121-5.29911</f>
        <v>115.70089</v>
      </c>
    </row>
    <row r="66" spans="2:12" x14ac:dyDescent="0.3">
      <c r="B66" s="7" t="s">
        <v>42</v>
      </c>
      <c r="C66" t="s">
        <v>12</v>
      </c>
      <c r="D66">
        <f t="shared" si="4"/>
        <v>7.1880812834334118E-2</v>
      </c>
      <c r="E66">
        <f t="shared" si="5"/>
        <v>4.5708327459010323E-2</v>
      </c>
      <c r="F66">
        <f>121-1.09982</f>
        <v>119.90018000000001</v>
      </c>
      <c r="G66">
        <f>121-19.51659</f>
        <v>101.48340999999999</v>
      </c>
      <c r="H66">
        <f>121-32.12451</f>
        <v>88.875489999999999</v>
      </c>
      <c r="I66">
        <f>121-40.2678</f>
        <v>80.732200000000006</v>
      </c>
      <c r="J66">
        <f>121-36.18686</f>
        <v>84.813140000000004</v>
      </c>
      <c r="K66">
        <f>121-26.8113</f>
        <v>94.188699999999997</v>
      </c>
      <c r="L66">
        <f>121-4.57163</f>
        <v>116.42837</v>
      </c>
    </row>
    <row r="67" spans="2:12" x14ac:dyDescent="0.3">
      <c r="B67" t="s">
        <v>43</v>
      </c>
      <c r="C67" t="s">
        <v>12</v>
      </c>
      <c r="D67">
        <f t="shared" si="4"/>
        <v>6.9078595699735623E-2</v>
      </c>
      <c r="E67">
        <f t="shared" si="5"/>
        <v>4.3953845667639269E-2</v>
      </c>
      <c r="F67">
        <f>121-1.49041</f>
        <v>119.50959</v>
      </c>
      <c r="G67">
        <f>121-19.13603</f>
        <v>101.86396999999999</v>
      </c>
      <c r="H67">
        <f>121-30.81995</f>
        <v>90.180049999999994</v>
      </c>
      <c r="I67">
        <f>121-38.70724</f>
        <v>82.292760000000001</v>
      </c>
      <c r="J67">
        <f>121-34.78371</f>
        <v>86.216290000000001</v>
      </c>
      <c r="K67">
        <f>121-26.17265</f>
        <v>94.827349999999996</v>
      </c>
      <c r="L67">
        <f>121-5.21173</f>
        <v>115.78827</v>
      </c>
    </row>
    <row r="68" spans="2:12" x14ac:dyDescent="0.3">
      <c r="B68" t="s">
        <v>44</v>
      </c>
      <c r="C68" t="s">
        <v>12</v>
      </c>
      <c r="D68">
        <f t="shared" si="4"/>
        <v>7.3238326918028895E-2</v>
      </c>
      <c r="E68">
        <f t="shared" si="5"/>
        <v>4.6590802160437095E-2</v>
      </c>
      <c r="F68">
        <f>121-1.40214</f>
        <v>119.59786</v>
      </c>
      <c r="G68">
        <f>121-19.51352</f>
        <v>101.48648</v>
      </c>
      <c r="H68">
        <f>121-31.83841</f>
        <v>89.161590000000004</v>
      </c>
      <c r="I68">
        <f>121-40.03537</f>
        <v>80.96463</v>
      </c>
      <c r="J68">
        <f>121-35.99252</f>
        <v>85.007480000000001</v>
      </c>
      <c r="K68">
        <f>121-26.94622</f>
        <v>94.053780000000003</v>
      </c>
      <c r="L68">
        <f>121-5.22214</f>
        <v>115.77786</v>
      </c>
    </row>
    <row r="69" spans="2:12" x14ac:dyDescent="0.3">
      <c r="B69" s="7" t="s">
        <v>55</v>
      </c>
      <c r="C69" t="s">
        <v>12</v>
      </c>
      <c r="D69">
        <f t="shared" ref="D69:D74" si="6">1-K69/G69</f>
        <v>7.2722018660644205E-2</v>
      </c>
      <c r="E69">
        <f t="shared" ref="E69:E74" si="7">1-J69/H69</f>
        <v>5.1739113518798896E-2</v>
      </c>
      <c r="F69">
        <f>119-2.656</f>
        <v>116.34399999999999</v>
      </c>
      <c r="G69">
        <f>119-26.29259</f>
        <v>92.707409999999996</v>
      </c>
      <c r="H69">
        <f>119-39.06531</f>
        <v>79.934690000000003</v>
      </c>
      <c r="I69">
        <f>119-47.78504</f>
        <v>71.214959999999991</v>
      </c>
      <c r="J69">
        <f>119-43.20106</f>
        <v>75.798940000000002</v>
      </c>
      <c r="K69">
        <f>119-33.03446</f>
        <v>85.965540000000004</v>
      </c>
      <c r="L69">
        <f>119-5.52643</f>
        <v>113.47357</v>
      </c>
    </row>
    <row r="70" spans="2:12" x14ac:dyDescent="0.3">
      <c r="B70" t="s">
        <v>63</v>
      </c>
      <c r="C70" t="s">
        <v>12</v>
      </c>
      <c r="D70">
        <f t="shared" si="6"/>
        <v>6.8146698863082555E-2</v>
      </c>
      <c r="E70">
        <f t="shared" si="7"/>
        <v>5.0142515072788219E-2</v>
      </c>
      <c r="F70">
        <f>119-1.89529</f>
        <v>117.10471</v>
      </c>
      <c r="G70">
        <f>119-20.09044</f>
        <v>98.909559999999999</v>
      </c>
      <c r="H70">
        <f>119-31.33208</f>
        <v>87.667919999999995</v>
      </c>
      <c r="I70">
        <f>119-39.95031</f>
        <v>79.049689999999998</v>
      </c>
      <c r="J70">
        <f>119-35.72797</f>
        <v>83.272030000000001</v>
      </c>
      <c r="K70">
        <f>119-26.8308</f>
        <v>92.169200000000004</v>
      </c>
      <c r="L70">
        <f>119-5.93818</f>
        <v>113.06182</v>
      </c>
    </row>
    <row r="71" spans="2:12" x14ac:dyDescent="0.3">
      <c r="B71" t="s">
        <v>64</v>
      </c>
      <c r="C71" t="s">
        <v>12</v>
      </c>
      <c r="D71">
        <f t="shared" si="6"/>
        <v>6.5046610664597715E-2</v>
      </c>
      <c r="E71">
        <f t="shared" si="7"/>
        <v>4.5324435378047978E-2</v>
      </c>
      <c r="F71">
        <f>119-1.65529</f>
        <v>117.34471000000001</v>
      </c>
      <c r="G71">
        <f>119-20.06556</f>
        <v>98.934439999999995</v>
      </c>
      <c r="H71">
        <f>119-31.39935</f>
        <v>87.600650000000002</v>
      </c>
      <c r="I71">
        <f>119-39.63686</f>
        <v>79.363140000000001</v>
      </c>
      <c r="J71">
        <f>119-35.3698</f>
        <v>83.630200000000002</v>
      </c>
      <c r="K71">
        <f>119-26.50091</f>
        <v>92.499089999999995</v>
      </c>
      <c r="L71">
        <f>119-5.52742</f>
        <v>113.47257999999999</v>
      </c>
    </row>
    <row r="72" spans="2:12" x14ac:dyDescent="0.3">
      <c r="B72" s="7" t="s">
        <v>56</v>
      </c>
      <c r="C72" t="s">
        <v>12</v>
      </c>
      <c r="D72">
        <f t="shared" si="6"/>
        <v>7.8864737073589319E-2</v>
      </c>
      <c r="E72">
        <f t="shared" si="7"/>
        <v>5.6218904796056179E-2</v>
      </c>
      <c r="F72">
        <f>119-2.33691</f>
        <v>116.66309</v>
      </c>
      <c r="G72">
        <f>119-24.96152</f>
        <v>94.038479999999993</v>
      </c>
      <c r="H72">
        <f>119-38.11333</f>
        <v>80.886670000000009</v>
      </c>
      <c r="I72">
        <f>119-47.19214</f>
        <v>71.807860000000005</v>
      </c>
      <c r="J72">
        <f>119-42.66069</f>
        <v>76.339309999999998</v>
      </c>
      <c r="K72">
        <f>119-32.37784</f>
        <v>86.622160000000008</v>
      </c>
      <c r="L72">
        <f>119-5.1889</f>
        <v>113.8111</v>
      </c>
    </row>
    <row r="73" spans="2:12" x14ac:dyDescent="0.3">
      <c r="B73" t="s">
        <v>65</v>
      </c>
      <c r="C73" t="s">
        <v>12</v>
      </c>
      <c r="D73">
        <f t="shared" si="6"/>
        <v>7.2299313426252954E-2</v>
      </c>
      <c r="E73">
        <f t="shared" si="7"/>
        <v>5.2950759043758899E-2</v>
      </c>
      <c r="F73">
        <f>119-1.73294</f>
        <v>117.26706</v>
      </c>
      <c r="G73">
        <f>119-19.51178</f>
        <v>99.488219999999998</v>
      </c>
      <c r="H73">
        <f>119-30.96028</f>
        <v>88.039720000000003</v>
      </c>
      <c r="I73">
        <f>119-39.73704</f>
        <v>79.262959999999993</v>
      </c>
      <c r="J73">
        <f>119-35.62205</f>
        <v>83.377949999999998</v>
      </c>
      <c r="K73">
        <f>119-26.70471</f>
        <v>92.295289999999994</v>
      </c>
      <c r="L73">
        <f>119-5.83982</f>
        <v>113.16018</v>
      </c>
    </row>
    <row r="74" spans="2:12" x14ac:dyDescent="0.3">
      <c r="B74" t="s">
        <v>66</v>
      </c>
      <c r="C74" t="s">
        <v>12</v>
      </c>
      <c r="D74">
        <f t="shared" si="6"/>
        <v>6.7160277230704835E-2</v>
      </c>
      <c r="E74">
        <f t="shared" si="7"/>
        <v>4.5373101523877413E-2</v>
      </c>
      <c r="F74">
        <f>119-1.34494</f>
        <v>117.65506000000001</v>
      </c>
      <c r="G74">
        <f>119-19.52617</f>
        <v>99.473829999999992</v>
      </c>
      <c r="H74">
        <f>119-31.09792</f>
        <v>87.902079999999998</v>
      </c>
      <c r="I74">
        <f>119-39.19949</f>
        <v>79.800510000000003</v>
      </c>
      <c r="J74">
        <f>119-35.08631</f>
        <v>83.913690000000003</v>
      </c>
      <c r="K74">
        <f>119-26.20686</f>
        <v>92.793139999999994</v>
      </c>
      <c r="L74">
        <f>119-5.21598</f>
        <v>113.78402</v>
      </c>
    </row>
    <row r="75" spans="2:12" x14ac:dyDescent="0.3">
      <c r="B75" s="7"/>
    </row>
    <row r="77" spans="2:12" ht="15" thickBot="1" x14ac:dyDescent="0.35"/>
    <row r="78" spans="2:12" ht="24" thickBot="1" x14ac:dyDescent="0.5">
      <c r="B78" s="31" t="s">
        <v>92</v>
      </c>
      <c r="C78" s="32"/>
      <c r="D78" s="32"/>
      <c r="E78" s="32"/>
      <c r="F78" s="32"/>
      <c r="G78" s="32"/>
      <c r="H78" s="33"/>
    </row>
    <row r="79" spans="2:12" ht="15" thickBot="1" x14ac:dyDescent="0.35">
      <c r="B79" s="28" t="s">
        <v>89</v>
      </c>
      <c r="C79" s="11" t="s">
        <v>2</v>
      </c>
      <c r="D79" s="11" t="s">
        <v>3</v>
      </c>
      <c r="E79" s="11" t="s">
        <v>21</v>
      </c>
      <c r="F79" s="11" t="s">
        <v>22</v>
      </c>
      <c r="G79" s="11" t="s">
        <v>23</v>
      </c>
      <c r="H79" s="11" t="s">
        <v>24</v>
      </c>
    </row>
    <row r="80" spans="2:12" x14ac:dyDescent="0.3">
      <c r="B80" s="28"/>
      <c r="C80" t="s">
        <v>25</v>
      </c>
      <c r="D80" t="s">
        <v>12</v>
      </c>
      <c r="E80">
        <v>108</v>
      </c>
      <c r="F80" s="6">
        <f>E80-(E80-25.51)</f>
        <v>25.510000000000005</v>
      </c>
      <c r="G80" s="6">
        <f>(E80-25.51)-(E80-32.32)</f>
        <v>6.8099999999999881</v>
      </c>
      <c r="H80" s="19">
        <f>(E80-25.51)-(E80-38.3)</f>
        <v>12.789999999999992</v>
      </c>
    </row>
    <row r="81" spans="2:8" x14ac:dyDescent="0.3">
      <c r="B81" s="28"/>
      <c r="C81" t="s">
        <v>48</v>
      </c>
      <c r="D81" t="s">
        <v>12</v>
      </c>
      <c r="E81">
        <v>108</v>
      </c>
      <c r="F81" s="6">
        <f>E81-(E81-23.61)</f>
        <v>23.61</v>
      </c>
      <c r="G81" s="6">
        <f>(E81-23.61)-(E81-29.47)</f>
        <v>5.8599999999999994</v>
      </c>
      <c r="H81" s="20">
        <f>(E81-F81)-(E81-34.55)</f>
        <v>10.939999999999998</v>
      </c>
    </row>
    <row r="82" spans="2:8" x14ac:dyDescent="0.3">
      <c r="B82" s="28"/>
      <c r="C82" t="s">
        <v>47</v>
      </c>
      <c r="D82" t="s">
        <v>12</v>
      </c>
      <c r="E82">
        <v>108</v>
      </c>
      <c r="F82" s="6">
        <f>E82-(E82-24.58)</f>
        <v>24.58</v>
      </c>
      <c r="G82" s="6">
        <f>(E82-F82)-(E82-30.35)</f>
        <v>5.769999999999996</v>
      </c>
      <c r="H82" s="20">
        <f>(E82-F82)-(E82-35.12)</f>
        <v>10.540000000000006</v>
      </c>
    </row>
    <row r="83" spans="2:8" x14ac:dyDescent="0.3">
      <c r="B83" s="28"/>
      <c r="C83" s="7" t="s">
        <v>35</v>
      </c>
      <c r="D83" t="s">
        <v>12</v>
      </c>
      <c r="E83">
        <v>109</v>
      </c>
      <c r="F83">
        <f>E83-(E83-24.71)</f>
        <v>24.710000000000008</v>
      </c>
      <c r="G83">
        <f>(E83-F83)-(E83-30.83)</f>
        <v>6.1199999999999903</v>
      </c>
      <c r="H83" s="21">
        <f>(E83-F83)-(E83-35.91)</f>
        <v>11.199999999999989</v>
      </c>
    </row>
    <row r="84" spans="2:8" x14ac:dyDescent="0.3">
      <c r="B84" s="28"/>
      <c r="C84" t="s">
        <v>49</v>
      </c>
      <c r="D84" t="s">
        <v>12</v>
      </c>
      <c r="E84">
        <v>109</v>
      </c>
      <c r="F84">
        <f>E84-(E84-24.43)</f>
        <v>24.430000000000007</v>
      </c>
      <c r="G84">
        <f>(E84-F84)-(E84-30.04)</f>
        <v>5.6099999999999852</v>
      </c>
      <c r="H84" s="21">
        <f>(E84-F84)-(E84-34.72)</f>
        <v>10.289999999999992</v>
      </c>
    </row>
    <row r="85" spans="2:8" x14ac:dyDescent="0.3">
      <c r="B85" s="28"/>
      <c r="C85" t="s">
        <v>50</v>
      </c>
      <c r="D85" t="s">
        <v>12</v>
      </c>
      <c r="E85">
        <v>109</v>
      </c>
      <c r="F85">
        <f>E85-(E85-25.44)</f>
        <v>25.439999999999998</v>
      </c>
      <c r="G85">
        <f>(E85-F85)-(E85-30.75)</f>
        <v>5.3100000000000023</v>
      </c>
      <c r="H85" s="21">
        <f>(E85-F85)-(E85-35.08)</f>
        <v>9.64</v>
      </c>
    </row>
    <row r="86" spans="2:8" x14ac:dyDescent="0.3">
      <c r="B86" s="28"/>
      <c r="C86" s="7" t="s">
        <v>36</v>
      </c>
      <c r="D86" t="s">
        <v>12</v>
      </c>
      <c r="E86">
        <v>109</v>
      </c>
      <c r="F86">
        <f>E86-(E86-26.86)</f>
        <v>26.86</v>
      </c>
      <c r="G86">
        <f>(E86-F86)-(E86-32.84)</f>
        <v>5.980000000000004</v>
      </c>
      <c r="H86" s="21">
        <f>(E86-F86)-(E86-38.32)</f>
        <v>11.459999999999994</v>
      </c>
    </row>
    <row r="87" spans="2:8" x14ac:dyDescent="0.3">
      <c r="B87" s="28"/>
      <c r="C87" t="s">
        <v>51</v>
      </c>
      <c r="D87" t="s">
        <v>12</v>
      </c>
      <c r="E87">
        <v>109</v>
      </c>
      <c r="F87">
        <f>E87-(E87-26.59)</f>
        <v>26.590000000000003</v>
      </c>
      <c r="G87">
        <f>(E87-26.59)-(E87-32.45)</f>
        <v>5.8599999999999994</v>
      </c>
      <c r="H87" s="21">
        <f>(E87-26.59)-(E87-37.92)</f>
        <v>11.329999999999998</v>
      </c>
    </row>
    <row r="88" spans="2:8" x14ac:dyDescent="0.3">
      <c r="B88" s="28"/>
      <c r="C88" t="s">
        <v>52</v>
      </c>
      <c r="D88" t="s">
        <v>12</v>
      </c>
      <c r="E88">
        <v>109</v>
      </c>
      <c r="F88">
        <f>E88-(E88-26.89)</f>
        <v>26.89</v>
      </c>
      <c r="G88">
        <f>(E88-26.89)-(E88-32.59)</f>
        <v>5.7000000000000028</v>
      </c>
      <c r="H88" s="21">
        <f>(E88-26.89)-(E88-37.73)</f>
        <v>10.839999999999989</v>
      </c>
    </row>
    <row r="89" spans="2:8" x14ac:dyDescent="0.3">
      <c r="B89" s="28"/>
      <c r="C89" s="7" t="s">
        <v>57</v>
      </c>
      <c r="D89" t="s">
        <v>12</v>
      </c>
      <c r="E89">
        <v>109</v>
      </c>
      <c r="F89">
        <v>23.42</v>
      </c>
      <c r="G89">
        <f>27.68-23.42</f>
        <v>4.259999999999998</v>
      </c>
      <c r="H89" s="21">
        <f>31.91-23.42</f>
        <v>8.4899999999999984</v>
      </c>
    </row>
    <row r="90" spans="2:8" x14ac:dyDescent="0.3">
      <c r="B90" s="28"/>
      <c r="C90" t="s">
        <v>58</v>
      </c>
      <c r="D90" t="s">
        <v>12</v>
      </c>
      <c r="E90">
        <v>109</v>
      </c>
      <c r="F90">
        <v>24.43</v>
      </c>
      <c r="G90">
        <f>28.88-24.43</f>
        <v>4.4499999999999993</v>
      </c>
      <c r="H90" s="21">
        <f>33.11-24.43</f>
        <v>8.68</v>
      </c>
    </row>
    <row r="91" spans="2:8" x14ac:dyDescent="0.3">
      <c r="B91" s="28"/>
      <c r="C91" t="s">
        <v>59</v>
      </c>
      <c r="D91" t="s">
        <v>12</v>
      </c>
      <c r="E91">
        <v>109</v>
      </c>
      <c r="F91">
        <v>25.05</v>
      </c>
      <c r="G91">
        <f>29.44-25.05</f>
        <v>4.3900000000000006</v>
      </c>
      <c r="H91" s="21">
        <f>33.5-25.05</f>
        <v>8.4499999999999993</v>
      </c>
    </row>
    <row r="92" spans="2:8" x14ac:dyDescent="0.3">
      <c r="B92" s="28"/>
      <c r="C92" s="7" t="s">
        <v>60</v>
      </c>
      <c r="D92" t="s">
        <v>12</v>
      </c>
      <c r="E92">
        <v>109</v>
      </c>
      <c r="F92">
        <v>22.46</v>
      </c>
      <c r="G92">
        <f>26.58-22.46</f>
        <v>4.1199999999999974</v>
      </c>
      <c r="H92" s="21">
        <f>30.62-22.46</f>
        <v>8.16</v>
      </c>
    </row>
    <row r="93" spans="2:8" x14ac:dyDescent="0.3">
      <c r="B93" s="28"/>
      <c r="C93" t="s">
        <v>61</v>
      </c>
      <c r="D93" t="s">
        <v>12</v>
      </c>
      <c r="E93">
        <v>109</v>
      </c>
      <c r="F93">
        <v>23.73</v>
      </c>
      <c r="G93">
        <f>27.99-23.73</f>
        <v>4.259999999999998</v>
      </c>
      <c r="H93" s="21">
        <f>32.14-23.73</f>
        <v>8.41</v>
      </c>
    </row>
    <row r="94" spans="2:8" ht="15" thickBot="1" x14ac:dyDescent="0.35">
      <c r="B94" s="29"/>
      <c r="C94" t="s">
        <v>62</v>
      </c>
      <c r="D94" t="s">
        <v>12</v>
      </c>
      <c r="E94">
        <v>109</v>
      </c>
      <c r="F94">
        <v>24.33</v>
      </c>
      <c r="G94">
        <f>28.55-24.33</f>
        <v>4.2200000000000024</v>
      </c>
      <c r="H94" s="21">
        <f>32.66-24.33</f>
        <v>8.3299999999999983</v>
      </c>
    </row>
    <row r="95" spans="2:8" x14ac:dyDescent="0.3">
      <c r="B95" s="30" t="s">
        <v>90</v>
      </c>
      <c r="C95" s="7" t="s">
        <v>37</v>
      </c>
      <c r="D95" t="s">
        <v>12</v>
      </c>
      <c r="E95">
        <v>121</v>
      </c>
      <c r="F95">
        <f>(E95)-(E95-27.09)</f>
        <v>27.090000000000003</v>
      </c>
      <c r="G95">
        <f>(E95-F95)-(E95-31.72)</f>
        <v>4.6299999999999955</v>
      </c>
      <c r="H95" s="21">
        <f>(E95-F95)-(E95-36.06)</f>
        <v>8.9699999999999989</v>
      </c>
    </row>
    <row r="96" spans="2:8" ht="14.4" customHeight="1" x14ac:dyDescent="0.3">
      <c r="B96" s="28"/>
      <c r="C96" t="s">
        <v>40</v>
      </c>
      <c r="D96" t="s">
        <v>12</v>
      </c>
      <c r="E96">
        <v>121</v>
      </c>
      <c r="F96">
        <f>E96-(E96-28.96)</f>
        <v>28.960000000000008</v>
      </c>
      <c r="G96">
        <f>(E96-F96)-(E96-34.47)</f>
        <v>5.5099999999999909</v>
      </c>
      <c r="H96" s="21">
        <f>(E96-F96)-(E96-38.82)</f>
        <v>9.8599999999999852</v>
      </c>
    </row>
    <row r="97" spans="2:8" ht="14.4" customHeight="1" x14ac:dyDescent="0.3">
      <c r="B97" s="28"/>
      <c r="C97" t="s">
        <v>45</v>
      </c>
      <c r="D97" t="s">
        <v>12</v>
      </c>
      <c r="E97">
        <v>121</v>
      </c>
      <c r="F97">
        <f>E97-(E97-27.25)</f>
        <v>27.25</v>
      </c>
      <c r="G97">
        <f>(E97-27.25)-(E97-32.39)</f>
        <v>5.1400000000000006</v>
      </c>
      <c r="H97" s="21">
        <f>(E97-27.25)-(E97-36.54)</f>
        <v>9.289999999999992</v>
      </c>
    </row>
    <row r="98" spans="2:8" ht="14.4" customHeight="1" x14ac:dyDescent="0.3">
      <c r="B98" s="28"/>
      <c r="C98" s="7" t="str">
        <f>$B$13</f>
        <v>W819482-02A</v>
      </c>
      <c r="D98" t="s">
        <v>12</v>
      </c>
      <c r="E98">
        <v>121</v>
      </c>
      <c r="F98">
        <f>E98-(E98-27.4)</f>
        <v>27.400000000000006</v>
      </c>
      <c r="G98">
        <f>(E98-F98)-(E98-32.25)</f>
        <v>4.8499999999999943</v>
      </c>
      <c r="H98" s="21">
        <f>(E98-F98)-(E98-36.98)</f>
        <v>9.5799999999999841</v>
      </c>
    </row>
    <row r="99" spans="2:8" ht="14.4" customHeight="1" x14ac:dyDescent="0.3">
      <c r="B99" s="28"/>
      <c r="C99" t="s">
        <v>41</v>
      </c>
      <c r="D99" t="s">
        <v>12</v>
      </c>
      <c r="E99">
        <v>121</v>
      </c>
      <c r="F99">
        <f>E99-(E99-27.54)</f>
        <v>27.539999999999992</v>
      </c>
      <c r="G99">
        <f>(E99-F99)-(E99-32.27)</f>
        <v>4.7300000000000182</v>
      </c>
      <c r="H99" s="21">
        <f>(E99-F99)-(E99-36.77)</f>
        <v>9.2300000000000182</v>
      </c>
    </row>
    <row r="100" spans="2:8" ht="14.4" customHeight="1" x14ac:dyDescent="0.3">
      <c r="B100" s="28"/>
      <c r="C100" t="s">
        <v>46</v>
      </c>
      <c r="D100" t="s">
        <v>12</v>
      </c>
      <c r="E100">
        <v>121</v>
      </c>
      <c r="F100">
        <f>E100-(E100-25.4)</f>
        <v>25.400000000000006</v>
      </c>
      <c r="G100">
        <f>(E100-F100)-(E100-29.99)</f>
        <v>4.5899999999999892</v>
      </c>
      <c r="H100" s="21">
        <f>(E100-25.4)-(E100-34.11)</f>
        <v>8.7099999999999937</v>
      </c>
    </row>
    <row r="101" spans="2:8" ht="14.4" customHeight="1" x14ac:dyDescent="0.3">
      <c r="B101" s="28"/>
      <c r="C101" s="7" t="s">
        <v>42</v>
      </c>
      <c r="D101" t="s">
        <v>12</v>
      </c>
      <c r="E101">
        <v>121</v>
      </c>
      <c r="F101">
        <f>E101-(E101-26.19)</f>
        <v>26.189999999999998</v>
      </c>
      <c r="G101">
        <f>(E101-F101)-(E101-31.22)</f>
        <v>5.0300000000000011</v>
      </c>
      <c r="H101" s="21">
        <f>(E101-F101)-(E101-36.04)</f>
        <v>9.8499999999999943</v>
      </c>
    </row>
    <row r="102" spans="2:8" ht="14.4" customHeight="1" x14ac:dyDescent="0.3">
      <c r="B102" s="28"/>
      <c r="C102" t="s">
        <v>43</v>
      </c>
      <c r="D102" t="s">
        <v>12</v>
      </c>
      <c r="E102">
        <v>121</v>
      </c>
      <c r="F102">
        <f>E102-(E102-26.61)</f>
        <v>26.61</v>
      </c>
      <c r="G102">
        <f>(E102-26.61)-(E102-31.46)</f>
        <v>4.8500000000000085</v>
      </c>
      <c r="H102" s="21">
        <f>(E102-26.61)-(E102-36)</f>
        <v>9.39</v>
      </c>
    </row>
    <row r="103" spans="2:8" ht="14.4" customHeight="1" x14ac:dyDescent="0.3">
      <c r="B103" s="28"/>
      <c r="C103" t="s">
        <v>44</v>
      </c>
      <c r="D103" t="s">
        <v>12</v>
      </c>
      <c r="E103">
        <v>121</v>
      </c>
      <c r="F103">
        <f>E103-(E103-24.23)</f>
        <v>24.230000000000004</v>
      </c>
      <c r="G103">
        <f>(E103-F103)-(E103-28.99)</f>
        <v>4.7599999999999909</v>
      </c>
      <c r="H103" s="21">
        <f>(E103-F103)-(E103-33.19)</f>
        <v>8.9599999999999937</v>
      </c>
    </row>
    <row r="104" spans="2:8" ht="14.4" customHeight="1" x14ac:dyDescent="0.3">
      <c r="B104" s="28"/>
      <c r="C104" s="7" t="s">
        <v>55</v>
      </c>
      <c r="D104" t="s">
        <v>12</v>
      </c>
      <c r="E104">
        <v>119</v>
      </c>
      <c r="F104">
        <f>E104-(E104-27.89)</f>
        <v>27.89</v>
      </c>
      <c r="G104">
        <f>32.67-F104</f>
        <v>4.7800000000000011</v>
      </c>
      <c r="H104" s="21">
        <f>37.07-27.89</f>
        <v>9.18</v>
      </c>
    </row>
    <row r="105" spans="2:8" ht="14.4" customHeight="1" x14ac:dyDescent="0.3">
      <c r="B105" s="28"/>
      <c r="C105" t="s">
        <v>63</v>
      </c>
      <c r="D105" t="s">
        <v>12</v>
      </c>
      <c r="E105">
        <v>119</v>
      </c>
      <c r="F105">
        <f>28.14</f>
        <v>28.14</v>
      </c>
      <c r="G105">
        <f>32.76-28.14</f>
        <v>4.6199999999999974</v>
      </c>
      <c r="H105" s="21">
        <f>36.94-28.14</f>
        <v>8.7999999999999972</v>
      </c>
    </row>
    <row r="106" spans="2:8" ht="14.4" customHeight="1" x14ac:dyDescent="0.3">
      <c r="B106" s="28"/>
      <c r="C106" t="s">
        <v>64</v>
      </c>
      <c r="D106" t="s">
        <v>12</v>
      </c>
      <c r="E106">
        <v>119</v>
      </c>
      <c r="F106">
        <v>28.08</v>
      </c>
      <c r="G106">
        <f>32.62-28.08</f>
        <v>4.5399999999999991</v>
      </c>
      <c r="H106" s="21">
        <f>36.74-28.08</f>
        <v>8.6600000000000037</v>
      </c>
    </row>
    <row r="107" spans="2:8" ht="14.4" customHeight="1" x14ac:dyDescent="0.3">
      <c r="B107" s="28"/>
      <c r="C107" s="7" t="s">
        <v>56</v>
      </c>
      <c r="D107" t="s">
        <v>12</v>
      </c>
      <c r="E107">
        <v>119</v>
      </c>
      <c r="F107">
        <f>27.13</f>
        <v>27.13</v>
      </c>
      <c r="G107">
        <f>31.69-F107</f>
        <v>4.5600000000000023</v>
      </c>
      <c r="H107" s="21">
        <f>35.92-F107</f>
        <v>8.7900000000000027</v>
      </c>
    </row>
    <row r="108" spans="2:8" ht="14.4" customHeight="1" x14ac:dyDescent="0.3">
      <c r="B108" s="28"/>
      <c r="C108" t="s">
        <v>65</v>
      </c>
      <c r="D108" t="s">
        <v>12</v>
      </c>
      <c r="E108">
        <v>119</v>
      </c>
      <c r="F108">
        <v>27.6</v>
      </c>
      <c r="G108">
        <f>32.03-F108</f>
        <v>4.43</v>
      </c>
      <c r="H108" s="21">
        <f>36.05-F108</f>
        <v>8.4499999999999957</v>
      </c>
    </row>
    <row r="109" spans="2:8" ht="14.4" customHeight="1" thickBot="1" x14ac:dyDescent="0.35">
      <c r="B109" s="29"/>
      <c r="C109" s="22" t="s">
        <v>66</v>
      </c>
      <c r="D109" s="23" t="s">
        <v>12</v>
      </c>
      <c r="E109" s="23">
        <v>119</v>
      </c>
      <c r="F109" s="23">
        <v>27.44</v>
      </c>
      <c r="G109" s="23">
        <f>31.76-F109</f>
        <v>4.32</v>
      </c>
      <c r="H109" s="24">
        <f>35.66-F109</f>
        <v>8.2199999999999953</v>
      </c>
    </row>
    <row r="110" spans="2:8" ht="14.4" customHeight="1" x14ac:dyDescent="0.3"/>
    <row r="111" spans="2:8" ht="14.4" customHeight="1" x14ac:dyDescent="0.3"/>
    <row r="112" spans="2:8" ht="14.4" customHeight="1" x14ac:dyDescent="0.3"/>
    <row r="114" ht="14.4" customHeight="1" x14ac:dyDescent="0.3"/>
    <row r="115" ht="14.4" customHeight="1" x14ac:dyDescent="0.3"/>
    <row r="116" ht="14.4" customHeight="1" x14ac:dyDescent="0.3"/>
    <row r="117" ht="14.4" customHeight="1" x14ac:dyDescent="0.3"/>
    <row r="118" ht="14.4" customHeight="1" x14ac:dyDescent="0.3"/>
    <row r="119" ht="14.4" customHeight="1" x14ac:dyDescent="0.3"/>
    <row r="120" ht="14.4" customHeight="1" x14ac:dyDescent="0.3"/>
    <row r="121" ht="14.4" customHeight="1" x14ac:dyDescent="0.3"/>
    <row r="122" ht="14.4" customHeight="1" x14ac:dyDescent="0.3"/>
    <row r="123" ht="14.4" customHeight="1" x14ac:dyDescent="0.3"/>
    <row r="124" ht="14.4" customHeight="1" x14ac:dyDescent="0.3"/>
    <row r="125" ht="14.4" customHeight="1" x14ac:dyDescent="0.3"/>
  </sheetData>
  <mergeCells count="3">
    <mergeCell ref="B79:B94"/>
    <mergeCell ref="B95:B109"/>
    <mergeCell ref="B78:H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FBD3-C720-4FF9-A9B3-4E9CA47EE690}">
  <dimension ref="B2:Q15"/>
  <sheetViews>
    <sheetView workbookViewId="0">
      <selection activeCell="J19" sqref="J19"/>
    </sheetView>
  </sheetViews>
  <sheetFormatPr defaultRowHeight="14.4" x14ac:dyDescent="0.3"/>
  <cols>
    <col min="8" max="8" width="15.77734375" bestFit="1" customWidth="1"/>
    <col min="9" max="9" width="12" bestFit="1" customWidth="1"/>
    <col min="10" max="10" width="24.77734375" bestFit="1" customWidth="1"/>
    <col min="15" max="15" width="15.77734375" bestFit="1" customWidth="1"/>
    <col min="16" max="16" width="12" bestFit="1" customWidth="1"/>
  </cols>
  <sheetData>
    <row r="2" spans="2:17" ht="25.8" x14ac:dyDescent="0.5">
      <c r="B2" s="37" t="s">
        <v>67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9"/>
    </row>
    <row r="3" spans="2:17" ht="18" x14ac:dyDescent="0.35">
      <c r="B3" s="40"/>
      <c r="C3" s="12"/>
      <c r="D3" s="43" t="s">
        <v>19</v>
      </c>
      <c r="E3" s="43"/>
      <c r="F3" s="43"/>
      <c r="G3" s="43"/>
      <c r="H3" s="43"/>
      <c r="I3" s="43"/>
      <c r="J3" s="43"/>
      <c r="K3" s="43" t="s">
        <v>20</v>
      </c>
      <c r="L3" s="43"/>
      <c r="M3" s="43"/>
      <c r="N3" s="43"/>
      <c r="O3" s="43"/>
      <c r="P3" s="43"/>
      <c r="Q3" s="43"/>
    </row>
    <row r="4" spans="2:17" ht="18" x14ac:dyDescent="0.35">
      <c r="B4" s="41"/>
      <c r="C4" s="14" t="s">
        <v>76</v>
      </c>
      <c r="D4" s="43" t="s">
        <v>75</v>
      </c>
      <c r="E4" s="43"/>
      <c r="F4" s="43"/>
      <c r="G4" s="43" t="s">
        <v>77</v>
      </c>
      <c r="H4" s="43"/>
      <c r="I4" s="43"/>
      <c r="J4" s="43"/>
      <c r="K4" s="43" t="s">
        <v>75</v>
      </c>
      <c r="L4" s="43"/>
      <c r="M4" s="43"/>
      <c r="N4" s="43" t="s">
        <v>77</v>
      </c>
      <c r="O4" s="43"/>
      <c r="P4" s="43"/>
      <c r="Q4" s="43"/>
    </row>
    <row r="5" spans="2:17" x14ac:dyDescent="0.3">
      <c r="B5" s="42"/>
      <c r="C5" s="12"/>
      <c r="D5" s="15" t="s">
        <v>69</v>
      </c>
      <c r="E5" s="15" t="s">
        <v>70</v>
      </c>
      <c r="F5" s="15" t="s">
        <v>71</v>
      </c>
      <c r="G5" s="15" t="s">
        <v>72</v>
      </c>
      <c r="H5" s="15" t="s">
        <v>115</v>
      </c>
      <c r="I5" s="15" t="s">
        <v>116</v>
      </c>
      <c r="J5" s="15" t="s">
        <v>114</v>
      </c>
      <c r="K5" s="15" t="s">
        <v>69</v>
      </c>
      <c r="L5" s="15" t="s">
        <v>70</v>
      </c>
      <c r="M5" s="15" t="s">
        <v>71</v>
      </c>
      <c r="N5" s="15" t="s">
        <v>72</v>
      </c>
      <c r="O5" s="15" t="s">
        <v>115</v>
      </c>
      <c r="P5" s="15" t="s">
        <v>116</v>
      </c>
      <c r="Q5" s="15" t="s">
        <v>73</v>
      </c>
    </row>
    <row r="6" spans="2:17" x14ac:dyDescent="0.3">
      <c r="B6" s="27" t="s">
        <v>68</v>
      </c>
      <c r="C6" s="12">
        <v>1</v>
      </c>
      <c r="D6" s="12">
        <v>0.10348118527656702</v>
      </c>
      <c r="E6" s="12">
        <v>0.11230360470008938</v>
      </c>
      <c r="F6" s="12">
        <v>0.10972651033926062</v>
      </c>
      <c r="G6" s="12">
        <f>AVERAGE(D6:F6)</f>
        <v>0.10850376677197233</v>
      </c>
      <c r="H6" s="12">
        <f>AVERAGE(G6:G8)</f>
        <v>0.10172517057269737</v>
      </c>
      <c r="I6" s="12">
        <f>_xlfn.STDEV.S(D6:F8)</f>
        <v>6.2376196512931191E-3</v>
      </c>
      <c r="J6" s="12">
        <f>_xlfn.T.TEST(G6:G10,G11:G15,2,3)</f>
        <v>1.0455938214059575E-2</v>
      </c>
      <c r="K6" s="12">
        <f>'Test Data'!E45</f>
        <v>6.7659999999999998E-2</v>
      </c>
      <c r="L6" s="12">
        <f>'Test Data'!E46</f>
        <v>7.4534935288190551E-2</v>
      </c>
      <c r="M6" s="12">
        <f>'Test Data'!E47</f>
        <v>6.6041746459816419E-2</v>
      </c>
      <c r="N6" s="12">
        <f>AVERAGE(K6:M6)</f>
        <v>6.9412227249335656E-2</v>
      </c>
      <c r="O6" s="12">
        <f>AVERAGE(N6:N8)</f>
        <v>6.8643718629790337E-2</v>
      </c>
      <c r="P6" s="12">
        <f>_xlfn.STDEV.S(K6:M8)</f>
        <v>6.0386535349515385E-3</v>
      </c>
      <c r="Q6" s="12">
        <f>_xlfn.T.TEST(N6:N10,N11:N15,2,3)</f>
        <v>1.274227858216165E-3</v>
      </c>
    </row>
    <row r="7" spans="2:17" x14ac:dyDescent="0.3">
      <c r="B7" s="27"/>
      <c r="C7" s="12">
        <v>2</v>
      </c>
      <c r="D7" s="12">
        <v>9.671497960802089E-2</v>
      </c>
      <c r="E7" s="12">
        <f>'Test Data'!D49</f>
        <v>0.10450889480273107</v>
      </c>
      <c r="F7" s="12">
        <f>'Test Data'!D50</f>
        <v>0.10069271534663671</v>
      </c>
      <c r="G7" s="12">
        <f>AVERAGE(D7:F7)</f>
        <v>0.10063886325246289</v>
      </c>
      <c r="H7" s="12"/>
      <c r="I7" s="12"/>
      <c r="J7" s="12"/>
      <c r="K7" s="12">
        <f>'Test Data'!E48</f>
        <v>5.9083284286596705E-2</v>
      </c>
      <c r="L7" s="12">
        <f>'Test Data'!E49</f>
        <v>8.0477917952233358E-2</v>
      </c>
      <c r="M7" s="12">
        <f>'Test Data'!E50</f>
        <v>6.9604724334176082E-2</v>
      </c>
      <c r="N7" s="12">
        <f>AVERAGE(K7:M7)</f>
        <v>6.9721975524335386E-2</v>
      </c>
      <c r="O7" s="12"/>
      <c r="P7" s="12"/>
      <c r="Q7" s="12"/>
    </row>
    <row r="8" spans="2:17" x14ac:dyDescent="0.3">
      <c r="B8" s="27"/>
      <c r="C8" s="12">
        <v>3</v>
      </c>
      <c r="D8" s="12">
        <f>'Test Data'!D51</f>
        <v>9.6350544623135526E-2</v>
      </c>
      <c r="E8" s="12">
        <f>'Test Data'!D52</f>
        <v>9.6574041831761992E-2</v>
      </c>
      <c r="F8" s="12">
        <f>'Test Data'!D53</f>
        <v>9.5174058626073088E-2</v>
      </c>
      <c r="G8" s="12">
        <f>AVERAGE(D8:F8)</f>
        <v>9.6032881693656869E-2</v>
      </c>
      <c r="H8" s="12"/>
      <c r="I8" s="12"/>
      <c r="J8" s="12"/>
      <c r="K8" s="12">
        <f>'Test Data'!E51</f>
        <v>6.8691800155875504E-2</v>
      </c>
      <c r="L8" s="12">
        <f>'Test Data'!E52</f>
        <v>6.5047254723435866E-2</v>
      </c>
      <c r="M8" s="12">
        <f>'Test Data'!E53</f>
        <v>6.66518044677884E-2</v>
      </c>
      <c r="N8" s="12">
        <f>AVERAGE(K8:M8)</f>
        <v>6.6796953115699928E-2</v>
      </c>
      <c r="O8" s="12"/>
      <c r="P8" s="12"/>
      <c r="Q8" s="12"/>
    </row>
    <row r="9" spans="2:17" x14ac:dyDescent="0.3">
      <c r="B9" s="27" t="s">
        <v>88</v>
      </c>
      <c r="C9" s="12">
        <v>1</v>
      </c>
      <c r="D9" s="12">
        <f>'Test Data'!D54</f>
        <v>8.995265541703612E-2</v>
      </c>
      <c r="E9" s="12">
        <f>'Test Data'!D55</f>
        <v>8.892307077151973E-2</v>
      </c>
      <c r="F9" s="12">
        <f>'Test Data'!D56</f>
        <v>8.7161111169402172E-2</v>
      </c>
      <c r="G9" s="12">
        <f>AVERAGE(D9:F9)</f>
        <v>8.8678945785986008E-2</v>
      </c>
      <c r="H9" s="12">
        <f>AVERAGE(G9:G10)</f>
        <v>8.3842214541979765E-2</v>
      </c>
      <c r="I9" s="12">
        <f>_xlfn.STDEV.S(D9:F10)</f>
        <v>5.4880940705063349E-3</v>
      </c>
      <c r="J9" s="12"/>
      <c r="K9" s="12">
        <f>'Test Data'!E54</f>
        <v>5.8199212749784346E-2</v>
      </c>
      <c r="L9" s="12">
        <f>'Test Data'!E55</f>
        <v>5.9477113135099957E-2</v>
      </c>
      <c r="M9" s="12">
        <f>'Test Data'!E56</f>
        <v>5.8868147708090013E-2</v>
      </c>
      <c r="N9" s="12">
        <f>AVERAGE(K9:M9)</f>
        <v>5.884815786432477E-2</v>
      </c>
      <c r="O9" s="12">
        <f>AVERAGE(N9:N10)</f>
        <v>5.7828475126027269E-2</v>
      </c>
      <c r="P9" s="12">
        <f>_xlfn.STDEV.S(K9:N10)</f>
        <v>2.7883624970623192E-3</v>
      </c>
      <c r="Q9" s="12"/>
    </row>
    <row r="10" spans="2:17" x14ac:dyDescent="0.3">
      <c r="B10" s="27"/>
      <c r="C10" s="12">
        <v>2</v>
      </c>
      <c r="D10" s="12">
        <f>'Test Data'!D57</f>
        <v>7.9768752398543086E-2</v>
      </c>
      <c r="E10" s="12">
        <f>'Test Data'!D58</f>
        <v>8.026281841446703E-2</v>
      </c>
      <c r="F10" s="12">
        <f>'Test Data'!D59</f>
        <v>7.6984879080910451E-2</v>
      </c>
      <c r="G10" s="12">
        <f>AVERAGE(D10:F10)</f>
        <v>7.9005483297973522E-2</v>
      </c>
      <c r="H10" s="12"/>
      <c r="I10" s="12"/>
      <c r="J10" s="12"/>
      <c r="K10" s="12">
        <f>'Test Data'!E57</f>
        <v>5.2191011133053133E-2</v>
      </c>
      <c r="L10" s="12">
        <f>'Test Data'!E58</f>
        <v>5.6538558633745017E-2</v>
      </c>
      <c r="M10" s="12">
        <f>'Test Data'!E59</f>
        <v>6.1696807396391162E-2</v>
      </c>
      <c r="N10" s="12">
        <f>AVERAGE(K10:M10)</f>
        <v>5.6808792387729769E-2</v>
      </c>
      <c r="O10" s="12"/>
      <c r="P10" s="12"/>
      <c r="Q10" s="12"/>
    </row>
    <row r="11" spans="2:17" x14ac:dyDescent="0.3">
      <c r="B11" s="27" t="s">
        <v>74</v>
      </c>
      <c r="C11" s="12">
        <v>1</v>
      </c>
      <c r="D11" s="12">
        <f>'Test Data'!D60</f>
        <v>7.4443111429316811E-2</v>
      </c>
      <c r="E11" s="12">
        <f>'Test Data'!D61</f>
        <v>7.5902138756952398E-2</v>
      </c>
      <c r="F11" s="12">
        <f>'Test Data'!D62</f>
        <v>7.1593836683018774E-2</v>
      </c>
      <c r="G11" s="12">
        <f>AVERAGE(D11:F11)</f>
        <v>7.397969562309599E-2</v>
      </c>
      <c r="H11" s="12">
        <f>AVERAGE(G11:G13)</f>
        <v>7.3787519928796882E-2</v>
      </c>
      <c r="I11" s="12">
        <f>_xlfn.STDEV.S(D11:F13)</f>
        <v>2.816867891573423E-3</v>
      </c>
      <c r="J11" s="12"/>
      <c r="K11" s="12">
        <f>'Test Data'!E60</f>
        <v>4.5418174868912198E-2</v>
      </c>
      <c r="L11" s="12">
        <f>'Test Data'!E61</f>
        <v>4.8535398010665642E-2</v>
      </c>
      <c r="M11" s="12">
        <f>'Test Data'!E62</f>
        <v>4.1346306510171904E-2</v>
      </c>
      <c r="N11" s="12">
        <f>AVERAGE(K11:M11)</f>
        <v>4.5099959796583246E-2</v>
      </c>
      <c r="O11" s="12">
        <f>AVERAGE(N11:N13)</f>
        <v>4.4764943966212313E-2</v>
      </c>
      <c r="P11" s="12">
        <f>_xlfn.STDEV.S(K11:M13)</f>
        <v>2.7305113706667609E-3</v>
      </c>
      <c r="Q11" s="12"/>
    </row>
    <row r="12" spans="2:17" x14ac:dyDescent="0.3">
      <c r="B12" s="27"/>
      <c r="C12" s="12">
        <v>2</v>
      </c>
      <c r="D12" s="12">
        <f>'Test Data'!D63</f>
        <v>7.5209523443549364E-2</v>
      </c>
      <c r="E12" s="12">
        <f>'Test Data'!D64</f>
        <v>7.3892179680238645E-2</v>
      </c>
      <c r="F12" s="12">
        <f>'Test Data'!D65</f>
        <v>7.8849153913997272E-2</v>
      </c>
      <c r="G12" s="12">
        <f>AVERAGE(D12:F12)</f>
        <v>7.5983619012595094E-2</v>
      </c>
      <c r="H12" s="12"/>
      <c r="I12" s="12"/>
      <c r="J12" s="12"/>
      <c r="K12" s="12">
        <f>'Test Data'!E63</f>
        <v>4.3581242036926371E-2</v>
      </c>
      <c r="L12" s="12">
        <f>'Test Data'!E64</f>
        <v>4.7442367181552147E-2</v>
      </c>
      <c r="M12" s="12">
        <f>'Test Data'!E65</f>
        <v>4.0308031800595945E-2</v>
      </c>
      <c r="N12" s="12">
        <f>AVERAGE(K12:M12)</f>
        <v>4.3777213673024819E-2</v>
      </c>
      <c r="O12" s="12"/>
      <c r="P12" s="12"/>
      <c r="Q12" s="12"/>
    </row>
    <row r="13" spans="2:17" x14ac:dyDescent="0.3">
      <c r="B13" s="27"/>
      <c r="C13" s="12">
        <v>3</v>
      </c>
      <c r="D13" s="12">
        <f>'Test Data'!D66</f>
        <v>7.1880812834334118E-2</v>
      </c>
      <c r="E13" s="12">
        <f>'Test Data'!D67</f>
        <v>6.9078595699735623E-2</v>
      </c>
      <c r="F13" s="12">
        <f>'Test Data'!D68</f>
        <v>7.3238326918028895E-2</v>
      </c>
      <c r="G13" s="12">
        <f>AVERAGE(D13:F13)</f>
        <v>7.139924515069955E-2</v>
      </c>
      <c r="H13" s="12"/>
      <c r="I13" s="12"/>
      <c r="J13" s="12"/>
      <c r="K13" s="12">
        <f>'Test Data'!E66</f>
        <v>4.5708327459010323E-2</v>
      </c>
      <c r="L13" s="12">
        <f>'Test Data'!E67</f>
        <v>4.3953845667639269E-2</v>
      </c>
      <c r="M13" s="12">
        <f>'Test Data'!E68</f>
        <v>4.6590802160437095E-2</v>
      </c>
      <c r="N13" s="12">
        <f>AVERAGE(K13:M13)</f>
        <v>4.5417658429028895E-2</v>
      </c>
      <c r="O13" s="12"/>
      <c r="P13" s="12"/>
      <c r="Q13" s="12"/>
    </row>
    <row r="14" spans="2:17" x14ac:dyDescent="0.3">
      <c r="B14" s="27" t="s">
        <v>91</v>
      </c>
      <c r="C14" s="12">
        <v>1</v>
      </c>
      <c r="D14" s="12">
        <f>'Test Data'!D69</f>
        <v>7.2722018660644205E-2</v>
      </c>
      <c r="E14" s="12">
        <f>'Test Data'!D70</f>
        <v>6.8146698863082555E-2</v>
      </c>
      <c r="F14" s="12">
        <f>'Test Data'!D71</f>
        <v>6.5046610664597715E-2</v>
      </c>
      <c r="G14" s="12">
        <f>AVERAGE(D14:F14)</f>
        <v>6.8638442729441487E-2</v>
      </c>
      <c r="H14" s="12">
        <f>AVERAGE(G14:G15)</f>
        <v>7.0706609319811931E-2</v>
      </c>
      <c r="I14" s="12">
        <f>_xlfn.STDEV.S(D14:F15)</f>
        <v>4.9863579341734143E-3</v>
      </c>
      <c r="J14" s="12"/>
      <c r="K14" s="12">
        <f>'Test Data'!E69</f>
        <v>5.1739113518798896E-2</v>
      </c>
      <c r="L14" s="12">
        <f>'Test Data'!E70</f>
        <v>5.0142515072788219E-2</v>
      </c>
      <c r="M14" s="12">
        <f>'Test Data'!E71</f>
        <v>4.5324435378047978E-2</v>
      </c>
      <c r="N14" s="12">
        <f>AVERAGE(K14:M14)</f>
        <v>4.9068687989878366E-2</v>
      </c>
      <c r="O14" s="12">
        <f>AVERAGE(N14:N15)</f>
        <v>5.02914715555546E-2</v>
      </c>
      <c r="P14" s="12">
        <f>_xlfn.STDEV.S(K14:M15)</f>
        <v>4.3170810094365093E-3</v>
      </c>
      <c r="Q14" s="12"/>
    </row>
    <row r="15" spans="2:17" x14ac:dyDescent="0.3">
      <c r="B15" s="27"/>
      <c r="C15" s="12">
        <v>2</v>
      </c>
      <c r="D15" s="12">
        <f>'Test Data'!D72</f>
        <v>7.8864737073589319E-2</v>
      </c>
      <c r="E15" s="12">
        <f>'Test Data'!D73</f>
        <v>7.2299313426252954E-2</v>
      </c>
      <c r="F15" s="12">
        <f>'Test Data'!D74</f>
        <v>6.7160277230704835E-2</v>
      </c>
      <c r="G15" s="12">
        <f>AVERAGE(D15:F15)</f>
        <v>7.2774775910182374E-2</v>
      </c>
      <c r="H15" s="12"/>
      <c r="I15" s="12"/>
      <c r="J15" s="12"/>
      <c r="K15" s="12">
        <f>'Test Data'!E72</f>
        <v>5.6218904796056179E-2</v>
      </c>
      <c r="L15" s="12">
        <f>'Test Data'!E73</f>
        <v>5.2950759043758899E-2</v>
      </c>
      <c r="M15" s="12">
        <f>'Test Data'!E74</f>
        <v>4.5373101523877413E-2</v>
      </c>
      <c r="N15" s="12">
        <f>AVERAGE(K15:M15)</f>
        <v>5.1514255121230833E-2</v>
      </c>
      <c r="O15" s="12"/>
      <c r="P15" s="12"/>
      <c r="Q15" s="12"/>
    </row>
  </sheetData>
  <mergeCells count="12">
    <mergeCell ref="G4:J4"/>
    <mergeCell ref="B14:B15"/>
    <mergeCell ref="B11:B13"/>
    <mergeCell ref="B9:B10"/>
    <mergeCell ref="B6:B8"/>
    <mergeCell ref="B2:Q2"/>
    <mergeCell ref="B3:B5"/>
    <mergeCell ref="K3:Q3"/>
    <mergeCell ref="K4:M4"/>
    <mergeCell ref="N4:Q4"/>
    <mergeCell ref="D3:J3"/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F149-36D3-496D-B300-CB49A539D964}">
  <dimension ref="B1:G9"/>
  <sheetViews>
    <sheetView workbookViewId="0">
      <selection activeCell="F13" sqref="F13"/>
    </sheetView>
  </sheetViews>
  <sheetFormatPr defaultRowHeight="14.4" x14ac:dyDescent="0.3"/>
  <cols>
    <col min="2" max="3" width="18.5546875" bestFit="1" customWidth="1"/>
    <col min="7" max="7" width="28.6640625" bestFit="1" customWidth="1"/>
  </cols>
  <sheetData>
    <row r="1" spans="2:7" ht="15" thickBot="1" x14ac:dyDescent="0.35"/>
    <row r="2" spans="2:7" ht="24" thickBot="1" x14ac:dyDescent="0.5">
      <c r="C2" s="34" t="s">
        <v>93</v>
      </c>
      <c r="D2" s="35"/>
      <c r="E2" s="35"/>
      <c r="F2" s="35"/>
      <c r="G2" s="36"/>
    </row>
    <row r="3" spans="2:7" x14ac:dyDescent="0.3">
      <c r="B3" s="17" t="s">
        <v>97</v>
      </c>
      <c r="D3" s="17" t="s">
        <v>109</v>
      </c>
      <c r="E3" s="17" t="s">
        <v>87</v>
      </c>
      <c r="F3" s="17" t="s">
        <v>73</v>
      </c>
      <c r="G3" s="17" t="s">
        <v>101</v>
      </c>
    </row>
    <row r="4" spans="2:7" x14ac:dyDescent="0.3">
      <c r="B4" s="26" t="s">
        <v>89</v>
      </c>
      <c r="C4" s="12" t="s">
        <v>100</v>
      </c>
      <c r="D4" s="16">
        <f>MEDIAN('Test Data'!F80:F94)</f>
        <v>24.58</v>
      </c>
      <c r="E4" s="12">
        <f>_xlfn.STDEV.S('Test Data'!F80:F94)</f>
        <v>1.2896315457561993</v>
      </c>
      <c r="F4" s="12" t="s">
        <v>100</v>
      </c>
      <c r="G4" s="12">
        <f>D4/MEDIAN('Test Data'!E80:E94)*100</f>
        <v>22.550458715596328</v>
      </c>
    </row>
    <row r="5" spans="2:7" x14ac:dyDescent="0.3">
      <c r="B5" s="26"/>
      <c r="C5" s="12" t="s">
        <v>98</v>
      </c>
      <c r="D5" s="16">
        <f>MEDIAN('Test Data'!G80:G94)</f>
        <v>5.6099999999999852</v>
      </c>
      <c r="E5" s="12">
        <f>_xlfn.STDEV.S('Test Data'!G80:G94)</f>
        <v>0.87632511905441246</v>
      </c>
      <c r="F5" s="12">
        <f>_xlfn.T.TEST('Test Data'!F80:F94,'Test Data'!F95:F109,2,3)</f>
        <v>1.7087270495286235E-5</v>
      </c>
      <c r="G5" s="12">
        <f>D5/MEDIAN('Test Data'!E80:E94)*100</f>
        <v>5.1467889908256748</v>
      </c>
    </row>
    <row r="6" spans="2:7" x14ac:dyDescent="0.3">
      <c r="B6" s="26"/>
      <c r="C6" s="12" t="s">
        <v>99</v>
      </c>
      <c r="D6" s="16">
        <f>MEDIAN('Test Data'!H80:H94)</f>
        <v>10.289999999999992</v>
      </c>
      <c r="E6" s="12">
        <f>_xlfn.STDEV.S('Test Data'!H80:H94)</f>
        <v>1.4719569093071798</v>
      </c>
      <c r="F6" s="12" t="s">
        <v>98</v>
      </c>
      <c r="G6" s="12">
        <f>D6/MEDIAN('Test Data'!E80:E94)*100</f>
        <v>9.440366972477058</v>
      </c>
    </row>
    <row r="7" spans="2:7" x14ac:dyDescent="0.3">
      <c r="B7" s="26" t="s">
        <v>90</v>
      </c>
      <c r="C7" s="12" t="s">
        <v>100</v>
      </c>
      <c r="D7" s="12">
        <f>MEDIAN('Test Data'!F95:F109)</f>
        <v>27.400000000000006</v>
      </c>
      <c r="E7" s="12">
        <f>_xlfn.STDEV.S('Test Data'!F95:F109)</f>
        <v>1.1643514442445138</v>
      </c>
      <c r="F7" s="12">
        <f>_xlfn.T.TEST('Test Data'!G80:G94,'Test Data'!G95:G109,2,3)</f>
        <v>5.5076569821038798E-2</v>
      </c>
      <c r="G7" s="12">
        <f>D7/MEDIAN('Test Data'!E95:E109)*100</f>
        <v>22.644628099173559</v>
      </c>
    </row>
    <row r="8" spans="2:7" x14ac:dyDescent="0.3">
      <c r="B8" s="26"/>
      <c r="C8" s="12" t="s">
        <v>98</v>
      </c>
      <c r="D8" s="12">
        <f>MEDIAN('Test Data'!G95:G109)</f>
        <v>4.7300000000000182</v>
      </c>
      <c r="E8" s="12">
        <f>_xlfn.STDEV.S('Test Data'!G95:G109)</f>
        <v>0.29920847963537678</v>
      </c>
      <c r="F8" s="12" t="s">
        <v>99</v>
      </c>
      <c r="G8" s="12">
        <f>D8/MEDIAN('Test Data'!E95:E109)*100</f>
        <v>3.9090909090909238</v>
      </c>
    </row>
    <row r="9" spans="2:7" x14ac:dyDescent="0.3">
      <c r="B9" s="26"/>
      <c r="C9" s="12" t="s">
        <v>99</v>
      </c>
      <c r="D9" s="12">
        <f>MEDIAN('Test Data'!H95:H109)</f>
        <v>8.9699999999999989</v>
      </c>
      <c r="E9" s="12">
        <f>_xlfn.STDEV.S('Test Data'!H95:H109)</f>
        <v>0.48242640692154898</v>
      </c>
      <c r="F9" s="12">
        <f>_xlfn.T.TEST('Test Data'!H80:H94,'Test Data'!H95:H109,2,3)</f>
        <v>3.6626925093069453E-2</v>
      </c>
      <c r="G9" s="12">
        <f>D9/MEDIAN('Test Data'!E95:E109)*100</f>
        <v>7.4132231404958668</v>
      </c>
    </row>
  </sheetData>
  <mergeCells count="3">
    <mergeCell ref="B7:B9"/>
    <mergeCell ref="B4:B6"/>
    <mergeCell ref="C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70E2-9E55-4286-B9DA-C3EE93074992}">
  <dimension ref="A4:Q36"/>
  <sheetViews>
    <sheetView tabSelected="1" zoomScale="91"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12.44140625" bestFit="1" customWidth="1"/>
    <col min="3" max="3" width="12" bestFit="1" customWidth="1"/>
    <col min="4" max="5" width="12" customWidth="1"/>
    <col min="6" max="6" width="12" bestFit="1" customWidth="1"/>
    <col min="7" max="7" width="21.33203125" bestFit="1" customWidth="1"/>
    <col min="8" max="10" width="23.33203125" bestFit="1" customWidth="1"/>
    <col min="11" max="11" width="24.33203125" bestFit="1" customWidth="1"/>
    <col min="12" max="12" width="24.33203125" customWidth="1"/>
    <col min="13" max="13" width="25.5546875" bestFit="1" customWidth="1"/>
    <col min="14" max="14" width="24.33203125" customWidth="1"/>
    <col min="15" max="16" width="24.44140625" bestFit="1" customWidth="1"/>
    <col min="17" max="17" width="22.44140625" bestFit="1" customWidth="1"/>
  </cols>
  <sheetData>
    <row r="4" spans="1:17" ht="15" thickBot="1" x14ac:dyDescent="0.35"/>
    <row r="5" spans="1:17" ht="31.8" thickBot="1" x14ac:dyDescent="0.65">
      <c r="B5" s="44" t="s">
        <v>102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x14ac:dyDescent="0.3">
      <c r="A6" s="3" t="s">
        <v>2</v>
      </c>
      <c r="B6" s="25" t="s">
        <v>3</v>
      </c>
      <c r="C6" s="25" t="s">
        <v>19</v>
      </c>
      <c r="D6" s="25" t="s">
        <v>20</v>
      </c>
      <c r="E6" s="25" t="s">
        <v>103</v>
      </c>
      <c r="F6" s="25" t="s">
        <v>104</v>
      </c>
      <c r="G6" s="25" t="s">
        <v>26</v>
      </c>
      <c r="H6" s="25" t="s">
        <v>27</v>
      </c>
      <c r="I6" s="25" t="s">
        <v>28</v>
      </c>
      <c r="J6" s="25" t="s">
        <v>29</v>
      </c>
      <c r="K6" s="25" t="s">
        <v>105</v>
      </c>
      <c r="L6" s="25" t="s">
        <v>106</v>
      </c>
      <c r="M6" s="25" t="s">
        <v>107</v>
      </c>
      <c r="N6" s="25" t="s">
        <v>108</v>
      </c>
      <c r="O6" s="25" t="s">
        <v>32</v>
      </c>
      <c r="P6" s="25" t="s">
        <v>31</v>
      </c>
      <c r="Q6" s="25" t="s">
        <v>30</v>
      </c>
    </row>
    <row r="7" spans="1:17" x14ac:dyDescent="0.3">
      <c r="A7" t="s">
        <v>25</v>
      </c>
      <c r="B7" t="s">
        <v>12</v>
      </c>
      <c r="C7">
        <f>1-P7/H7</f>
        <v>0.14676782138461819</v>
      </c>
      <c r="D7">
        <f>1-O7/I7</f>
        <v>0.14505882471613163</v>
      </c>
      <c r="E7">
        <f>1-N7/J7</f>
        <v>9.1916186897467167E-2</v>
      </c>
      <c r="F7">
        <f>1-M7/K7</f>
        <v>4.0078855197855812E-2</v>
      </c>
      <c r="G7">
        <f>'Test Data'!$F$7-1.42283</f>
        <v>106.57717</v>
      </c>
      <c r="H7">
        <f>'Test Data'!$F$7-18.85471</f>
        <v>89.145290000000003</v>
      </c>
      <c r="I7">
        <f>'Test Data'!$F$7-33.64775</f>
        <v>74.352249999999998</v>
      </c>
      <c r="J7">
        <f>'Test Data'!$F$7-44.64141</f>
        <v>63.35859</v>
      </c>
      <c r="K7">
        <f>'Test Data'!$F$7-51.78557</f>
        <v>56.21443</v>
      </c>
      <c r="L7">
        <f>'Test Data'!$F$7-55.79204</f>
        <v>52.20796</v>
      </c>
      <c r="M7">
        <f>'Test Data'!$F$7-54.03858</f>
        <v>53.961419999999997</v>
      </c>
      <c r="N7">
        <f>'Test Data'!$F$7-50.46509</f>
        <v>57.534910000000004</v>
      </c>
      <c r="O7">
        <f>'Test Data'!$F$7-44.4332</f>
        <v>63.566800000000001</v>
      </c>
      <c r="P7">
        <f>'Test Data'!$F$7-31.93837</f>
        <v>76.061630000000008</v>
      </c>
      <c r="Q7">
        <f>'Test Data'!$F$7-5.07596</f>
        <v>102.92404000000001</v>
      </c>
    </row>
    <row r="8" spans="1:17" x14ac:dyDescent="0.3">
      <c r="A8" t="s">
        <v>48</v>
      </c>
      <c r="B8" t="s">
        <v>12</v>
      </c>
    </row>
    <row r="9" spans="1:17" x14ac:dyDescent="0.3">
      <c r="A9" t="s">
        <v>47</v>
      </c>
      <c r="B9" t="s">
        <v>12</v>
      </c>
    </row>
    <row r="10" spans="1:17" x14ac:dyDescent="0.3">
      <c r="A10" s="7" t="s">
        <v>35</v>
      </c>
      <c r="B10" t="s">
        <v>12</v>
      </c>
      <c r="C10">
        <f>1-P10/H10</f>
        <v>0.14107520924913841</v>
      </c>
      <c r="D10">
        <f>1-O10/I10</f>
        <v>0.15686770914501369</v>
      </c>
      <c r="E10">
        <f>1-N10/J10</f>
        <v>0.10306733123129619</v>
      </c>
      <c r="F10">
        <f>1-M10/K10</f>
        <v>4.6603957264670037E-2</v>
      </c>
      <c r="G10">
        <f>'Test Data'!F8-1.30995</f>
        <v>107.69005</v>
      </c>
      <c r="H10">
        <f>'Test Data'!F8-18.16689</f>
        <v>90.833110000000005</v>
      </c>
      <c r="I10">
        <f>'Test Data'!F8-31.89656</f>
        <v>77.103440000000006</v>
      </c>
      <c r="J10">
        <f>'Test Data'!F8-43.18448</f>
        <v>65.815519999999992</v>
      </c>
      <c r="K10">
        <f>'Test Data'!F8-50.69508</f>
        <v>58.304920000000003</v>
      </c>
      <c r="L10">
        <f>'Test Data'!F8-55.08202</f>
        <v>53.91798</v>
      </c>
      <c r="M10">
        <f>'Test Data'!F8-53.41232</f>
        <v>55.587679999999999</v>
      </c>
      <c r="N10">
        <f>'Test Data'!F8-49.96791</f>
        <v>59.032089999999997</v>
      </c>
      <c r="O10">
        <f>'Test Data'!F8-43.9916</f>
        <v>65.008399999999995</v>
      </c>
      <c r="P10">
        <f>'Test Data'!F8-30.98119</f>
        <v>78.018810000000002</v>
      </c>
      <c r="Q10">
        <f>'Test Data'!F8-5.01204</f>
        <v>103.98796</v>
      </c>
    </row>
    <row r="11" spans="1:17" x14ac:dyDescent="0.3">
      <c r="A11" t="s">
        <v>49</v>
      </c>
      <c r="B11" t="s">
        <v>12</v>
      </c>
    </row>
    <row r="12" spans="1:17" x14ac:dyDescent="0.3">
      <c r="A12" t="s">
        <v>50</v>
      </c>
      <c r="B12" t="s">
        <v>12</v>
      </c>
    </row>
    <row r="13" spans="1:17" x14ac:dyDescent="0.3">
      <c r="A13" s="7" t="s">
        <v>36</v>
      </c>
      <c r="B13" t="s">
        <v>12</v>
      </c>
      <c r="C13">
        <f>1-P13/H13</f>
        <v>0.12457756370580098</v>
      </c>
      <c r="D13">
        <f>1-O13/I13</f>
        <v>0.12852449931695731</v>
      </c>
      <c r="E13">
        <f>1-N13/J13</f>
        <v>7.7431120698688849E-2</v>
      </c>
      <c r="F13">
        <f>1-M13/K13</f>
        <v>4.2958171559981273E-2</v>
      </c>
      <c r="G13">
        <f>'Test Data'!F9-1.79127</f>
        <v>107.20873</v>
      </c>
      <c r="H13">
        <f>'Test Data'!F9-18.24963</f>
        <v>90.750370000000004</v>
      </c>
      <c r="I13">
        <f>'Test Data'!F9-31.406</f>
        <v>77.593999999999994</v>
      </c>
      <c r="J13">
        <f>'Test Data'!F9-41.53307</f>
        <v>67.466929999999991</v>
      </c>
      <c r="K13">
        <f>'Test Data'!F9-47.32163</f>
        <v>61.678370000000001</v>
      </c>
      <c r="L13">
        <f>'Test Data'!F9-51.57592</f>
        <v>57.424079999999996</v>
      </c>
      <c r="M13">
        <f>'Test Data'!F9-49.97122</f>
        <v>59.028779999999998</v>
      </c>
      <c r="N13">
        <f>'Test Data'!F9-46.75711</f>
        <v>62.242890000000003</v>
      </c>
      <c r="O13">
        <f>'Test Data'!F9-41.37873</f>
        <v>67.62127000000001</v>
      </c>
      <c r="P13">
        <f>'Test Data'!F9-29.55509</f>
        <v>79.444909999999993</v>
      </c>
      <c r="Q13">
        <f>'Test Data'!F9-5.53452</f>
        <v>103.46548</v>
      </c>
    </row>
    <row r="14" spans="1:17" x14ac:dyDescent="0.3">
      <c r="A14" t="s">
        <v>51</v>
      </c>
      <c r="B14" t="s">
        <v>12</v>
      </c>
    </row>
    <row r="15" spans="1:17" x14ac:dyDescent="0.3">
      <c r="A15" t="s">
        <v>52</v>
      </c>
      <c r="B15" t="s">
        <v>12</v>
      </c>
    </row>
    <row r="16" spans="1:17" x14ac:dyDescent="0.3">
      <c r="A16" s="7" t="s">
        <v>57</v>
      </c>
      <c r="B16" t="s">
        <v>12</v>
      </c>
      <c r="C16">
        <f>1-P16/H16</f>
        <v>0.10294888314072603</v>
      </c>
      <c r="D16">
        <f>1-O16/I16</f>
        <v>0.10738879693344106</v>
      </c>
      <c r="E16">
        <f>1-N16/J16</f>
        <v>7.4430078096558661E-2</v>
      </c>
      <c r="F16">
        <f>1-M16/K16</f>
        <v>4.0307484766658352E-2</v>
      </c>
      <c r="G16">
        <f>'Test Data'!F10-1.76144</f>
        <v>107.23856000000001</v>
      </c>
      <c r="H16">
        <f>'Test Data'!F10-19.10461</f>
        <v>89.895389999999992</v>
      </c>
      <c r="I16">
        <f>'Test Data'!F10-31.34162</f>
        <v>77.658379999999994</v>
      </c>
      <c r="J16">
        <f>'Test Data'!F10-40.46561</f>
        <v>68.534390000000002</v>
      </c>
      <c r="K16">
        <f>'Test Data'!F10-46.61382</f>
        <v>62.386180000000003</v>
      </c>
      <c r="L16">
        <f>'Test Data'!F10-50.89263</f>
        <v>58.107370000000003</v>
      </c>
      <c r="M16">
        <f>'Test Data'!F10-49.12845</f>
        <v>59.871549999999999</v>
      </c>
      <c r="N16">
        <f>'Test Data'!F10-45.56663</f>
        <v>63.433369999999996</v>
      </c>
      <c r="O16">
        <f>'Test Data'!F10-39.68126</f>
        <v>69.318739999999991</v>
      </c>
      <c r="P16">
        <f>'Test Data'!F10-28.35924</f>
        <v>80.64076</v>
      </c>
      <c r="Q16">
        <f>'Test Data'!F10-6.18572</f>
        <v>102.81428</v>
      </c>
    </row>
    <row r="17" spans="1:17" x14ac:dyDescent="0.3">
      <c r="A17" t="s">
        <v>58</v>
      </c>
      <c r="B17" t="s">
        <v>12</v>
      </c>
    </row>
    <row r="18" spans="1:17" x14ac:dyDescent="0.3">
      <c r="A18" t="s">
        <v>59</v>
      </c>
      <c r="B18" t="s">
        <v>12</v>
      </c>
    </row>
    <row r="19" spans="1:17" x14ac:dyDescent="0.3">
      <c r="A19" s="7" t="s">
        <v>60</v>
      </c>
      <c r="B19" t="s">
        <v>12</v>
      </c>
      <c r="C19">
        <f>1-P19/H19</f>
        <v>9.5708585799021195E-2</v>
      </c>
      <c r="D19">
        <f>1-O19/I19</f>
        <v>0.10167463810678923</v>
      </c>
      <c r="E19">
        <f>1-N19/J19</f>
        <v>7.109064843877877E-2</v>
      </c>
      <c r="F19">
        <f>1-M19/K19</f>
        <v>3.7635435837637843E-2</v>
      </c>
      <c r="G19">
        <f>'Test Data'!F11-1.64721</f>
        <v>107.35279</v>
      </c>
      <c r="H19">
        <f>'Test Data'!F11-18.78312</f>
        <v>90.216880000000003</v>
      </c>
      <c r="I19">
        <f>'Test Data'!F11-30.3442</f>
        <v>78.655799999999999</v>
      </c>
      <c r="J19">
        <f>'Test Data'!F11-38.97982</f>
        <v>70.020180000000011</v>
      </c>
      <c r="K19">
        <f>'Test Data'!F11-44.9383</f>
        <v>64.061700000000002</v>
      </c>
      <c r="L19">
        <f>'Test Data'!F11-49.04294</f>
        <v>59.957059999999998</v>
      </c>
      <c r="M19">
        <f>'Test Data'!F11-47.34929</f>
        <v>61.650709999999997</v>
      </c>
      <c r="N19">
        <f>'Test Data'!F11-43.9576</f>
        <v>65.042400000000001</v>
      </c>
      <c r="O19">
        <f>'Test Data'!F11-38.3415</f>
        <v>70.658500000000004</v>
      </c>
      <c r="P19">
        <f>'Test Data'!F11-27.41765</f>
        <v>81.582350000000005</v>
      </c>
      <c r="Q19">
        <f>'Test Data'!F11-6.00372</f>
        <v>102.99628</v>
      </c>
    </row>
    <row r="20" spans="1:17" x14ac:dyDescent="0.3">
      <c r="A20" t="s">
        <v>61</v>
      </c>
      <c r="B20" t="s">
        <v>12</v>
      </c>
    </row>
    <row r="21" spans="1:17" x14ac:dyDescent="0.3">
      <c r="A21" t="s">
        <v>62</v>
      </c>
      <c r="B21" t="s">
        <v>12</v>
      </c>
    </row>
    <row r="22" spans="1:17" x14ac:dyDescent="0.3">
      <c r="A22" s="7" t="s">
        <v>37</v>
      </c>
      <c r="B22" t="s">
        <v>12</v>
      </c>
      <c r="C22">
        <f>1-P22/H22</f>
        <v>0.10665709482980368</v>
      </c>
      <c r="D22">
        <f>1-O22/I22</f>
        <v>0.10913990816660968</v>
      </c>
      <c r="E22">
        <f>1-N22/J22</f>
        <v>7.4070361436452736E-2</v>
      </c>
      <c r="F22">
        <f>1-M22/K22</f>
        <v>4.2361229054222349E-2</v>
      </c>
      <c r="G22">
        <f>'Test Data'!F12-1.97458</f>
        <v>119.02542</v>
      </c>
      <c r="H22">
        <f>'Test Data'!F12-21.31868</f>
        <v>99.681319999999999</v>
      </c>
      <c r="I22">
        <f>'Test Data'!F12-33.34343</f>
        <v>87.656570000000002</v>
      </c>
      <c r="J22">
        <f>'Test Data'!F12-42.48938</f>
        <v>78.510620000000003</v>
      </c>
      <c r="K22">
        <f>'Test Data'!F12-48.46032</f>
        <v>72.539680000000004</v>
      </c>
      <c r="L22">
        <f>'Test Data'!F12-53.15444</f>
        <v>67.845560000000006</v>
      </c>
      <c r="M22">
        <f>'Test Data'!F12-51.53319</f>
        <v>69.466810000000009</v>
      </c>
      <c r="N22">
        <f>'Test Data'!F12-48.30469</f>
        <v>72.695310000000006</v>
      </c>
      <c r="O22">
        <f>'Test Data'!F12-42.91026</f>
        <v>78.089740000000006</v>
      </c>
      <c r="P22">
        <f>'Test Data'!F12-31.9504</f>
        <v>89.049599999999998</v>
      </c>
      <c r="Q22">
        <f>'Test Data'!F12-6.84259</f>
        <v>114.15741</v>
      </c>
    </row>
    <row r="23" spans="1:17" x14ac:dyDescent="0.3">
      <c r="A23" t="s">
        <v>40</v>
      </c>
      <c r="B23" t="s">
        <v>12</v>
      </c>
    </row>
    <row r="24" spans="1:17" x14ac:dyDescent="0.3">
      <c r="A24" t="s">
        <v>45</v>
      </c>
      <c r="B24" t="s">
        <v>12</v>
      </c>
    </row>
    <row r="25" spans="1:17" x14ac:dyDescent="0.3">
      <c r="A25" s="7" t="s">
        <v>39</v>
      </c>
      <c r="B25" t="s">
        <v>12</v>
      </c>
      <c r="C25">
        <f>1-P25/H25</f>
        <v>0.10015298709604736</v>
      </c>
      <c r="D25">
        <f>1-O25/I25</f>
        <v>0.10158216789129215</v>
      </c>
      <c r="E25">
        <f>1-N25/J25</f>
        <v>6.8663921167905762E-2</v>
      </c>
      <c r="F25">
        <f>1-M25/K25</f>
        <v>3.8699184211997362E-2</v>
      </c>
      <c r="G25">
        <f>'Test Data'!F13-1.96529</f>
        <v>119.03471</v>
      </c>
      <c r="H25">
        <f>'Test Data'!F13-19.89997</f>
        <v>101.10003</v>
      </c>
      <c r="I25">
        <f>'Test Data'!F13-32.2926</f>
        <v>88.707400000000007</v>
      </c>
      <c r="J25">
        <f>'Test Data'!F13-41.35934</f>
        <v>79.640659999999997</v>
      </c>
      <c r="K25">
        <f>'Test Data'!F13-47.29948</f>
        <v>73.700519999999997</v>
      </c>
      <c r="L25">
        <f>'Test Data'!F13-51.83235</f>
        <v>69.167650000000009</v>
      </c>
      <c r="M25">
        <f>'Test Data'!F13-50.15163</f>
        <v>70.848370000000003</v>
      </c>
      <c r="N25">
        <f>'Test Data'!F13-46.82778</f>
        <v>74.17222000000001</v>
      </c>
      <c r="O25">
        <f>'Test Data'!F13-41.30369</f>
        <v>79.696309999999997</v>
      </c>
      <c r="P25">
        <f>'Test Data'!F13-30.02544</f>
        <v>90.974559999999997</v>
      </c>
      <c r="Q25">
        <f>'Test Data'!F13-6.36368</f>
        <v>114.63632</v>
      </c>
    </row>
    <row r="26" spans="1:17" x14ac:dyDescent="0.3">
      <c r="A26" t="s">
        <v>41</v>
      </c>
      <c r="B26" t="s">
        <v>12</v>
      </c>
    </row>
    <row r="27" spans="1:17" x14ac:dyDescent="0.3">
      <c r="A27" t="s">
        <v>46</v>
      </c>
      <c r="B27" t="s">
        <v>12</v>
      </c>
    </row>
    <row r="28" spans="1:17" x14ac:dyDescent="0.3">
      <c r="A28" s="7" t="s">
        <v>42</v>
      </c>
      <c r="B28" t="s">
        <v>12</v>
      </c>
      <c r="C28">
        <f>1-P28/H28</f>
        <v>9.6969613891153217E-2</v>
      </c>
      <c r="D28">
        <f>1-O28/I28</f>
        <v>9.9796914118104985E-2</v>
      </c>
      <c r="E28">
        <f>1-N28/J28</f>
        <v>6.7409774422921176E-2</v>
      </c>
      <c r="F28">
        <f>1-M28/K28</f>
        <v>3.6913799171562345E-2</v>
      </c>
      <c r="G28">
        <f>'Test Data'!F14-2.02899</f>
        <v>118.97101000000001</v>
      </c>
      <c r="H28">
        <f>'Test Data'!F14-19.59906</f>
        <v>101.40093999999999</v>
      </c>
      <c r="I28">
        <f>'Test Data'!F14-31.89484</f>
        <v>89.105159999999998</v>
      </c>
      <c r="J28">
        <f>'Test Data'!F14-41.06812</f>
        <v>79.931880000000007</v>
      </c>
      <c r="K28">
        <f>'Test Data'!F14-47.126</f>
        <v>73.873999999999995</v>
      </c>
      <c r="L28">
        <f>'Test Data'!F14-51.57761</f>
        <v>69.422390000000007</v>
      </c>
      <c r="M28">
        <f>'Test Data'!F14-49.85297</f>
        <v>71.147030000000001</v>
      </c>
      <c r="N28">
        <f>'Test Data'!F14-46.45631</f>
        <v>74.543689999999998</v>
      </c>
      <c r="O28">
        <f>'Test Data'!F14-40.78726</f>
        <v>80.212739999999997</v>
      </c>
      <c r="P28">
        <f>'Test Data'!F14-29.43187</f>
        <v>91.568129999999996</v>
      </c>
      <c r="Q28">
        <f>'Test Data'!F14-6.30475</f>
        <v>114.69525</v>
      </c>
    </row>
    <row r="29" spans="1:17" x14ac:dyDescent="0.3">
      <c r="A29" t="s">
        <v>43</v>
      </c>
      <c r="B29" t="s">
        <v>12</v>
      </c>
    </row>
    <row r="30" spans="1:17" x14ac:dyDescent="0.3">
      <c r="A30" t="s">
        <v>44</v>
      </c>
      <c r="B30" t="s">
        <v>12</v>
      </c>
    </row>
    <row r="31" spans="1:17" x14ac:dyDescent="0.3">
      <c r="A31" s="7" t="s">
        <v>55</v>
      </c>
      <c r="B31" t="s">
        <v>12</v>
      </c>
      <c r="C31">
        <f>1-P31/H31</f>
        <v>9.184154572355796E-2</v>
      </c>
      <c r="D31">
        <f>1-O31/I31</f>
        <v>9.4833729485423901E-2</v>
      </c>
      <c r="E31">
        <f>1-N31/J31</f>
        <v>6.9964670814608776E-2</v>
      </c>
      <c r="F31">
        <f>1-M31/K31</f>
        <v>3.9849065871018885E-2</v>
      </c>
      <c r="G31">
        <f>'Test Data'!F15-1.93467</f>
        <v>117.06533</v>
      </c>
      <c r="H31">
        <f>'Test Data'!F15-20.88362</f>
        <v>98.116379999999992</v>
      </c>
      <c r="I31">
        <f>'Test Data'!F15-32.99347</f>
        <v>86.006529999999998</v>
      </c>
      <c r="J31">
        <f>'Test Data'!F15-41.84849</f>
        <v>77.151510000000002</v>
      </c>
      <c r="K31">
        <f>'Test Data'!F15-48.1479</f>
        <v>70.852100000000007</v>
      </c>
      <c r="L31">
        <f>'Test Data'!F15-52.85759</f>
        <v>66.142409999999998</v>
      </c>
      <c r="M31">
        <f>'Test Data'!F15-50.97129</f>
        <v>68.02870999999999</v>
      </c>
      <c r="N31">
        <f>'Test Data'!F15-47.24637</f>
        <v>71.753630000000001</v>
      </c>
      <c r="O31">
        <f>'Test Data'!F15-41.14979</f>
        <v>77.850210000000004</v>
      </c>
      <c r="P31">
        <f>'Test Data'!F15-29.89478</f>
        <v>89.105220000000003</v>
      </c>
      <c r="Q31">
        <f>'Test Data'!F15-6.4349</f>
        <v>112.5651</v>
      </c>
    </row>
    <row r="32" spans="1:17" x14ac:dyDescent="0.3">
      <c r="A32" t="s">
        <v>63</v>
      </c>
      <c r="B32" t="s">
        <v>12</v>
      </c>
    </row>
    <row r="33" spans="1:7" x14ac:dyDescent="0.3">
      <c r="A33" t="s">
        <v>64</v>
      </c>
      <c r="B33" t="s">
        <v>12</v>
      </c>
    </row>
    <row r="34" spans="1:7" x14ac:dyDescent="0.3">
      <c r="A34" s="7" t="s">
        <v>56</v>
      </c>
      <c r="B34" t="s">
        <v>12</v>
      </c>
      <c r="C34" t="s">
        <v>111</v>
      </c>
      <c r="G34">
        <f>'Test Data'!F16</f>
        <v>119</v>
      </c>
    </row>
    <row r="35" spans="1:7" x14ac:dyDescent="0.3">
      <c r="A35" t="s">
        <v>65</v>
      </c>
      <c r="B35" t="s">
        <v>12</v>
      </c>
    </row>
    <row r="36" spans="1:7" x14ac:dyDescent="0.3">
      <c r="A36" t="s">
        <v>66</v>
      </c>
      <c r="B36" t="s">
        <v>12</v>
      </c>
    </row>
  </sheetData>
  <mergeCells count="1">
    <mergeCell ref="B5:Q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4B945-C629-4B4D-AAD7-2D79FFDCB64B}">
  <dimension ref="M8:O19"/>
  <sheetViews>
    <sheetView workbookViewId="0">
      <selection activeCell="Q24" sqref="Q24"/>
    </sheetView>
  </sheetViews>
  <sheetFormatPr defaultRowHeight="14.4" x14ac:dyDescent="0.3"/>
  <cols>
    <col min="13" max="13" width="10.44140625" bestFit="1" customWidth="1"/>
    <col min="14" max="14" width="20.109375" bestFit="1" customWidth="1"/>
    <col min="15" max="15" width="16.44140625" bestFit="1" customWidth="1"/>
  </cols>
  <sheetData>
    <row r="8" spans="13:15" ht="21" x14ac:dyDescent="0.4">
      <c r="N8" s="13" t="s">
        <v>79</v>
      </c>
    </row>
    <row r="9" spans="13:15" x14ac:dyDescent="0.3">
      <c r="M9" t="s">
        <v>78</v>
      </c>
      <c r="N9">
        <v>1.96</v>
      </c>
      <c r="O9" t="s">
        <v>81</v>
      </c>
    </row>
    <row r="10" spans="13:15" x14ac:dyDescent="0.3">
      <c r="M10" t="s">
        <v>80</v>
      </c>
      <c r="N10">
        <v>0.84160000000000001</v>
      </c>
      <c r="O10" t="s">
        <v>82</v>
      </c>
    </row>
    <row r="11" spans="13:15" x14ac:dyDescent="0.3">
      <c r="M11" t="s">
        <v>85</v>
      </c>
      <c r="N11">
        <v>0.1</v>
      </c>
      <c r="O11" t="s">
        <v>86</v>
      </c>
    </row>
    <row r="12" spans="13:15" x14ac:dyDescent="0.3">
      <c r="M12" t="s">
        <v>87</v>
      </c>
      <c r="N12">
        <v>0.1</v>
      </c>
    </row>
    <row r="16" spans="13:15" ht="21" x14ac:dyDescent="0.4">
      <c r="N16" s="13" t="s">
        <v>83</v>
      </c>
    </row>
    <row r="17" spans="13:14" x14ac:dyDescent="0.3">
      <c r="M17" t="s">
        <v>84</v>
      </c>
      <c r="N17">
        <f>(2*(N9+N10)^2*N12^2)/(N11)^2</f>
        <v>15.697925120000001</v>
      </c>
    </row>
    <row r="19" spans="13:14" x14ac:dyDescent="0.3">
      <c r="N19" t="s">
        <v>110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8f115ca-9783-4628-abf4-a283ef21c2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425EACECB27A4AB8106CC7048E0785" ma:contentTypeVersion="15" ma:contentTypeDescription="Create a new document." ma:contentTypeScope="" ma:versionID="9395cb9dc2fc717883a122c36485ef50">
  <xsd:schema xmlns:xsd="http://www.w3.org/2001/XMLSchema" xmlns:xs="http://www.w3.org/2001/XMLSchema" xmlns:p="http://schemas.microsoft.com/office/2006/metadata/properties" xmlns:ns3="d8f115ca-9783-4628-abf4-a283ef21c28e" xmlns:ns4="be3679f5-5be6-44e0-afde-ebddc24a5526" targetNamespace="http://schemas.microsoft.com/office/2006/metadata/properties" ma:root="true" ma:fieldsID="0c71f7d74d9313cefcac2ed3b4216f2c" ns3:_="" ns4:_="">
    <xsd:import namespace="d8f115ca-9783-4628-abf4-a283ef21c28e"/>
    <xsd:import namespace="be3679f5-5be6-44e0-afde-ebddc24a55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f115ca-9783-4628-abf4-a283ef21c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679f5-5be6-44e0-afde-ebddc24a552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E063FD-439A-4247-B9EA-4AF51B2284A6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  <ds:schemaRef ds:uri="be3679f5-5be6-44e0-afde-ebddc24a5526"/>
    <ds:schemaRef ds:uri="http://purl.org/dc/elements/1.1/"/>
    <ds:schemaRef ds:uri="http://purl.org/dc/dcmitype/"/>
    <ds:schemaRef ds:uri="http://schemas.microsoft.com/office/infopath/2007/PartnerControls"/>
    <ds:schemaRef ds:uri="d8f115ca-9783-4628-abf4-a283ef21c28e"/>
  </ds:schemaRefs>
</ds:datastoreItem>
</file>

<file path=customXml/itemProps2.xml><?xml version="1.0" encoding="utf-8"?>
<ds:datastoreItem xmlns:ds="http://schemas.openxmlformats.org/officeDocument/2006/customXml" ds:itemID="{AC59578A-AC65-4384-9889-96791F68A4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B5ADFC-3CBC-45ED-84CA-EB62F8C174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f115ca-9783-4628-abf4-a283ef21c28e"/>
    <ds:schemaRef ds:uri="be3679f5-5be6-44e0-afde-ebddc24a55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Data</vt:lpstr>
      <vt:lpstr>Hysteresis Statistics</vt:lpstr>
      <vt:lpstr>LCDOD Statistics</vt:lpstr>
      <vt:lpstr>Altered Hysteresis</vt:lpstr>
      <vt:lpstr>Power - Sample Size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Tran</dc:creator>
  <cp:lastModifiedBy>William Tran (22704912)</cp:lastModifiedBy>
  <dcterms:created xsi:type="dcterms:W3CDTF">2023-07-03T07:10:41Z</dcterms:created>
  <dcterms:modified xsi:type="dcterms:W3CDTF">2023-09-27T03:47:10Z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0x010100C9425EACECB27A4AB8106CC7048E0785</vt:lpwstr>
  </property>
</Properties>
</file>