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healthdept-my.sharepoint.com/personal/he14853_health_wa_gov_au/Documents/Projects/Will_cushions/data/"/>
    </mc:Choice>
  </mc:AlternateContent>
  <xr:revisionPtr revIDLastSave="0" documentId="8_{2369387B-A518-44AE-B76C-F80ECE5AF3BF}" xr6:coauthVersionLast="47" xr6:coauthVersionMax="47" xr10:uidLastSave="{00000000-0000-0000-0000-000000000000}"/>
  <bookViews>
    <workbookView xWindow="-110" yWindow="-110" windowWidth="38620" windowHeight="21220" tabRatio="500" activeTab="1" xr2:uid="{00000000-000D-0000-FFFF-FFFF00000000}"/>
  </bookViews>
  <sheets>
    <sheet name="hysteresis" sheetId="1" r:id="rId1"/>
    <sheet name="hysteresis_stats" sheetId="5" r:id="rId2"/>
    <sheet name="lcdod" sheetId="2" r:id="rId3"/>
    <sheet name="lcdod_stats" sheetId="6" r:id="rId4"/>
    <sheet name="cushion_dimensions" sheetId="3" r:id="rId5"/>
    <sheet name="hysteresis_plus" sheetId="4" r:id="rId6"/>
  </sheets>
  <definedNames>
    <definedName name="_xlchart.v1.0" hidden="1">hysteresis!$D$17</definedName>
    <definedName name="_xlchart.v1.1" hidden="1">hysteresis!$D$17:$D$31</definedName>
    <definedName name="_xlchart.v1.10" hidden="1">hysteresis!$D$17:$D$31</definedName>
    <definedName name="_xlchart.v1.11" hidden="1">hysteresis!$D$2</definedName>
    <definedName name="_xlchart.v1.12" hidden="1">hysteresis!$D$2:$D$16</definedName>
    <definedName name="_xlchart.v1.13" hidden="1">hysteresis!$D$2:$D$31</definedName>
    <definedName name="_xlchart.v1.14" hidden="1">hysteresis!$F$17:$F$31</definedName>
    <definedName name="_xlchart.v1.15" hidden="1">hysteresis!$F$2:$F$16</definedName>
    <definedName name="_xlchart.v1.16" hidden="1">hysteresis!$G$2:$G$31</definedName>
    <definedName name="_xlchart.v1.17" hidden="1">hysteresis!$D$17</definedName>
    <definedName name="_xlchart.v1.18" hidden="1">hysteresis!$D$17:$D$31</definedName>
    <definedName name="_xlchart.v1.19" hidden="1">hysteresis!$D$2</definedName>
    <definedName name="_xlchart.v1.2" hidden="1">hysteresis!$D$2</definedName>
    <definedName name="_xlchart.v1.20" hidden="1">hysteresis!$D$2:$D$16</definedName>
    <definedName name="_xlchart.v1.21" hidden="1">hysteresis!$D$2:$D$31</definedName>
    <definedName name="_xlchart.v1.22" hidden="1">hysteresis!$F$17:$F$31</definedName>
    <definedName name="_xlchart.v1.23" hidden="1">hysteresis!$F$2:$F$16</definedName>
    <definedName name="_xlchart.v1.24" hidden="1">hysteresis!$G$2:$G$31</definedName>
    <definedName name="_xlchart.v1.25" hidden="1">hysteresis!$D$2:$D$31</definedName>
    <definedName name="_xlchart.v1.26" hidden="1">hysteresis!$G$2:$G$31</definedName>
    <definedName name="_xlchart.v1.27" hidden="1">hysteresis!$D$2:$D$31</definedName>
    <definedName name="_xlchart.v1.28" hidden="1">hysteresis!$F$2:$F$31</definedName>
    <definedName name="_xlchart.v1.29" hidden="1">hysteresis!$D$2:$D$31</definedName>
    <definedName name="_xlchart.v1.3" hidden="1">hysteresis!$D$2:$D$16</definedName>
    <definedName name="_xlchart.v1.30" hidden="1">hysteresis!$F$2:$F$31</definedName>
    <definedName name="_xlchart.v1.31" hidden="1">hysteresis!$D$2:$D$31</definedName>
    <definedName name="_xlchart.v1.32" hidden="1">hysteresis!$G$2:$G$31</definedName>
    <definedName name="_xlchart.v1.33" hidden="1">hysteresis!$D$2:$D$31</definedName>
    <definedName name="_xlchart.v1.34" hidden="1">hysteresis!$G$2:$G$31</definedName>
    <definedName name="_xlchart.v1.35" hidden="1">hysteresis!$D$2:$D$31</definedName>
    <definedName name="_xlchart.v1.36" hidden="1">hysteresis!$G$2:$G$31</definedName>
    <definedName name="_xlchart.v1.4" hidden="1">hysteresis!$F$17:$F$31</definedName>
    <definedName name="_xlchart.v1.5" hidden="1">hysteresis!$F$2:$F$16</definedName>
    <definedName name="_xlchart.v1.6" hidden="1">hysteresis!$D$2:$D$31</definedName>
    <definedName name="_xlchart.v1.7" hidden="1">hysteresis!$F$2:$F$31</definedName>
    <definedName name="_xlchart.v1.8" hidden="1">hysteresis!$G$2:$G$31</definedName>
    <definedName name="_xlchart.v1.9" hidden="1">hysteresis!$D$17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41" i="6" l="1"/>
  <c r="E41" i="6"/>
  <c r="D41" i="6"/>
  <c r="F40" i="6"/>
  <c r="E40" i="6"/>
  <c r="D40" i="6"/>
  <c r="F39" i="6"/>
  <c r="E39" i="6"/>
  <c r="D39" i="6"/>
  <c r="F38" i="6"/>
  <c r="E38" i="6"/>
  <c r="D38" i="6"/>
  <c r="F37" i="6"/>
  <c r="E37" i="6"/>
  <c r="D37" i="6"/>
  <c r="F36" i="6"/>
  <c r="E36" i="6"/>
  <c r="D36" i="6"/>
  <c r="F35" i="6"/>
  <c r="E35" i="6"/>
  <c r="D35" i="6"/>
  <c r="F34" i="6"/>
  <c r="E34" i="6"/>
  <c r="D34" i="6"/>
  <c r="F33" i="6"/>
  <c r="E33" i="6"/>
  <c r="D33" i="6"/>
  <c r="F32" i="6"/>
  <c r="E32" i="6"/>
  <c r="D32" i="6"/>
  <c r="F27" i="6"/>
  <c r="E27" i="6"/>
  <c r="D27" i="6"/>
  <c r="F26" i="6"/>
  <c r="E26" i="6"/>
  <c r="D26" i="6"/>
  <c r="F25" i="6"/>
  <c r="E25" i="6"/>
  <c r="D25" i="6"/>
  <c r="F24" i="6"/>
  <c r="E24" i="6"/>
  <c r="D24" i="6"/>
  <c r="F23" i="6"/>
  <c r="E23" i="6"/>
  <c r="D23" i="6"/>
  <c r="F22" i="6"/>
  <c r="E22" i="6"/>
  <c r="D22" i="6"/>
  <c r="F21" i="6"/>
  <c r="E21" i="6"/>
  <c r="D21" i="6"/>
  <c r="F20" i="6"/>
  <c r="E20" i="6"/>
  <c r="D20" i="6"/>
  <c r="H20" i="6" s="1"/>
  <c r="F19" i="6"/>
  <c r="E19" i="6"/>
  <c r="D19" i="6"/>
  <c r="F18" i="6"/>
  <c r="E18" i="6"/>
  <c r="D18" i="6"/>
  <c r="F13" i="6"/>
  <c r="E13" i="6"/>
  <c r="H13" i="6" s="1"/>
  <c r="D13" i="6"/>
  <c r="F12" i="6"/>
  <c r="E12" i="6"/>
  <c r="D12" i="6"/>
  <c r="F11" i="6"/>
  <c r="E11" i="6"/>
  <c r="G11" i="6" s="1"/>
  <c r="D11" i="6"/>
  <c r="F10" i="6"/>
  <c r="H10" i="6" s="1"/>
  <c r="E10" i="6"/>
  <c r="D10" i="6"/>
  <c r="F9" i="6"/>
  <c r="E9" i="6"/>
  <c r="D9" i="6"/>
  <c r="F8" i="6"/>
  <c r="H8" i="6" s="1"/>
  <c r="E8" i="6"/>
  <c r="D8" i="6"/>
  <c r="G8" i="6" s="1"/>
  <c r="F7" i="6"/>
  <c r="E7" i="6"/>
  <c r="D7" i="6"/>
  <c r="F6" i="6"/>
  <c r="E6" i="6"/>
  <c r="D6" i="6"/>
  <c r="H6" i="6" s="1"/>
  <c r="F5" i="6"/>
  <c r="E5" i="6"/>
  <c r="G5" i="6" s="1"/>
  <c r="D5" i="6"/>
  <c r="F4" i="6"/>
  <c r="E4" i="6"/>
  <c r="D19" i="5"/>
  <c r="E19" i="5"/>
  <c r="F19" i="5"/>
  <c r="D20" i="5"/>
  <c r="E20" i="5"/>
  <c r="F20" i="5"/>
  <c r="D21" i="5"/>
  <c r="E21" i="5"/>
  <c r="F21" i="5"/>
  <c r="D22" i="5"/>
  <c r="E22" i="5"/>
  <c r="F22" i="5"/>
  <c r="D23" i="5"/>
  <c r="E23" i="5"/>
  <c r="F23" i="5"/>
  <c r="D24" i="5"/>
  <c r="E24" i="5"/>
  <c r="F24" i="5"/>
  <c r="D25" i="5"/>
  <c r="E25" i="5"/>
  <c r="F25" i="5"/>
  <c r="D26" i="5"/>
  <c r="E26" i="5"/>
  <c r="F26" i="5"/>
  <c r="D27" i="5"/>
  <c r="E27" i="5"/>
  <c r="F27" i="5"/>
  <c r="E18" i="5"/>
  <c r="F18" i="5"/>
  <c r="D18" i="5"/>
  <c r="D4" i="6"/>
  <c r="C13" i="6"/>
  <c r="G12" i="6"/>
  <c r="H12" i="6"/>
  <c r="C12" i="6"/>
  <c r="C11" i="6"/>
  <c r="C10" i="6"/>
  <c r="H9" i="6"/>
  <c r="C9" i="6"/>
  <c r="C8" i="6"/>
  <c r="G7" i="6"/>
  <c r="H7" i="6"/>
  <c r="C7" i="6"/>
  <c r="C6" i="6"/>
  <c r="H5" i="6"/>
  <c r="C5" i="6"/>
  <c r="C4" i="6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B2" i="2"/>
  <c r="E2" i="2" s="1"/>
  <c r="F2" i="2" s="1"/>
  <c r="C2" i="2"/>
  <c r="H41" i="6"/>
  <c r="C41" i="6"/>
  <c r="C40" i="6"/>
  <c r="C39" i="6"/>
  <c r="C38" i="6"/>
  <c r="C37" i="6"/>
  <c r="C36" i="6"/>
  <c r="C35" i="6"/>
  <c r="C34" i="6"/>
  <c r="C33" i="6"/>
  <c r="C32" i="6"/>
  <c r="C27" i="6"/>
  <c r="C26" i="6"/>
  <c r="C25" i="6"/>
  <c r="C24" i="6"/>
  <c r="C23" i="6"/>
  <c r="C22" i="6"/>
  <c r="C21" i="6"/>
  <c r="C20" i="6"/>
  <c r="C19" i="6"/>
  <c r="C18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C27" i="5"/>
  <c r="C26" i="5"/>
  <c r="C25" i="5"/>
  <c r="C24" i="5"/>
  <c r="C23" i="5"/>
  <c r="C22" i="5"/>
  <c r="C21" i="5"/>
  <c r="C20" i="5"/>
  <c r="C19" i="5"/>
  <c r="C18" i="5"/>
  <c r="C5" i="5"/>
  <c r="C6" i="5"/>
  <c r="C7" i="5"/>
  <c r="C8" i="5"/>
  <c r="C9" i="5"/>
  <c r="C10" i="5"/>
  <c r="C11" i="5"/>
  <c r="C12" i="5"/>
  <c r="C13" i="5"/>
  <c r="C4" i="5"/>
  <c r="C31" i="4"/>
  <c r="B31" i="4"/>
  <c r="D31" i="4" s="1"/>
  <c r="C30" i="4"/>
  <c r="B30" i="4"/>
  <c r="D30" i="4" s="1"/>
  <c r="C29" i="4"/>
  <c r="B29" i="4"/>
  <c r="D29" i="4" s="1"/>
  <c r="D28" i="4"/>
  <c r="C28" i="4"/>
  <c r="B28" i="4"/>
  <c r="C27" i="4"/>
  <c r="B27" i="4"/>
  <c r="D27" i="4" s="1"/>
  <c r="C26" i="4"/>
  <c r="B26" i="4"/>
  <c r="D26" i="4" s="1"/>
  <c r="C25" i="4"/>
  <c r="B25" i="4"/>
  <c r="D25" i="4" s="1"/>
  <c r="C24" i="4"/>
  <c r="B24" i="4"/>
  <c r="D24" i="4" s="1"/>
  <c r="AA23" i="4"/>
  <c r="D23" i="4"/>
  <c r="C23" i="4"/>
  <c r="B23" i="4"/>
  <c r="C22" i="4"/>
  <c r="B22" i="4"/>
  <c r="D22" i="4" s="1"/>
  <c r="C21" i="4"/>
  <c r="B21" i="4"/>
  <c r="D21" i="4" s="1"/>
  <c r="D20" i="4"/>
  <c r="C20" i="4"/>
  <c r="B20" i="4"/>
  <c r="C19" i="4"/>
  <c r="B19" i="4"/>
  <c r="D19" i="4" s="1"/>
  <c r="C18" i="4"/>
  <c r="B18" i="4"/>
  <c r="D18" i="4" s="1"/>
  <c r="C17" i="4"/>
  <c r="B17" i="4"/>
  <c r="D17" i="4" s="1"/>
  <c r="C16" i="4"/>
  <c r="B16" i="4"/>
  <c r="D16" i="4" s="1"/>
  <c r="C15" i="4"/>
  <c r="B15" i="4"/>
  <c r="D15" i="4" s="1"/>
  <c r="C14" i="4"/>
  <c r="B14" i="4"/>
  <c r="D14" i="4" s="1"/>
  <c r="D13" i="4"/>
  <c r="C13" i="4"/>
  <c r="B13" i="4"/>
  <c r="C12" i="4"/>
  <c r="B12" i="4"/>
  <c r="D12" i="4" s="1"/>
  <c r="AA11" i="4"/>
  <c r="X11" i="4"/>
  <c r="D11" i="4"/>
  <c r="C11" i="4"/>
  <c r="B11" i="4"/>
  <c r="C10" i="4"/>
  <c r="B10" i="4"/>
  <c r="D10" i="4" s="1"/>
  <c r="C9" i="4"/>
  <c r="B9" i="4"/>
  <c r="D9" i="4" s="1"/>
  <c r="C8" i="4"/>
  <c r="B8" i="4"/>
  <c r="D8" i="4" s="1"/>
  <c r="C7" i="4"/>
  <c r="B7" i="4"/>
  <c r="D7" i="4" s="1"/>
  <c r="C6" i="4"/>
  <c r="B6" i="4"/>
  <c r="D6" i="4" s="1"/>
  <c r="C5" i="4"/>
  <c r="B5" i="4"/>
  <c r="D5" i="4" s="1"/>
  <c r="D4" i="4"/>
  <c r="C4" i="4"/>
  <c r="B4" i="4"/>
  <c r="C3" i="4"/>
  <c r="B3" i="4"/>
  <c r="D3" i="4" s="1"/>
  <c r="AB2" i="4"/>
  <c r="AA2" i="4"/>
  <c r="X2" i="4"/>
  <c r="D2" i="4"/>
  <c r="C2" i="4"/>
  <c r="B2" i="4"/>
  <c r="K31" i="2"/>
  <c r="J31" i="2"/>
  <c r="I31" i="2"/>
  <c r="C31" i="2"/>
  <c r="B31" i="2"/>
  <c r="E31" i="2" s="1"/>
  <c r="K30" i="2"/>
  <c r="J30" i="2"/>
  <c r="I30" i="2"/>
  <c r="C30" i="2"/>
  <c r="B30" i="2"/>
  <c r="E30" i="2" s="1"/>
  <c r="F29" i="2"/>
  <c r="I29" i="2" s="1"/>
  <c r="C29" i="2"/>
  <c r="B29" i="2"/>
  <c r="E29" i="2" s="1"/>
  <c r="K28" i="2"/>
  <c r="J28" i="2"/>
  <c r="I28" i="2"/>
  <c r="C28" i="2"/>
  <c r="B28" i="2"/>
  <c r="E28" i="2" s="1"/>
  <c r="F27" i="2"/>
  <c r="I27" i="2" s="1"/>
  <c r="C27" i="2"/>
  <c r="B27" i="2"/>
  <c r="E27" i="2" s="1"/>
  <c r="C26" i="2"/>
  <c r="B26" i="2"/>
  <c r="E26" i="2" s="1"/>
  <c r="F26" i="2" s="1"/>
  <c r="C25" i="2"/>
  <c r="B25" i="2"/>
  <c r="E25" i="2" s="1"/>
  <c r="F25" i="2" s="1"/>
  <c r="C24" i="2"/>
  <c r="B24" i="2"/>
  <c r="E24" i="2" s="1"/>
  <c r="F24" i="2" s="1"/>
  <c r="C23" i="2"/>
  <c r="B23" i="2"/>
  <c r="E23" i="2" s="1"/>
  <c r="F23" i="2" s="1"/>
  <c r="C22" i="2"/>
  <c r="B22" i="2"/>
  <c r="E22" i="2" s="1"/>
  <c r="F22" i="2" s="1"/>
  <c r="C21" i="2"/>
  <c r="B21" i="2"/>
  <c r="E21" i="2" s="1"/>
  <c r="F21" i="2" s="1"/>
  <c r="C20" i="2"/>
  <c r="B20" i="2"/>
  <c r="E20" i="2" s="1"/>
  <c r="F20" i="2" s="1"/>
  <c r="C19" i="2"/>
  <c r="B19" i="2"/>
  <c r="E19" i="2" s="1"/>
  <c r="F19" i="2" s="1"/>
  <c r="C18" i="2"/>
  <c r="B18" i="2"/>
  <c r="E18" i="2" s="1"/>
  <c r="F18" i="2" s="1"/>
  <c r="C17" i="2"/>
  <c r="B17" i="2"/>
  <c r="E17" i="2" s="1"/>
  <c r="F17" i="2" s="1"/>
  <c r="K16" i="2"/>
  <c r="J16" i="2"/>
  <c r="I16" i="2"/>
  <c r="C16" i="2"/>
  <c r="B16" i="2"/>
  <c r="E16" i="2" s="1"/>
  <c r="K15" i="2"/>
  <c r="J15" i="2"/>
  <c r="I15" i="2"/>
  <c r="C15" i="2"/>
  <c r="B15" i="2"/>
  <c r="E15" i="2" s="1"/>
  <c r="K14" i="2"/>
  <c r="J14" i="2"/>
  <c r="I14" i="2"/>
  <c r="C14" i="2"/>
  <c r="B14" i="2"/>
  <c r="E14" i="2" s="1"/>
  <c r="K13" i="2"/>
  <c r="J13" i="2"/>
  <c r="I13" i="2"/>
  <c r="C13" i="2"/>
  <c r="B13" i="2"/>
  <c r="E13" i="2" s="1"/>
  <c r="K12" i="2"/>
  <c r="J12" i="2"/>
  <c r="I12" i="2"/>
  <c r="C12" i="2"/>
  <c r="B12" i="2"/>
  <c r="E12" i="2" s="1"/>
  <c r="K11" i="2"/>
  <c r="J11" i="2"/>
  <c r="I11" i="2"/>
  <c r="C11" i="2"/>
  <c r="B11" i="2"/>
  <c r="E11" i="2" s="1"/>
  <c r="C10" i="2"/>
  <c r="B10" i="2"/>
  <c r="E10" i="2" s="1"/>
  <c r="F10" i="2" s="1"/>
  <c r="C9" i="2"/>
  <c r="B9" i="2"/>
  <c r="E9" i="2" s="1"/>
  <c r="F9" i="2" s="1"/>
  <c r="C8" i="2"/>
  <c r="B8" i="2"/>
  <c r="E8" i="2" s="1"/>
  <c r="F8" i="2" s="1"/>
  <c r="K8" i="2" s="1"/>
  <c r="C7" i="2"/>
  <c r="B7" i="2"/>
  <c r="E7" i="2" s="1"/>
  <c r="F7" i="2" s="1"/>
  <c r="C6" i="2"/>
  <c r="B6" i="2"/>
  <c r="E6" i="2" s="1"/>
  <c r="F6" i="2" s="1"/>
  <c r="C5" i="2"/>
  <c r="B5" i="2"/>
  <c r="E5" i="2" s="1"/>
  <c r="F5" i="2" s="1"/>
  <c r="C4" i="2"/>
  <c r="B4" i="2"/>
  <c r="E4" i="2" s="1"/>
  <c r="F4" i="2" s="1"/>
  <c r="C3" i="2"/>
  <c r="B3" i="2"/>
  <c r="E3" i="2" s="1"/>
  <c r="F3" i="2" s="1"/>
  <c r="E31" i="1"/>
  <c r="U31" i="1" s="1"/>
  <c r="C31" i="1"/>
  <c r="B31" i="1"/>
  <c r="E30" i="1"/>
  <c r="O30" i="1" s="1"/>
  <c r="C30" i="1"/>
  <c r="B30" i="1"/>
  <c r="O29" i="1"/>
  <c r="E29" i="1"/>
  <c r="S29" i="1" s="1"/>
  <c r="C29" i="1"/>
  <c r="B29" i="1"/>
  <c r="E28" i="1"/>
  <c r="O28" i="1" s="1"/>
  <c r="C28" i="1"/>
  <c r="B28" i="1"/>
  <c r="E27" i="1"/>
  <c r="C27" i="1"/>
  <c r="B27" i="1"/>
  <c r="E26" i="1"/>
  <c r="O26" i="1" s="1"/>
  <c r="C26" i="1"/>
  <c r="B26" i="1"/>
  <c r="E25" i="1"/>
  <c r="S25" i="1" s="1"/>
  <c r="C25" i="1"/>
  <c r="B25" i="1"/>
  <c r="S24" i="1"/>
  <c r="E24" i="1"/>
  <c r="O24" i="1" s="1"/>
  <c r="C24" i="1"/>
  <c r="B24" i="1"/>
  <c r="E23" i="1"/>
  <c r="S23" i="1" s="1"/>
  <c r="C23" i="1"/>
  <c r="B23" i="1"/>
  <c r="T22" i="1"/>
  <c r="E22" i="1"/>
  <c r="O22" i="1" s="1"/>
  <c r="C22" i="1"/>
  <c r="B22" i="1"/>
  <c r="R21" i="1"/>
  <c r="Q21" i="1"/>
  <c r="G21" i="1" s="1"/>
  <c r="P21" i="1"/>
  <c r="O21" i="1"/>
  <c r="E21" i="1"/>
  <c r="S21" i="1" s="1"/>
  <c r="C21" i="1"/>
  <c r="B21" i="1"/>
  <c r="E20" i="1"/>
  <c r="O20" i="1" s="1"/>
  <c r="C20" i="1"/>
  <c r="B20" i="1"/>
  <c r="E19" i="1"/>
  <c r="U19" i="1" s="1"/>
  <c r="C19" i="1"/>
  <c r="B19" i="1"/>
  <c r="S18" i="1"/>
  <c r="E18" i="1"/>
  <c r="O18" i="1" s="1"/>
  <c r="C18" i="1"/>
  <c r="B18" i="1"/>
  <c r="R17" i="1"/>
  <c r="E17" i="1"/>
  <c r="S17" i="1" s="1"/>
  <c r="C17" i="1"/>
  <c r="B17" i="1"/>
  <c r="T16" i="1"/>
  <c r="F16" i="1" s="1"/>
  <c r="F8" i="5" s="1"/>
  <c r="S16" i="1"/>
  <c r="G16" i="1" s="1"/>
  <c r="R16" i="1"/>
  <c r="Q16" i="1"/>
  <c r="P16" i="1"/>
  <c r="E16" i="1"/>
  <c r="O16" i="1" s="1"/>
  <c r="C16" i="1"/>
  <c r="B16" i="1"/>
  <c r="T15" i="1"/>
  <c r="Q15" i="1"/>
  <c r="P15" i="1"/>
  <c r="E15" i="1"/>
  <c r="S15" i="1" s="1"/>
  <c r="C15" i="1"/>
  <c r="B15" i="1"/>
  <c r="E14" i="1"/>
  <c r="T14" i="1" s="1"/>
  <c r="C14" i="1"/>
  <c r="B14" i="1"/>
  <c r="T13" i="1"/>
  <c r="P13" i="1"/>
  <c r="O13" i="1"/>
  <c r="E13" i="1"/>
  <c r="S13" i="1" s="1"/>
  <c r="C13" i="1"/>
  <c r="B13" i="1"/>
  <c r="E12" i="1"/>
  <c r="O12" i="1" s="1"/>
  <c r="C12" i="1"/>
  <c r="B12" i="1"/>
  <c r="E11" i="1"/>
  <c r="U11" i="1" s="1"/>
  <c r="C11" i="1"/>
  <c r="B11" i="1"/>
  <c r="E10" i="1"/>
  <c r="O10" i="1" s="1"/>
  <c r="C10" i="1"/>
  <c r="B10" i="1"/>
  <c r="E9" i="1"/>
  <c r="S9" i="1" s="1"/>
  <c r="C9" i="1"/>
  <c r="B9" i="1"/>
  <c r="U8" i="1"/>
  <c r="E8" i="1"/>
  <c r="C8" i="1"/>
  <c r="B8" i="1"/>
  <c r="R7" i="1"/>
  <c r="Q7" i="1"/>
  <c r="O7" i="1"/>
  <c r="E7" i="1"/>
  <c r="S7" i="1" s="1"/>
  <c r="C7" i="1"/>
  <c r="B7" i="1"/>
  <c r="U6" i="1"/>
  <c r="T6" i="1"/>
  <c r="S6" i="1"/>
  <c r="E6" i="1"/>
  <c r="C6" i="1"/>
  <c r="B6" i="1"/>
  <c r="E5" i="1"/>
  <c r="S5" i="1" s="1"/>
  <c r="C5" i="1"/>
  <c r="B5" i="1"/>
  <c r="R4" i="1"/>
  <c r="Q4" i="1"/>
  <c r="E4" i="1"/>
  <c r="O4" i="1" s="1"/>
  <c r="C4" i="1"/>
  <c r="B4" i="1"/>
  <c r="T3" i="1"/>
  <c r="E3" i="1"/>
  <c r="U3" i="1" s="1"/>
  <c r="C3" i="1"/>
  <c r="B3" i="1"/>
  <c r="R2" i="1"/>
  <c r="C2" i="1"/>
  <c r="B2" i="1"/>
  <c r="E2" i="1" s="1"/>
  <c r="Q2" i="1" s="1"/>
  <c r="H32" i="6" l="1"/>
  <c r="H11" i="6"/>
  <c r="G4" i="6"/>
  <c r="H4" i="6"/>
  <c r="G6" i="6"/>
  <c r="G10" i="6"/>
  <c r="H38" i="6"/>
  <c r="G9" i="6"/>
  <c r="G13" i="6"/>
  <c r="I2" i="2"/>
  <c r="J2" i="2"/>
  <c r="K2" i="2"/>
  <c r="H24" i="6"/>
  <c r="G24" i="6"/>
  <c r="H19" i="6"/>
  <c r="H25" i="6"/>
  <c r="H23" i="6"/>
  <c r="H26" i="6"/>
  <c r="G32" i="6"/>
  <c r="H21" i="6"/>
  <c r="H36" i="6"/>
  <c r="H34" i="6"/>
  <c r="H40" i="6"/>
  <c r="H18" i="6"/>
  <c r="G21" i="6"/>
  <c r="H27" i="6"/>
  <c r="G36" i="6"/>
  <c r="G20" i="6"/>
  <c r="H33" i="6"/>
  <c r="H35" i="6"/>
  <c r="G40" i="6"/>
  <c r="H22" i="6"/>
  <c r="G25" i="6"/>
  <c r="G35" i="6"/>
  <c r="H37" i="6"/>
  <c r="H39" i="6"/>
  <c r="G19" i="6"/>
  <c r="G23" i="6"/>
  <c r="G27" i="6"/>
  <c r="G18" i="6"/>
  <c r="G39" i="6"/>
  <c r="G22" i="6"/>
  <c r="G26" i="6"/>
  <c r="G34" i="6"/>
  <c r="G38" i="6"/>
  <c r="G33" i="6"/>
  <c r="G37" i="6"/>
  <c r="G41" i="6"/>
  <c r="K26" i="2"/>
  <c r="I26" i="2"/>
  <c r="J29" i="2"/>
  <c r="K29" i="2"/>
  <c r="K25" i="2"/>
  <c r="J25" i="2"/>
  <c r="I25" i="2"/>
  <c r="K18" i="2"/>
  <c r="I18" i="2"/>
  <c r="J18" i="2"/>
  <c r="K7" i="2"/>
  <c r="I7" i="2"/>
  <c r="I8" i="2"/>
  <c r="J26" i="2"/>
  <c r="J8" i="2"/>
  <c r="K27" i="2"/>
  <c r="G18" i="1"/>
  <c r="Q10" i="1"/>
  <c r="S4" i="1"/>
  <c r="G4" i="1" s="1"/>
  <c r="Q5" i="1"/>
  <c r="G5" i="1" s="1"/>
  <c r="T7" i="1"/>
  <c r="R9" i="1"/>
  <c r="S10" i="1"/>
  <c r="G10" i="1" s="1"/>
  <c r="R12" i="1"/>
  <c r="T21" i="1"/>
  <c r="F21" i="1" s="1"/>
  <c r="E10" i="5" s="1"/>
  <c r="G10" i="5" s="1"/>
  <c r="P23" i="1"/>
  <c r="S26" i="1"/>
  <c r="R28" i="1"/>
  <c r="P29" i="1"/>
  <c r="P30" i="1"/>
  <c r="R31" i="1"/>
  <c r="O5" i="1"/>
  <c r="P5" i="1"/>
  <c r="F5" i="1" s="1"/>
  <c r="D5" i="5" s="1"/>
  <c r="R10" i="1"/>
  <c r="T20" i="1"/>
  <c r="T4" i="1"/>
  <c r="R5" i="1"/>
  <c r="T9" i="1"/>
  <c r="T10" i="1"/>
  <c r="S12" i="1"/>
  <c r="Q13" i="1"/>
  <c r="G13" i="1" s="1"/>
  <c r="P18" i="1"/>
  <c r="Q23" i="1"/>
  <c r="P24" i="1"/>
  <c r="R25" i="1"/>
  <c r="T26" i="1"/>
  <c r="S28" i="1"/>
  <c r="Q29" i="1"/>
  <c r="G29" i="1" s="1"/>
  <c r="Q30" i="1"/>
  <c r="T31" i="1"/>
  <c r="Q26" i="1"/>
  <c r="G23" i="1"/>
  <c r="R26" i="1"/>
  <c r="T5" i="1"/>
  <c r="T12" i="1"/>
  <c r="R13" i="1"/>
  <c r="G15" i="1"/>
  <c r="Q18" i="1"/>
  <c r="R23" i="1"/>
  <c r="Q24" i="1"/>
  <c r="G24" i="1" s="1"/>
  <c r="H25" i="5" s="1"/>
  <c r="T28" i="1"/>
  <c r="R29" i="1"/>
  <c r="R30" i="1"/>
  <c r="S20" i="1"/>
  <c r="F13" i="1"/>
  <c r="F7" i="5" s="1"/>
  <c r="R18" i="1"/>
  <c r="T23" i="1"/>
  <c r="F23" i="1" s="1"/>
  <c r="D11" i="5" s="1"/>
  <c r="R24" i="1"/>
  <c r="T29" i="1"/>
  <c r="F29" i="1" s="1"/>
  <c r="D13" i="5" s="1"/>
  <c r="S30" i="1"/>
  <c r="U30" i="1"/>
  <c r="P2" i="1"/>
  <c r="P7" i="1"/>
  <c r="P10" i="1"/>
  <c r="R15" i="1"/>
  <c r="T17" i="1"/>
  <c r="T18" i="1"/>
  <c r="R20" i="1"/>
  <c r="T24" i="1"/>
  <c r="F24" i="1" s="1"/>
  <c r="E11" i="5" s="1"/>
  <c r="P26" i="1"/>
  <c r="H10" i="5"/>
  <c r="I19" i="2"/>
  <c r="K19" i="2"/>
  <c r="J19" i="2"/>
  <c r="Y8" i="4"/>
  <c r="AD8" i="4"/>
  <c r="V8" i="4"/>
  <c r="AA8" i="4"/>
  <c r="Z8" i="4"/>
  <c r="X8" i="4"/>
  <c r="T8" i="4"/>
  <c r="W8" i="4"/>
  <c r="U8" i="4"/>
  <c r="AC8" i="4"/>
  <c r="E8" i="4" s="1"/>
  <c r="AB8" i="4"/>
  <c r="F8" i="4" s="1"/>
  <c r="I4" i="2"/>
  <c r="K4" i="2"/>
  <c r="J4" i="2"/>
  <c r="K17" i="2"/>
  <c r="I17" i="2"/>
  <c r="J17" i="2"/>
  <c r="I22" i="2"/>
  <c r="K22" i="2"/>
  <c r="J22" i="2"/>
  <c r="Y5" i="4"/>
  <c r="AD5" i="4"/>
  <c r="V5" i="4"/>
  <c r="AC5" i="4"/>
  <c r="E5" i="4" s="1"/>
  <c r="AB5" i="4"/>
  <c r="F5" i="4" s="1"/>
  <c r="X5" i="4"/>
  <c r="AA5" i="4"/>
  <c r="Z5" i="4"/>
  <c r="H5" i="4" s="1"/>
  <c r="W5" i="4"/>
  <c r="U5" i="4"/>
  <c r="I9" i="2"/>
  <c r="J9" i="2"/>
  <c r="AB29" i="4"/>
  <c r="T29" i="4"/>
  <c r="AA29" i="4"/>
  <c r="Z29" i="4"/>
  <c r="H29" i="4" s="1"/>
  <c r="Y29" i="4"/>
  <c r="X29" i="4"/>
  <c r="W29" i="4"/>
  <c r="AD29" i="4"/>
  <c r="V29" i="4"/>
  <c r="AC29" i="4"/>
  <c r="U29" i="4"/>
  <c r="K24" i="2"/>
  <c r="J24" i="2"/>
  <c r="I24" i="2"/>
  <c r="S27" i="1"/>
  <c r="G27" i="1" s="1"/>
  <c r="T27" i="1"/>
  <c r="R27" i="1"/>
  <c r="P27" i="1"/>
  <c r="O27" i="1"/>
  <c r="Q27" i="1"/>
  <c r="J20" i="2"/>
  <c r="K20" i="2"/>
  <c r="I20" i="2"/>
  <c r="T5" i="4"/>
  <c r="Y26" i="4"/>
  <c r="X26" i="4"/>
  <c r="AD26" i="4"/>
  <c r="V26" i="4"/>
  <c r="W26" i="4"/>
  <c r="U26" i="4"/>
  <c r="T26" i="4"/>
  <c r="AC26" i="4"/>
  <c r="AB26" i="4"/>
  <c r="AA26" i="4"/>
  <c r="Z26" i="4"/>
  <c r="H26" i="4" s="1"/>
  <c r="S11" i="1"/>
  <c r="G11" i="1" s="1"/>
  <c r="G21" i="5" s="1"/>
  <c r="T11" i="1"/>
  <c r="R11" i="1"/>
  <c r="P11" i="1"/>
  <c r="Q11" i="1"/>
  <c r="O11" i="1"/>
  <c r="O14" i="1"/>
  <c r="S14" i="1"/>
  <c r="R14" i="1"/>
  <c r="P14" i="1"/>
  <c r="F14" i="1" s="1"/>
  <c r="D8" i="5" s="1"/>
  <c r="G8" i="5" s="1"/>
  <c r="Q14" i="1"/>
  <c r="F18" i="1"/>
  <c r="E9" i="5" s="1"/>
  <c r="U27" i="1"/>
  <c r="J5" i="2"/>
  <c r="I5" i="2"/>
  <c r="K9" i="2"/>
  <c r="J23" i="2"/>
  <c r="I23" i="2"/>
  <c r="Y14" i="4"/>
  <c r="AD14" i="4"/>
  <c r="V14" i="4"/>
  <c r="AC14" i="4"/>
  <c r="E14" i="4" s="1"/>
  <c r="AB14" i="4"/>
  <c r="F14" i="4" s="1"/>
  <c r="AA14" i="4"/>
  <c r="G14" i="4" s="1"/>
  <c r="Z14" i="4"/>
  <c r="H14" i="4" s="1"/>
  <c r="X14" i="4"/>
  <c r="W14" i="4"/>
  <c r="U14" i="4"/>
  <c r="T14" i="4"/>
  <c r="G7" i="1"/>
  <c r="O8" i="1"/>
  <c r="T8" i="1"/>
  <c r="F8" i="1" s="1"/>
  <c r="D6" i="5" s="1"/>
  <c r="G6" i="5" s="1"/>
  <c r="R8" i="1"/>
  <c r="S8" i="1"/>
  <c r="Q8" i="1"/>
  <c r="P8" i="1"/>
  <c r="F10" i="1"/>
  <c r="F6" i="5" s="1"/>
  <c r="F15" i="1"/>
  <c r="E8" i="5" s="1"/>
  <c r="G20" i="1"/>
  <c r="K3" i="2"/>
  <c r="J3" i="2"/>
  <c r="I3" i="2"/>
  <c r="K5" i="2"/>
  <c r="J10" i="2"/>
  <c r="K10" i="2"/>
  <c r="I10" i="2"/>
  <c r="K21" i="2"/>
  <c r="J21" i="2"/>
  <c r="I21" i="2"/>
  <c r="K23" i="2"/>
  <c r="O2" i="1"/>
  <c r="S2" i="1"/>
  <c r="G2" i="1" s="1"/>
  <c r="U2" i="1"/>
  <c r="T2" i="1"/>
  <c r="S3" i="1"/>
  <c r="G3" i="1" s="1"/>
  <c r="G18" i="5" s="1"/>
  <c r="R3" i="1"/>
  <c r="P3" i="1"/>
  <c r="F3" i="1" s="1"/>
  <c r="E4" i="5" s="1"/>
  <c r="O3" i="1"/>
  <c r="Q3" i="1"/>
  <c r="O6" i="1"/>
  <c r="R6" i="1"/>
  <c r="Q6" i="1"/>
  <c r="G6" i="1" s="1"/>
  <c r="P6" i="1"/>
  <c r="F6" i="1" s="1"/>
  <c r="E5" i="5" s="1"/>
  <c r="U14" i="1"/>
  <c r="K6" i="2"/>
  <c r="J6" i="2"/>
  <c r="I6" i="2"/>
  <c r="Y17" i="4"/>
  <c r="X17" i="4"/>
  <c r="AD17" i="4"/>
  <c r="V17" i="4"/>
  <c r="AB17" i="4"/>
  <c r="F17" i="4" s="1"/>
  <c r="AA17" i="4"/>
  <c r="Z17" i="4"/>
  <c r="W17" i="4"/>
  <c r="U17" i="4"/>
  <c r="T17" i="4"/>
  <c r="AC17" i="4"/>
  <c r="E17" i="4" s="1"/>
  <c r="S19" i="1"/>
  <c r="T19" i="1"/>
  <c r="R19" i="1"/>
  <c r="Q19" i="1"/>
  <c r="P19" i="1"/>
  <c r="O19" i="1"/>
  <c r="U22" i="1"/>
  <c r="T25" i="1"/>
  <c r="Y2" i="4"/>
  <c r="AD2" i="4"/>
  <c r="V2" i="4"/>
  <c r="Z2" i="4"/>
  <c r="H2" i="4" s="1"/>
  <c r="Y20" i="4"/>
  <c r="X20" i="4"/>
  <c r="AD20" i="4"/>
  <c r="V20" i="4"/>
  <c r="AB20" i="4"/>
  <c r="F20" i="4" s="1"/>
  <c r="U17" i="1"/>
  <c r="U25" i="1"/>
  <c r="Y11" i="4"/>
  <c r="AD11" i="4"/>
  <c r="V11" i="4"/>
  <c r="Z11" i="4"/>
  <c r="H11" i="4" s="1"/>
  <c r="AC20" i="4"/>
  <c r="Y23" i="4"/>
  <c r="X23" i="4"/>
  <c r="AD23" i="4"/>
  <c r="V23" i="4"/>
  <c r="AB23" i="4"/>
  <c r="F23" i="4" s="1"/>
  <c r="AC23" i="4"/>
  <c r="U9" i="1"/>
  <c r="U4" i="1"/>
  <c r="U12" i="1"/>
  <c r="U20" i="1"/>
  <c r="J7" i="2"/>
  <c r="U15" i="1"/>
  <c r="P22" i="1"/>
  <c r="F22" i="1" s="1"/>
  <c r="F10" i="5" s="1"/>
  <c r="U23" i="1"/>
  <c r="AC2" i="4"/>
  <c r="AB11" i="4"/>
  <c r="F11" i="4" s="1"/>
  <c r="O9" i="1"/>
  <c r="U10" i="1"/>
  <c r="O17" i="1"/>
  <c r="U18" i="1"/>
  <c r="Q22" i="1"/>
  <c r="O25" i="1"/>
  <c r="U26" i="1"/>
  <c r="T2" i="4"/>
  <c r="AC11" i="4"/>
  <c r="U20" i="4"/>
  <c r="T23" i="4"/>
  <c r="U28" i="1"/>
  <c r="S31" i="1"/>
  <c r="P31" i="1"/>
  <c r="F2" i="4"/>
  <c r="U7" i="1"/>
  <c r="T20" i="4"/>
  <c r="P4" i="1"/>
  <c r="F4" i="1" s="1"/>
  <c r="F4" i="5" s="1"/>
  <c r="U5" i="1"/>
  <c r="P9" i="1"/>
  <c r="F9" i="1" s="1"/>
  <c r="E6" i="5" s="1"/>
  <c r="P12" i="1"/>
  <c r="U13" i="1"/>
  <c r="P17" i="1"/>
  <c r="F17" i="1" s="1"/>
  <c r="D9" i="5" s="1"/>
  <c r="P20" i="1"/>
  <c r="F20" i="1" s="1"/>
  <c r="D10" i="5" s="1"/>
  <c r="U21" i="1"/>
  <c r="R22" i="1"/>
  <c r="P25" i="1"/>
  <c r="P28" i="1"/>
  <c r="F28" i="1" s="1"/>
  <c r="F12" i="5" s="1"/>
  <c r="U29" i="1"/>
  <c r="O31" i="1"/>
  <c r="U2" i="4"/>
  <c r="T11" i="4"/>
  <c r="W20" i="4"/>
  <c r="U23" i="4"/>
  <c r="Q9" i="1"/>
  <c r="G9" i="1" s="1"/>
  <c r="Q12" i="1"/>
  <c r="G12" i="1" s="1"/>
  <c r="O15" i="1"/>
  <c r="U16" i="1"/>
  <c r="Q17" i="1"/>
  <c r="G17" i="1" s="1"/>
  <c r="Q20" i="1"/>
  <c r="S22" i="1"/>
  <c r="O23" i="1"/>
  <c r="U24" i="1"/>
  <c r="Q25" i="1"/>
  <c r="G25" i="1" s="1"/>
  <c r="Q28" i="1"/>
  <c r="Q31" i="1"/>
  <c r="J27" i="2"/>
  <c r="W2" i="4"/>
  <c r="G2" i="4" s="1"/>
  <c r="U11" i="4"/>
  <c r="Z20" i="4"/>
  <c r="H20" i="4" s="1"/>
  <c r="W23" i="4"/>
  <c r="G23" i="4" s="1"/>
  <c r="W11" i="4"/>
  <c r="G11" i="4" s="1"/>
  <c r="AA20" i="4"/>
  <c r="G20" i="4" s="1"/>
  <c r="Z23" i="4"/>
  <c r="T30" i="1"/>
  <c r="F30" i="1" s="1"/>
  <c r="E13" i="5" s="1"/>
  <c r="J4" i="6" l="1"/>
  <c r="J32" i="6"/>
  <c r="J18" i="6"/>
  <c r="H23" i="5"/>
  <c r="G23" i="5"/>
  <c r="G25" i="5"/>
  <c r="H19" i="5"/>
  <c r="G19" i="5"/>
  <c r="G13" i="5"/>
  <c r="G5" i="5"/>
  <c r="H18" i="5"/>
  <c r="G30" i="1"/>
  <c r="F26" i="1"/>
  <c r="D12" i="5" s="1"/>
  <c r="F2" i="1"/>
  <c r="D4" i="5" s="1"/>
  <c r="H21" i="5"/>
  <c r="H8" i="5"/>
  <c r="F7" i="1"/>
  <c r="F5" i="5" s="1"/>
  <c r="H5" i="5" s="1"/>
  <c r="H6" i="5"/>
  <c r="G26" i="1"/>
  <c r="G28" i="1"/>
  <c r="F12" i="1"/>
  <c r="E7" i="5" s="1"/>
  <c r="G31" i="1"/>
  <c r="F31" i="1"/>
  <c r="F13" i="5" s="1"/>
  <c r="H13" i="5" s="1"/>
  <c r="F11" i="1"/>
  <c r="D7" i="5" s="1"/>
  <c r="F27" i="1"/>
  <c r="E12" i="5" s="1"/>
  <c r="G14" i="1"/>
  <c r="G22" i="1"/>
  <c r="H24" i="5" s="1"/>
  <c r="E11" i="4"/>
  <c r="F19" i="1"/>
  <c r="F9" i="5" s="1"/>
  <c r="H9" i="5" s="1"/>
  <c r="H17" i="4"/>
  <c r="E20" i="4"/>
  <c r="F25" i="1"/>
  <c r="F11" i="5" s="1"/>
  <c r="G19" i="1"/>
  <c r="G17" i="4"/>
  <c r="G26" i="4"/>
  <c r="E2" i="4"/>
  <c r="F26" i="4"/>
  <c r="G5" i="4"/>
  <c r="H8" i="4"/>
  <c r="H23" i="4"/>
  <c r="E23" i="4"/>
  <c r="G8" i="1"/>
  <c r="E26" i="4"/>
  <c r="G8" i="4"/>
  <c r="H12" i="5" l="1"/>
  <c r="G12" i="5"/>
  <c r="G20" i="5"/>
  <c r="H20" i="5"/>
  <c r="G22" i="5"/>
  <c r="H22" i="5"/>
  <c r="G9" i="5"/>
  <c r="G27" i="5"/>
  <c r="H4" i="5"/>
  <c r="G4" i="5"/>
  <c r="J4" i="5" s="1"/>
  <c r="H26" i="5"/>
  <c r="G26" i="5"/>
  <c r="H7" i="5"/>
  <c r="G7" i="5"/>
  <c r="G24" i="5"/>
  <c r="H27" i="5"/>
  <c r="G11" i="5"/>
  <c r="H11" i="5"/>
  <c r="J18" i="5" l="1"/>
</calcChain>
</file>

<file path=xl/sharedStrings.xml><?xml version="1.0" encoding="utf-8"?>
<sst xmlns="http://schemas.openxmlformats.org/spreadsheetml/2006/main" count="275" uniqueCount="93">
  <si>
    <t>test_ID</t>
  </si>
  <si>
    <t>cushion</t>
  </si>
  <si>
    <t>rep</t>
  </si>
  <si>
    <t>thickness</t>
  </si>
  <si>
    <t>H_250</t>
  </si>
  <si>
    <t>H_500</t>
  </si>
  <si>
    <t>disp_8N_load</t>
  </si>
  <si>
    <t>disp_250N_load</t>
  </si>
  <si>
    <t>disp_500N_load</t>
  </si>
  <si>
    <t>disp_750N_load</t>
  </si>
  <si>
    <t>disp_500N_unload</t>
  </si>
  <si>
    <t>disp_250N_unload</t>
  </si>
  <si>
    <t>disp_8N_unload</t>
  </si>
  <si>
    <t>t_8_load</t>
  </si>
  <si>
    <t>t_250_load</t>
  </si>
  <si>
    <t>t_500_load</t>
  </si>
  <si>
    <t>t_750_load</t>
  </si>
  <si>
    <t>t_500_unload</t>
  </si>
  <si>
    <t>t_250_unload</t>
  </si>
  <si>
    <t>t_8_unload</t>
  </si>
  <si>
    <t>W798553-01A</t>
  </si>
  <si>
    <t>W798553-01B</t>
  </si>
  <si>
    <t>W798553-01C</t>
  </si>
  <si>
    <t>W798553-02A</t>
  </si>
  <si>
    <t>W798553-02B</t>
  </si>
  <si>
    <t>W798553-02C</t>
  </si>
  <si>
    <t>W798553-03A</t>
  </si>
  <si>
    <t>W798553-03B</t>
  </si>
  <si>
    <t>W798553-03C</t>
  </si>
  <si>
    <t>W896204-01A</t>
  </si>
  <si>
    <t>W896204-01B</t>
  </si>
  <si>
    <t>W896204-01C</t>
  </si>
  <si>
    <t>W896204-02A</t>
  </si>
  <si>
    <t>W896204-02B</t>
  </si>
  <si>
    <t>W896204-02C</t>
  </si>
  <si>
    <t>W819482-01A</t>
  </si>
  <si>
    <t>W819482-01B</t>
  </si>
  <si>
    <t>W819482-01C</t>
  </si>
  <si>
    <t>W819482-02A</t>
  </si>
  <si>
    <t>W819482-02B</t>
  </si>
  <si>
    <t>W819482-02C</t>
  </si>
  <si>
    <t>W819482-03A</t>
  </si>
  <si>
    <t>W819482-03B</t>
  </si>
  <si>
    <t>W819482-03C</t>
  </si>
  <si>
    <t>W884993-01A</t>
  </si>
  <si>
    <t>W884993-01B</t>
  </si>
  <si>
    <t>W884993-01C</t>
  </si>
  <si>
    <t>W884993-02A</t>
  </si>
  <si>
    <t>W884993-02B</t>
  </si>
  <si>
    <t>W884993-02C</t>
  </si>
  <si>
    <t>Depth_0</t>
  </si>
  <si>
    <t>depth_180</t>
  </si>
  <si>
    <t>depth_225</t>
  </si>
  <si>
    <t>lcd</t>
  </si>
  <si>
    <t>L_180</t>
  </si>
  <si>
    <t>L_225</t>
  </si>
  <si>
    <t>L</t>
  </si>
  <si>
    <t>W</t>
  </si>
  <si>
    <t>T</t>
  </si>
  <si>
    <t>batch</t>
  </si>
  <si>
    <t>W850844-01</t>
  </si>
  <si>
    <t>DUMMY SAMPLE - not to be recorded</t>
  </si>
  <si>
    <t>W798553-01</t>
  </si>
  <si>
    <t>FW04619</t>
  </si>
  <si>
    <t>W798553-02</t>
  </si>
  <si>
    <t>W798553-03</t>
  </si>
  <si>
    <t>W896204-01</t>
  </si>
  <si>
    <t>W896204-02</t>
  </si>
  <si>
    <t>W819482-01</t>
  </si>
  <si>
    <t>FW04621</t>
  </si>
  <si>
    <t>W819482-02</t>
  </si>
  <si>
    <t>W819482-03</t>
  </si>
  <si>
    <t>W884993-01</t>
  </si>
  <si>
    <t>W884993-02</t>
  </si>
  <si>
    <t>Cushion ID</t>
  </si>
  <si>
    <t>H_750</t>
  </si>
  <si>
    <t>H_1000</t>
  </si>
  <si>
    <t>disp_1000N_load</t>
  </si>
  <si>
    <t>disp_1200N_load</t>
  </si>
  <si>
    <t>disp_1000N_unload</t>
  </si>
  <si>
    <t>disp_750N_unload</t>
  </si>
  <si>
    <t>t_1000_load</t>
  </si>
  <si>
    <t>t_1200_load</t>
  </si>
  <si>
    <t>t_1000_unload</t>
  </si>
  <si>
    <t>t_750_unload</t>
  </si>
  <si>
    <t>RECORD</t>
  </si>
  <si>
    <t>A</t>
  </si>
  <si>
    <t>B</t>
  </si>
  <si>
    <t>C</t>
  </si>
  <si>
    <t>mean</t>
  </si>
  <si>
    <t>SD</t>
  </si>
  <si>
    <t>t.test</t>
  </si>
  <si>
    <t>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</si>
</sst>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1" xfId="0" applyFont="1" applyBorder="1" applyAlignment="1" applyProtection="1"/>
    <xf numFmtId="2" fontId="0" fillId="0" borderId="0" xfId="0" applyNumberFormat="1" applyAlignment="1" applyProtection="1"/>
    <xf numFmtId="2" fontId="0" fillId="0" borderId="0" xfId="0" applyNumberFormat="1" applyBorder="1" applyAlignment="1" applyProtection="1"/>
    <xf numFmtId="0" fontId="0" fillId="0" borderId="0" xfId="0" applyFont="1" applyBorder="1" applyAlignment="1" applyProtection="1"/>
    <xf numFmtId="0" fontId="2" fillId="0" borderId="0" xfId="0" applyFont="1" applyAlignment="1" applyProtection="1"/>
    <xf numFmtId="0" fontId="2" fillId="0" borderId="2" xfId="0" applyFont="1" applyBorder="1" applyAlignment="1" applyProtection="1"/>
    <xf numFmtId="0" fontId="0" fillId="0" borderId="3" xfId="0" applyFont="1" applyBorder="1" applyAlignment="1" applyProtection="1"/>
    <xf numFmtId="0" fontId="3" fillId="2" borderId="1" xfId="1" applyBorder="1" applyAlignment="1" applyProtection="1"/>
    <xf numFmtId="0" fontId="3" fillId="2" borderId="0" xfId="1" applyAlignment="1" applyProtection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3" fillId="2" borderId="0" xfId="1"/>
    <xf numFmtId="164" fontId="3" fillId="2" borderId="0" xfId="1" applyNumberFormat="1"/>
    <xf numFmtId="165" fontId="3" fillId="2" borderId="0" xfId="1" applyNumberFormat="1"/>
  </cellXfs>
  <cellStyles count="2">
    <cellStyle name="Good" xfId="1" builtinId="26"/>
    <cellStyle name="Normal" xfId="0" builtinId="0"/>
  </cellStyles>
  <dxfs count="44">
    <dxf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numFmt numFmtId="2" formatCode="0.00"/>
      <alignment horizontal="general" vertical="bottom" textRotation="0" wrapText="0" indent="0" justifyLastLine="0" shrinkToFit="0" readingOrder="0"/>
      <protection locked="1" hidden="0"/>
    </dxf>
    <dxf>
      <numFmt numFmtId="2" formatCode="0.00"/>
      <alignment horizontal="general" vertical="bottom" textRotation="0" wrapText="0" indent="0" justifyLastLine="0" shrinkToFit="0" readingOrder="0"/>
      <protection locked="1" hidden="0"/>
    </dxf>
    <dxf>
      <numFmt numFmtId="2" formatCode="0.00"/>
      <alignment horizontal="general" vertical="bottom" textRotation="0" wrapText="0" indent="0" justifyLastLine="0" shrinkToFit="0" readingOrder="0"/>
      <protection locked="1" hidden="0"/>
    </dxf>
    <dxf>
      <numFmt numFmtId="2" formatCode="0.00"/>
      <alignment horizontal="general" vertical="bottom" textRotation="0" wrapText="0" indent="0" justifyLastLine="0" shrinkToFit="0" readingOrder="0"/>
      <protection locked="1" hidden="0"/>
    </dxf>
    <dxf>
      <numFmt numFmtId="2" formatCode="0.00"/>
      <alignment horizontal="general" vertical="bottom" textRotation="0" wrapText="0" indent="0" justifyLastLine="0" shrinkToFit="0" readingOrder="0"/>
      <protection locked="1" hidden="0"/>
    </dxf>
    <dxf>
      <numFmt numFmtId="2" formatCode="0.00"/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_xlchart.v1.29</cx:f>
      </cx:strDim>
      <cx:numDim type="val">
        <cx:f>_xlchart.v1.30</cx:f>
      </cx:numDim>
    </cx:data>
  </cx:chartData>
  <cx:chart>
    <cx:title pos="t" align="ctr" overlay="0">
      <cx:tx>
        <cx:txData>
          <cx:v>H_250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kumimoji="0" lang="en-AU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defRPr>
          </a:pPr>
          <a:r>
            <a:rPr kumimoji="0" lang="en-AU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H_250</a:t>
          </a:r>
        </a:p>
      </cx:txPr>
    </cx:title>
    <cx:plotArea>
      <cx:plotAreaRegion>
        <cx:series layoutId="boxWhisker" uniqueId="{914135B9-D5FC-42CE-8789-61D98A362A04}">
          <cx:dataId val="0"/>
          <cx:layoutPr>
            <cx:statistics quartileMethod="exclusive"/>
          </cx:layoutPr>
        </cx:series>
      </cx:plotAreaRegion>
      <cx:axis id="0">
        <cx:catScaling gapWidth="1.10000002"/>
        <cx:tickLabels/>
        <cx:txPr>
          <a:bodyPr vertOverflow="overflow" horzOverflow="overflow" wrap="square" lIns="0" tIns="0" rIns="0" bIns="0"/>
          <a:lstStyle/>
          <a:p>
            <a:pPr algn="ctr" rtl="0">
              <a:defRPr kumimoji="0" lang="en-AU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defRPr>
            </a:pPr>
            <a:endParaRPr kumimoji="0" lang="en-AU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kumimoji="0" lang="en-AU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defRPr>
            </a:pPr>
            <a:endParaRPr kumimoji="0" lang="en-AU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_xlchart.v1.35</cx:f>
      </cx:strDim>
      <cx:numDim type="val">
        <cx:f>_xlchart.v1.36</cx:f>
      </cx:numDim>
    </cx:data>
  </cx:chartData>
  <cx:chart>
    <cx:title pos="t" align="ctr" overlay="0">
      <cx:tx>
        <cx:txData>
          <cx:v>H_500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kumimoji="0" lang="en-AU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defRPr>
          </a:pPr>
          <a:r>
            <a:rPr kumimoji="0" lang="en-AU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H_500</a:t>
          </a:r>
        </a:p>
      </cx:txPr>
    </cx:title>
    <cx:plotArea>
      <cx:plotAreaRegion>
        <cx:series layoutId="boxWhisker" uniqueId="{4D7A7687-DB0C-457B-B426-D1D84570094B}">
          <cx:dataId val="0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  <cx:txPr>
          <a:bodyPr vertOverflow="overflow" horzOverflow="overflow" wrap="square" lIns="0" tIns="0" rIns="0" bIns="0"/>
          <a:lstStyle/>
          <a:p>
            <a:pPr algn="ctr" rtl="0">
              <a:defRPr kumimoji="0" lang="en-AU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defRPr>
            </a:pPr>
            <a:endParaRPr kumimoji="0" lang="en-AU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kumimoji="0" lang="en-AU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defRPr>
            </a:pPr>
            <a:endParaRPr kumimoji="0" lang="en-AU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17</xdr:col>
      <xdr:colOff>41276</xdr:colOff>
      <xdr:row>24</xdr:row>
      <xdr:rowOff>149226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A8C2F10-55FF-4BE6-8309-82326932B7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54800" y="368300"/>
              <a:ext cx="3698876" cy="40735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0</xdr:colOff>
      <xdr:row>2</xdr:row>
      <xdr:rowOff>0</xdr:rowOff>
    </xdr:from>
    <xdr:to>
      <xdr:col>24</xdr:col>
      <xdr:colOff>38101</xdr:colOff>
      <xdr:row>24</xdr:row>
      <xdr:rowOff>158751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CCA1592-1E52-4BD5-81F7-EA403EF3A8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22000" y="368300"/>
              <a:ext cx="3695701" cy="40830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D73DDA-0545-43B7-9F74-228B29065AE8}" name="tbl_hysteresis" displayName="tbl_hysteresis" ref="A1:U31" totalsRowShown="0" headerRowDxfId="15" dataDxfId="16">
  <autoFilter ref="A1:U31" xr:uid="{7ED73DDA-0545-43B7-9F74-228B29065AE8}"/>
  <tableColumns count="21">
    <tableColumn id="1" xr3:uid="{650B5D32-B134-414E-B2AB-D22CEFD75050}" name="test_ID" dataDxfId="36"/>
    <tableColumn id="2" xr3:uid="{853DC505-8C1F-431A-92C3-23B3374B55E2}" name="cushion" dataDxfId="35">
      <calculatedColumnFormula>LEFT(A2,LEN(A2)-1)</calculatedColumnFormula>
    </tableColumn>
    <tableColumn id="3" xr3:uid="{373B2D49-0C77-4812-96FC-F36449FF18BF}" name="rep" dataDxfId="34">
      <calculatedColumnFormula>RIGHT(A2,1)</calculatedColumnFormula>
    </tableColumn>
    <tableColumn id="21" xr3:uid="{AC7DBFD1-8854-4525-8143-5E3ECC58FCEB}" name="batch" dataDxfId="13">
      <calculatedColumnFormula>INDEX(tbl_cushions[batch], MATCH(tbl_hysteresis[[#This Row],[cushion]],tbl_cushions[cushion],0))</calculatedColumnFormula>
    </tableColumn>
    <tableColumn id="4" xr3:uid="{8A1F4705-0796-4850-B59F-8AD973BBA3DB}" name="thickness" dataDxfId="33">
      <calculatedColumnFormula>VLOOKUP(LEFT(A2,LEN(A2)-1), cushion_dimensions!$A$2:$D$12,4,0)</calculatedColumnFormula>
    </tableColumn>
    <tableColumn id="5" xr3:uid="{693AE18D-216C-4C62-9715-B168BE4E576C}" name="H_250" dataDxfId="32">
      <calculatedColumnFormula>1-(T2/P2)</calculatedColumnFormula>
    </tableColumn>
    <tableColumn id="6" xr3:uid="{40F854E2-E25F-482C-B0F4-880B2C5FC031}" name="H_500" dataDxfId="31">
      <calculatedColumnFormula>1-(S2/Q2)</calculatedColumnFormula>
    </tableColumn>
    <tableColumn id="7" xr3:uid="{FC24220D-D1BD-4A4E-9FEE-3D8101629FBB}" name="disp_8N_load" dataDxfId="30" dataCellStyle="Good"/>
    <tableColumn id="8" xr3:uid="{4D852A07-E578-4DDA-AC73-FD168288DEA3}" name="disp_250N_load" dataDxfId="29" dataCellStyle="Good"/>
    <tableColumn id="9" xr3:uid="{AF019EE2-2371-407F-A639-8DB60BB0A627}" name="disp_500N_load" dataDxfId="28" dataCellStyle="Good"/>
    <tableColumn id="10" xr3:uid="{CAACBC40-5F64-4D66-87F6-09FE3EF3E05E}" name="disp_750N_load" dataDxfId="27" dataCellStyle="Good"/>
    <tableColumn id="11" xr3:uid="{F5516273-5F1B-4EDA-9865-C4FB2908A37B}" name="disp_500N_unload" dataDxfId="26" dataCellStyle="Good"/>
    <tableColumn id="12" xr3:uid="{0E6DDF5D-7B62-4134-9B72-9193A2D9D925}" name="disp_250N_unload" dataDxfId="25" dataCellStyle="Good"/>
    <tableColumn id="13" xr3:uid="{8BAD553D-F545-46AD-9095-80CA0B21C90C}" name="disp_8N_unload" dataDxfId="24" dataCellStyle="Good"/>
    <tableColumn id="14" xr3:uid="{A248D4E2-26EA-424C-B65A-58E65B1EBB78}" name="t_8_load" dataDxfId="23">
      <calculatedColumnFormula>$E2-H2</calculatedColumnFormula>
    </tableColumn>
    <tableColumn id="15" xr3:uid="{85952BA4-6003-44F9-847A-4F516D93D75C}" name="t_250_load" dataDxfId="22">
      <calculatedColumnFormula>$E2-I2</calculatedColumnFormula>
    </tableColumn>
    <tableColumn id="16" xr3:uid="{660C1DD2-05BF-45DA-B141-76FB3D89A3B5}" name="t_500_load" dataDxfId="21">
      <calculatedColumnFormula>$E2-J2</calculatedColumnFormula>
    </tableColumn>
    <tableColumn id="17" xr3:uid="{646B8995-006E-4CF5-8EBD-F29601CA7B12}" name="t_750_load" dataDxfId="20">
      <calculatedColumnFormula>$E2-K2</calculatedColumnFormula>
    </tableColumn>
    <tableColumn id="18" xr3:uid="{186EBE50-9B01-4D44-A43A-534CBA258F10}" name="t_500_unload" dataDxfId="19">
      <calculatedColumnFormula>$E2-L2</calculatedColumnFormula>
    </tableColumn>
    <tableColumn id="19" xr3:uid="{850DC30E-4076-468C-9A82-91E045D69E60}" name="t_250_unload" dataDxfId="18">
      <calculatedColumnFormula>$E2-M2</calculatedColumnFormula>
    </tableColumn>
    <tableColumn id="20" xr3:uid="{324426DD-C461-4FD2-8FAF-A8D20E311672}" name="t_8_unload" dataDxfId="17">
      <calculatedColumnFormula>$E2-N2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F0257C-3BE1-474D-876E-9CF4BF007937}" name="tbl_lcdod" displayName="tbl_lcdod" ref="A1:K31" totalsRowShown="0" headerRowDxfId="1" dataDxfId="2">
  <autoFilter ref="A1:K31" xr:uid="{51F0257C-3BE1-474D-876E-9CF4BF007937}"/>
  <tableColumns count="11">
    <tableColumn id="1" xr3:uid="{32B35922-735E-4625-9F20-620C9317EDB1}" name="test_ID" dataDxfId="12"/>
    <tableColumn id="2" xr3:uid="{5CA78DCF-B3DC-442E-B38C-8CA6D2FC9330}" name="cushion" dataDxfId="11">
      <calculatedColumnFormula>LEFT(A2,LEN(A2)-1)</calculatedColumnFormula>
    </tableColumn>
    <tableColumn id="3" xr3:uid="{3827842A-6EC9-4928-9926-30EBA8C02FE3}" name="rep" dataDxfId="10">
      <calculatedColumnFormula>RIGHT(A2,1)</calculatedColumnFormula>
    </tableColumn>
    <tableColumn id="11" xr3:uid="{47DA4C76-45A4-4011-931F-42578B2DF5DF}" name="batch" dataDxfId="0">
      <calculatedColumnFormula>INDEX(tbl_cushions[batch], MATCH(tbl_hysteresis[[#This Row],[cushion]],tbl_cushions[cushion],0))</calculatedColumnFormula>
    </tableColumn>
    <tableColumn id="4" xr3:uid="{96CA8912-545E-4B22-9B18-81B0DB6B066A}" name="thickness" dataDxfId="9">
      <calculatedColumnFormula>VLOOKUP(B2, cushion_dimensions!$A$2:$D$12,4,0)</calculatedColumnFormula>
    </tableColumn>
    <tableColumn id="5" xr3:uid="{3F7F7D5C-08E6-47BC-8341-126485F3FAE1}" name="Depth_0" dataDxfId="8"/>
    <tableColumn id="6" xr3:uid="{790A66C1-A323-418E-8C85-4088C397494D}" name="depth_180" dataDxfId="7"/>
    <tableColumn id="7" xr3:uid="{9D0B25BD-1ACD-4886-ABD4-FD3952435F9D}" name="depth_225" dataDxfId="6"/>
    <tableColumn id="8" xr3:uid="{7639294D-0639-4828-A271-DB4DB7923EB0}" name="lcd" dataDxfId="5">
      <calculatedColumnFormula>F2</calculatedColumnFormula>
    </tableColumn>
    <tableColumn id="9" xr3:uid="{FF71E9F2-87D7-46B9-8C3C-F29810CE250F}" name="L_180" dataDxfId="4">
      <calculatedColumnFormula>G2-F2</calculatedColumnFormula>
    </tableColumn>
    <tableColumn id="10" xr3:uid="{4AE63104-F53B-48DF-B561-98D2D81D23DE}" name="L_225" dataDxfId="3">
      <calculatedColumnFormula>H2-F2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68A22D-EA30-4A64-B159-87E9D991E792}" name="tbl_cushions" displayName="tbl_cushions" ref="A1:E12" totalsRowShown="0" headerRowDxfId="37" dataDxfId="38">
  <autoFilter ref="A1:E12" xr:uid="{F768A22D-EA30-4A64-B159-87E9D991E792}"/>
  <tableColumns count="5">
    <tableColumn id="1" xr3:uid="{273FB342-5E84-495E-92A1-463AE8EE6718}" name="cushion" dataDxfId="43"/>
    <tableColumn id="2" xr3:uid="{5C124839-6686-401F-A05E-EB18EC420AA3}" name="L" dataDxfId="42"/>
    <tableColumn id="3" xr3:uid="{E1086076-42B0-4286-A0CE-2B6DBAECAF3B}" name="W" dataDxfId="41"/>
    <tableColumn id="4" xr3:uid="{B2B677C3-E45A-4AA3-A7A6-8F80FA9B4FA6}" name="T" dataDxfId="40"/>
    <tableColumn id="5" xr3:uid="{86DBC415-9374-49A2-B051-20F97E7560C1}" name="batch" dataDxfId="3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zoomScaleNormal="100" workbookViewId="0">
      <selection activeCell="AD28" sqref="AD28"/>
    </sheetView>
  </sheetViews>
  <sheetFormatPr defaultColWidth="11.5703125" defaultRowHeight="15" x14ac:dyDescent="0.25"/>
  <cols>
    <col min="1" max="1" width="13" style="1" customWidth="1"/>
    <col min="2" max="2" width="11.7109375" style="1" customWidth="1"/>
    <col min="3" max="3" width="6.85546875" style="1" customWidth="1"/>
    <col min="4" max="4" width="16" style="1" customWidth="1"/>
    <col min="5" max="5" width="12" style="1" customWidth="1"/>
    <col min="6" max="6" width="11.140625" style="1" customWidth="1"/>
    <col min="7" max="7" width="11" style="1" customWidth="1"/>
    <col min="8" max="8" width="15.85546875" style="11" hidden="1" customWidth="1"/>
    <col min="9" max="13" width="16.85546875" style="11" hidden="1" customWidth="1"/>
    <col min="14" max="14" width="15.85546875" style="11" hidden="1" customWidth="1"/>
    <col min="16" max="18" width="13" customWidth="1"/>
    <col min="19" max="20" width="15.28515625" customWidth="1"/>
    <col min="21" max="21" width="13.14062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59</v>
      </c>
      <c r="E1" s="2" t="s">
        <v>3</v>
      </c>
      <c r="F1" s="2" t="s">
        <v>4</v>
      </c>
      <c r="G1" s="2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1" t="s">
        <v>20</v>
      </c>
      <c r="B2" s="1" t="str">
        <f t="shared" ref="B2:B31" si="0">LEFT(A2,LEN(A2)-1)</f>
        <v>W798553-01</v>
      </c>
      <c r="C2" s="1" t="str">
        <f t="shared" ref="C2:C31" si="1">RIGHT(A2,1)</f>
        <v>A</v>
      </c>
      <c r="D2" s="1" t="str">
        <f>INDEX(tbl_cushions[batch], MATCH(tbl_hysteresis[[#This Row],[cushion]],tbl_cushions[cushion],0))</f>
        <v>FW04619</v>
      </c>
      <c r="E2" s="1">
        <f>VLOOKUP(B2, cushion_dimensions!$A$2:$D$12,4,0)</f>
        <v>108</v>
      </c>
      <c r="F2" s="1">
        <f t="shared" ref="F2:F31" si="2">1-(T2/P2)</f>
        <v>9.7718698298727036E-2</v>
      </c>
      <c r="G2" s="1">
        <f t="shared" ref="G2:G31" si="3">1-(S2/Q2)</f>
        <v>6.3227620455124423E-2</v>
      </c>
      <c r="H2" s="11">
        <v>1.4063699999999999</v>
      </c>
      <c r="I2" s="11">
        <v>18.211349999999999</v>
      </c>
      <c r="J2" s="11">
        <v>31.640650000000001</v>
      </c>
      <c r="K2" s="11">
        <v>40.569290000000002</v>
      </c>
      <c r="L2" s="11">
        <v>36.468670000000003</v>
      </c>
      <c r="M2" s="11">
        <v>26.985379999999999</v>
      </c>
      <c r="N2" s="11">
        <v>4.6461800000000002</v>
      </c>
      <c r="O2" s="1">
        <f t="shared" ref="O2:O31" si="4">$E2-H2</f>
        <v>106.59363</v>
      </c>
      <c r="P2" s="1">
        <f t="shared" ref="P2:P31" si="5">$E2-I2</f>
        <v>89.788650000000004</v>
      </c>
      <c r="Q2" s="1">
        <f t="shared" ref="Q2:Q31" si="6">$E2-J2</f>
        <v>76.359350000000006</v>
      </c>
      <c r="R2" s="1">
        <f t="shared" ref="R2:R31" si="7">$E2-K2</f>
        <v>67.430710000000005</v>
      </c>
      <c r="S2" s="1">
        <f t="shared" ref="S2:S31" si="8">$E2-L2</f>
        <v>71.531329999999997</v>
      </c>
      <c r="T2" s="1">
        <f t="shared" ref="T2:T31" si="9">$E2-M2</f>
        <v>81.014620000000008</v>
      </c>
      <c r="U2" s="1">
        <f t="shared" ref="U2:U31" si="10">$E2-N2</f>
        <v>103.35382</v>
      </c>
    </row>
    <row r="3" spans="1:21" x14ac:dyDescent="0.25">
      <c r="A3" s="1" t="s">
        <v>21</v>
      </c>
      <c r="B3" s="1" t="str">
        <f t="shared" si="0"/>
        <v>W798553-01</v>
      </c>
      <c r="C3" s="1" t="str">
        <f t="shared" si="1"/>
        <v>B</v>
      </c>
      <c r="D3" s="1" t="str">
        <f>INDEX(tbl_cushions[batch], MATCH(tbl_hysteresis[[#This Row],[cushion]],tbl_cushions[cushion],0))</f>
        <v>FW04619</v>
      </c>
      <c r="E3" s="1">
        <f>VLOOKUP(LEFT(A3,LEN(A3)-1), cushion_dimensions!$A$2:$D$12,4,0)</f>
        <v>108</v>
      </c>
      <c r="F3" s="1">
        <f t="shared" si="2"/>
        <v>0.10606032978109992</v>
      </c>
      <c r="G3" s="1">
        <f t="shared" si="3"/>
        <v>7.4534935288190551E-2</v>
      </c>
      <c r="H3" s="11">
        <v>1.66387</v>
      </c>
      <c r="I3" s="11">
        <v>18.06034</v>
      </c>
      <c r="J3" s="11">
        <v>31.423559999999998</v>
      </c>
      <c r="K3" s="11">
        <v>41.214089999999999</v>
      </c>
      <c r="L3" s="11">
        <v>37.131180000000001</v>
      </c>
      <c r="M3" s="11">
        <v>27.59937</v>
      </c>
      <c r="N3" s="11">
        <v>5.0543899999999997</v>
      </c>
      <c r="O3" s="1">
        <f t="shared" si="4"/>
        <v>106.33613</v>
      </c>
      <c r="P3" s="1">
        <f t="shared" si="5"/>
        <v>89.939660000000003</v>
      </c>
      <c r="Q3" s="1">
        <f t="shared" si="6"/>
        <v>76.576440000000005</v>
      </c>
      <c r="R3" s="1">
        <f t="shared" si="7"/>
        <v>66.785910000000001</v>
      </c>
      <c r="S3" s="1">
        <f t="shared" si="8"/>
        <v>70.868819999999999</v>
      </c>
      <c r="T3" s="1">
        <f t="shared" si="9"/>
        <v>80.400630000000007</v>
      </c>
      <c r="U3" s="1">
        <f t="shared" si="10"/>
        <v>102.94561</v>
      </c>
    </row>
    <row r="4" spans="1:21" x14ac:dyDescent="0.25">
      <c r="A4" s="1" t="s">
        <v>22</v>
      </c>
      <c r="B4" s="1" t="str">
        <f t="shared" si="0"/>
        <v>W798553-01</v>
      </c>
      <c r="C4" s="1" t="str">
        <f t="shared" si="1"/>
        <v>C</v>
      </c>
      <c r="D4" s="1" t="str">
        <f>INDEX(tbl_cushions[batch], MATCH(tbl_hysteresis[[#This Row],[cushion]],tbl_cushions[cushion],0))</f>
        <v>FW04619</v>
      </c>
      <c r="E4" s="1">
        <f>VLOOKUP(LEFT(A4,LEN(A4)-1), cushion_dimensions!$A$2:$D$12,4,0)</f>
        <v>108</v>
      </c>
      <c r="F4" s="1">
        <f t="shared" si="2"/>
        <v>0.10361932330237844</v>
      </c>
      <c r="G4" s="1">
        <f t="shared" si="3"/>
        <v>6.6041746459816419E-2</v>
      </c>
      <c r="H4" s="11">
        <v>1.40754</v>
      </c>
      <c r="I4" s="11">
        <v>18.166080000000001</v>
      </c>
      <c r="J4" s="11">
        <v>32.022300000000001</v>
      </c>
      <c r="K4" s="11">
        <v>41.150939999999999</v>
      </c>
      <c r="L4" s="11">
        <v>37.04</v>
      </c>
      <c r="M4" s="11">
        <v>27.474609999999998</v>
      </c>
      <c r="N4" s="11">
        <v>4.6135700000000002</v>
      </c>
      <c r="O4" s="1">
        <f t="shared" si="4"/>
        <v>106.59246</v>
      </c>
      <c r="P4" s="1">
        <f t="shared" si="5"/>
        <v>89.833920000000006</v>
      </c>
      <c r="Q4" s="1">
        <f t="shared" si="6"/>
        <v>75.977699999999999</v>
      </c>
      <c r="R4" s="1">
        <f t="shared" si="7"/>
        <v>66.849060000000009</v>
      </c>
      <c r="S4" s="1">
        <f t="shared" si="8"/>
        <v>70.960000000000008</v>
      </c>
      <c r="T4" s="1">
        <f t="shared" si="9"/>
        <v>80.525390000000002</v>
      </c>
      <c r="U4" s="1">
        <f t="shared" si="10"/>
        <v>103.38643</v>
      </c>
    </row>
    <row r="5" spans="1:21" x14ac:dyDescent="0.25">
      <c r="A5" s="1" t="s">
        <v>23</v>
      </c>
      <c r="B5" s="1" t="str">
        <f t="shared" si="0"/>
        <v>W798553-02</v>
      </c>
      <c r="C5" s="1" t="str">
        <f t="shared" si="1"/>
        <v>A</v>
      </c>
      <c r="D5" s="1" t="str">
        <f>INDEX(tbl_cushions[batch], MATCH(tbl_hysteresis[[#This Row],[cushion]],tbl_cushions[cushion],0))</f>
        <v>FW04619</v>
      </c>
      <c r="E5" s="1">
        <f>VLOOKUP(LEFT(A5,LEN(A5)-1), cushion_dimensions!$A$2:$D$12,4,0)</f>
        <v>109</v>
      </c>
      <c r="F5" s="1">
        <f t="shared" si="2"/>
        <v>9.671497960802089E-2</v>
      </c>
      <c r="G5" s="1">
        <f t="shared" si="3"/>
        <v>5.9083284286596705E-2</v>
      </c>
      <c r="H5" s="11">
        <v>1.0534300000000001</v>
      </c>
      <c r="I5" s="11">
        <v>18.611519999999999</v>
      </c>
      <c r="J5" s="11">
        <v>32.151530000000001</v>
      </c>
      <c r="K5" s="11">
        <v>40.532359999999997</v>
      </c>
      <c r="L5" s="11">
        <v>36.691989999999997</v>
      </c>
      <c r="M5" s="11">
        <v>27.353439999999999</v>
      </c>
      <c r="N5" s="11">
        <v>4.3628900000000002</v>
      </c>
      <c r="O5" s="1">
        <f t="shared" si="4"/>
        <v>107.94656999999999</v>
      </c>
      <c r="P5" s="1">
        <f t="shared" si="5"/>
        <v>90.388480000000001</v>
      </c>
      <c r="Q5" s="1">
        <f t="shared" si="6"/>
        <v>76.848469999999992</v>
      </c>
      <c r="R5" s="1">
        <f t="shared" si="7"/>
        <v>68.467640000000003</v>
      </c>
      <c r="S5" s="1">
        <f t="shared" si="8"/>
        <v>72.308009999999996</v>
      </c>
      <c r="T5" s="1">
        <f t="shared" si="9"/>
        <v>81.646559999999994</v>
      </c>
      <c r="U5" s="1">
        <f t="shared" si="10"/>
        <v>104.63711000000001</v>
      </c>
    </row>
    <row r="6" spans="1:21" x14ac:dyDescent="0.25">
      <c r="A6" s="1" t="s">
        <v>24</v>
      </c>
      <c r="B6" s="1" t="str">
        <f t="shared" si="0"/>
        <v>W798553-02</v>
      </c>
      <c r="C6" s="1" t="str">
        <f t="shared" si="1"/>
        <v>B</v>
      </c>
      <c r="D6" s="1" t="str">
        <f>INDEX(tbl_cushions[batch], MATCH(tbl_hysteresis[[#This Row],[cushion]],tbl_cushions[cushion],0))</f>
        <v>FW04619</v>
      </c>
      <c r="E6" s="1">
        <f>VLOOKUP(LEFT(A6,LEN(A6)-1), cushion_dimensions!$A$2:$D$12,4,0)</f>
        <v>109</v>
      </c>
      <c r="F6" s="1">
        <f t="shared" si="2"/>
        <v>0.10450889480273107</v>
      </c>
      <c r="G6" s="1">
        <f t="shared" si="3"/>
        <v>8.0477917952233358E-2</v>
      </c>
      <c r="H6" s="11">
        <v>1.4812700000000001</v>
      </c>
      <c r="I6" s="11">
        <v>18.177299999999999</v>
      </c>
      <c r="J6" s="11">
        <v>31.336459999999999</v>
      </c>
      <c r="K6" s="11">
        <v>41.542290000000001</v>
      </c>
      <c r="L6" s="11">
        <v>37.586660000000002</v>
      </c>
      <c r="M6" s="11">
        <v>27.669080000000001</v>
      </c>
      <c r="N6" s="11">
        <v>4.9118199999999996</v>
      </c>
      <c r="O6" s="1">
        <f t="shared" si="4"/>
        <v>107.51873000000001</v>
      </c>
      <c r="P6" s="1">
        <f t="shared" si="5"/>
        <v>90.822699999999998</v>
      </c>
      <c r="Q6" s="1">
        <f t="shared" si="6"/>
        <v>77.663539999999998</v>
      </c>
      <c r="R6" s="1">
        <f t="shared" si="7"/>
        <v>67.457709999999992</v>
      </c>
      <c r="S6" s="1">
        <f t="shared" si="8"/>
        <v>71.413340000000005</v>
      </c>
      <c r="T6" s="1">
        <f t="shared" si="9"/>
        <v>81.330919999999992</v>
      </c>
      <c r="U6" s="1">
        <f t="shared" si="10"/>
        <v>104.08817999999999</v>
      </c>
    </row>
    <row r="7" spans="1:21" x14ac:dyDescent="0.25">
      <c r="A7" s="1" t="s">
        <v>25</v>
      </c>
      <c r="B7" s="1" t="str">
        <f t="shared" si="0"/>
        <v>W798553-02</v>
      </c>
      <c r="C7" s="1" t="str">
        <f t="shared" si="1"/>
        <v>C</v>
      </c>
      <c r="D7" s="1" t="str">
        <f>INDEX(tbl_cushions[batch], MATCH(tbl_hysteresis[[#This Row],[cushion]],tbl_cushions[cushion],0))</f>
        <v>FW04619</v>
      </c>
      <c r="E7" s="1">
        <f>VLOOKUP(LEFT(A7,LEN(A7)-1), cushion_dimensions!$A$2:$D$12,4,0)</f>
        <v>109</v>
      </c>
      <c r="F7" s="1">
        <f t="shared" si="2"/>
        <v>0.10069271534663671</v>
      </c>
      <c r="G7" s="1">
        <f t="shared" si="3"/>
        <v>6.9604724334176082E-2</v>
      </c>
      <c r="H7" s="11">
        <v>1.21807</v>
      </c>
      <c r="I7" s="11">
        <v>18.353819999999999</v>
      </c>
      <c r="J7" s="11">
        <v>32.009680000000003</v>
      </c>
      <c r="K7" s="11">
        <v>41.331130000000002</v>
      </c>
      <c r="L7" s="11">
        <v>37.368569999999998</v>
      </c>
      <c r="M7" s="11">
        <v>27.48123</v>
      </c>
      <c r="N7" s="11">
        <v>4.4937300000000002</v>
      </c>
      <c r="O7" s="1">
        <f t="shared" si="4"/>
        <v>107.78193</v>
      </c>
      <c r="P7" s="1">
        <f t="shared" si="5"/>
        <v>90.646180000000001</v>
      </c>
      <c r="Q7" s="1">
        <f t="shared" si="6"/>
        <v>76.990319999999997</v>
      </c>
      <c r="R7" s="1">
        <f t="shared" si="7"/>
        <v>67.668869999999998</v>
      </c>
      <c r="S7" s="1">
        <f t="shared" si="8"/>
        <v>71.631429999999995</v>
      </c>
      <c r="T7" s="1">
        <f t="shared" si="9"/>
        <v>81.518770000000004</v>
      </c>
      <c r="U7" s="1">
        <f t="shared" si="10"/>
        <v>104.50627</v>
      </c>
    </row>
    <row r="8" spans="1:21" x14ac:dyDescent="0.25">
      <c r="A8" s="1" t="s">
        <v>26</v>
      </c>
      <c r="B8" s="1" t="str">
        <f t="shared" si="0"/>
        <v>W798553-03</v>
      </c>
      <c r="C8" s="1" t="str">
        <f t="shared" si="1"/>
        <v>A</v>
      </c>
      <c r="D8" s="1" t="str">
        <f>INDEX(tbl_cushions[batch], MATCH(tbl_hysteresis[[#This Row],[cushion]],tbl_cushions[cushion],0))</f>
        <v>FW04619</v>
      </c>
      <c r="E8" s="1">
        <f>VLOOKUP(LEFT(A8,LEN(A8)-1), cushion_dimensions!$A$2:$D$12,4,0)</f>
        <v>109</v>
      </c>
      <c r="F8" s="1">
        <f t="shared" si="2"/>
        <v>9.6350544623135526E-2</v>
      </c>
      <c r="G8" s="1">
        <f t="shared" si="3"/>
        <v>6.8691800155875504E-2</v>
      </c>
      <c r="H8" s="11">
        <v>1.4839500000000001</v>
      </c>
      <c r="I8" s="11">
        <v>18.236319999999999</v>
      </c>
      <c r="J8" s="11">
        <v>31.579260000000001</v>
      </c>
      <c r="K8" s="11">
        <v>40.849260000000001</v>
      </c>
      <c r="L8" s="11">
        <v>36.89743</v>
      </c>
      <c r="M8" s="11">
        <v>26.981449999999999</v>
      </c>
      <c r="N8" s="11">
        <v>4.8230700000000004</v>
      </c>
      <c r="O8" s="1">
        <f t="shared" si="4"/>
        <v>107.51605000000001</v>
      </c>
      <c r="P8" s="1">
        <f t="shared" si="5"/>
        <v>90.763679999999994</v>
      </c>
      <c r="Q8" s="1">
        <f t="shared" si="6"/>
        <v>77.420739999999995</v>
      </c>
      <c r="R8" s="1">
        <f t="shared" si="7"/>
        <v>68.150739999999999</v>
      </c>
      <c r="S8" s="1">
        <f t="shared" si="8"/>
        <v>72.10257</v>
      </c>
      <c r="T8" s="1">
        <f t="shared" si="9"/>
        <v>82.018550000000005</v>
      </c>
      <c r="U8" s="1">
        <f t="shared" si="10"/>
        <v>104.17693</v>
      </c>
    </row>
    <row r="9" spans="1:21" x14ac:dyDescent="0.25">
      <c r="A9" s="1" t="s">
        <v>27</v>
      </c>
      <c r="B9" s="1" t="str">
        <f t="shared" si="0"/>
        <v>W798553-03</v>
      </c>
      <c r="C9" s="1" t="str">
        <f t="shared" si="1"/>
        <v>B</v>
      </c>
      <c r="D9" s="1" t="str">
        <f>INDEX(tbl_cushions[batch], MATCH(tbl_hysteresis[[#This Row],[cushion]],tbl_cushions[cushion],0))</f>
        <v>FW04619</v>
      </c>
      <c r="E9" s="1">
        <f>VLOOKUP(LEFT(A9,LEN(A9)-1), cushion_dimensions!$A$2:$D$12,4,0)</f>
        <v>109</v>
      </c>
      <c r="F9" s="1">
        <f t="shared" si="2"/>
        <v>9.6574041831761992E-2</v>
      </c>
      <c r="G9" s="1">
        <f t="shared" si="3"/>
        <v>6.5047254723435866E-2</v>
      </c>
      <c r="H9" s="11">
        <v>1.12924</v>
      </c>
      <c r="I9" s="11">
        <v>18.02224</v>
      </c>
      <c r="J9" s="11">
        <v>31.666989999999998</v>
      </c>
      <c r="K9" s="11">
        <v>40.610010000000003</v>
      </c>
      <c r="L9" s="11">
        <v>36.697290000000002</v>
      </c>
      <c r="M9" s="11">
        <v>26.808330000000002</v>
      </c>
      <c r="N9" s="11">
        <v>4.3044500000000001</v>
      </c>
      <c r="O9" s="1">
        <f t="shared" si="4"/>
        <v>107.87076</v>
      </c>
      <c r="P9" s="1">
        <f t="shared" si="5"/>
        <v>90.977760000000004</v>
      </c>
      <c r="Q9" s="1">
        <f t="shared" si="6"/>
        <v>77.333010000000002</v>
      </c>
      <c r="R9" s="1">
        <f t="shared" si="7"/>
        <v>68.389989999999997</v>
      </c>
      <c r="S9" s="1">
        <f t="shared" si="8"/>
        <v>72.30270999999999</v>
      </c>
      <c r="T9" s="1">
        <f t="shared" si="9"/>
        <v>82.191670000000002</v>
      </c>
      <c r="U9" s="1">
        <f t="shared" si="10"/>
        <v>104.69555</v>
      </c>
    </row>
    <row r="10" spans="1:21" x14ac:dyDescent="0.25">
      <c r="A10" s="1" t="s">
        <v>28</v>
      </c>
      <c r="B10" s="1" t="str">
        <f t="shared" si="0"/>
        <v>W798553-03</v>
      </c>
      <c r="C10" s="1" t="str">
        <f t="shared" si="1"/>
        <v>C</v>
      </c>
      <c r="D10" s="1" t="str">
        <f>INDEX(tbl_cushions[batch], MATCH(tbl_hysteresis[[#This Row],[cushion]],tbl_cushions[cushion],0))</f>
        <v>FW04619</v>
      </c>
      <c r="E10" s="1">
        <f>VLOOKUP(LEFT(A10,LEN(A10)-1), cushion_dimensions!$A$2:$D$12,4,0)</f>
        <v>109</v>
      </c>
      <c r="F10" s="1">
        <f t="shared" si="2"/>
        <v>9.5174058626073088E-2</v>
      </c>
      <c r="G10" s="1">
        <f t="shared" si="3"/>
        <v>6.66518044677884E-2</v>
      </c>
      <c r="H10" s="11">
        <v>1.34053</v>
      </c>
      <c r="I10" s="11">
        <v>18.040130000000001</v>
      </c>
      <c r="J10" s="11">
        <v>31.443059999999999</v>
      </c>
      <c r="K10" s="11">
        <v>40.569479999999999</v>
      </c>
      <c r="L10" s="11">
        <v>36.612369999999999</v>
      </c>
      <c r="M10" s="11">
        <v>26.697150000000001</v>
      </c>
      <c r="N10" s="11">
        <v>4.5552599999999996</v>
      </c>
      <c r="O10" s="1">
        <f t="shared" si="4"/>
        <v>107.65947</v>
      </c>
      <c r="P10" s="1">
        <f t="shared" si="5"/>
        <v>90.959869999999995</v>
      </c>
      <c r="Q10" s="1">
        <f t="shared" si="6"/>
        <v>77.556939999999997</v>
      </c>
      <c r="R10" s="1">
        <f t="shared" si="7"/>
        <v>68.430520000000001</v>
      </c>
      <c r="S10" s="1">
        <f t="shared" si="8"/>
        <v>72.387630000000001</v>
      </c>
      <c r="T10" s="1">
        <f t="shared" si="9"/>
        <v>82.302850000000007</v>
      </c>
      <c r="U10" s="1">
        <f t="shared" si="10"/>
        <v>104.44474</v>
      </c>
    </row>
    <row r="11" spans="1:21" x14ac:dyDescent="0.25">
      <c r="A11" s="1" t="s">
        <v>29</v>
      </c>
      <c r="B11" s="1" t="str">
        <f t="shared" si="0"/>
        <v>W896204-01</v>
      </c>
      <c r="C11" s="1" t="str">
        <f t="shared" si="1"/>
        <v>A</v>
      </c>
      <c r="D11" s="1" t="str">
        <f>INDEX(tbl_cushions[batch], MATCH(tbl_hysteresis[[#This Row],[cushion]],tbl_cushions[cushion],0))</f>
        <v>FW04619</v>
      </c>
      <c r="E11" s="1">
        <f>VLOOKUP(LEFT(A11,LEN(A11)-1), cushion_dimensions!$A$2:$D$12,4,0)</f>
        <v>109</v>
      </c>
      <c r="F11" s="1">
        <f t="shared" si="2"/>
        <v>8.995265541703612E-2</v>
      </c>
      <c r="G11" s="1">
        <f t="shared" si="3"/>
        <v>5.8199212749784346E-2</v>
      </c>
      <c r="H11" s="11">
        <v>1.5260400000000001</v>
      </c>
      <c r="I11" s="11">
        <v>21.289860000000001</v>
      </c>
      <c r="J11" s="11">
        <v>34.972709999999999</v>
      </c>
      <c r="K11" s="11">
        <v>43.813400000000001</v>
      </c>
      <c r="L11" s="11">
        <v>39.281039999999997</v>
      </c>
      <c r="M11" s="11">
        <v>29.17962</v>
      </c>
      <c r="N11" s="11">
        <v>5.9140199999999998</v>
      </c>
      <c r="O11" s="1">
        <f t="shared" si="4"/>
        <v>107.47396000000001</v>
      </c>
      <c r="P11" s="1">
        <f t="shared" si="5"/>
        <v>87.710139999999996</v>
      </c>
      <c r="Q11" s="1">
        <f t="shared" si="6"/>
        <v>74.027289999999994</v>
      </c>
      <c r="R11" s="1">
        <f t="shared" si="7"/>
        <v>65.186599999999999</v>
      </c>
      <c r="S11" s="1">
        <f t="shared" si="8"/>
        <v>69.71896000000001</v>
      </c>
      <c r="T11" s="1">
        <f t="shared" si="9"/>
        <v>79.82038</v>
      </c>
      <c r="U11" s="1">
        <f t="shared" si="10"/>
        <v>103.08598000000001</v>
      </c>
    </row>
    <row r="12" spans="1:21" x14ac:dyDescent="0.25">
      <c r="A12" s="1" t="s">
        <v>30</v>
      </c>
      <c r="B12" s="1" t="str">
        <f t="shared" si="0"/>
        <v>W896204-01</v>
      </c>
      <c r="C12" s="1" t="str">
        <f t="shared" si="1"/>
        <v>B</v>
      </c>
      <c r="D12" s="1" t="str">
        <f>INDEX(tbl_cushions[batch], MATCH(tbl_hysteresis[[#This Row],[cushion]],tbl_cushions[cushion],0))</f>
        <v>FW04619</v>
      </c>
      <c r="E12" s="1">
        <f>VLOOKUP(LEFT(A12,LEN(A12)-1), cushion_dimensions!$A$2:$D$12,4,0)</f>
        <v>109</v>
      </c>
      <c r="F12" s="1">
        <f t="shared" si="2"/>
        <v>8.892307077151973E-2</v>
      </c>
      <c r="G12" s="1">
        <f t="shared" si="3"/>
        <v>5.9477113135099957E-2</v>
      </c>
      <c r="H12" s="11">
        <v>1.62754</v>
      </c>
      <c r="I12" s="11">
        <v>20.46707</v>
      </c>
      <c r="J12" s="11">
        <v>33.866729999999997</v>
      </c>
      <c r="K12" s="11">
        <v>42.850180000000002</v>
      </c>
      <c r="L12" s="11">
        <v>38.335439999999998</v>
      </c>
      <c r="M12" s="11">
        <v>28.339690000000001</v>
      </c>
      <c r="N12" s="11">
        <v>5.9690000000000003</v>
      </c>
      <c r="O12" s="1">
        <f t="shared" si="4"/>
        <v>107.37246</v>
      </c>
      <c r="P12" s="1">
        <f t="shared" si="5"/>
        <v>88.532929999999993</v>
      </c>
      <c r="Q12" s="1">
        <f t="shared" si="6"/>
        <v>75.13327000000001</v>
      </c>
      <c r="R12" s="1">
        <f t="shared" si="7"/>
        <v>66.149820000000005</v>
      </c>
      <c r="S12" s="1">
        <f t="shared" si="8"/>
        <v>70.664559999999994</v>
      </c>
      <c r="T12" s="1">
        <f t="shared" si="9"/>
        <v>80.660309999999996</v>
      </c>
      <c r="U12" s="1">
        <f t="shared" si="10"/>
        <v>103.03100000000001</v>
      </c>
    </row>
    <row r="13" spans="1:21" x14ac:dyDescent="0.25">
      <c r="A13" s="1" t="s">
        <v>31</v>
      </c>
      <c r="B13" s="1" t="str">
        <f t="shared" si="0"/>
        <v>W896204-01</v>
      </c>
      <c r="C13" s="1" t="str">
        <f t="shared" si="1"/>
        <v>C</v>
      </c>
      <c r="D13" s="1" t="str">
        <f>INDEX(tbl_cushions[batch], MATCH(tbl_hysteresis[[#This Row],[cushion]],tbl_cushions[cushion],0))</f>
        <v>FW04619</v>
      </c>
      <c r="E13" s="1">
        <f>VLOOKUP(LEFT(A13,LEN(A13)-1), cushion_dimensions!$A$2:$D$12,4,0)</f>
        <v>109</v>
      </c>
      <c r="F13" s="1">
        <f t="shared" si="2"/>
        <v>8.7161111169402172E-2</v>
      </c>
      <c r="G13" s="1">
        <f t="shared" si="3"/>
        <v>5.8868147708090013E-2</v>
      </c>
      <c r="H13" s="11">
        <v>1.6494200000000001</v>
      </c>
      <c r="I13" s="11">
        <v>20.364370000000001</v>
      </c>
      <c r="J13" s="11">
        <v>33.589100000000002</v>
      </c>
      <c r="K13" s="11">
        <v>42.521520000000002</v>
      </c>
      <c r="L13" s="11">
        <v>38.028399999999998</v>
      </c>
      <c r="M13" s="11">
        <v>28.089950000000002</v>
      </c>
      <c r="N13" s="11">
        <v>5.9746800000000002</v>
      </c>
      <c r="O13" s="1">
        <f t="shared" si="4"/>
        <v>107.35057999999999</v>
      </c>
      <c r="P13" s="1">
        <f t="shared" si="5"/>
        <v>88.635629999999992</v>
      </c>
      <c r="Q13" s="1">
        <f t="shared" si="6"/>
        <v>75.410899999999998</v>
      </c>
      <c r="R13" s="1">
        <f t="shared" si="7"/>
        <v>66.47847999999999</v>
      </c>
      <c r="S13" s="1">
        <f t="shared" si="8"/>
        <v>70.971599999999995</v>
      </c>
      <c r="T13" s="1">
        <f t="shared" si="9"/>
        <v>80.910049999999998</v>
      </c>
      <c r="U13" s="1">
        <f t="shared" si="10"/>
        <v>103.02531999999999</v>
      </c>
    </row>
    <row r="14" spans="1:21" x14ac:dyDescent="0.25">
      <c r="A14" s="1" t="s">
        <v>32</v>
      </c>
      <c r="B14" s="1" t="str">
        <f t="shared" si="0"/>
        <v>W896204-02</v>
      </c>
      <c r="C14" s="1" t="str">
        <f t="shared" si="1"/>
        <v>A</v>
      </c>
      <c r="D14" s="1" t="str">
        <f>INDEX(tbl_cushions[batch], MATCH(tbl_hysteresis[[#This Row],[cushion]],tbl_cushions[cushion],0))</f>
        <v>FW04619</v>
      </c>
      <c r="E14" s="1">
        <f>VLOOKUP(LEFT(A14,LEN(A14)-1), cushion_dimensions!$A$2:$D$12,4,0)</f>
        <v>109</v>
      </c>
      <c r="F14" s="1">
        <f t="shared" si="2"/>
        <v>7.9768752398543086E-2</v>
      </c>
      <c r="G14" s="1">
        <f t="shared" si="3"/>
        <v>5.2191011133053133E-2</v>
      </c>
      <c r="H14" s="11">
        <v>1.0139</v>
      </c>
      <c r="I14" s="11">
        <v>19.883400000000002</v>
      </c>
      <c r="J14" s="11">
        <v>32.566339999999997</v>
      </c>
      <c r="K14" s="11">
        <v>40.813000000000002</v>
      </c>
      <c r="L14" s="11">
        <v>36.555489999999999</v>
      </c>
      <c r="M14" s="11">
        <v>26.99212</v>
      </c>
      <c r="N14" s="11">
        <v>5.0618800000000004</v>
      </c>
      <c r="O14" s="1">
        <f t="shared" si="4"/>
        <v>107.98609999999999</v>
      </c>
      <c r="P14" s="1">
        <f t="shared" si="5"/>
        <v>89.116600000000005</v>
      </c>
      <c r="Q14" s="1">
        <f t="shared" si="6"/>
        <v>76.433660000000003</v>
      </c>
      <c r="R14" s="1">
        <f t="shared" si="7"/>
        <v>68.186999999999998</v>
      </c>
      <c r="S14" s="1">
        <f t="shared" si="8"/>
        <v>72.444510000000008</v>
      </c>
      <c r="T14" s="1">
        <f t="shared" si="9"/>
        <v>82.00788</v>
      </c>
      <c r="U14" s="1">
        <f t="shared" si="10"/>
        <v>103.93812</v>
      </c>
    </row>
    <row r="15" spans="1:21" x14ac:dyDescent="0.25">
      <c r="A15" s="1" t="s">
        <v>33</v>
      </c>
      <c r="B15" s="1" t="str">
        <f t="shared" si="0"/>
        <v>W896204-02</v>
      </c>
      <c r="C15" s="1" t="str">
        <f t="shared" si="1"/>
        <v>B</v>
      </c>
      <c r="D15" s="1" t="str">
        <f>INDEX(tbl_cushions[batch], MATCH(tbl_hysteresis[[#This Row],[cushion]],tbl_cushions[cushion],0))</f>
        <v>FW04619</v>
      </c>
      <c r="E15" s="1">
        <f>VLOOKUP(LEFT(A15,LEN(A15)-1), cushion_dimensions!$A$2:$D$12,4,0)</f>
        <v>109</v>
      </c>
      <c r="F15" s="1">
        <f t="shared" si="2"/>
        <v>8.026281841446703E-2</v>
      </c>
      <c r="G15" s="1">
        <f t="shared" si="3"/>
        <v>5.6538558633745017E-2</v>
      </c>
      <c r="H15" s="11">
        <v>1.4399200000000001</v>
      </c>
      <c r="I15" s="11">
        <v>19.583130000000001</v>
      </c>
      <c r="J15" s="11">
        <v>31.954350000000002</v>
      </c>
      <c r="K15" s="11">
        <v>40.590330000000002</v>
      </c>
      <c r="L15" s="11">
        <v>36.310400000000001</v>
      </c>
      <c r="M15" s="11">
        <v>26.759979999999999</v>
      </c>
      <c r="N15" s="11">
        <v>5.5947100000000001</v>
      </c>
      <c r="O15" s="1">
        <f t="shared" si="4"/>
        <v>107.56008</v>
      </c>
      <c r="P15" s="1">
        <f t="shared" si="5"/>
        <v>89.416870000000003</v>
      </c>
      <c r="Q15" s="1">
        <f t="shared" si="6"/>
        <v>77.045649999999995</v>
      </c>
      <c r="R15" s="1">
        <f t="shared" si="7"/>
        <v>68.409670000000006</v>
      </c>
      <c r="S15" s="1">
        <f t="shared" si="8"/>
        <v>72.689599999999999</v>
      </c>
      <c r="T15" s="1">
        <f t="shared" si="9"/>
        <v>82.240020000000001</v>
      </c>
      <c r="U15" s="1">
        <f t="shared" si="10"/>
        <v>103.40528999999999</v>
      </c>
    </row>
    <row r="16" spans="1:21" x14ac:dyDescent="0.25">
      <c r="A16" s="1" t="s">
        <v>34</v>
      </c>
      <c r="B16" s="1" t="str">
        <f t="shared" si="0"/>
        <v>W896204-02</v>
      </c>
      <c r="C16" s="1" t="str">
        <f t="shared" si="1"/>
        <v>C</v>
      </c>
      <c r="D16" s="1" t="str">
        <f>INDEX(tbl_cushions[batch], MATCH(tbl_hysteresis[[#This Row],[cushion]],tbl_cushions[cushion],0))</f>
        <v>FW04619</v>
      </c>
      <c r="E16" s="1">
        <f>VLOOKUP(LEFT(A16,LEN(A16)-1), cushion_dimensions!$A$2:$D$12,4,0)</f>
        <v>109</v>
      </c>
      <c r="F16" s="1">
        <f t="shared" si="2"/>
        <v>7.6984879080910451E-2</v>
      </c>
      <c r="G16" s="1">
        <f t="shared" si="3"/>
        <v>6.1696807396391162E-2</v>
      </c>
      <c r="H16" s="11">
        <v>2.2738499999999999</v>
      </c>
      <c r="I16" s="11">
        <v>22.18451</v>
      </c>
      <c r="J16" s="11">
        <v>34.099690000000002</v>
      </c>
      <c r="K16" s="11">
        <v>43.095730000000003</v>
      </c>
      <c r="L16" s="11">
        <v>38.720799999999997</v>
      </c>
      <c r="M16" s="11">
        <v>28.867989999999999</v>
      </c>
      <c r="N16" s="11">
        <v>4.8498099999999997</v>
      </c>
      <c r="O16" s="1">
        <f t="shared" si="4"/>
        <v>106.72615</v>
      </c>
      <c r="P16" s="1">
        <f t="shared" si="5"/>
        <v>86.815489999999997</v>
      </c>
      <c r="Q16" s="1">
        <f t="shared" si="6"/>
        <v>74.90030999999999</v>
      </c>
      <c r="R16" s="1">
        <f t="shared" si="7"/>
        <v>65.904269999999997</v>
      </c>
      <c r="S16" s="1">
        <f t="shared" si="8"/>
        <v>70.279200000000003</v>
      </c>
      <c r="T16" s="1">
        <f t="shared" si="9"/>
        <v>80.132010000000008</v>
      </c>
      <c r="U16" s="1">
        <f t="shared" si="10"/>
        <v>104.15018999999999</v>
      </c>
    </row>
    <row r="17" spans="1:21" x14ac:dyDescent="0.25">
      <c r="A17" s="1" t="s">
        <v>35</v>
      </c>
      <c r="B17" s="1" t="str">
        <f t="shared" si="0"/>
        <v>W819482-01</v>
      </c>
      <c r="C17" s="1" t="str">
        <f t="shared" si="1"/>
        <v>A</v>
      </c>
      <c r="D17" s="1" t="str">
        <f>INDEX(tbl_cushions[batch], MATCH(tbl_hysteresis[[#This Row],[cushion]],tbl_cushions[cushion],0))</f>
        <v>FW04621</v>
      </c>
      <c r="E17" s="1">
        <f>VLOOKUP(LEFT(A17,LEN(A17)-1), cushion_dimensions!$A$2:$D$12,4,0)</f>
        <v>121</v>
      </c>
      <c r="F17" s="1">
        <f t="shared" si="2"/>
        <v>7.4443111429316811E-2</v>
      </c>
      <c r="G17" s="1">
        <f t="shared" si="3"/>
        <v>4.5418174868912198E-2</v>
      </c>
      <c r="H17" s="11">
        <v>1.3804000000000001</v>
      </c>
      <c r="I17" s="11">
        <v>20.617709999999999</v>
      </c>
      <c r="J17" s="11">
        <v>32.566899999999997</v>
      </c>
      <c r="K17" s="11">
        <v>40.346600000000002</v>
      </c>
      <c r="L17" s="11">
        <v>36.583370000000002</v>
      </c>
      <c r="M17" s="11">
        <v>28.090479999999999</v>
      </c>
      <c r="N17" s="11">
        <v>5.6773999999999996</v>
      </c>
      <c r="O17" s="1">
        <f t="shared" si="4"/>
        <v>119.61960000000001</v>
      </c>
      <c r="P17" s="1">
        <f t="shared" si="5"/>
        <v>100.38229</v>
      </c>
      <c r="Q17" s="1">
        <f t="shared" si="6"/>
        <v>88.433099999999996</v>
      </c>
      <c r="R17" s="1">
        <f t="shared" si="7"/>
        <v>80.653400000000005</v>
      </c>
      <c r="S17" s="1">
        <f t="shared" si="8"/>
        <v>84.416629999999998</v>
      </c>
      <c r="T17" s="1">
        <f t="shared" si="9"/>
        <v>92.909520000000001</v>
      </c>
      <c r="U17" s="1">
        <f t="shared" si="10"/>
        <v>115.32259999999999</v>
      </c>
    </row>
    <row r="18" spans="1:21" x14ac:dyDescent="0.25">
      <c r="A18" s="1" t="s">
        <v>36</v>
      </c>
      <c r="B18" s="1" t="str">
        <f t="shared" si="0"/>
        <v>W819482-01</v>
      </c>
      <c r="C18" s="1" t="str">
        <f t="shared" si="1"/>
        <v>B</v>
      </c>
      <c r="D18" s="1" t="str">
        <f>INDEX(tbl_cushions[batch], MATCH(tbl_hysteresis[[#This Row],[cushion]],tbl_cushions[cushion],0))</f>
        <v>FW04621</v>
      </c>
      <c r="E18" s="1">
        <f>VLOOKUP(LEFT(A18,LEN(A18)-1), cushion_dimensions!$A$2:$D$12,4,0)</f>
        <v>121</v>
      </c>
      <c r="F18" s="1">
        <f t="shared" si="2"/>
        <v>7.5902138756952398E-2</v>
      </c>
      <c r="G18" s="1">
        <f t="shared" si="3"/>
        <v>4.8535398010665642E-2</v>
      </c>
      <c r="H18" s="11">
        <v>1.80637</v>
      </c>
      <c r="I18" s="11">
        <v>21.076070000000001</v>
      </c>
      <c r="J18" s="11">
        <v>32.674979999999998</v>
      </c>
      <c r="K18" s="11">
        <v>40.702109999999998</v>
      </c>
      <c r="L18" s="11">
        <v>36.961869999999998</v>
      </c>
      <c r="M18" s="11">
        <v>28.660509999999999</v>
      </c>
      <c r="N18" s="11">
        <v>6.2536500000000004</v>
      </c>
      <c r="O18" s="1">
        <f t="shared" si="4"/>
        <v>119.19363</v>
      </c>
      <c r="P18" s="1">
        <f t="shared" si="5"/>
        <v>99.923929999999999</v>
      </c>
      <c r="Q18" s="1">
        <f t="shared" si="6"/>
        <v>88.325019999999995</v>
      </c>
      <c r="R18" s="1">
        <f t="shared" si="7"/>
        <v>80.297889999999995</v>
      </c>
      <c r="S18" s="1">
        <f t="shared" si="8"/>
        <v>84.038129999999995</v>
      </c>
      <c r="T18" s="1">
        <f t="shared" si="9"/>
        <v>92.339489999999998</v>
      </c>
      <c r="U18" s="1">
        <f t="shared" si="10"/>
        <v>114.74635000000001</v>
      </c>
    </row>
    <row r="19" spans="1:21" x14ac:dyDescent="0.25">
      <c r="A19" s="1" t="s">
        <v>37</v>
      </c>
      <c r="B19" s="1" t="str">
        <f t="shared" si="0"/>
        <v>W819482-01</v>
      </c>
      <c r="C19" s="1" t="str">
        <f t="shared" si="1"/>
        <v>C</v>
      </c>
      <c r="D19" s="1" t="str">
        <f>INDEX(tbl_cushions[batch], MATCH(tbl_hysteresis[[#This Row],[cushion]],tbl_cushions[cushion],0))</f>
        <v>FW04621</v>
      </c>
      <c r="E19" s="1">
        <f>VLOOKUP(LEFT(A19,LEN(A19)-1), cushion_dimensions!$A$2:$D$12,4,0)</f>
        <v>121</v>
      </c>
      <c r="F19" s="1">
        <f t="shared" si="2"/>
        <v>7.1593836683018774E-2</v>
      </c>
      <c r="G19" s="1">
        <f t="shared" si="3"/>
        <v>4.1346306510171904E-2</v>
      </c>
      <c r="H19" s="11">
        <v>1.443873</v>
      </c>
      <c r="I19" s="11">
        <v>20.98762</v>
      </c>
      <c r="J19" s="11">
        <v>32.75947</v>
      </c>
      <c r="K19" s="11">
        <v>40.141350000000003</v>
      </c>
      <c r="L19" s="11">
        <v>36.407890000000002</v>
      </c>
      <c r="M19" s="11">
        <v>28.14789</v>
      </c>
      <c r="N19" s="11">
        <v>5.6260599999999998</v>
      </c>
      <c r="O19" s="1">
        <f t="shared" si="4"/>
        <v>119.556127</v>
      </c>
      <c r="P19" s="1">
        <f t="shared" si="5"/>
        <v>100.01238000000001</v>
      </c>
      <c r="Q19" s="1">
        <f t="shared" si="6"/>
        <v>88.240530000000007</v>
      </c>
      <c r="R19" s="1">
        <f t="shared" si="7"/>
        <v>80.858649999999997</v>
      </c>
      <c r="S19" s="1">
        <f t="shared" si="8"/>
        <v>84.592109999999991</v>
      </c>
      <c r="T19" s="1">
        <f t="shared" si="9"/>
        <v>92.852109999999996</v>
      </c>
      <c r="U19" s="1">
        <f t="shared" si="10"/>
        <v>115.37394</v>
      </c>
    </row>
    <row r="20" spans="1:21" x14ac:dyDescent="0.25">
      <c r="A20" s="1" t="s">
        <v>38</v>
      </c>
      <c r="B20" s="1" t="str">
        <f t="shared" si="0"/>
        <v>W819482-02</v>
      </c>
      <c r="C20" s="1" t="str">
        <f t="shared" si="1"/>
        <v>A</v>
      </c>
      <c r="D20" s="1" t="str">
        <f>INDEX(tbl_cushions[batch], MATCH(tbl_hysteresis[[#This Row],[cushion]],tbl_cushions[cushion],0))</f>
        <v>FW04621</v>
      </c>
      <c r="E20" s="1">
        <f>VLOOKUP(LEFT(A20,LEN(A20)-1), cushion_dimensions!$A$2:$D$12,4,0)</f>
        <v>121</v>
      </c>
      <c r="F20" s="1">
        <f t="shared" si="2"/>
        <v>7.5209523443549364E-2</v>
      </c>
      <c r="G20" s="1">
        <f t="shared" si="3"/>
        <v>4.3581242036926371E-2</v>
      </c>
      <c r="H20" s="11">
        <v>1.3993599999999999</v>
      </c>
      <c r="I20" s="11">
        <v>20.550619999999999</v>
      </c>
      <c r="J20" s="11">
        <v>33.368949999999998</v>
      </c>
      <c r="K20" s="11">
        <v>41.197980000000001</v>
      </c>
      <c r="L20" s="11">
        <v>37.188020000000002</v>
      </c>
      <c r="M20" s="11">
        <v>28.105370000000001</v>
      </c>
      <c r="N20" s="11">
        <v>5.3747999999999996</v>
      </c>
      <c r="O20" s="1">
        <f t="shared" si="4"/>
        <v>119.60064</v>
      </c>
      <c r="P20" s="1">
        <f t="shared" si="5"/>
        <v>100.44938</v>
      </c>
      <c r="Q20" s="1">
        <f t="shared" si="6"/>
        <v>87.631050000000002</v>
      </c>
      <c r="R20" s="1">
        <f t="shared" si="7"/>
        <v>79.802019999999999</v>
      </c>
      <c r="S20" s="1">
        <f t="shared" si="8"/>
        <v>83.811980000000005</v>
      </c>
      <c r="T20" s="1">
        <f t="shared" si="9"/>
        <v>92.894630000000006</v>
      </c>
      <c r="U20" s="1">
        <f t="shared" si="10"/>
        <v>115.62520000000001</v>
      </c>
    </row>
    <row r="21" spans="1:21" x14ac:dyDescent="0.25">
      <c r="A21" s="1" t="s">
        <v>39</v>
      </c>
      <c r="B21" s="1" t="str">
        <f t="shared" si="0"/>
        <v>W819482-02</v>
      </c>
      <c r="C21" s="1" t="str">
        <f t="shared" si="1"/>
        <v>B</v>
      </c>
      <c r="D21" s="1" t="str">
        <f>INDEX(tbl_cushions[batch], MATCH(tbl_hysteresis[[#This Row],[cushion]],tbl_cushions[cushion],0))</f>
        <v>FW04621</v>
      </c>
      <c r="E21" s="1">
        <f>VLOOKUP(LEFT(A21,LEN(A21)-1), cushion_dimensions!$A$2:$D$12,4,0)</f>
        <v>121</v>
      </c>
      <c r="F21" s="1">
        <f t="shared" si="2"/>
        <v>7.3892179680238645E-2</v>
      </c>
      <c r="G21" s="1">
        <f t="shared" si="3"/>
        <v>4.7442367181552147E-2</v>
      </c>
      <c r="H21" s="11">
        <v>1.8379000000000001</v>
      </c>
      <c r="I21" s="11">
        <v>19.822040000000001</v>
      </c>
      <c r="J21" s="11">
        <v>31.85331</v>
      </c>
      <c r="K21" s="11">
        <v>40.03342</v>
      </c>
      <c r="L21" s="11">
        <v>36.082639999999998</v>
      </c>
      <c r="M21" s="11">
        <v>27.298300000000001</v>
      </c>
      <c r="N21" s="11">
        <v>5.9088799999999999</v>
      </c>
      <c r="O21" s="1">
        <f t="shared" si="4"/>
        <v>119.1621</v>
      </c>
      <c r="P21" s="1">
        <f t="shared" si="5"/>
        <v>101.17796</v>
      </c>
      <c r="Q21" s="1">
        <f t="shared" si="6"/>
        <v>89.146690000000007</v>
      </c>
      <c r="R21" s="1">
        <f t="shared" si="7"/>
        <v>80.966579999999993</v>
      </c>
      <c r="S21" s="1">
        <f t="shared" si="8"/>
        <v>84.917360000000002</v>
      </c>
      <c r="T21" s="1">
        <f t="shared" si="9"/>
        <v>93.701700000000002</v>
      </c>
      <c r="U21" s="1">
        <f t="shared" si="10"/>
        <v>115.09112</v>
      </c>
    </row>
    <row r="22" spans="1:21" x14ac:dyDescent="0.25">
      <c r="A22" s="1" t="s">
        <v>40</v>
      </c>
      <c r="B22" s="1" t="str">
        <f t="shared" si="0"/>
        <v>W819482-02</v>
      </c>
      <c r="C22" s="1" t="str">
        <f t="shared" si="1"/>
        <v>C</v>
      </c>
      <c r="D22" s="1" t="str">
        <f>INDEX(tbl_cushions[batch], MATCH(tbl_hysteresis[[#This Row],[cushion]],tbl_cushions[cushion],0))</f>
        <v>FW04621</v>
      </c>
      <c r="E22" s="1">
        <f>VLOOKUP(LEFT(A22,LEN(A22)-1), cushion_dimensions!$A$2:$D$12,4,0)</f>
        <v>121</v>
      </c>
      <c r="F22" s="1">
        <f t="shared" si="2"/>
        <v>7.8849153913997272E-2</v>
      </c>
      <c r="G22" s="1">
        <f t="shared" si="3"/>
        <v>4.0308031800595945E-2</v>
      </c>
      <c r="H22" s="11">
        <v>1.46288</v>
      </c>
      <c r="I22" s="11">
        <v>19.771519999999999</v>
      </c>
      <c r="J22" s="11">
        <v>31.889720000000001</v>
      </c>
      <c r="K22" s="11">
        <v>39.430709999999998</v>
      </c>
      <c r="L22" s="11">
        <v>35.481580000000001</v>
      </c>
      <c r="M22" s="11">
        <v>27.753299999999999</v>
      </c>
      <c r="N22" s="11">
        <v>5.2991099999999998</v>
      </c>
      <c r="O22" s="1">
        <f t="shared" si="4"/>
        <v>119.53712</v>
      </c>
      <c r="P22" s="1">
        <f t="shared" si="5"/>
        <v>101.22848</v>
      </c>
      <c r="Q22" s="1">
        <f t="shared" si="6"/>
        <v>89.110280000000003</v>
      </c>
      <c r="R22" s="1">
        <f t="shared" si="7"/>
        <v>81.569289999999995</v>
      </c>
      <c r="S22" s="1">
        <f t="shared" si="8"/>
        <v>85.518419999999992</v>
      </c>
      <c r="T22" s="1">
        <f t="shared" si="9"/>
        <v>93.246700000000004</v>
      </c>
      <c r="U22" s="1">
        <f t="shared" si="10"/>
        <v>115.70089</v>
      </c>
    </row>
    <row r="23" spans="1:21" x14ac:dyDescent="0.25">
      <c r="A23" s="1" t="s">
        <v>41</v>
      </c>
      <c r="B23" s="1" t="str">
        <f t="shared" si="0"/>
        <v>W819482-03</v>
      </c>
      <c r="C23" s="1" t="str">
        <f t="shared" si="1"/>
        <v>A</v>
      </c>
      <c r="D23" s="1" t="str">
        <f>INDEX(tbl_cushions[batch], MATCH(tbl_hysteresis[[#This Row],[cushion]],tbl_cushions[cushion],0))</f>
        <v>FW04621</v>
      </c>
      <c r="E23" s="1">
        <f>VLOOKUP(LEFT(A23,LEN(A23)-1), cushion_dimensions!$A$2:$D$12,4,0)</f>
        <v>121</v>
      </c>
      <c r="F23" s="1">
        <f t="shared" si="2"/>
        <v>7.1880812834334118E-2</v>
      </c>
      <c r="G23" s="1">
        <f t="shared" si="3"/>
        <v>4.5708327459010323E-2</v>
      </c>
      <c r="H23" s="11">
        <v>1.09982</v>
      </c>
      <c r="I23" s="11">
        <v>19.516590000000001</v>
      </c>
      <c r="J23" s="11">
        <v>32.124510000000001</v>
      </c>
      <c r="K23" s="11">
        <v>40.267800000000001</v>
      </c>
      <c r="L23" s="11">
        <v>36.186860000000003</v>
      </c>
      <c r="M23" s="11">
        <v>26.811299999999999</v>
      </c>
      <c r="N23" s="11">
        <v>4.5716299999999999</v>
      </c>
      <c r="O23" s="1">
        <f t="shared" si="4"/>
        <v>119.90018000000001</v>
      </c>
      <c r="P23" s="1">
        <f t="shared" si="5"/>
        <v>101.48340999999999</v>
      </c>
      <c r="Q23" s="1">
        <f t="shared" si="6"/>
        <v>88.875489999999999</v>
      </c>
      <c r="R23" s="1">
        <f t="shared" si="7"/>
        <v>80.732200000000006</v>
      </c>
      <c r="S23" s="1">
        <f t="shared" si="8"/>
        <v>84.813140000000004</v>
      </c>
      <c r="T23" s="1">
        <f t="shared" si="9"/>
        <v>94.188699999999997</v>
      </c>
      <c r="U23" s="1">
        <f t="shared" si="10"/>
        <v>116.42837</v>
      </c>
    </row>
    <row r="24" spans="1:21" x14ac:dyDescent="0.25">
      <c r="A24" s="1" t="s">
        <v>42</v>
      </c>
      <c r="B24" s="1" t="str">
        <f t="shared" si="0"/>
        <v>W819482-03</v>
      </c>
      <c r="C24" s="1" t="str">
        <f t="shared" si="1"/>
        <v>B</v>
      </c>
      <c r="D24" s="1" t="str">
        <f>INDEX(tbl_cushions[batch], MATCH(tbl_hysteresis[[#This Row],[cushion]],tbl_cushions[cushion],0))</f>
        <v>FW04621</v>
      </c>
      <c r="E24" s="1">
        <f>VLOOKUP(LEFT(A24,LEN(A24)-1), cushion_dimensions!$A$2:$D$12,4,0)</f>
        <v>121</v>
      </c>
      <c r="F24" s="1">
        <f t="shared" si="2"/>
        <v>6.9078595699735623E-2</v>
      </c>
      <c r="G24" s="1">
        <f t="shared" si="3"/>
        <v>4.3953845667639269E-2</v>
      </c>
      <c r="H24" s="11">
        <v>1.49041</v>
      </c>
      <c r="I24" s="11">
        <v>19.136030000000002</v>
      </c>
      <c r="J24" s="11">
        <v>30.819949999999999</v>
      </c>
      <c r="K24" s="11">
        <v>38.707239999999999</v>
      </c>
      <c r="L24" s="11">
        <v>34.783709999999999</v>
      </c>
      <c r="M24" s="11">
        <v>26.172650000000001</v>
      </c>
      <c r="N24" s="11">
        <v>5.2117300000000002</v>
      </c>
      <c r="O24" s="1">
        <f t="shared" si="4"/>
        <v>119.50959</v>
      </c>
      <c r="P24" s="1">
        <f t="shared" si="5"/>
        <v>101.86396999999999</v>
      </c>
      <c r="Q24" s="1">
        <f t="shared" si="6"/>
        <v>90.180049999999994</v>
      </c>
      <c r="R24" s="1">
        <f t="shared" si="7"/>
        <v>82.292760000000001</v>
      </c>
      <c r="S24" s="1">
        <f t="shared" si="8"/>
        <v>86.216290000000001</v>
      </c>
      <c r="T24" s="1">
        <f t="shared" si="9"/>
        <v>94.827349999999996</v>
      </c>
      <c r="U24" s="1">
        <f t="shared" si="10"/>
        <v>115.78827</v>
      </c>
    </row>
    <row r="25" spans="1:21" x14ac:dyDescent="0.25">
      <c r="A25" s="1" t="s">
        <v>43</v>
      </c>
      <c r="B25" s="1" t="str">
        <f t="shared" si="0"/>
        <v>W819482-03</v>
      </c>
      <c r="C25" s="1" t="str">
        <f t="shared" si="1"/>
        <v>C</v>
      </c>
      <c r="D25" s="1" t="str">
        <f>INDEX(tbl_cushions[batch], MATCH(tbl_hysteresis[[#This Row],[cushion]],tbl_cushions[cushion],0))</f>
        <v>FW04621</v>
      </c>
      <c r="E25" s="1">
        <f>VLOOKUP(LEFT(A25,LEN(A25)-1), cushion_dimensions!$A$2:$D$12,4,0)</f>
        <v>121</v>
      </c>
      <c r="F25" s="1">
        <f t="shared" si="2"/>
        <v>7.3238326918028895E-2</v>
      </c>
      <c r="G25" s="1">
        <f t="shared" si="3"/>
        <v>4.6590802160437095E-2</v>
      </c>
      <c r="H25" s="11">
        <v>1.4021399999999999</v>
      </c>
      <c r="I25" s="11">
        <v>19.51352</v>
      </c>
      <c r="J25" s="11">
        <v>31.83841</v>
      </c>
      <c r="K25" s="11">
        <v>40.03537</v>
      </c>
      <c r="L25" s="11">
        <v>35.992519999999999</v>
      </c>
      <c r="M25" s="11">
        <v>26.94622</v>
      </c>
      <c r="N25" s="11">
        <v>5.2221399999999996</v>
      </c>
      <c r="O25" s="1">
        <f t="shared" si="4"/>
        <v>119.59786</v>
      </c>
      <c r="P25" s="1">
        <f t="shared" si="5"/>
        <v>101.48648</v>
      </c>
      <c r="Q25" s="1">
        <f t="shared" si="6"/>
        <v>89.161590000000004</v>
      </c>
      <c r="R25" s="1">
        <f t="shared" si="7"/>
        <v>80.96463</v>
      </c>
      <c r="S25" s="1">
        <f t="shared" si="8"/>
        <v>85.007480000000001</v>
      </c>
      <c r="T25" s="1">
        <f t="shared" si="9"/>
        <v>94.053780000000003</v>
      </c>
      <c r="U25" s="1">
        <f t="shared" si="10"/>
        <v>115.77786</v>
      </c>
    </row>
    <row r="26" spans="1:21" x14ac:dyDescent="0.25">
      <c r="A26" s="1" t="s">
        <v>44</v>
      </c>
      <c r="B26" s="1" t="str">
        <f t="shared" si="0"/>
        <v>W884993-01</v>
      </c>
      <c r="C26" s="1" t="str">
        <f t="shared" si="1"/>
        <v>A</v>
      </c>
      <c r="D26" s="1" t="str">
        <f>INDEX(tbl_cushions[batch], MATCH(tbl_hysteresis[[#This Row],[cushion]],tbl_cushions[cushion],0))</f>
        <v>FW04621</v>
      </c>
      <c r="E26" s="1">
        <f>VLOOKUP(LEFT(A26,LEN(A26)-1), cushion_dimensions!$A$2:$D$12,4,0)</f>
        <v>119</v>
      </c>
      <c r="F26" s="1">
        <f t="shared" si="2"/>
        <v>7.2722018660644205E-2</v>
      </c>
      <c r="G26" s="1">
        <f t="shared" si="3"/>
        <v>5.1739113518798896E-2</v>
      </c>
      <c r="H26" s="11">
        <v>2.6560000000000001</v>
      </c>
      <c r="I26" s="11">
        <v>26.292590000000001</v>
      </c>
      <c r="J26" s="11">
        <v>39.065309999999997</v>
      </c>
      <c r="K26" s="11">
        <v>47.785040000000002</v>
      </c>
      <c r="L26" s="11">
        <v>43.201059999999998</v>
      </c>
      <c r="M26" s="11">
        <v>33.034460000000003</v>
      </c>
      <c r="N26" s="11">
        <v>5.5264300000000004</v>
      </c>
      <c r="O26" s="1">
        <f t="shared" si="4"/>
        <v>116.34399999999999</v>
      </c>
      <c r="P26" s="1">
        <f t="shared" si="5"/>
        <v>92.707409999999996</v>
      </c>
      <c r="Q26" s="1">
        <f t="shared" si="6"/>
        <v>79.934690000000003</v>
      </c>
      <c r="R26" s="1">
        <f t="shared" si="7"/>
        <v>71.214959999999991</v>
      </c>
      <c r="S26" s="1">
        <f t="shared" si="8"/>
        <v>75.798940000000002</v>
      </c>
      <c r="T26" s="1">
        <f t="shared" si="9"/>
        <v>85.965540000000004</v>
      </c>
      <c r="U26" s="1">
        <f t="shared" si="10"/>
        <v>113.47357</v>
      </c>
    </row>
    <row r="27" spans="1:21" x14ac:dyDescent="0.25">
      <c r="A27" s="1" t="s">
        <v>45</v>
      </c>
      <c r="B27" s="1" t="str">
        <f t="shared" si="0"/>
        <v>W884993-01</v>
      </c>
      <c r="C27" s="1" t="str">
        <f t="shared" si="1"/>
        <v>B</v>
      </c>
      <c r="D27" s="1" t="str">
        <f>INDEX(tbl_cushions[batch], MATCH(tbl_hysteresis[[#This Row],[cushion]],tbl_cushions[cushion],0))</f>
        <v>FW04621</v>
      </c>
      <c r="E27" s="1">
        <f>VLOOKUP(LEFT(A27,LEN(A27)-1), cushion_dimensions!$A$2:$D$12,4,0)</f>
        <v>119</v>
      </c>
      <c r="F27" s="1">
        <f t="shared" si="2"/>
        <v>6.8146698863082555E-2</v>
      </c>
      <c r="G27" s="1">
        <f t="shared" si="3"/>
        <v>5.0142515072788219E-2</v>
      </c>
      <c r="H27" s="11">
        <v>1.8952899999999999</v>
      </c>
      <c r="I27" s="11">
        <v>20.090440000000001</v>
      </c>
      <c r="J27" s="11">
        <v>31.332080000000001</v>
      </c>
      <c r="K27" s="11">
        <v>39.950310000000002</v>
      </c>
      <c r="L27" s="11">
        <v>35.727969999999999</v>
      </c>
      <c r="M27" s="11">
        <v>26.8308</v>
      </c>
      <c r="N27" s="11">
        <v>5.93818</v>
      </c>
      <c r="O27" s="1">
        <f t="shared" si="4"/>
        <v>117.10471</v>
      </c>
      <c r="P27" s="1">
        <f t="shared" si="5"/>
        <v>98.909559999999999</v>
      </c>
      <c r="Q27" s="1">
        <f t="shared" si="6"/>
        <v>87.667919999999995</v>
      </c>
      <c r="R27" s="1">
        <f t="shared" si="7"/>
        <v>79.049689999999998</v>
      </c>
      <c r="S27" s="1">
        <f t="shared" si="8"/>
        <v>83.272030000000001</v>
      </c>
      <c r="T27" s="1">
        <f t="shared" si="9"/>
        <v>92.169200000000004</v>
      </c>
      <c r="U27" s="1">
        <f t="shared" si="10"/>
        <v>113.06182</v>
      </c>
    </row>
    <row r="28" spans="1:21" x14ac:dyDescent="0.25">
      <c r="A28" s="1" t="s">
        <v>46</v>
      </c>
      <c r="B28" s="1" t="str">
        <f t="shared" si="0"/>
        <v>W884993-01</v>
      </c>
      <c r="C28" s="1" t="str">
        <f t="shared" si="1"/>
        <v>C</v>
      </c>
      <c r="D28" s="1" t="str">
        <f>INDEX(tbl_cushions[batch], MATCH(tbl_hysteresis[[#This Row],[cushion]],tbl_cushions[cushion],0))</f>
        <v>FW04621</v>
      </c>
      <c r="E28" s="1">
        <f>VLOOKUP(LEFT(A28,LEN(A28)-1), cushion_dimensions!$A$2:$D$12,4,0)</f>
        <v>119</v>
      </c>
      <c r="F28" s="1">
        <f t="shared" si="2"/>
        <v>6.5046610664597715E-2</v>
      </c>
      <c r="G28" s="1">
        <f t="shared" si="3"/>
        <v>4.5324435378047978E-2</v>
      </c>
      <c r="H28" s="11">
        <v>1.6552899999999999</v>
      </c>
      <c r="I28" s="11">
        <v>20.065560000000001</v>
      </c>
      <c r="J28" s="11">
        <v>31.399349999999998</v>
      </c>
      <c r="K28" s="11">
        <v>39.636859999999999</v>
      </c>
      <c r="L28" s="11">
        <v>35.369799999999998</v>
      </c>
      <c r="M28" s="11">
        <v>26.500910000000001</v>
      </c>
      <c r="N28" s="11">
        <v>5.5274200000000002</v>
      </c>
      <c r="O28" s="1">
        <f t="shared" si="4"/>
        <v>117.34471000000001</v>
      </c>
      <c r="P28" s="1">
        <f t="shared" si="5"/>
        <v>98.934439999999995</v>
      </c>
      <c r="Q28" s="1">
        <f t="shared" si="6"/>
        <v>87.600650000000002</v>
      </c>
      <c r="R28" s="1">
        <f t="shared" si="7"/>
        <v>79.363140000000001</v>
      </c>
      <c r="S28" s="1">
        <f t="shared" si="8"/>
        <v>83.630200000000002</v>
      </c>
      <c r="T28" s="1">
        <f t="shared" si="9"/>
        <v>92.499089999999995</v>
      </c>
      <c r="U28" s="1">
        <f t="shared" si="10"/>
        <v>113.47257999999999</v>
      </c>
    </row>
    <row r="29" spans="1:21" x14ac:dyDescent="0.25">
      <c r="A29" s="1" t="s">
        <v>47</v>
      </c>
      <c r="B29" s="1" t="str">
        <f t="shared" si="0"/>
        <v>W884993-02</v>
      </c>
      <c r="C29" s="1" t="str">
        <f t="shared" si="1"/>
        <v>A</v>
      </c>
      <c r="D29" s="1" t="str">
        <f>INDEX(tbl_cushions[batch], MATCH(tbl_hysteresis[[#This Row],[cushion]],tbl_cushions[cushion],0))</f>
        <v>FW04621</v>
      </c>
      <c r="E29" s="1">
        <f>VLOOKUP(LEFT(A29,LEN(A29)-1), cushion_dimensions!$A$2:$D$12,4,0)</f>
        <v>119</v>
      </c>
      <c r="F29" s="1">
        <f t="shared" si="2"/>
        <v>7.8864737073589319E-2</v>
      </c>
      <c r="G29" s="1">
        <f t="shared" si="3"/>
        <v>5.6218904796056179E-2</v>
      </c>
      <c r="H29" s="11">
        <v>2.33691</v>
      </c>
      <c r="I29" s="11">
        <v>24.96152</v>
      </c>
      <c r="J29" s="11">
        <v>38.113329999999998</v>
      </c>
      <c r="K29" s="11">
        <v>47.192140000000002</v>
      </c>
      <c r="L29" s="11">
        <v>42.660690000000002</v>
      </c>
      <c r="M29" s="11">
        <v>32.377839999999999</v>
      </c>
      <c r="N29" s="11">
        <v>5.1889000000000003</v>
      </c>
      <c r="O29" s="1">
        <f t="shared" si="4"/>
        <v>116.66309</v>
      </c>
      <c r="P29" s="1">
        <f t="shared" si="5"/>
        <v>94.038479999999993</v>
      </c>
      <c r="Q29" s="1">
        <f t="shared" si="6"/>
        <v>80.886670000000009</v>
      </c>
      <c r="R29" s="1">
        <f t="shared" si="7"/>
        <v>71.807860000000005</v>
      </c>
      <c r="S29" s="1">
        <f t="shared" si="8"/>
        <v>76.339309999999998</v>
      </c>
      <c r="T29" s="1">
        <f t="shared" si="9"/>
        <v>86.622160000000008</v>
      </c>
      <c r="U29" s="1">
        <f t="shared" si="10"/>
        <v>113.8111</v>
      </c>
    </row>
    <row r="30" spans="1:21" x14ac:dyDescent="0.25">
      <c r="A30" s="1" t="s">
        <v>48</v>
      </c>
      <c r="B30" s="1" t="str">
        <f t="shared" si="0"/>
        <v>W884993-02</v>
      </c>
      <c r="C30" s="1" t="str">
        <f t="shared" si="1"/>
        <v>B</v>
      </c>
      <c r="D30" s="1" t="str">
        <f>INDEX(tbl_cushions[batch], MATCH(tbl_hysteresis[[#This Row],[cushion]],tbl_cushions[cushion],0))</f>
        <v>FW04621</v>
      </c>
      <c r="E30" s="1">
        <f>VLOOKUP(LEFT(A30,LEN(A30)-1), cushion_dimensions!$A$2:$D$12,4,0)</f>
        <v>119</v>
      </c>
      <c r="F30" s="1">
        <f t="shared" si="2"/>
        <v>7.2299313426252954E-2</v>
      </c>
      <c r="G30" s="1">
        <f t="shared" si="3"/>
        <v>5.2950759043758899E-2</v>
      </c>
      <c r="H30" s="11">
        <v>1.7329399999999999</v>
      </c>
      <c r="I30" s="11">
        <v>19.511780000000002</v>
      </c>
      <c r="J30" s="11">
        <v>30.960280000000001</v>
      </c>
      <c r="K30" s="11">
        <v>39.73704</v>
      </c>
      <c r="L30" s="11">
        <v>35.622050000000002</v>
      </c>
      <c r="M30" s="11">
        <v>26.704709999999999</v>
      </c>
      <c r="N30" s="11">
        <v>5.8398199999999996</v>
      </c>
      <c r="O30" s="1">
        <f t="shared" si="4"/>
        <v>117.26706</v>
      </c>
      <c r="P30" s="1">
        <f t="shared" si="5"/>
        <v>99.488219999999998</v>
      </c>
      <c r="Q30" s="1">
        <f t="shared" si="6"/>
        <v>88.039720000000003</v>
      </c>
      <c r="R30" s="1">
        <f t="shared" si="7"/>
        <v>79.262959999999993</v>
      </c>
      <c r="S30" s="1">
        <f t="shared" si="8"/>
        <v>83.377949999999998</v>
      </c>
      <c r="T30" s="1">
        <f t="shared" si="9"/>
        <v>92.295289999999994</v>
      </c>
      <c r="U30" s="1">
        <f t="shared" si="10"/>
        <v>113.16018</v>
      </c>
    </row>
    <row r="31" spans="1:21" x14ac:dyDescent="0.25">
      <c r="A31" s="1" t="s">
        <v>49</v>
      </c>
      <c r="B31" s="1" t="str">
        <f t="shared" si="0"/>
        <v>W884993-02</v>
      </c>
      <c r="C31" s="1" t="str">
        <f t="shared" si="1"/>
        <v>C</v>
      </c>
      <c r="D31" s="1" t="str">
        <f>INDEX(tbl_cushions[batch], MATCH(tbl_hysteresis[[#This Row],[cushion]],tbl_cushions[cushion],0))</f>
        <v>FW04621</v>
      </c>
      <c r="E31" s="1">
        <f>VLOOKUP(LEFT(A31,LEN(A31)-1), cushion_dimensions!$A$2:$D$12,4,0)</f>
        <v>119</v>
      </c>
      <c r="F31" s="1">
        <f t="shared" si="2"/>
        <v>6.7160277230704835E-2</v>
      </c>
      <c r="G31" s="1">
        <f t="shared" si="3"/>
        <v>4.5373101523877413E-2</v>
      </c>
      <c r="H31" s="11">
        <v>1.34494</v>
      </c>
      <c r="I31" s="11">
        <v>19.52617</v>
      </c>
      <c r="J31" s="11">
        <v>31.097919999999998</v>
      </c>
      <c r="K31" s="11">
        <v>39.199489999999997</v>
      </c>
      <c r="L31" s="11">
        <v>35.086309999999997</v>
      </c>
      <c r="M31" s="11">
        <v>26.206859999999999</v>
      </c>
      <c r="N31" s="11">
        <v>5.2159800000000001</v>
      </c>
      <c r="O31" s="1">
        <f t="shared" si="4"/>
        <v>117.65506000000001</v>
      </c>
      <c r="P31" s="1">
        <f t="shared" si="5"/>
        <v>99.473829999999992</v>
      </c>
      <c r="Q31" s="1">
        <f t="shared" si="6"/>
        <v>87.902079999999998</v>
      </c>
      <c r="R31" s="1">
        <f t="shared" si="7"/>
        <v>79.800510000000003</v>
      </c>
      <c r="S31" s="1">
        <f t="shared" si="8"/>
        <v>83.913690000000003</v>
      </c>
      <c r="T31" s="1">
        <f t="shared" si="9"/>
        <v>92.793139999999994</v>
      </c>
      <c r="U31" s="1">
        <f t="shared" si="10"/>
        <v>113.78402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6F9B-199A-42A4-BC34-119BFEECF3BC}">
  <dimension ref="B1:J27"/>
  <sheetViews>
    <sheetView tabSelected="1" workbookViewId="0">
      <selection activeCell="R35" sqref="R35"/>
    </sheetView>
  </sheetViews>
  <sheetFormatPr defaultRowHeight="12.75" x14ac:dyDescent="0.2"/>
  <cols>
    <col min="2" max="2" width="11.7109375" bestFit="1" customWidth="1"/>
    <col min="3" max="3" width="9.140625" bestFit="1" customWidth="1"/>
    <col min="4" max="7" width="6.7109375" bestFit="1" customWidth="1"/>
    <col min="8" max="8" width="12.42578125" bestFit="1" customWidth="1"/>
    <col min="10" max="10" width="12" bestFit="1" customWidth="1"/>
  </cols>
  <sheetData>
    <row r="1" spans="2:10" ht="15.75" x14ac:dyDescent="0.25">
      <c r="B1" s="14" t="s">
        <v>4</v>
      </c>
    </row>
    <row r="3" spans="2:10" x14ac:dyDescent="0.2">
      <c r="B3" s="13" t="s">
        <v>1</v>
      </c>
      <c r="C3" s="13" t="s">
        <v>59</v>
      </c>
      <c r="D3" s="13" t="s">
        <v>86</v>
      </c>
      <c r="E3" s="13" t="s">
        <v>87</v>
      </c>
      <c r="F3" s="13" t="s">
        <v>88</v>
      </c>
      <c r="G3" s="13" t="s">
        <v>89</v>
      </c>
      <c r="H3" s="13" t="s">
        <v>90</v>
      </c>
      <c r="J3" s="13" t="s">
        <v>91</v>
      </c>
    </row>
    <row r="4" spans="2:10" ht="15" x14ac:dyDescent="0.25">
      <c r="B4" s="15" t="s">
        <v>62</v>
      </c>
      <c r="C4" s="15" t="str">
        <f>INDEX(tbl_cushions[batch],MATCH(B4,tbl_cushions[cushion],0))</f>
        <v>FW04619</v>
      </c>
      <c r="D4" s="16">
        <f>INDEX(hysteresis!$F$2:$F$31,MATCH($B4&amp;D$3, hysteresis!$A$2:$A$31,0))</f>
        <v>9.7718698298727036E-2</v>
      </c>
      <c r="E4" s="16">
        <f>INDEX(hysteresis!$F$2:$F$31,MATCH($B4&amp;E$3, hysteresis!$A$2:$A$31,0))</f>
        <v>0.10606032978109992</v>
      </c>
      <c r="F4" s="16">
        <f>INDEX(hysteresis!$F$2:$F$31,MATCH($B4&amp;F$3, hysteresis!$A$2:$A$31,0))</f>
        <v>0.10361932330237844</v>
      </c>
      <c r="G4" s="16">
        <f>AVERAGE(D4:F4)</f>
        <v>0.10246611712740179</v>
      </c>
      <c r="H4" s="15">
        <f>_xlfn.STDEV.S(D4:F4)</f>
        <v>4.2887197749948399E-3</v>
      </c>
      <c r="J4">
        <f>_xlfn.T.TEST(G4:G8,G9:G13,2,2)</f>
        <v>1.6569524254108601E-3</v>
      </c>
    </row>
    <row r="5" spans="2:10" ht="15" x14ac:dyDescent="0.25">
      <c r="B5" s="15" t="s">
        <v>64</v>
      </c>
      <c r="C5" s="15" t="str">
        <f>INDEX(tbl_cushions[batch],MATCH(B5,tbl_cushions[cushion],0))</f>
        <v>FW04619</v>
      </c>
      <c r="D5" s="16">
        <f>INDEX(hysteresis!$F$2:$F$31,MATCH($B5&amp;D$3, hysteresis!$A$2:$A$31,0))</f>
        <v>9.671497960802089E-2</v>
      </c>
      <c r="E5" s="16">
        <f>INDEX(hysteresis!$F$2:$F$31,MATCH($B5&amp;E$3, hysteresis!$A$2:$A$31,0))</f>
        <v>0.10450889480273107</v>
      </c>
      <c r="F5" s="16">
        <f>INDEX(hysteresis!$F$2:$F$31,MATCH($B5&amp;F$3, hysteresis!$A$2:$A$31,0))</f>
        <v>0.10069271534663671</v>
      </c>
      <c r="G5" s="16">
        <f t="shared" ref="G5:G12" si="0">AVERAGE(D5:F5)</f>
        <v>0.10063886325246289</v>
      </c>
      <c r="H5" s="15">
        <f t="shared" ref="H5:H13" si="1">_xlfn.STDEV.S(D5:F5)</f>
        <v>3.8972366558394584E-3</v>
      </c>
    </row>
    <row r="6" spans="2:10" ht="15" x14ac:dyDescent="0.25">
      <c r="B6" s="15" t="s">
        <v>65</v>
      </c>
      <c r="C6" s="15" t="str">
        <f>INDEX(tbl_cushions[batch],MATCH(B6,tbl_cushions[cushion],0))</f>
        <v>FW04619</v>
      </c>
      <c r="D6" s="16">
        <f>INDEX(hysteresis!$F$2:$F$31,MATCH($B6&amp;D$3, hysteresis!$A$2:$A$31,0))</f>
        <v>9.6350544623135526E-2</v>
      </c>
      <c r="E6" s="16">
        <f>INDEX(hysteresis!$F$2:$F$31,MATCH($B6&amp;E$3, hysteresis!$A$2:$A$31,0))</f>
        <v>9.6574041831761992E-2</v>
      </c>
      <c r="F6" s="16">
        <f>INDEX(hysteresis!$F$2:$F$31,MATCH($B6&amp;F$3, hysteresis!$A$2:$A$31,0))</f>
        <v>9.5174058626073088E-2</v>
      </c>
      <c r="G6" s="16">
        <f t="shared" si="0"/>
        <v>9.6032881693656869E-2</v>
      </c>
      <c r="H6" s="15">
        <f t="shared" si="1"/>
        <v>7.5211072763687302E-4</v>
      </c>
    </row>
    <row r="7" spans="2:10" ht="15" x14ac:dyDescent="0.25">
      <c r="B7" s="15" t="s">
        <v>66</v>
      </c>
      <c r="C7" s="15" t="str">
        <f>INDEX(tbl_cushions[batch],MATCH(B7,tbl_cushions[cushion],0))</f>
        <v>FW04619</v>
      </c>
      <c r="D7" s="16">
        <f>INDEX(hysteresis!$F$2:$F$31,MATCH($B7&amp;D$3, hysteresis!$A$2:$A$31,0))</f>
        <v>8.995265541703612E-2</v>
      </c>
      <c r="E7" s="16">
        <f>INDEX(hysteresis!$F$2:$F$31,MATCH($B7&amp;E$3, hysteresis!$A$2:$A$31,0))</f>
        <v>8.892307077151973E-2</v>
      </c>
      <c r="F7" s="16">
        <f>INDEX(hysteresis!$F$2:$F$31,MATCH($B7&amp;F$3, hysteresis!$A$2:$A$31,0))</f>
        <v>8.7161111169402172E-2</v>
      </c>
      <c r="G7" s="16">
        <f t="shared" si="0"/>
        <v>8.8678945785986008E-2</v>
      </c>
      <c r="H7" s="15">
        <f t="shared" si="1"/>
        <v>1.4116931600195301E-3</v>
      </c>
    </row>
    <row r="8" spans="2:10" ht="15" x14ac:dyDescent="0.25">
      <c r="B8" s="15" t="s">
        <v>67</v>
      </c>
      <c r="C8" s="15" t="str">
        <f>INDEX(tbl_cushions[batch],MATCH(B8,tbl_cushions[cushion],0))</f>
        <v>FW04619</v>
      </c>
      <c r="D8" s="16">
        <f>INDEX(hysteresis!$F$2:$F$31,MATCH($B8&amp;D$3, hysteresis!$A$2:$A$31,0))</f>
        <v>7.9768752398543086E-2</v>
      </c>
      <c r="E8" s="16">
        <f>INDEX(hysteresis!$F$2:$F$31,MATCH($B8&amp;E$3, hysteresis!$A$2:$A$31,0))</f>
        <v>8.026281841446703E-2</v>
      </c>
      <c r="F8" s="16">
        <f>INDEX(hysteresis!$F$2:$F$31,MATCH($B8&amp;F$3, hysteresis!$A$2:$A$31,0))</f>
        <v>7.6984879080910451E-2</v>
      </c>
      <c r="G8" s="16">
        <f t="shared" si="0"/>
        <v>7.9005483297973522E-2</v>
      </c>
      <c r="H8" s="15">
        <f t="shared" si="1"/>
        <v>1.7672454154792818E-3</v>
      </c>
    </row>
    <row r="9" spans="2:10" x14ac:dyDescent="0.2">
      <c r="B9" t="s">
        <v>68</v>
      </c>
      <c r="C9" t="str">
        <f>INDEX(tbl_cushions[batch],MATCH(B9,tbl_cushions[cushion],0))</f>
        <v>FW04621</v>
      </c>
      <c r="D9" s="12">
        <f>INDEX(hysteresis!$F$2:$F$31,MATCH($B9&amp;D$3, hysteresis!$A$2:$A$31,0))</f>
        <v>7.4443111429316811E-2</v>
      </c>
      <c r="E9" s="12">
        <f>INDEX(hysteresis!$F$2:$F$31,MATCH($B9&amp;E$3, hysteresis!$A$2:$A$31,0))</f>
        <v>7.5902138756952398E-2</v>
      </c>
      <c r="F9" s="12">
        <f>INDEX(hysteresis!$F$2:$F$31,MATCH($B9&amp;F$3, hysteresis!$A$2:$A$31,0))</f>
        <v>7.1593836683018774E-2</v>
      </c>
      <c r="G9" s="12">
        <f t="shared" si="0"/>
        <v>7.397969562309599E-2</v>
      </c>
      <c r="H9">
        <f t="shared" si="1"/>
        <v>2.1912170926580176E-3</v>
      </c>
    </row>
    <row r="10" spans="2:10" x14ac:dyDescent="0.2">
      <c r="B10" t="s">
        <v>70</v>
      </c>
      <c r="C10" t="str">
        <f>INDEX(tbl_cushions[batch],MATCH(B10,tbl_cushions[cushion],0))</f>
        <v>FW04621</v>
      </c>
      <c r="D10" s="12">
        <f>INDEX(hysteresis!$F$2:$F$31,MATCH($B10&amp;D$3, hysteresis!$A$2:$A$31,0))</f>
        <v>7.5209523443549364E-2</v>
      </c>
      <c r="E10" s="12">
        <f>INDEX(hysteresis!$F$2:$F$31,MATCH($B10&amp;E$3, hysteresis!$A$2:$A$31,0))</f>
        <v>7.3892179680238645E-2</v>
      </c>
      <c r="F10" s="12">
        <f>INDEX(hysteresis!$F$2:$F$31,MATCH($B10&amp;F$3, hysteresis!$A$2:$A$31,0))</f>
        <v>7.8849153913997272E-2</v>
      </c>
      <c r="G10" s="12">
        <f t="shared" si="0"/>
        <v>7.5983619012595094E-2</v>
      </c>
      <c r="H10">
        <f t="shared" si="1"/>
        <v>2.5675506520902182E-3</v>
      </c>
    </row>
    <row r="11" spans="2:10" x14ac:dyDescent="0.2">
      <c r="B11" t="s">
        <v>71</v>
      </c>
      <c r="C11" t="str">
        <f>INDEX(tbl_cushions[batch],MATCH(B11,tbl_cushions[cushion],0))</f>
        <v>FW04621</v>
      </c>
      <c r="D11" s="12">
        <f>INDEX(hysteresis!$F$2:$F$31,MATCH($B11&amp;D$3, hysteresis!$A$2:$A$31,0))</f>
        <v>7.1880812834334118E-2</v>
      </c>
      <c r="E11" s="12">
        <f>INDEX(hysteresis!$F$2:$F$31,MATCH($B11&amp;E$3, hysteresis!$A$2:$A$31,0))</f>
        <v>6.9078595699735623E-2</v>
      </c>
      <c r="F11" s="12">
        <f>INDEX(hysteresis!$F$2:$F$31,MATCH($B11&amp;F$3, hysteresis!$A$2:$A$31,0))</f>
        <v>7.3238326918028895E-2</v>
      </c>
      <c r="G11" s="12">
        <f t="shared" si="0"/>
        <v>7.139924515069955E-2</v>
      </c>
      <c r="H11">
        <f t="shared" si="1"/>
        <v>2.1212664914036106E-3</v>
      </c>
    </row>
    <row r="12" spans="2:10" x14ac:dyDescent="0.2">
      <c r="B12" t="s">
        <v>72</v>
      </c>
      <c r="C12" t="str">
        <f>INDEX(tbl_cushions[batch],MATCH(B12,tbl_cushions[cushion],0))</f>
        <v>FW04621</v>
      </c>
      <c r="D12" s="12">
        <f>INDEX(hysteresis!$F$2:$F$31,MATCH($B12&amp;D$3, hysteresis!$A$2:$A$31,0))</f>
        <v>7.2722018660644205E-2</v>
      </c>
      <c r="E12" s="12">
        <f>INDEX(hysteresis!$F$2:$F$31,MATCH($B12&amp;E$3, hysteresis!$A$2:$A$31,0))</f>
        <v>6.8146698863082555E-2</v>
      </c>
      <c r="F12" s="12">
        <f>INDEX(hysteresis!$F$2:$F$31,MATCH($B12&amp;F$3, hysteresis!$A$2:$A$31,0))</f>
        <v>6.5046610664597715E-2</v>
      </c>
      <c r="G12" s="12">
        <f t="shared" si="0"/>
        <v>6.8638442729441487E-2</v>
      </c>
      <c r="H12">
        <f t="shared" si="1"/>
        <v>3.8612602863598599E-3</v>
      </c>
    </row>
    <row r="13" spans="2:10" x14ac:dyDescent="0.2">
      <c r="B13" t="s">
        <v>73</v>
      </c>
      <c r="C13" t="str">
        <f>INDEX(tbl_cushions[batch],MATCH(B13,tbl_cushions[cushion],0))</f>
        <v>FW04621</v>
      </c>
      <c r="D13" s="12">
        <f>INDEX(hysteresis!$F$2:$F$31,MATCH($B13&amp;D$3, hysteresis!$A$2:$A$31,0))</f>
        <v>7.8864737073589319E-2</v>
      </c>
      <c r="E13" s="12">
        <f>INDEX(hysteresis!$F$2:$F$31,MATCH($B13&amp;E$3, hysteresis!$A$2:$A$31,0))</f>
        <v>7.2299313426252954E-2</v>
      </c>
      <c r="F13" s="12">
        <f>INDEX(hysteresis!$F$2:$F$31,MATCH($B13&amp;F$3, hysteresis!$A$2:$A$31,0))</f>
        <v>6.7160277230704835E-2</v>
      </c>
      <c r="G13" s="12">
        <f>AVERAGE(D13:F13)</f>
        <v>7.2774775910182374E-2</v>
      </c>
      <c r="H13">
        <f t="shared" si="1"/>
        <v>5.866697834697311E-3</v>
      </c>
    </row>
    <row r="15" spans="2:10" ht="15.75" x14ac:dyDescent="0.25">
      <c r="B15" s="14" t="s">
        <v>5</v>
      </c>
    </row>
    <row r="17" spans="2:10" x14ac:dyDescent="0.2">
      <c r="B17" s="13" t="s">
        <v>1</v>
      </c>
      <c r="C17" s="13" t="s">
        <v>59</v>
      </c>
      <c r="D17" s="13" t="s">
        <v>86</v>
      </c>
      <c r="E17" s="13" t="s">
        <v>87</v>
      </c>
      <c r="F17" s="13" t="s">
        <v>88</v>
      </c>
      <c r="G17" s="13" t="s">
        <v>89</v>
      </c>
      <c r="H17" s="13" t="s">
        <v>90</v>
      </c>
      <c r="J17" s="13" t="s">
        <v>91</v>
      </c>
    </row>
    <row r="18" spans="2:10" ht="15" x14ac:dyDescent="0.25">
      <c r="B18" s="15" t="s">
        <v>62</v>
      </c>
      <c r="C18" s="15" t="str">
        <f>INDEX(tbl_cushions[batch],MATCH(B18,tbl_cushions[cushion],0))</f>
        <v>FW04619</v>
      </c>
      <c r="D18" s="16">
        <f>INDEX(hysteresis!$G$2:$G$31,MATCH($B18&amp;D$17, hysteresis!$A$2:$A$31,0))</f>
        <v>6.3227620455124423E-2</v>
      </c>
      <c r="E18" s="16">
        <f>INDEX(hysteresis!$G$2:$G$31,MATCH($B18&amp;E$17, hysteresis!$A$2:$A$31,0))</f>
        <v>7.4534935288190551E-2</v>
      </c>
      <c r="F18" s="16">
        <f>INDEX(hysteresis!$G$2:$G$31,MATCH($B18&amp;F$17, hysteresis!$A$2:$A$31,0))</f>
        <v>6.6041746459816419E-2</v>
      </c>
      <c r="G18" s="16">
        <f>AVERAGE(D18:F18)</f>
        <v>6.7934767401043802E-2</v>
      </c>
      <c r="H18" s="15">
        <f>_xlfn.STDEV.S(D18:F18)</f>
        <v>5.8865514859264894E-3</v>
      </c>
      <c r="J18">
        <f>_xlfn.T.TEST(G18:G22,G23:G27,2,2)</f>
        <v>4.2638331550003236E-4</v>
      </c>
    </row>
    <row r="19" spans="2:10" ht="15" x14ac:dyDescent="0.25">
      <c r="B19" s="15" t="s">
        <v>64</v>
      </c>
      <c r="C19" s="15" t="str">
        <f>INDEX(tbl_cushions[batch],MATCH(B19,tbl_cushions[cushion],0))</f>
        <v>FW04619</v>
      </c>
      <c r="D19" s="16">
        <f>INDEX(hysteresis!$G$2:$G$31,MATCH($B19&amp;D$17, hysteresis!$A$2:$A$31,0))</f>
        <v>5.9083284286596705E-2</v>
      </c>
      <c r="E19" s="16">
        <f>INDEX(hysteresis!$G$2:$G$31,MATCH($B19&amp;E$17, hysteresis!$A$2:$A$31,0))</f>
        <v>8.0477917952233358E-2</v>
      </c>
      <c r="F19" s="16">
        <f>INDEX(hysteresis!$G$2:$G$31,MATCH($B19&amp;F$17, hysteresis!$A$2:$A$31,0))</f>
        <v>6.9604724334176082E-2</v>
      </c>
      <c r="G19" s="16">
        <f t="shared" ref="G19:G26" si="2">AVERAGE(D19:F19)</f>
        <v>6.9721975524335386E-2</v>
      </c>
      <c r="H19" s="15">
        <f t="shared" ref="H19:H27" si="3">_xlfn.STDEV.S(D19:F19)</f>
        <v>1.0697798759693273E-2</v>
      </c>
    </row>
    <row r="20" spans="2:10" ht="15" x14ac:dyDescent="0.25">
      <c r="B20" s="15" t="s">
        <v>65</v>
      </c>
      <c r="C20" s="15" t="str">
        <f>INDEX(tbl_cushions[batch],MATCH(B20,tbl_cushions[cushion],0))</f>
        <v>FW04619</v>
      </c>
      <c r="D20" s="16">
        <f>INDEX(hysteresis!$G$2:$G$31,MATCH($B20&amp;D$17, hysteresis!$A$2:$A$31,0))</f>
        <v>6.8691800155875504E-2</v>
      </c>
      <c r="E20" s="16">
        <f>INDEX(hysteresis!$G$2:$G$31,MATCH($B20&amp;E$17, hysteresis!$A$2:$A$31,0))</f>
        <v>6.5047254723435866E-2</v>
      </c>
      <c r="F20" s="16">
        <f>INDEX(hysteresis!$G$2:$G$31,MATCH($B20&amp;F$17, hysteresis!$A$2:$A$31,0))</f>
        <v>6.66518044677884E-2</v>
      </c>
      <c r="G20" s="16">
        <f t="shared" si="2"/>
        <v>6.6796953115699928E-2</v>
      </c>
      <c r="H20" s="15">
        <f t="shared" si="3"/>
        <v>1.8266031177494649E-3</v>
      </c>
    </row>
    <row r="21" spans="2:10" ht="15" x14ac:dyDescent="0.25">
      <c r="B21" s="15" t="s">
        <v>66</v>
      </c>
      <c r="C21" s="15" t="str">
        <f>INDEX(tbl_cushions[batch],MATCH(B21,tbl_cushions[cushion],0))</f>
        <v>FW04619</v>
      </c>
      <c r="D21" s="16">
        <f>INDEX(hysteresis!$G$2:$G$31,MATCH($B21&amp;D$17, hysteresis!$A$2:$A$31,0))</f>
        <v>5.8199212749784346E-2</v>
      </c>
      <c r="E21" s="16">
        <f>INDEX(hysteresis!$G$2:$G$31,MATCH($B21&amp;E$17, hysteresis!$A$2:$A$31,0))</f>
        <v>5.9477113135099957E-2</v>
      </c>
      <c r="F21" s="16">
        <f>INDEX(hysteresis!$G$2:$G$31,MATCH($B21&amp;F$17, hysteresis!$A$2:$A$31,0))</f>
        <v>5.8868147708090013E-2</v>
      </c>
      <c r="G21" s="16">
        <f t="shared" si="2"/>
        <v>5.884815786432477E-2</v>
      </c>
      <c r="H21" s="15">
        <f t="shared" si="3"/>
        <v>6.3918467134918523E-4</v>
      </c>
    </row>
    <row r="22" spans="2:10" ht="15" x14ac:dyDescent="0.25">
      <c r="B22" s="15" t="s">
        <v>67</v>
      </c>
      <c r="C22" s="15" t="str">
        <f>INDEX(tbl_cushions[batch],MATCH(B22,tbl_cushions[cushion],0))</f>
        <v>FW04619</v>
      </c>
      <c r="D22" s="16">
        <f>INDEX(hysteresis!$G$2:$G$31,MATCH($B22&amp;D$17, hysteresis!$A$2:$A$31,0))</f>
        <v>5.2191011133053133E-2</v>
      </c>
      <c r="E22" s="16">
        <f>INDEX(hysteresis!$G$2:$G$31,MATCH($B22&amp;E$17, hysteresis!$A$2:$A$31,0))</f>
        <v>5.6538558633745017E-2</v>
      </c>
      <c r="F22" s="16">
        <f>INDEX(hysteresis!$G$2:$G$31,MATCH($B22&amp;F$17, hysteresis!$A$2:$A$31,0))</f>
        <v>6.1696807396391162E-2</v>
      </c>
      <c r="G22" s="16">
        <f t="shared" si="2"/>
        <v>5.6808792387729769E-2</v>
      </c>
      <c r="H22" s="15">
        <f t="shared" si="3"/>
        <v>4.7586563609245125E-3</v>
      </c>
    </row>
    <row r="23" spans="2:10" x14ac:dyDescent="0.2">
      <c r="B23" t="s">
        <v>68</v>
      </c>
      <c r="C23" t="str">
        <f>INDEX(tbl_cushions[batch],MATCH(B23,tbl_cushions[cushion],0))</f>
        <v>FW04621</v>
      </c>
      <c r="D23">
        <f>INDEX(hysteresis!$G$2:$G$31,MATCH($B23&amp;D$17, hysteresis!$A$2:$A$31,0))</f>
        <v>4.5418174868912198E-2</v>
      </c>
      <c r="E23">
        <f>INDEX(hysteresis!$G$2:$G$31,MATCH($B23&amp;E$17, hysteresis!$A$2:$A$31,0))</f>
        <v>4.8535398010665642E-2</v>
      </c>
      <c r="F23">
        <f>INDEX(hysteresis!$G$2:$G$31,MATCH($B23&amp;F$17, hysteresis!$A$2:$A$31,0))</f>
        <v>4.1346306510171904E-2</v>
      </c>
      <c r="G23" s="12">
        <f t="shared" si="2"/>
        <v>4.5099959796583246E-2</v>
      </c>
      <c r="H23">
        <f t="shared" si="3"/>
        <v>3.6050942809877826E-3</v>
      </c>
    </row>
    <row r="24" spans="2:10" x14ac:dyDescent="0.2">
      <c r="B24" t="s">
        <v>70</v>
      </c>
      <c r="C24" t="str">
        <f>INDEX(tbl_cushions[batch],MATCH(B24,tbl_cushions[cushion],0))</f>
        <v>FW04621</v>
      </c>
      <c r="D24">
        <f>INDEX(hysteresis!$G$2:$G$31,MATCH($B24&amp;D$17, hysteresis!$A$2:$A$31,0))</f>
        <v>4.3581242036926371E-2</v>
      </c>
      <c r="E24">
        <f>INDEX(hysteresis!$G$2:$G$31,MATCH($B24&amp;E$17, hysteresis!$A$2:$A$31,0))</f>
        <v>4.7442367181552147E-2</v>
      </c>
      <c r="F24">
        <f>INDEX(hysteresis!$G$2:$G$31,MATCH($B24&amp;F$17, hysteresis!$A$2:$A$31,0))</f>
        <v>4.0308031800595945E-2</v>
      </c>
      <c r="G24" s="12">
        <f t="shared" si="2"/>
        <v>4.3777213673024819E-2</v>
      </c>
      <c r="H24">
        <f t="shared" si="3"/>
        <v>3.5712027376791702E-3</v>
      </c>
    </row>
    <row r="25" spans="2:10" x14ac:dyDescent="0.2">
      <c r="B25" t="s">
        <v>71</v>
      </c>
      <c r="C25" t="str">
        <f>INDEX(tbl_cushions[batch],MATCH(B25,tbl_cushions[cushion],0))</f>
        <v>FW04621</v>
      </c>
      <c r="D25">
        <f>INDEX(hysteresis!$G$2:$G$31,MATCH($B25&amp;D$17, hysteresis!$A$2:$A$31,0))</f>
        <v>4.5708327459010323E-2</v>
      </c>
      <c r="E25">
        <f>INDEX(hysteresis!$G$2:$G$31,MATCH($B25&amp;E$17, hysteresis!$A$2:$A$31,0))</f>
        <v>4.3953845667639269E-2</v>
      </c>
      <c r="F25">
        <f>INDEX(hysteresis!$G$2:$G$31,MATCH($B25&amp;F$17, hysteresis!$A$2:$A$31,0))</f>
        <v>4.6590802160437095E-2</v>
      </c>
      <c r="G25" s="12">
        <f t="shared" si="2"/>
        <v>4.5417658429028895E-2</v>
      </c>
      <c r="H25">
        <f t="shared" si="3"/>
        <v>1.3422932801626889E-3</v>
      </c>
    </row>
    <row r="26" spans="2:10" x14ac:dyDescent="0.2">
      <c r="B26" t="s">
        <v>72</v>
      </c>
      <c r="C26" t="str">
        <f>INDEX(tbl_cushions[batch],MATCH(B26,tbl_cushions[cushion],0))</f>
        <v>FW04621</v>
      </c>
      <c r="D26">
        <f>INDEX(hysteresis!$G$2:$G$31,MATCH($B26&amp;D$17, hysteresis!$A$2:$A$31,0))</f>
        <v>5.1739113518798896E-2</v>
      </c>
      <c r="E26">
        <f>INDEX(hysteresis!$G$2:$G$31,MATCH($B26&amp;E$17, hysteresis!$A$2:$A$31,0))</f>
        <v>5.0142515072788219E-2</v>
      </c>
      <c r="F26">
        <f>INDEX(hysteresis!$G$2:$G$31,MATCH($B26&amp;F$17, hysteresis!$A$2:$A$31,0))</f>
        <v>4.5324435378047978E-2</v>
      </c>
      <c r="G26" s="12">
        <f t="shared" si="2"/>
        <v>4.9068687989878366E-2</v>
      </c>
      <c r="H26">
        <f t="shared" si="3"/>
        <v>3.3394389297230647E-3</v>
      </c>
    </row>
    <row r="27" spans="2:10" x14ac:dyDescent="0.2">
      <c r="B27" t="s">
        <v>73</v>
      </c>
      <c r="C27" t="str">
        <f>INDEX(tbl_cushions[batch],MATCH(B27,tbl_cushions[cushion],0))</f>
        <v>FW04621</v>
      </c>
      <c r="D27">
        <f>INDEX(hysteresis!$G$2:$G$31,MATCH($B27&amp;D$17, hysteresis!$A$2:$A$31,0))</f>
        <v>5.6218904796056179E-2</v>
      </c>
      <c r="E27">
        <f>INDEX(hysteresis!$G$2:$G$31,MATCH($B27&amp;E$17, hysteresis!$A$2:$A$31,0))</f>
        <v>5.2950759043758899E-2</v>
      </c>
      <c r="F27">
        <f>INDEX(hysteresis!$G$2:$G$31,MATCH($B27&amp;F$17, hysteresis!$A$2:$A$31,0))</f>
        <v>4.5373101523877413E-2</v>
      </c>
      <c r="G27" s="12">
        <f>AVERAGE(D27:F27)</f>
        <v>5.1514255121230833E-2</v>
      </c>
      <c r="H27">
        <f t="shared" si="3"/>
        <v>5.5637684885587943E-3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zoomScale="90" zoomScaleNormal="90" workbookViewId="0">
      <selection activeCell="A32" sqref="A32:K32"/>
    </sheetView>
  </sheetViews>
  <sheetFormatPr defaultColWidth="11.5703125" defaultRowHeight="12.75" x14ac:dyDescent="0.2"/>
  <cols>
    <col min="1" max="1" width="13" style="1" customWidth="1"/>
    <col min="2" max="2" width="11.7109375" style="1" customWidth="1"/>
    <col min="3" max="4" width="6.85546875" style="1" customWidth="1"/>
    <col min="5" max="5" width="12" style="1" customWidth="1"/>
    <col min="7" max="8" width="12.5703125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59</v>
      </c>
      <c r="E1" s="2" t="s">
        <v>3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</row>
    <row r="2" spans="1:11" x14ac:dyDescent="0.2">
      <c r="A2" s="1" t="s">
        <v>20</v>
      </c>
      <c r="B2" s="1" t="str">
        <f t="shared" ref="B2:B31" si="0">LEFT(A2,LEN(A2)-1)</f>
        <v>W798553-01</v>
      </c>
      <c r="C2" s="1" t="str">
        <f t="shared" ref="C2:C31" si="1">RIGHT(A2,1)</f>
        <v>A</v>
      </c>
      <c r="D2" s="1" t="str">
        <f>INDEX(tbl_cushions[batch], MATCH(tbl_hysteresis[[#This Row],[cushion]],tbl_cushions[cushion],0))</f>
        <v>FW04619</v>
      </c>
      <c r="E2" s="1">
        <f>VLOOKUP(B2, cushion_dimensions!$A$2:$D$12,4,0)</f>
        <v>108</v>
      </c>
      <c r="F2" s="4">
        <f>E2-(E2-25.51)</f>
        <v>25.510000000000005</v>
      </c>
      <c r="G2" s="4">
        <v>32.32</v>
      </c>
      <c r="H2" s="5">
        <v>38.299999999999997</v>
      </c>
      <c r="I2" s="4">
        <f t="shared" ref="I2:I31" si="2">F2</f>
        <v>25.510000000000005</v>
      </c>
      <c r="J2" s="4">
        <f t="shared" ref="J2:J31" si="3">G2-F2</f>
        <v>6.8099999999999952</v>
      </c>
      <c r="K2" s="4">
        <f t="shared" ref="K2:K31" si="4">H2-F2</f>
        <v>12.789999999999992</v>
      </c>
    </row>
    <row r="3" spans="1:11" x14ac:dyDescent="0.2">
      <c r="A3" s="1" t="s">
        <v>21</v>
      </c>
      <c r="B3" s="1" t="str">
        <f t="shared" si="0"/>
        <v>W798553-01</v>
      </c>
      <c r="C3" s="1" t="str">
        <f t="shared" si="1"/>
        <v>B</v>
      </c>
      <c r="D3" s="1" t="str">
        <f>INDEX(tbl_cushions[batch], MATCH(tbl_hysteresis[[#This Row],[cushion]],tbl_cushions[cushion],0))</f>
        <v>FW04619</v>
      </c>
      <c r="E3" s="1">
        <f>VLOOKUP(B3, cushion_dimensions!$A$2:$D$12,4,0)</f>
        <v>108</v>
      </c>
      <c r="F3" s="4">
        <f>E3-(E3-23.61)</f>
        <v>23.61</v>
      </c>
      <c r="G3" s="4">
        <v>29.47</v>
      </c>
      <c r="H3" s="5">
        <v>34.549999999999997</v>
      </c>
      <c r="I3" s="4">
        <f t="shared" si="2"/>
        <v>23.61</v>
      </c>
      <c r="J3" s="4">
        <f t="shared" si="3"/>
        <v>5.8599999999999994</v>
      </c>
      <c r="K3" s="4">
        <f t="shared" si="4"/>
        <v>10.939999999999998</v>
      </c>
    </row>
    <row r="4" spans="1:11" x14ac:dyDescent="0.2">
      <c r="A4" s="1" t="s">
        <v>22</v>
      </c>
      <c r="B4" s="1" t="str">
        <f t="shared" si="0"/>
        <v>W798553-01</v>
      </c>
      <c r="C4" s="1" t="str">
        <f t="shared" si="1"/>
        <v>C</v>
      </c>
      <c r="D4" s="1" t="str">
        <f>INDEX(tbl_cushions[batch], MATCH(tbl_hysteresis[[#This Row],[cushion]],tbl_cushions[cushion],0))</f>
        <v>FW04619</v>
      </c>
      <c r="E4" s="1">
        <f>VLOOKUP(B4, cushion_dimensions!$A$2:$D$12,4,0)</f>
        <v>108</v>
      </c>
      <c r="F4" s="4">
        <f>E4-(E4-24.58)</f>
        <v>24.58</v>
      </c>
      <c r="G4" s="4">
        <v>30.35</v>
      </c>
      <c r="H4" s="5">
        <v>35.119999999999997</v>
      </c>
      <c r="I4" s="4">
        <f t="shared" si="2"/>
        <v>24.58</v>
      </c>
      <c r="J4" s="4">
        <f t="shared" si="3"/>
        <v>5.7700000000000031</v>
      </c>
      <c r="K4" s="4">
        <f t="shared" si="4"/>
        <v>10.54</v>
      </c>
    </row>
    <row r="5" spans="1:11" x14ac:dyDescent="0.2">
      <c r="A5" s="6" t="s">
        <v>23</v>
      </c>
      <c r="B5" s="1" t="str">
        <f t="shared" si="0"/>
        <v>W798553-02</v>
      </c>
      <c r="C5" s="1" t="str">
        <f t="shared" si="1"/>
        <v>A</v>
      </c>
      <c r="D5" s="1" t="str">
        <f>INDEX(tbl_cushions[batch], MATCH(tbl_hysteresis[[#This Row],[cushion]],tbl_cushions[cushion],0))</f>
        <v>FW04619</v>
      </c>
      <c r="E5" s="1">
        <f>VLOOKUP(B5, cushion_dimensions!$A$2:$D$12,4,0)</f>
        <v>109</v>
      </c>
      <c r="F5" s="4">
        <f>E5-(E5-24.71)</f>
        <v>24.710000000000008</v>
      </c>
      <c r="G5" s="4">
        <v>30.83</v>
      </c>
      <c r="H5" s="5">
        <v>35.909999999999997</v>
      </c>
      <c r="I5" s="4">
        <f t="shared" si="2"/>
        <v>24.710000000000008</v>
      </c>
      <c r="J5" s="4">
        <f t="shared" si="3"/>
        <v>6.1199999999999903</v>
      </c>
      <c r="K5" s="4">
        <f t="shared" si="4"/>
        <v>11.199999999999989</v>
      </c>
    </row>
    <row r="6" spans="1:11" x14ac:dyDescent="0.2">
      <c r="A6" s="1" t="s">
        <v>24</v>
      </c>
      <c r="B6" s="1" t="str">
        <f t="shared" si="0"/>
        <v>W798553-02</v>
      </c>
      <c r="C6" s="1" t="str">
        <f t="shared" si="1"/>
        <v>B</v>
      </c>
      <c r="D6" s="1" t="str">
        <f>INDEX(tbl_cushions[batch], MATCH(tbl_hysteresis[[#This Row],[cushion]],tbl_cushions[cushion],0))</f>
        <v>FW04619</v>
      </c>
      <c r="E6" s="1">
        <f>VLOOKUP(B6, cushion_dimensions!$A$2:$D$12,4,0)</f>
        <v>109</v>
      </c>
      <c r="F6" s="4">
        <f>E6-(E6-24.43)</f>
        <v>24.430000000000007</v>
      </c>
      <c r="G6" s="4">
        <v>30.04</v>
      </c>
      <c r="H6" s="5">
        <v>34.72</v>
      </c>
      <c r="I6" s="4">
        <f t="shared" si="2"/>
        <v>24.430000000000007</v>
      </c>
      <c r="J6" s="4">
        <f t="shared" si="3"/>
        <v>5.6099999999999923</v>
      </c>
      <c r="K6" s="4">
        <f t="shared" si="4"/>
        <v>10.289999999999992</v>
      </c>
    </row>
    <row r="7" spans="1:11" x14ac:dyDescent="0.2">
      <c r="A7" s="1" t="s">
        <v>25</v>
      </c>
      <c r="B7" s="1" t="str">
        <f t="shared" si="0"/>
        <v>W798553-02</v>
      </c>
      <c r="C7" s="1" t="str">
        <f t="shared" si="1"/>
        <v>C</v>
      </c>
      <c r="D7" s="1" t="str">
        <f>INDEX(tbl_cushions[batch], MATCH(tbl_hysteresis[[#This Row],[cushion]],tbl_cushions[cushion],0))</f>
        <v>FW04619</v>
      </c>
      <c r="E7" s="1">
        <f>VLOOKUP(B7, cushion_dimensions!$A$2:$D$12,4,0)</f>
        <v>109</v>
      </c>
      <c r="F7" s="4">
        <f>E7-(E7-25.44)</f>
        <v>25.439999999999998</v>
      </c>
      <c r="G7" s="4">
        <v>30.75</v>
      </c>
      <c r="H7" s="5">
        <v>35.08</v>
      </c>
      <c r="I7" s="4">
        <f t="shared" si="2"/>
        <v>25.439999999999998</v>
      </c>
      <c r="J7" s="4">
        <f t="shared" si="3"/>
        <v>5.3100000000000023</v>
      </c>
      <c r="K7" s="4">
        <f t="shared" si="4"/>
        <v>9.64</v>
      </c>
    </row>
    <row r="8" spans="1:11" x14ac:dyDescent="0.2">
      <c r="A8" s="6" t="s">
        <v>26</v>
      </c>
      <c r="B8" s="1" t="str">
        <f t="shared" si="0"/>
        <v>W798553-03</v>
      </c>
      <c r="C8" s="1" t="str">
        <f t="shared" si="1"/>
        <v>A</v>
      </c>
      <c r="D8" s="1" t="str">
        <f>INDEX(tbl_cushions[batch], MATCH(tbl_hysteresis[[#This Row],[cushion]],tbl_cushions[cushion],0))</f>
        <v>FW04619</v>
      </c>
      <c r="E8" s="1">
        <f>VLOOKUP(B8, cushion_dimensions!$A$2:$D$12,4,0)</f>
        <v>109</v>
      </c>
      <c r="F8" s="4">
        <f>E8-(E8-26.86)</f>
        <v>26.86</v>
      </c>
      <c r="G8" s="4">
        <v>32.840000000000003</v>
      </c>
      <c r="H8" s="5">
        <v>38.32</v>
      </c>
      <c r="I8" s="4">
        <f t="shared" si="2"/>
        <v>26.86</v>
      </c>
      <c r="J8" s="4">
        <f t="shared" si="3"/>
        <v>5.980000000000004</v>
      </c>
      <c r="K8" s="4">
        <f t="shared" si="4"/>
        <v>11.46</v>
      </c>
    </row>
    <row r="9" spans="1:11" x14ac:dyDescent="0.2">
      <c r="A9" s="1" t="s">
        <v>27</v>
      </c>
      <c r="B9" s="1" t="str">
        <f t="shared" si="0"/>
        <v>W798553-03</v>
      </c>
      <c r="C9" s="1" t="str">
        <f t="shared" si="1"/>
        <v>B</v>
      </c>
      <c r="D9" s="1" t="str">
        <f>INDEX(tbl_cushions[batch], MATCH(tbl_hysteresis[[#This Row],[cushion]],tbl_cushions[cushion],0))</f>
        <v>FW04619</v>
      </c>
      <c r="E9" s="1">
        <f>VLOOKUP(B9, cushion_dimensions!$A$2:$D$12,4,0)</f>
        <v>109</v>
      </c>
      <c r="F9" s="4">
        <f>E9-(E9-26.59)</f>
        <v>26.590000000000003</v>
      </c>
      <c r="G9" s="4">
        <v>32.450000000000003</v>
      </c>
      <c r="H9" s="5">
        <v>37.92</v>
      </c>
      <c r="I9" s="4">
        <f t="shared" si="2"/>
        <v>26.590000000000003</v>
      </c>
      <c r="J9" s="4">
        <f t="shared" si="3"/>
        <v>5.8599999999999994</v>
      </c>
      <c r="K9" s="4">
        <f t="shared" si="4"/>
        <v>11.329999999999998</v>
      </c>
    </row>
    <row r="10" spans="1:11" x14ac:dyDescent="0.2">
      <c r="A10" s="1" t="s">
        <v>28</v>
      </c>
      <c r="B10" s="1" t="str">
        <f t="shared" si="0"/>
        <v>W798553-03</v>
      </c>
      <c r="C10" s="1" t="str">
        <f t="shared" si="1"/>
        <v>C</v>
      </c>
      <c r="D10" s="1" t="str">
        <f>INDEX(tbl_cushions[batch], MATCH(tbl_hysteresis[[#This Row],[cushion]],tbl_cushions[cushion],0))</f>
        <v>FW04619</v>
      </c>
      <c r="E10" s="1">
        <f>VLOOKUP(B10, cushion_dimensions!$A$2:$D$12,4,0)</f>
        <v>109</v>
      </c>
      <c r="F10" s="4">
        <f>E10-(E10-26.89)</f>
        <v>26.89</v>
      </c>
      <c r="G10" s="4">
        <v>32.590000000000003</v>
      </c>
      <c r="H10" s="5">
        <v>37.729999999999997</v>
      </c>
      <c r="I10" s="4">
        <f t="shared" si="2"/>
        <v>26.89</v>
      </c>
      <c r="J10" s="4">
        <f t="shared" si="3"/>
        <v>5.7000000000000028</v>
      </c>
      <c r="K10" s="4">
        <f t="shared" si="4"/>
        <v>10.839999999999996</v>
      </c>
    </row>
    <row r="11" spans="1:11" x14ac:dyDescent="0.2">
      <c r="A11" s="6" t="s">
        <v>29</v>
      </c>
      <c r="B11" s="1" t="str">
        <f t="shared" si="0"/>
        <v>W896204-01</v>
      </c>
      <c r="C11" s="1" t="str">
        <f t="shared" si="1"/>
        <v>A</v>
      </c>
      <c r="D11" s="1" t="str">
        <f>INDEX(tbl_cushions[batch], MATCH(tbl_hysteresis[[#This Row],[cushion]],tbl_cushions[cushion],0))</f>
        <v>FW04619</v>
      </c>
      <c r="E11" s="1">
        <f>VLOOKUP(B11, cushion_dimensions!$A$2:$D$12,4,0)</f>
        <v>109</v>
      </c>
      <c r="F11" s="4">
        <v>23.42</v>
      </c>
      <c r="G11" s="4">
        <v>27.68</v>
      </c>
      <c r="H11" s="5">
        <v>31.91</v>
      </c>
      <c r="I11" s="4">
        <f t="shared" si="2"/>
        <v>23.42</v>
      </c>
      <c r="J11" s="4">
        <f t="shared" si="3"/>
        <v>4.259999999999998</v>
      </c>
      <c r="K11" s="4">
        <f t="shared" si="4"/>
        <v>8.4899999999999984</v>
      </c>
    </row>
    <row r="12" spans="1:11" x14ac:dyDescent="0.2">
      <c r="A12" s="1" t="s">
        <v>30</v>
      </c>
      <c r="B12" s="1" t="str">
        <f t="shared" si="0"/>
        <v>W896204-01</v>
      </c>
      <c r="C12" s="1" t="str">
        <f t="shared" si="1"/>
        <v>B</v>
      </c>
      <c r="D12" s="1" t="str">
        <f>INDEX(tbl_cushions[batch], MATCH(tbl_hysteresis[[#This Row],[cushion]],tbl_cushions[cushion],0))</f>
        <v>FW04619</v>
      </c>
      <c r="E12" s="1">
        <f>VLOOKUP(B12, cushion_dimensions!$A$2:$D$12,4,0)</f>
        <v>109</v>
      </c>
      <c r="F12" s="4">
        <v>24.43</v>
      </c>
      <c r="G12" s="4">
        <v>28.88</v>
      </c>
      <c r="H12" s="5">
        <v>33.11</v>
      </c>
      <c r="I12" s="4">
        <f t="shared" si="2"/>
        <v>24.43</v>
      </c>
      <c r="J12" s="4">
        <f t="shared" si="3"/>
        <v>4.4499999999999993</v>
      </c>
      <c r="K12" s="4">
        <f t="shared" si="4"/>
        <v>8.68</v>
      </c>
    </row>
    <row r="13" spans="1:11" x14ac:dyDescent="0.2">
      <c r="A13" s="1" t="s">
        <v>31</v>
      </c>
      <c r="B13" s="1" t="str">
        <f t="shared" si="0"/>
        <v>W896204-01</v>
      </c>
      <c r="C13" s="1" t="str">
        <f t="shared" si="1"/>
        <v>C</v>
      </c>
      <c r="D13" s="1" t="str">
        <f>INDEX(tbl_cushions[batch], MATCH(tbl_hysteresis[[#This Row],[cushion]],tbl_cushions[cushion],0))</f>
        <v>FW04619</v>
      </c>
      <c r="E13" s="1">
        <f>VLOOKUP(B13, cushion_dimensions!$A$2:$D$12,4,0)</f>
        <v>109</v>
      </c>
      <c r="F13" s="4">
        <v>25.05</v>
      </c>
      <c r="G13" s="4">
        <v>29.44</v>
      </c>
      <c r="H13" s="5">
        <v>33.5</v>
      </c>
      <c r="I13" s="4">
        <f t="shared" si="2"/>
        <v>25.05</v>
      </c>
      <c r="J13" s="4">
        <f t="shared" si="3"/>
        <v>4.3900000000000006</v>
      </c>
      <c r="K13" s="4">
        <f t="shared" si="4"/>
        <v>8.4499999999999993</v>
      </c>
    </row>
    <row r="14" spans="1:11" x14ac:dyDescent="0.2">
      <c r="A14" s="6" t="s">
        <v>32</v>
      </c>
      <c r="B14" s="1" t="str">
        <f t="shared" si="0"/>
        <v>W896204-02</v>
      </c>
      <c r="C14" s="1" t="str">
        <f t="shared" si="1"/>
        <v>A</v>
      </c>
      <c r="D14" s="1" t="str">
        <f>INDEX(tbl_cushions[batch], MATCH(tbl_hysteresis[[#This Row],[cushion]],tbl_cushions[cushion],0))</f>
        <v>FW04619</v>
      </c>
      <c r="E14" s="1">
        <f>VLOOKUP(B14, cushion_dimensions!$A$2:$D$12,4,0)</f>
        <v>109</v>
      </c>
      <c r="F14" s="4">
        <v>22.46</v>
      </c>
      <c r="G14" s="4">
        <v>26.58</v>
      </c>
      <c r="H14" s="5">
        <v>30.62</v>
      </c>
      <c r="I14" s="4">
        <f t="shared" si="2"/>
        <v>22.46</v>
      </c>
      <c r="J14" s="4">
        <f t="shared" si="3"/>
        <v>4.1199999999999974</v>
      </c>
      <c r="K14" s="4">
        <f t="shared" si="4"/>
        <v>8.16</v>
      </c>
    </row>
    <row r="15" spans="1:11" x14ac:dyDescent="0.2">
      <c r="A15" s="1" t="s">
        <v>33</v>
      </c>
      <c r="B15" s="1" t="str">
        <f t="shared" si="0"/>
        <v>W896204-02</v>
      </c>
      <c r="C15" s="1" t="str">
        <f t="shared" si="1"/>
        <v>B</v>
      </c>
      <c r="D15" s="1" t="str">
        <f>INDEX(tbl_cushions[batch], MATCH(tbl_hysteresis[[#This Row],[cushion]],tbl_cushions[cushion],0))</f>
        <v>FW04619</v>
      </c>
      <c r="E15" s="1">
        <f>VLOOKUP(B15, cushion_dimensions!$A$2:$D$12,4,0)</f>
        <v>109</v>
      </c>
      <c r="F15" s="4">
        <v>23.73</v>
      </c>
      <c r="G15" s="4">
        <v>27.99</v>
      </c>
      <c r="H15" s="5">
        <v>32.14</v>
      </c>
      <c r="I15" s="4">
        <f t="shared" si="2"/>
        <v>23.73</v>
      </c>
      <c r="J15" s="4">
        <f t="shared" si="3"/>
        <v>4.259999999999998</v>
      </c>
      <c r="K15" s="4">
        <f t="shared" si="4"/>
        <v>8.41</v>
      </c>
    </row>
    <row r="16" spans="1:11" x14ac:dyDescent="0.2">
      <c r="A16" s="1" t="s">
        <v>34</v>
      </c>
      <c r="B16" s="1" t="str">
        <f t="shared" si="0"/>
        <v>W896204-02</v>
      </c>
      <c r="C16" s="1" t="str">
        <f t="shared" si="1"/>
        <v>C</v>
      </c>
      <c r="D16" s="1" t="str">
        <f>INDEX(tbl_cushions[batch], MATCH(tbl_hysteresis[[#This Row],[cushion]],tbl_cushions[cushion],0))</f>
        <v>FW04619</v>
      </c>
      <c r="E16" s="1">
        <f>VLOOKUP(B16, cushion_dimensions!$A$2:$D$12,4,0)</f>
        <v>109</v>
      </c>
      <c r="F16" s="4">
        <v>24.33</v>
      </c>
      <c r="G16" s="4">
        <v>28.55</v>
      </c>
      <c r="H16" s="5">
        <v>32.659999999999997</v>
      </c>
      <c r="I16" s="4">
        <f t="shared" si="2"/>
        <v>24.33</v>
      </c>
      <c r="J16" s="4">
        <f t="shared" si="3"/>
        <v>4.2200000000000024</v>
      </c>
      <c r="K16" s="4">
        <f t="shared" si="4"/>
        <v>8.3299999999999983</v>
      </c>
    </row>
    <row r="17" spans="1:11" x14ac:dyDescent="0.2">
      <c r="A17" s="6" t="s">
        <v>35</v>
      </c>
      <c r="B17" s="1" t="str">
        <f t="shared" si="0"/>
        <v>W819482-01</v>
      </c>
      <c r="C17" s="1" t="str">
        <f t="shared" si="1"/>
        <v>A</v>
      </c>
      <c r="D17" s="1" t="str">
        <f>INDEX(tbl_cushions[batch], MATCH(tbl_hysteresis[[#This Row],[cushion]],tbl_cushions[cushion],0))</f>
        <v>FW04621</v>
      </c>
      <c r="E17" s="1">
        <f>VLOOKUP(B17, cushion_dimensions!$A$2:$D$12,4,0)</f>
        <v>121</v>
      </c>
      <c r="F17" s="4">
        <f>(E17)-(E17-27.09)</f>
        <v>27.090000000000003</v>
      </c>
      <c r="G17" s="4">
        <v>31.72</v>
      </c>
      <c r="H17" s="5">
        <v>36.06</v>
      </c>
      <c r="I17" s="4">
        <f t="shared" si="2"/>
        <v>27.090000000000003</v>
      </c>
      <c r="J17" s="4">
        <f t="shared" si="3"/>
        <v>4.6299999999999955</v>
      </c>
      <c r="K17" s="4">
        <f t="shared" si="4"/>
        <v>8.9699999999999989</v>
      </c>
    </row>
    <row r="18" spans="1:11" x14ac:dyDescent="0.2">
      <c r="A18" s="1" t="s">
        <v>36</v>
      </c>
      <c r="B18" s="1" t="str">
        <f t="shared" si="0"/>
        <v>W819482-01</v>
      </c>
      <c r="C18" s="1" t="str">
        <f t="shared" si="1"/>
        <v>B</v>
      </c>
      <c r="D18" s="1" t="str">
        <f>INDEX(tbl_cushions[batch], MATCH(tbl_hysteresis[[#This Row],[cushion]],tbl_cushions[cushion],0))</f>
        <v>FW04621</v>
      </c>
      <c r="E18" s="1">
        <f>VLOOKUP(B18, cushion_dimensions!$A$2:$D$12,4,0)</f>
        <v>121</v>
      </c>
      <c r="F18" s="4">
        <f>E18-(E18-28.96)</f>
        <v>28.960000000000008</v>
      </c>
      <c r="G18" s="4">
        <v>34.47</v>
      </c>
      <c r="H18" s="5">
        <v>38.82</v>
      </c>
      <c r="I18" s="4">
        <f t="shared" si="2"/>
        <v>28.960000000000008</v>
      </c>
      <c r="J18" s="4">
        <f t="shared" si="3"/>
        <v>5.5099999999999909</v>
      </c>
      <c r="K18" s="4">
        <f t="shared" si="4"/>
        <v>9.8599999999999923</v>
      </c>
    </row>
    <row r="19" spans="1:11" x14ac:dyDescent="0.2">
      <c r="A19" s="1" t="s">
        <v>37</v>
      </c>
      <c r="B19" s="1" t="str">
        <f t="shared" si="0"/>
        <v>W819482-01</v>
      </c>
      <c r="C19" s="1" t="str">
        <f t="shared" si="1"/>
        <v>C</v>
      </c>
      <c r="D19" s="1" t="str">
        <f>INDEX(tbl_cushions[batch], MATCH(tbl_hysteresis[[#This Row],[cushion]],tbl_cushions[cushion],0))</f>
        <v>FW04621</v>
      </c>
      <c r="E19" s="1">
        <f>VLOOKUP(B19, cushion_dimensions!$A$2:$D$12,4,0)</f>
        <v>121</v>
      </c>
      <c r="F19" s="4">
        <f>E19-(E19-27.25)</f>
        <v>27.25</v>
      </c>
      <c r="G19" s="4">
        <v>32.39</v>
      </c>
      <c r="H19" s="5">
        <v>36.54</v>
      </c>
      <c r="I19" s="4">
        <f t="shared" si="2"/>
        <v>27.25</v>
      </c>
      <c r="J19" s="4">
        <f t="shared" si="3"/>
        <v>5.1400000000000006</v>
      </c>
      <c r="K19" s="4">
        <f t="shared" si="4"/>
        <v>9.2899999999999991</v>
      </c>
    </row>
    <row r="20" spans="1:11" x14ac:dyDescent="0.2">
      <c r="A20" s="1" t="s">
        <v>38</v>
      </c>
      <c r="B20" s="1" t="str">
        <f t="shared" si="0"/>
        <v>W819482-02</v>
      </c>
      <c r="C20" s="1" t="str">
        <f t="shared" si="1"/>
        <v>A</v>
      </c>
      <c r="D20" s="1" t="str">
        <f>INDEX(tbl_cushions[batch], MATCH(tbl_hysteresis[[#This Row],[cushion]],tbl_cushions[cushion],0))</f>
        <v>FW04621</v>
      </c>
      <c r="E20" s="1">
        <f>VLOOKUP(B20, cushion_dimensions!$A$2:$D$12,4,0)</f>
        <v>121</v>
      </c>
      <c r="F20" s="4">
        <f>E20-(E20-27.4)</f>
        <v>27.400000000000006</v>
      </c>
      <c r="G20" s="4">
        <v>32.25</v>
      </c>
      <c r="H20" s="5">
        <v>36.979999999999997</v>
      </c>
      <c r="I20" s="4">
        <f t="shared" si="2"/>
        <v>27.400000000000006</v>
      </c>
      <c r="J20" s="4">
        <f t="shared" si="3"/>
        <v>4.8499999999999943</v>
      </c>
      <c r="K20" s="4">
        <f t="shared" si="4"/>
        <v>9.5799999999999912</v>
      </c>
    </row>
    <row r="21" spans="1:11" x14ac:dyDescent="0.2">
      <c r="A21" s="1" t="s">
        <v>39</v>
      </c>
      <c r="B21" s="1" t="str">
        <f t="shared" si="0"/>
        <v>W819482-02</v>
      </c>
      <c r="C21" s="1" t="str">
        <f t="shared" si="1"/>
        <v>B</v>
      </c>
      <c r="D21" s="1" t="str">
        <f>INDEX(tbl_cushions[batch], MATCH(tbl_hysteresis[[#This Row],[cushion]],tbl_cushions[cushion],0))</f>
        <v>FW04621</v>
      </c>
      <c r="E21" s="1">
        <f>VLOOKUP(B21, cushion_dimensions!$A$2:$D$12,4,0)</f>
        <v>121</v>
      </c>
      <c r="F21" s="4">
        <f>E21-(E21-27.54)</f>
        <v>27.539999999999992</v>
      </c>
      <c r="G21" s="4">
        <v>32.270000000000003</v>
      </c>
      <c r="H21" s="5">
        <v>36.770000000000003</v>
      </c>
      <c r="I21" s="4">
        <f t="shared" si="2"/>
        <v>27.539999999999992</v>
      </c>
      <c r="J21" s="4">
        <f t="shared" si="3"/>
        <v>4.7300000000000111</v>
      </c>
      <c r="K21" s="4">
        <f t="shared" si="4"/>
        <v>9.2300000000000111</v>
      </c>
    </row>
    <row r="22" spans="1:11" x14ac:dyDescent="0.2">
      <c r="A22" s="1" t="s">
        <v>40</v>
      </c>
      <c r="B22" s="1" t="str">
        <f t="shared" si="0"/>
        <v>W819482-02</v>
      </c>
      <c r="C22" s="1" t="str">
        <f t="shared" si="1"/>
        <v>C</v>
      </c>
      <c r="D22" s="1" t="str">
        <f>INDEX(tbl_cushions[batch], MATCH(tbl_hysteresis[[#This Row],[cushion]],tbl_cushions[cushion],0))</f>
        <v>FW04621</v>
      </c>
      <c r="E22" s="1">
        <f>VLOOKUP(B22, cushion_dimensions!$A$2:$D$12,4,0)</f>
        <v>121</v>
      </c>
      <c r="F22" s="4">
        <f>E22-(E22-25.4)</f>
        <v>25.400000000000006</v>
      </c>
      <c r="G22" s="4">
        <v>29.99</v>
      </c>
      <c r="H22" s="5">
        <v>34.11</v>
      </c>
      <c r="I22" s="4">
        <f t="shared" si="2"/>
        <v>25.400000000000006</v>
      </c>
      <c r="J22" s="4">
        <f t="shared" si="3"/>
        <v>4.5899999999999928</v>
      </c>
      <c r="K22" s="4">
        <f t="shared" si="4"/>
        <v>8.7099999999999937</v>
      </c>
    </row>
    <row r="23" spans="1:11" x14ac:dyDescent="0.2">
      <c r="A23" s="6" t="s">
        <v>41</v>
      </c>
      <c r="B23" s="1" t="str">
        <f t="shared" si="0"/>
        <v>W819482-03</v>
      </c>
      <c r="C23" s="1" t="str">
        <f t="shared" si="1"/>
        <v>A</v>
      </c>
      <c r="D23" s="1" t="str">
        <f>INDEX(tbl_cushions[batch], MATCH(tbl_hysteresis[[#This Row],[cushion]],tbl_cushions[cushion],0))</f>
        <v>FW04621</v>
      </c>
      <c r="E23" s="1">
        <f>VLOOKUP(B23, cushion_dimensions!$A$2:$D$12,4,0)</f>
        <v>121</v>
      </c>
      <c r="F23" s="4">
        <f>E23-(E23-26.19)</f>
        <v>26.189999999999998</v>
      </c>
      <c r="G23" s="4">
        <v>31.22</v>
      </c>
      <c r="H23" s="5">
        <v>36.04</v>
      </c>
      <c r="I23" s="4">
        <f t="shared" si="2"/>
        <v>26.189999999999998</v>
      </c>
      <c r="J23" s="4">
        <f t="shared" si="3"/>
        <v>5.0300000000000011</v>
      </c>
      <c r="K23" s="4">
        <f t="shared" si="4"/>
        <v>9.8500000000000014</v>
      </c>
    </row>
    <row r="24" spans="1:11" x14ac:dyDescent="0.2">
      <c r="A24" s="1" t="s">
        <v>42</v>
      </c>
      <c r="B24" s="1" t="str">
        <f t="shared" si="0"/>
        <v>W819482-03</v>
      </c>
      <c r="C24" s="1" t="str">
        <f t="shared" si="1"/>
        <v>B</v>
      </c>
      <c r="D24" s="1" t="str">
        <f>INDEX(tbl_cushions[batch], MATCH(tbl_hysteresis[[#This Row],[cushion]],tbl_cushions[cushion],0))</f>
        <v>FW04621</v>
      </c>
      <c r="E24" s="1">
        <f>VLOOKUP(B24, cushion_dimensions!$A$2:$D$12,4,0)</f>
        <v>121</v>
      </c>
      <c r="F24" s="4">
        <f>E24-(E24-26.61)</f>
        <v>26.61</v>
      </c>
      <c r="G24" s="4">
        <v>31.46</v>
      </c>
      <c r="H24" s="5">
        <v>36</v>
      </c>
      <c r="I24" s="4">
        <f t="shared" si="2"/>
        <v>26.61</v>
      </c>
      <c r="J24" s="4">
        <f t="shared" si="3"/>
        <v>4.8500000000000014</v>
      </c>
      <c r="K24" s="4">
        <f t="shared" si="4"/>
        <v>9.39</v>
      </c>
    </row>
    <row r="25" spans="1:11" x14ac:dyDescent="0.2">
      <c r="A25" s="1" t="s">
        <v>43</v>
      </c>
      <c r="B25" s="1" t="str">
        <f t="shared" si="0"/>
        <v>W819482-03</v>
      </c>
      <c r="C25" s="1" t="str">
        <f t="shared" si="1"/>
        <v>C</v>
      </c>
      <c r="D25" s="1" t="str">
        <f>INDEX(tbl_cushions[batch], MATCH(tbl_hysteresis[[#This Row],[cushion]],tbl_cushions[cushion],0))</f>
        <v>FW04621</v>
      </c>
      <c r="E25" s="1">
        <f>VLOOKUP(B25, cushion_dimensions!$A$2:$D$12,4,0)</f>
        <v>121</v>
      </c>
      <c r="F25" s="4">
        <f>E25-(E25-24.23)</f>
        <v>24.230000000000004</v>
      </c>
      <c r="G25" s="4">
        <v>28.99</v>
      </c>
      <c r="H25" s="5">
        <v>33.19</v>
      </c>
      <c r="I25" s="4">
        <f t="shared" si="2"/>
        <v>24.230000000000004</v>
      </c>
      <c r="J25" s="4">
        <f t="shared" si="3"/>
        <v>4.7599999999999945</v>
      </c>
      <c r="K25" s="4">
        <f t="shared" si="4"/>
        <v>8.9599999999999937</v>
      </c>
    </row>
    <row r="26" spans="1:11" x14ac:dyDescent="0.2">
      <c r="A26" s="6" t="s">
        <v>44</v>
      </c>
      <c r="B26" s="1" t="str">
        <f t="shared" si="0"/>
        <v>W884993-01</v>
      </c>
      <c r="C26" s="1" t="str">
        <f t="shared" si="1"/>
        <v>A</v>
      </c>
      <c r="D26" s="1" t="str">
        <f>INDEX(tbl_cushions[batch], MATCH(tbl_hysteresis[[#This Row],[cushion]],tbl_cushions[cushion],0))</f>
        <v>FW04621</v>
      </c>
      <c r="E26" s="1">
        <f>VLOOKUP(B26, cushion_dimensions!$A$2:$D$12,4,0)</f>
        <v>119</v>
      </c>
      <c r="F26" s="4">
        <f>E26-(E26-27.89)</f>
        <v>27.89</v>
      </c>
      <c r="G26" s="4">
        <v>32.67</v>
      </c>
      <c r="H26" s="5">
        <v>37.07</v>
      </c>
      <c r="I26" s="4">
        <f t="shared" si="2"/>
        <v>27.89</v>
      </c>
      <c r="J26" s="4">
        <f t="shared" si="3"/>
        <v>4.7800000000000011</v>
      </c>
      <c r="K26" s="4">
        <f t="shared" si="4"/>
        <v>9.18</v>
      </c>
    </row>
    <row r="27" spans="1:11" x14ac:dyDescent="0.2">
      <c r="A27" s="1" t="s">
        <v>45</v>
      </c>
      <c r="B27" s="1" t="str">
        <f t="shared" si="0"/>
        <v>W884993-01</v>
      </c>
      <c r="C27" s="1" t="str">
        <f t="shared" si="1"/>
        <v>B</v>
      </c>
      <c r="D27" s="1" t="str">
        <f>INDEX(tbl_cushions[batch], MATCH(tbl_hysteresis[[#This Row],[cushion]],tbl_cushions[cushion],0))</f>
        <v>FW04621</v>
      </c>
      <c r="E27" s="1">
        <f>VLOOKUP(B27, cushion_dimensions!$A$2:$D$12,4,0)</f>
        <v>119</v>
      </c>
      <c r="F27" s="4">
        <f>28.14</f>
        <v>28.14</v>
      </c>
      <c r="G27" s="4">
        <v>32.76</v>
      </c>
      <c r="H27" s="5">
        <v>36.94</v>
      </c>
      <c r="I27" s="4">
        <f t="shared" si="2"/>
        <v>28.14</v>
      </c>
      <c r="J27" s="4">
        <f t="shared" si="3"/>
        <v>4.6199999999999974</v>
      </c>
      <c r="K27" s="4">
        <f t="shared" si="4"/>
        <v>8.7999999999999972</v>
      </c>
    </row>
    <row r="28" spans="1:11" x14ac:dyDescent="0.2">
      <c r="A28" s="1" t="s">
        <v>46</v>
      </c>
      <c r="B28" s="1" t="str">
        <f t="shared" si="0"/>
        <v>W884993-01</v>
      </c>
      <c r="C28" s="1" t="str">
        <f t="shared" si="1"/>
        <v>C</v>
      </c>
      <c r="D28" s="1" t="str">
        <f>INDEX(tbl_cushions[batch], MATCH(tbl_hysteresis[[#This Row],[cushion]],tbl_cushions[cushion],0))</f>
        <v>FW04621</v>
      </c>
      <c r="E28" s="1">
        <f>VLOOKUP(B28, cushion_dimensions!$A$2:$D$12,4,0)</f>
        <v>119</v>
      </c>
      <c r="F28" s="4">
        <v>28.08</v>
      </c>
      <c r="G28" s="4">
        <v>32.619999999999997</v>
      </c>
      <c r="H28" s="5">
        <v>36.74</v>
      </c>
      <c r="I28" s="4">
        <f t="shared" si="2"/>
        <v>28.08</v>
      </c>
      <c r="J28" s="4">
        <f t="shared" si="3"/>
        <v>4.5399999999999991</v>
      </c>
      <c r="K28" s="4">
        <f t="shared" si="4"/>
        <v>8.6600000000000037</v>
      </c>
    </row>
    <row r="29" spans="1:11" x14ac:dyDescent="0.2">
      <c r="A29" s="6" t="s">
        <v>47</v>
      </c>
      <c r="B29" s="1" t="str">
        <f t="shared" si="0"/>
        <v>W884993-02</v>
      </c>
      <c r="C29" s="1" t="str">
        <f t="shared" si="1"/>
        <v>A</v>
      </c>
      <c r="D29" s="1" t="str">
        <f>INDEX(tbl_cushions[batch], MATCH(tbl_hysteresis[[#This Row],[cushion]],tbl_cushions[cushion],0))</f>
        <v>FW04621</v>
      </c>
      <c r="E29" s="1">
        <f>VLOOKUP(B29, cushion_dimensions!$A$2:$D$12,4,0)</f>
        <v>119</v>
      </c>
      <c r="F29" s="4">
        <f>27.13</f>
        <v>27.13</v>
      </c>
      <c r="G29" s="4">
        <v>31.69</v>
      </c>
      <c r="H29" s="5">
        <v>35.92</v>
      </c>
      <c r="I29" s="4">
        <f t="shared" si="2"/>
        <v>27.13</v>
      </c>
      <c r="J29" s="4">
        <f t="shared" si="3"/>
        <v>4.5600000000000023</v>
      </c>
      <c r="K29" s="4">
        <f t="shared" si="4"/>
        <v>8.7900000000000027</v>
      </c>
    </row>
    <row r="30" spans="1:11" x14ac:dyDescent="0.2">
      <c r="A30" s="1" t="s">
        <v>48</v>
      </c>
      <c r="B30" s="1" t="str">
        <f t="shared" si="0"/>
        <v>W884993-02</v>
      </c>
      <c r="C30" s="1" t="str">
        <f t="shared" si="1"/>
        <v>B</v>
      </c>
      <c r="D30" s="1" t="str">
        <f>INDEX(tbl_cushions[batch], MATCH(tbl_hysteresis[[#This Row],[cushion]],tbl_cushions[cushion],0))</f>
        <v>FW04621</v>
      </c>
      <c r="E30" s="1">
        <f>VLOOKUP(B30, cushion_dimensions!$A$2:$D$12,4,0)</f>
        <v>119</v>
      </c>
      <c r="F30" s="4">
        <v>27.6</v>
      </c>
      <c r="G30" s="4">
        <v>32.03</v>
      </c>
      <c r="H30" s="5">
        <v>36.049999999999997</v>
      </c>
      <c r="I30" s="4">
        <f t="shared" si="2"/>
        <v>27.6</v>
      </c>
      <c r="J30" s="4">
        <f t="shared" si="3"/>
        <v>4.43</v>
      </c>
      <c r="K30" s="4">
        <f t="shared" si="4"/>
        <v>8.4499999999999957</v>
      </c>
    </row>
    <row r="31" spans="1:11" x14ac:dyDescent="0.2">
      <c r="A31" s="6" t="s">
        <v>49</v>
      </c>
      <c r="B31" s="1" t="str">
        <f t="shared" si="0"/>
        <v>W884993-02</v>
      </c>
      <c r="C31" s="1" t="str">
        <f t="shared" si="1"/>
        <v>C</v>
      </c>
      <c r="D31" s="1" t="str">
        <f>INDEX(tbl_cushions[batch], MATCH(tbl_hysteresis[[#This Row],[cushion]],tbl_cushions[cushion],0))</f>
        <v>FW04621</v>
      </c>
      <c r="E31" s="1">
        <f>VLOOKUP(B31, cushion_dimensions!$A$2:$D$12,4,0)</f>
        <v>119</v>
      </c>
      <c r="F31" s="5">
        <v>27.44</v>
      </c>
      <c r="G31" s="5">
        <v>31.76</v>
      </c>
      <c r="H31" s="5">
        <v>35.659999999999997</v>
      </c>
      <c r="I31" s="4">
        <f t="shared" si="2"/>
        <v>27.44</v>
      </c>
      <c r="J31" s="4">
        <f t="shared" si="3"/>
        <v>4.32</v>
      </c>
      <c r="K31" s="4">
        <f t="shared" si="4"/>
        <v>8.2199999999999953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9151-F77E-434D-8777-7D303422F12F}">
  <dimension ref="B1:J41"/>
  <sheetViews>
    <sheetView workbookViewId="0">
      <selection activeCell="I35" sqref="I35"/>
    </sheetView>
  </sheetViews>
  <sheetFormatPr defaultRowHeight="12.75" x14ac:dyDescent="0.2"/>
  <cols>
    <col min="2" max="2" width="11.7109375" bestFit="1" customWidth="1"/>
    <col min="3" max="3" width="9.140625" bestFit="1" customWidth="1"/>
    <col min="4" max="6" width="7.7109375" bestFit="1" customWidth="1"/>
    <col min="7" max="7" width="9.85546875" customWidth="1"/>
    <col min="8" max="8" width="12.42578125" bestFit="1" customWidth="1"/>
    <col min="10" max="10" width="12" bestFit="1" customWidth="1"/>
  </cols>
  <sheetData>
    <row r="1" spans="2:10" ht="15.75" x14ac:dyDescent="0.25">
      <c r="B1" s="14" t="s">
        <v>92</v>
      </c>
    </row>
    <row r="3" spans="2:10" x14ac:dyDescent="0.2">
      <c r="B3" s="13" t="s">
        <v>1</v>
      </c>
      <c r="C3" s="13" t="s">
        <v>59</v>
      </c>
      <c r="D3" s="13" t="s">
        <v>86</v>
      </c>
      <c r="E3" s="13" t="s">
        <v>87</v>
      </c>
      <c r="F3" s="13" t="s">
        <v>88</v>
      </c>
      <c r="G3" s="13" t="s">
        <v>89</v>
      </c>
      <c r="H3" s="13" t="s">
        <v>90</v>
      </c>
      <c r="J3" s="13" t="s">
        <v>91</v>
      </c>
    </row>
    <row r="4" spans="2:10" ht="15" x14ac:dyDescent="0.25">
      <c r="B4" s="15" t="s">
        <v>62</v>
      </c>
      <c r="C4" s="15" t="str">
        <f>INDEX(tbl_cushions[batch],MATCH(B4,tbl_cushions[cushion],0))</f>
        <v>FW04619</v>
      </c>
      <c r="D4" s="17">
        <f>INDEX(tbl_lcdod[lcd],MATCH($B4&amp;D$3, tbl_lcdod[test_ID],0))</f>
        <v>25.510000000000005</v>
      </c>
      <c r="E4" s="17">
        <f>INDEX(tbl_lcdod[lcd],MATCH($B4&amp;E$3, tbl_lcdod[test_ID],0))</f>
        <v>23.61</v>
      </c>
      <c r="F4" s="17">
        <f>INDEX(tbl_lcdod[lcd],MATCH($B4&amp;F$3, tbl_lcdod[test_ID],0))</f>
        <v>24.58</v>
      </c>
      <c r="G4" s="16">
        <f>AVERAGE(D4:F4)</f>
        <v>24.566666666666666</v>
      </c>
      <c r="H4" s="15">
        <f>_xlfn.STDEV.S(D4:F4)</f>
        <v>0.9500701728469001</v>
      </c>
      <c r="J4">
        <f>_xlfn.T.TEST(G4:G8,G9:G13,2,2)</f>
        <v>9.510947912096222E-3</v>
      </c>
    </row>
    <row r="5" spans="2:10" ht="15" x14ac:dyDescent="0.25">
      <c r="B5" s="15" t="s">
        <v>64</v>
      </c>
      <c r="C5" s="15" t="str">
        <f>INDEX(tbl_cushions[batch],MATCH(B5,tbl_cushions[cushion],0))</f>
        <v>FW04619</v>
      </c>
      <c r="D5" s="16">
        <f>INDEX(tbl_lcdod[lcd],MATCH($B5&amp;D$3, tbl_lcdod[test_ID],0))</f>
        <v>24.710000000000008</v>
      </c>
      <c r="E5" s="16">
        <f>INDEX(tbl_lcdod[lcd],MATCH($B5&amp;E$3, tbl_lcdod[test_ID],0))</f>
        <v>24.430000000000007</v>
      </c>
      <c r="F5" s="16">
        <f>INDEX(tbl_lcdod[lcd],MATCH($B5&amp;F$3, tbl_lcdod[test_ID],0))</f>
        <v>25.439999999999998</v>
      </c>
      <c r="G5" s="16">
        <f t="shared" ref="G5:G12" si="0">AVERAGE(D5:F5)</f>
        <v>24.860000000000003</v>
      </c>
      <c r="H5" s="15">
        <f t="shared" ref="H5:H13" si="1">_xlfn.STDEV.S(D5:F5)</f>
        <v>0.52144031297934246</v>
      </c>
    </row>
    <row r="6" spans="2:10" ht="15" x14ac:dyDescent="0.25">
      <c r="B6" s="15" t="s">
        <v>65</v>
      </c>
      <c r="C6" s="15" t="str">
        <f>INDEX(tbl_cushions[batch],MATCH(B6,tbl_cushions[cushion],0))</f>
        <v>FW04619</v>
      </c>
      <c r="D6" s="16">
        <f>INDEX(tbl_lcdod[lcd],MATCH($B6&amp;D$3, tbl_lcdod[test_ID],0))</f>
        <v>26.86</v>
      </c>
      <c r="E6" s="16">
        <f>INDEX(tbl_lcdod[lcd],MATCH($B6&amp;E$3, tbl_lcdod[test_ID],0))</f>
        <v>26.590000000000003</v>
      </c>
      <c r="F6" s="16">
        <f>INDEX(tbl_lcdod[lcd],MATCH($B6&amp;F$3, tbl_lcdod[test_ID],0))</f>
        <v>26.89</v>
      </c>
      <c r="G6" s="16">
        <f t="shared" si="0"/>
        <v>26.78</v>
      </c>
      <c r="H6" s="15">
        <f t="shared" si="1"/>
        <v>0.16522711641858115</v>
      </c>
    </row>
    <row r="7" spans="2:10" ht="15" x14ac:dyDescent="0.25">
      <c r="B7" s="15" t="s">
        <v>66</v>
      </c>
      <c r="C7" s="15" t="str">
        <f>INDEX(tbl_cushions[batch],MATCH(B7,tbl_cushions[cushion],0))</f>
        <v>FW04619</v>
      </c>
      <c r="D7" s="16">
        <f>INDEX(tbl_lcdod[lcd],MATCH($B7&amp;D$3, tbl_lcdod[test_ID],0))</f>
        <v>23.42</v>
      </c>
      <c r="E7" s="16">
        <f>INDEX(tbl_lcdod[lcd],MATCH($B7&amp;E$3, tbl_lcdod[test_ID],0))</f>
        <v>24.43</v>
      </c>
      <c r="F7" s="16">
        <f>INDEX(tbl_lcdod[lcd],MATCH($B7&amp;F$3, tbl_lcdod[test_ID],0))</f>
        <v>25.05</v>
      </c>
      <c r="G7" s="16">
        <f t="shared" si="0"/>
        <v>24.3</v>
      </c>
      <c r="H7" s="15">
        <f t="shared" si="1"/>
        <v>0.82273932688306506</v>
      </c>
    </row>
    <row r="8" spans="2:10" ht="15" x14ac:dyDescent="0.25">
      <c r="B8" s="15" t="s">
        <v>67</v>
      </c>
      <c r="C8" s="15" t="str">
        <f>INDEX(tbl_cushions[batch],MATCH(B8,tbl_cushions[cushion],0))</f>
        <v>FW04619</v>
      </c>
      <c r="D8" s="16">
        <f>INDEX(tbl_lcdod[lcd],MATCH($B8&amp;D$3, tbl_lcdod[test_ID],0))</f>
        <v>22.46</v>
      </c>
      <c r="E8" s="16">
        <f>INDEX(tbl_lcdod[lcd],MATCH($B8&amp;E$3, tbl_lcdod[test_ID],0))</f>
        <v>23.73</v>
      </c>
      <c r="F8" s="16">
        <f>INDEX(tbl_lcdod[lcd],MATCH($B8&amp;F$3, tbl_lcdod[test_ID],0))</f>
        <v>24.33</v>
      </c>
      <c r="G8" s="16">
        <f t="shared" si="0"/>
        <v>23.506666666666664</v>
      </c>
      <c r="H8" s="15">
        <f t="shared" si="1"/>
        <v>0.95479491689751417</v>
      </c>
    </row>
    <row r="9" spans="2:10" x14ac:dyDescent="0.2">
      <c r="B9" t="s">
        <v>68</v>
      </c>
      <c r="C9" t="str">
        <f>INDEX(tbl_cushions[batch],MATCH(B9,tbl_cushions[cushion],0))</f>
        <v>FW04621</v>
      </c>
      <c r="D9" s="12">
        <f>INDEX(tbl_lcdod[lcd],MATCH($B9&amp;D$3, tbl_lcdod[test_ID],0))</f>
        <v>27.090000000000003</v>
      </c>
      <c r="E9" s="12">
        <f>INDEX(tbl_lcdod[lcd],MATCH($B9&amp;E$3, tbl_lcdod[test_ID],0))</f>
        <v>28.960000000000008</v>
      </c>
      <c r="F9" s="12">
        <f>INDEX(tbl_lcdod[lcd],MATCH($B9&amp;F$3, tbl_lcdod[test_ID],0))</f>
        <v>27.25</v>
      </c>
      <c r="G9" s="12">
        <f t="shared" si="0"/>
        <v>27.766666666666669</v>
      </c>
      <c r="H9">
        <f t="shared" si="1"/>
        <v>1.0365487607118831</v>
      </c>
    </row>
    <row r="10" spans="2:10" x14ac:dyDescent="0.2">
      <c r="B10" t="s">
        <v>70</v>
      </c>
      <c r="C10" t="str">
        <f>INDEX(tbl_cushions[batch],MATCH(B10,tbl_cushions[cushion],0))</f>
        <v>FW04621</v>
      </c>
      <c r="D10" s="12">
        <f>INDEX(tbl_lcdod[lcd],MATCH($B10&amp;D$3, tbl_lcdod[test_ID],0))</f>
        <v>27.400000000000006</v>
      </c>
      <c r="E10" s="12">
        <f>INDEX(tbl_lcdod[lcd],MATCH($B10&amp;E$3, tbl_lcdod[test_ID],0))</f>
        <v>27.539999999999992</v>
      </c>
      <c r="F10" s="12">
        <f>INDEX(tbl_lcdod[lcd],MATCH($B10&amp;F$3, tbl_lcdod[test_ID],0))</f>
        <v>25.400000000000006</v>
      </c>
      <c r="G10" s="12">
        <f t="shared" si="0"/>
        <v>26.78</v>
      </c>
      <c r="H10">
        <f t="shared" si="1"/>
        <v>1.1971633138381703</v>
      </c>
    </row>
    <row r="11" spans="2:10" x14ac:dyDescent="0.2">
      <c r="B11" t="s">
        <v>71</v>
      </c>
      <c r="C11" t="str">
        <f>INDEX(tbl_cushions[batch],MATCH(B11,tbl_cushions[cushion],0))</f>
        <v>FW04621</v>
      </c>
      <c r="D11" s="12">
        <f>INDEX(tbl_lcdod[lcd],MATCH($B11&amp;D$3, tbl_lcdod[test_ID],0))</f>
        <v>26.189999999999998</v>
      </c>
      <c r="E11" s="12">
        <f>INDEX(tbl_lcdod[lcd],MATCH($B11&amp;E$3, tbl_lcdod[test_ID],0))</f>
        <v>26.61</v>
      </c>
      <c r="F11" s="12">
        <f>INDEX(tbl_lcdod[lcd],MATCH($B11&amp;F$3, tbl_lcdod[test_ID],0))</f>
        <v>24.230000000000004</v>
      </c>
      <c r="G11" s="12">
        <f t="shared" si="0"/>
        <v>25.676666666666666</v>
      </c>
      <c r="H11">
        <f t="shared" si="1"/>
        <v>1.2703280416228422</v>
      </c>
    </row>
    <row r="12" spans="2:10" x14ac:dyDescent="0.2">
      <c r="B12" t="s">
        <v>72</v>
      </c>
      <c r="C12" t="str">
        <f>INDEX(tbl_cushions[batch],MATCH(B12,tbl_cushions[cushion],0))</f>
        <v>FW04621</v>
      </c>
      <c r="D12" s="12">
        <f>INDEX(tbl_lcdod[lcd],MATCH($B12&amp;D$3, tbl_lcdod[test_ID],0))</f>
        <v>27.89</v>
      </c>
      <c r="E12" s="12">
        <f>INDEX(tbl_lcdod[lcd],MATCH($B12&amp;E$3, tbl_lcdod[test_ID],0))</f>
        <v>28.14</v>
      </c>
      <c r="F12" s="12">
        <f>INDEX(tbl_lcdod[lcd],MATCH($B12&amp;F$3, tbl_lcdod[test_ID],0))</f>
        <v>28.08</v>
      </c>
      <c r="G12" s="12">
        <f t="shared" si="0"/>
        <v>28.036666666666665</v>
      </c>
      <c r="H12">
        <f t="shared" si="1"/>
        <v>0.13051181300301223</v>
      </c>
    </row>
    <row r="13" spans="2:10" x14ac:dyDescent="0.2">
      <c r="B13" t="s">
        <v>73</v>
      </c>
      <c r="C13" t="str">
        <f>INDEX(tbl_cushions[batch],MATCH(B13,tbl_cushions[cushion],0))</f>
        <v>FW04621</v>
      </c>
      <c r="D13" s="12">
        <f>INDEX(tbl_lcdod[lcd],MATCH($B13&amp;D$3, tbl_lcdod[test_ID],0))</f>
        <v>27.13</v>
      </c>
      <c r="E13" s="12">
        <f>INDEX(tbl_lcdod[lcd],MATCH($B13&amp;E$3, tbl_lcdod[test_ID],0))</f>
        <v>27.6</v>
      </c>
      <c r="F13" s="12">
        <f>INDEX(tbl_lcdod[lcd],MATCH($B13&amp;F$3, tbl_lcdod[test_ID],0))</f>
        <v>27.44</v>
      </c>
      <c r="G13" s="12">
        <f>AVERAGE(D13:F13)</f>
        <v>27.39</v>
      </c>
      <c r="H13">
        <f t="shared" si="1"/>
        <v>0.23895606290697172</v>
      </c>
    </row>
    <row r="15" spans="2:10" ht="15.75" x14ac:dyDescent="0.25">
      <c r="B15" s="14" t="s">
        <v>54</v>
      </c>
    </row>
    <row r="17" spans="2:10" x14ac:dyDescent="0.2">
      <c r="B17" s="13" t="s">
        <v>1</v>
      </c>
      <c r="C17" s="13" t="s">
        <v>59</v>
      </c>
      <c r="D17" s="13" t="s">
        <v>86</v>
      </c>
      <c r="E17" s="13" t="s">
        <v>87</v>
      </c>
      <c r="F17" s="13" t="s">
        <v>88</v>
      </c>
      <c r="G17" s="13" t="s">
        <v>89</v>
      </c>
      <c r="H17" s="13" t="s">
        <v>90</v>
      </c>
      <c r="J17" s="13" t="s">
        <v>91</v>
      </c>
    </row>
    <row r="18" spans="2:10" ht="15" x14ac:dyDescent="0.25">
      <c r="B18" s="15" t="s">
        <v>62</v>
      </c>
      <c r="C18" s="15" t="str">
        <f>INDEX(tbl_cushions[batch],MATCH(B18,tbl_cushions[cushion],0))</f>
        <v>FW04619</v>
      </c>
      <c r="D18" s="17">
        <f>INDEX(tbl_lcdod[L_180],MATCH($B18&amp;D$17, tbl_lcdod[test_ID],0))</f>
        <v>6.8099999999999952</v>
      </c>
      <c r="E18" s="17">
        <f>INDEX(tbl_lcdod[L_180],MATCH($B18&amp;E$17, tbl_lcdod[test_ID],0))</f>
        <v>5.8599999999999994</v>
      </c>
      <c r="F18" s="17">
        <f>INDEX(tbl_lcdod[L_180],MATCH($B18&amp;F$17, tbl_lcdod[test_ID],0))</f>
        <v>5.7700000000000031</v>
      </c>
      <c r="G18" s="16">
        <f>AVERAGE(D18:F18)</f>
        <v>6.1466666666666656</v>
      </c>
      <c r="H18" s="15">
        <f>_xlfn.STDEV.S(D18:F18)</f>
        <v>0.57622333633178124</v>
      </c>
      <c r="J18">
        <f>_xlfn.T.TEST(G18:G22,G23:G27,2,2)</f>
        <v>0.2715714592320807</v>
      </c>
    </row>
    <row r="19" spans="2:10" ht="15" x14ac:dyDescent="0.25">
      <c r="B19" s="15" t="s">
        <v>64</v>
      </c>
      <c r="C19" s="15" t="str">
        <f>INDEX(tbl_cushions[batch],MATCH(B19,tbl_cushions[cushion],0))</f>
        <v>FW04619</v>
      </c>
      <c r="D19" s="16">
        <f>INDEX(tbl_lcdod[L_180],MATCH($B19&amp;D$17, tbl_lcdod[test_ID],0))</f>
        <v>6.1199999999999903</v>
      </c>
      <c r="E19" s="16">
        <f>INDEX(tbl_lcdod[L_180],MATCH($B19&amp;E$17, tbl_lcdod[test_ID],0))</f>
        <v>5.6099999999999923</v>
      </c>
      <c r="F19" s="16">
        <f>INDEX(tbl_lcdod[L_180],MATCH($B19&amp;F$17, tbl_lcdod[test_ID],0))</f>
        <v>5.3100000000000023</v>
      </c>
      <c r="G19" s="16">
        <f t="shared" ref="G19:G26" si="2">AVERAGE(D19:F19)</f>
        <v>5.6799999999999953</v>
      </c>
      <c r="H19" s="15">
        <f t="shared" ref="H19:H27" si="3">_xlfn.STDEV.S(D19:F19)</f>
        <v>0.40951190458885989</v>
      </c>
    </row>
    <row r="20" spans="2:10" ht="15" x14ac:dyDescent="0.25">
      <c r="B20" s="15" t="s">
        <v>65</v>
      </c>
      <c r="C20" s="15" t="str">
        <f>INDEX(tbl_cushions[batch],MATCH(B20,tbl_cushions[cushion],0))</f>
        <v>FW04619</v>
      </c>
      <c r="D20" s="16">
        <f>INDEX(tbl_lcdod[L_180],MATCH($B20&amp;D$17, tbl_lcdod[test_ID],0))</f>
        <v>5.980000000000004</v>
      </c>
      <c r="E20" s="16">
        <f>INDEX(tbl_lcdod[L_180],MATCH($B20&amp;E$17, tbl_lcdod[test_ID],0))</f>
        <v>5.8599999999999994</v>
      </c>
      <c r="F20" s="16">
        <f>INDEX(tbl_lcdod[L_180],MATCH($B20&amp;F$17, tbl_lcdod[test_ID],0))</f>
        <v>5.7000000000000028</v>
      </c>
      <c r="G20" s="16">
        <f t="shared" si="2"/>
        <v>5.8466666666666685</v>
      </c>
      <c r="H20" s="15">
        <f t="shared" si="3"/>
        <v>0.14047538337137022</v>
      </c>
    </row>
    <row r="21" spans="2:10" ht="15" x14ac:dyDescent="0.25">
      <c r="B21" s="15" t="s">
        <v>66</v>
      </c>
      <c r="C21" s="15" t="str">
        <f>INDEX(tbl_cushions[batch],MATCH(B21,tbl_cushions[cushion],0))</f>
        <v>FW04619</v>
      </c>
      <c r="D21" s="16">
        <f>INDEX(tbl_lcdod[L_180],MATCH($B21&amp;D$17, tbl_lcdod[test_ID],0))</f>
        <v>4.259999999999998</v>
      </c>
      <c r="E21" s="16">
        <f>INDEX(tbl_lcdod[L_180],MATCH($B21&amp;E$17, tbl_lcdod[test_ID],0))</f>
        <v>4.4499999999999993</v>
      </c>
      <c r="F21" s="16">
        <f>INDEX(tbl_lcdod[L_180],MATCH($B21&amp;F$17, tbl_lcdod[test_ID],0))</f>
        <v>4.3900000000000006</v>
      </c>
      <c r="G21" s="16">
        <f t="shared" si="2"/>
        <v>4.3666666666666663</v>
      </c>
      <c r="H21" s="15">
        <f t="shared" si="3"/>
        <v>9.7125348562223962E-2</v>
      </c>
    </row>
    <row r="22" spans="2:10" ht="15" x14ac:dyDescent="0.25">
      <c r="B22" s="15" t="s">
        <v>67</v>
      </c>
      <c r="C22" s="15" t="str">
        <f>INDEX(tbl_cushions[batch],MATCH(B22,tbl_cushions[cushion],0))</f>
        <v>FW04619</v>
      </c>
      <c r="D22" s="16">
        <f>INDEX(tbl_lcdod[L_180],MATCH($B22&amp;D$17, tbl_lcdod[test_ID],0))</f>
        <v>4.1199999999999974</v>
      </c>
      <c r="E22" s="16">
        <f>INDEX(tbl_lcdod[L_180],MATCH($B22&amp;E$17, tbl_lcdod[test_ID],0))</f>
        <v>4.259999999999998</v>
      </c>
      <c r="F22" s="16">
        <f>INDEX(tbl_lcdod[L_180],MATCH($B22&amp;F$17, tbl_lcdod[test_ID],0))</f>
        <v>4.2200000000000024</v>
      </c>
      <c r="G22" s="16">
        <f t="shared" si="2"/>
        <v>4.1999999999999993</v>
      </c>
      <c r="H22" s="15">
        <f t="shared" si="3"/>
        <v>7.211102550928071E-2</v>
      </c>
    </row>
    <row r="23" spans="2:10" x14ac:dyDescent="0.2">
      <c r="B23" t="s">
        <v>68</v>
      </c>
      <c r="C23" t="str">
        <f>INDEX(tbl_cushions[batch],MATCH(B23,tbl_cushions[cushion],0))</f>
        <v>FW04621</v>
      </c>
      <c r="D23" s="12">
        <f>INDEX(tbl_lcdod[L_180],MATCH($B23&amp;D$17, tbl_lcdod[test_ID],0))</f>
        <v>4.6299999999999955</v>
      </c>
      <c r="E23" s="12">
        <f>INDEX(tbl_lcdod[L_180],MATCH($B23&amp;E$17, tbl_lcdod[test_ID],0))</f>
        <v>5.5099999999999909</v>
      </c>
      <c r="F23" s="12">
        <f>INDEX(tbl_lcdod[L_180],MATCH($B23&amp;F$17, tbl_lcdod[test_ID],0))</f>
        <v>5.1400000000000006</v>
      </c>
      <c r="G23" s="12">
        <f t="shared" si="2"/>
        <v>5.0933333333333293</v>
      </c>
      <c r="H23">
        <f t="shared" si="3"/>
        <v>0.44185216230469176</v>
      </c>
    </row>
    <row r="24" spans="2:10" x14ac:dyDescent="0.2">
      <c r="B24" t="s">
        <v>70</v>
      </c>
      <c r="C24" t="str">
        <f>INDEX(tbl_cushions[batch],MATCH(B24,tbl_cushions[cushion],0))</f>
        <v>FW04621</v>
      </c>
      <c r="D24" s="12">
        <f>INDEX(tbl_lcdod[L_180],MATCH($B24&amp;D$17, tbl_lcdod[test_ID],0))</f>
        <v>4.8499999999999943</v>
      </c>
      <c r="E24" s="12">
        <f>INDEX(tbl_lcdod[L_180],MATCH($B24&amp;E$17, tbl_lcdod[test_ID],0))</f>
        <v>4.7300000000000111</v>
      </c>
      <c r="F24" s="12">
        <f>INDEX(tbl_lcdod[L_180],MATCH($B24&amp;F$17, tbl_lcdod[test_ID],0))</f>
        <v>4.5899999999999928</v>
      </c>
      <c r="G24" s="12">
        <f t="shared" si="2"/>
        <v>4.7233333333333327</v>
      </c>
      <c r="H24">
        <f t="shared" si="3"/>
        <v>0.13012814197295547</v>
      </c>
    </row>
    <row r="25" spans="2:10" x14ac:dyDescent="0.2">
      <c r="B25" t="s">
        <v>71</v>
      </c>
      <c r="C25" t="str">
        <f>INDEX(tbl_cushions[batch],MATCH(B25,tbl_cushions[cushion],0))</f>
        <v>FW04621</v>
      </c>
      <c r="D25" s="12">
        <f>INDEX(tbl_lcdod[L_180],MATCH($B25&amp;D$17, tbl_lcdod[test_ID],0))</f>
        <v>5.0300000000000011</v>
      </c>
      <c r="E25" s="12">
        <f>INDEX(tbl_lcdod[L_180],MATCH($B25&amp;E$17, tbl_lcdod[test_ID],0))</f>
        <v>4.8500000000000014</v>
      </c>
      <c r="F25" s="12">
        <f>INDEX(tbl_lcdod[L_180],MATCH($B25&amp;F$17, tbl_lcdod[test_ID],0))</f>
        <v>4.7599999999999945</v>
      </c>
      <c r="G25" s="12">
        <f t="shared" si="2"/>
        <v>4.879999999999999</v>
      </c>
      <c r="H25">
        <f t="shared" si="3"/>
        <v>0.13747727084867808</v>
      </c>
    </row>
    <row r="26" spans="2:10" x14ac:dyDescent="0.2">
      <c r="B26" t="s">
        <v>72</v>
      </c>
      <c r="C26" t="str">
        <f>INDEX(tbl_cushions[batch],MATCH(B26,tbl_cushions[cushion],0))</f>
        <v>FW04621</v>
      </c>
      <c r="D26" s="12">
        <f>INDEX(tbl_lcdod[L_180],MATCH($B26&amp;D$17, tbl_lcdod[test_ID],0))</f>
        <v>4.7800000000000011</v>
      </c>
      <c r="E26" s="12">
        <f>INDEX(tbl_lcdod[L_180],MATCH($B26&amp;E$17, tbl_lcdod[test_ID],0))</f>
        <v>4.6199999999999974</v>
      </c>
      <c r="F26" s="12">
        <f>INDEX(tbl_lcdod[L_180],MATCH($B26&amp;F$17, tbl_lcdod[test_ID],0))</f>
        <v>4.5399999999999991</v>
      </c>
      <c r="G26" s="12">
        <f t="shared" si="2"/>
        <v>4.6466666666666656</v>
      </c>
      <c r="H26">
        <f t="shared" si="3"/>
        <v>0.12220201853215699</v>
      </c>
    </row>
    <row r="27" spans="2:10" x14ac:dyDescent="0.2">
      <c r="B27" t="s">
        <v>73</v>
      </c>
      <c r="C27" t="str">
        <f>INDEX(tbl_cushions[batch],MATCH(B27,tbl_cushions[cushion],0))</f>
        <v>FW04621</v>
      </c>
      <c r="D27" s="12">
        <f>INDEX(tbl_lcdod[L_180],MATCH($B27&amp;D$17, tbl_lcdod[test_ID],0))</f>
        <v>4.5600000000000023</v>
      </c>
      <c r="E27" s="12">
        <f>INDEX(tbl_lcdod[L_180],MATCH($B27&amp;E$17, tbl_lcdod[test_ID],0))</f>
        <v>4.43</v>
      </c>
      <c r="F27" s="12">
        <f>INDEX(tbl_lcdod[L_180],MATCH($B27&amp;F$17, tbl_lcdod[test_ID],0))</f>
        <v>4.32</v>
      </c>
      <c r="G27" s="12">
        <f>AVERAGE(D27:F27)</f>
        <v>4.4366666666666674</v>
      </c>
      <c r="H27">
        <f t="shared" si="3"/>
        <v>0.12013880860626837</v>
      </c>
    </row>
    <row r="29" spans="2:10" ht="15.75" x14ac:dyDescent="0.25">
      <c r="B29" s="14" t="s">
        <v>55</v>
      </c>
    </row>
    <row r="31" spans="2:10" x14ac:dyDescent="0.2">
      <c r="B31" s="13" t="s">
        <v>1</v>
      </c>
      <c r="C31" s="13" t="s">
        <v>59</v>
      </c>
      <c r="D31" s="13" t="s">
        <v>86</v>
      </c>
      <c r="E31" s="13" t="s">
        <v>87</v>
      </c>
      <c r="F31" s="13" t="s">
        <v>88</v>
      </c>
      <c r="G31" s="13" t="s">
        <v>89</v>
      </c>
      <c r="H31" s="13" t="s">
        <v>90</v>
      </c>
      <c r="J31" s="13" t="s">
        <v>91</v>
      </c>
    </row>
    <row r="32" spans="2:10" ht="15" x14ac:dyDescent="0.25">
      <c r="B32" s="15" t="s">
        <v>62</v>
      </c>
      <c r="C32" s="15" t="str">
        <f>INDEX(tbl_cushions[batch],MATCH(B32,tbl_cushions[cushion],0))</f>
        <v>FW04619</v>
      </c>
      <c r="D32" s="17">
        <f>INDEX(tbl_lcdod[L_225],MATCH($B32&amp;D$31, tbl_lcdod[test_ID],0))</f>
        <v>12.789999999999992</v>
      </c>
      <c r="E32" s="16">
        <f>INDEX(tbl_lcdod[L_225],MATCH($B32&amp;E$31, tbl_lcdod[test_ID],0))</f>
        <v>10.939999999999998</v>
      </c>
      <c r="F32" s="16">
        <f>INDEX(tbl_lcdod[L_225],MATCH($B32&amp;F$31, tbl_lcdod[test_ID],0))</f>
        <v>10.54</v>
      </c>
      <c r="G32" s="16">
        <f>AVERAGE(D32:F32)</f>
        <v>11.42333333333333</v>
      </c>
      <c r="H32" s="15">
        <f>_xlfn.STDEV.S(D32:F32)</f>
        <v>1.2003471720020522</v>
      </c>
      <c r="J32">
        <f>_xlfn.T.TEST(G32:G36,G37:G41,2,2)</f>
        <v>0.2185747900056077</v>
      </c>
    </row>
    <row r="33" spans="2:8" ht="15" x14ac:dyDescent="0.25">
      <c r="B33" s="15" t="s">
        <v>64</v>
      </c>
      <c r="C33" s="15" t="str">
        <f>INDEX(tbl_cushions[batch],MATCH(B33,tbl_cushions[cushion],0))</f>
        <v>FW04619</v>
      </c>
      <c r="D33" s="16">
        <f>INDEX(tbl_lcdod[L_225],MATCH($B33&amp;D$31, tbl_lcdod[test_ID],0))</f>
        <v>11.199999999999989</v>
      </c>
      <c r="E33" s="16">
        <f>INDEX(tbl_lcdod[L_225],MATCH($B33&amp;E$31, tbl_lcdod[test_ID],0))</f>
        <v>10.289999999999992</v>
      </c>
      <c r="F33" s="16">
        <f>INDEX(tbl_lcdod[L_225],MATCH($B33&amp;F$31, tbl_lcdod[test_ID],0))</f>
        <v>9.64</v>
      </c>
      <c r="G33" s="16">
        <f t="shared" ref="G33:G40" si="4">AVERAGE(D33:F33)</f>
        <v>10.37666666666666</v>
      </c>
      <c r="H33" s="15">
        <f t="shared" ref="H33:H41" si="5">_xlfn.STDEV.S(D33:F33)</f>
        <v>0.78360279053441628</v>
      </c>
    </row>
    <row r="34" spans="2:8" ht="15" x14ac:dyDescent="0.25">
      <c r="B34" s="15" t="s">
        <v>65</v>
      </c>
      <c r="C34" s="15" t="str">
        <f>INDEX(tbl_cushions[batch],MATCH(B34,tbl_cushions[cushion],0))</f>
        <v>FW04619</v>
      </c>
      <c r="D34" s="16">
        <f>INDEX(tbl_lcdod[L_225],MATCH($B34&amp;D$31, tbl_lcdod[test_ID],0))</f>
        <v>11.46</v>
      </c>
      <c r="E34" s="16">
        <f>INDEX(tbl_lcdod[L_225],MATCH($B34&amp;E$31, tbl_lcdod[test_ID],0))</f>
        <v>11.329999999999998</v>
      </c>
      <c r="F34" s="16">
        <f>INDEX(tbl_lcdod[L_225],MATCH($B34&amp;F$31, tbl_lcdod[test_ID],0))</f>
        <v>10.839999999999996</v>
      </c>
      <c r="G34" s="16">
        <f t="shared" si="4"/>
        <v>11.209999999999999</v>
      </c>
      <c r="H34" s="15">
        <f t="shared" si="5"/>
        <v>0.3269556544854384</v>
      </c>
    </row>
    <row r="35" spans="2:8" ht="15" x14ac:dyDescent="0.25">
      <c r="B35" s="15" t="s">
        <v>66</v>
      </c>
      <c r="C35" s="15" t="str">
        <f>INDEX(tbl_cushions[batch],MATCH(B35,tbl_cushions[cushion],0))</f>
        <v>FW04619</v>
      </c>
      <c r="D35" s="16">
        <f>INDEX(tbl_lcdod[L_225],MATCH($B35&amp;D$31, tbl_lcdod[test_ID],0))</f>
        <v>8.4899999999999984</v>
      </c>
      <c r="E35" s="16">
        <f>INDEX(tbl_lcdod[L_225],MATCH($B35&amp;E$31, tbl_lcdod[test_ID],0))</f>
        <v>8.68</v>
      </c>
      <c r="F35" s="16">
        <f>INDEX(tbl_lcdod[L_225],MATCH($B35&amp;F$31, tbl_lcdod[test_ID],0))</f>
        <v>8.4499999999999993</v>
      </c>
      <c r="G35" s="16">
        <f t="shared" si="4"/>
        <v>8.5399999999999991</v>
      </c>
      <c r="H35" s="15">
        <f t="shared" si="5"/>
        <v>0.1228820572744455</v>
      </c>
    </row>
    <row r="36" spans="2:8" ht="15" x14ac:dyDescent="0.25">
      <c r="B36" s="15" t="s">
        <v>67</v>
      </c>
      <c r="C36" s="15" t="str">
        <f>INDEX(tbl_cushions[batch],MATCH(B36,tbl_cushions[cushion],0))</f>
        <v>FW04619</v>
      </c>
      <c r="D36" s="16">
        <f>INDEX(tbl_lcdod[L_225],MATCH($B36&amp;D$31, tbl_lcdod[test_ID],0))</f>
        <v>8.16</v>
      </c>
      <c r="E36" s="16">
        <f>INDEX(tbl_lcdod[L_225],MATCH($B36&amp;E$31, tbl_lcdod[test_ID],0))</f>
        <v>8.41</v>
      </c>
      <c r="F36" s="16">
        <f>INDEX(tbl_lcdod[L_225],MATCH($B36&amp;F$31, tbl_lcdod[test_ID],0))</f>
        <v>8.3299999999999983</v>
      </c>
      <c r="G36" s="16">
        <f t="shared" si="4"/>
        <v>8.2999999999999989</v>
      </c>
      <c r="H36" s="15">
        <f t="shared" si="5"/>
        <v>0.12767145334803684</v>
      </c>
    </row>
    <row r="37" spans="2:8" x14ac:dyDescent="0.2">
      <c r="B37" t="s">
        <v>68</v>
      </c>
      <c r="C37" t="str">
        <f>INDEX(tbl_cushions[batch],MATCH(B37,tbl_cushions[cushion],0))</f>
        <v>FW04621</v>
      </c>
      <c r="D37" s="12">
        <f>INDEX(tbl_lcdod[L_225],MATCH($B37&amp;D$31, tbl_lcdod[test_ID],0))</f>
        <v>8.9699999999999989</v>
      </c>
      <c r="E37" s="12">
        <f>INDEX(tbl_lcdod[L_225],MATCH($B37&amp;E$31, tbl_lcdod[test_ID],0))</f>
        <v>9.8599999999999923</v>
      </c>
      <c r="F37" s="12">
        <f>INDEX(tbl_lcdod[L_225],MATCH($B37&amp;F$31, tbl_lcdod[test_ID],0))</f>
        <v>9.2899999999999991</v>
      </c>
      <c r="G37" s="12">
        <f t="shared" si="4"/>
        <v>9.3733333333333295</v>
      </c>
      <c r="H37">
        <f t="shared" si="5"/>
        <v>0.45081407845511007</v>
      </c>
    </row>
    <row r="38" spans="2:8" x14ac:dyDescent="0.2">
      <c r="B38" t="s">
        <v>70</v>
      </c>
      <c r="C38" t="str">
        <f>INDEX(tbl_cushions[batch],MATCH(B38,tbl_cushions[cushion],0))</f>
        <v>FW04621</v>
      </c>
      <c r="D38" s="12">
        <f>INDEX(tbl_lcdod[L_225],MATCH($B38&amp;D$31, tbl_lcdod[test_ID],0))</f>
        <v>9.5799999999999912</v>
      </c>
      <c r="E38" s="12">
        <f>INDEX(tbl_lcdod[L_225],MATCH($B38&amp;E$31, tbl_lcdod[test_ID],0))</f>
        <v>9.2300000000000111</v>
      </c>
      <c r="F38" s="12">
        <f>INDEX(tbl_lcdod[L_225],MATCH($B38&amp;F$31, tbl_lcdod[test_ID],0))</f>
        <v>8.7099999999999937</v>
      </c>
      <c r="G38" s="12">
        <f t="shared" si="4"/>
        <v>9.173333333333332</v>
      </c>
      <c r="H38">
        <f t="shared" si="5"/>
        <v>0.43775944688074209</v>
      </c>
    </row>
    <row r="39" spans="2:8" x14ac:dyDescent="0.2">
      <c r="B39" t="s">
        <v>71</v>
      </c>
      <c r="C39" t="str">
        <f>INDEX(tbl_cushions[batch],MATCH(B39,tbl_cushions[cushion],0))</f>
        <v>FW04621</v>
      </c>
      <c r="D39" s="12">
        <f>INDEX(tbl_lcdod[L_225],MATCH($B39&amp;D$31, tbl_lcdod[test_ID],0))</f>
        <v>9.8500000000000014</v>
      </c>
      <c r="E39" s="12">
        <f>INDEX(tbl_lcdod[L_225],MATCH($B39&amp;E$31, tbl_lcdod[test_ID],0))</f>
        <v>9.39</v>
      </c>
      <c r="F39" s="12">
        <f>INDEX(tbl_lcdod[L_225],MATCH($B39&amp;F$31, tbl_lcdod[test_ID],0))</f>
        <v>8.9599999999999937</v>
      </c>
      <c r="G39" s="12">
        <f t="shared" si="4"/>
        <v>9.3999999999999986</v>
      </c>
      <c r="H39">
        <f t="shared" si="5"/>
        <v>0.44508426168536153</v>
      </c>
    </row>
    <row r="40" spans="2:8" x14ac:dyDescent="0.2">
      <c r="B40" t="s">
        <v>72</v>
      </c>
      <c r="C40" t="str">
        <f>INDEX(tbl_cushions[batch],MATCH(B40,tbl_cushions[cushion],0))</f>
        <v>FW04621</v>
      </c>
      <c r="D40" s="12">
        <f>INDEX(tbl_lcdod[L_225],MATCH($B40&amp;D$31, tbl_lcdod[test_ID],0))</f>
        <v>9.18</v>
      </c>
      <c r="E40" s="12">
        <f>INDEX(tbl_lcdod[L_225],MATCH($B40&amp;E$31, tbl_lcdod[test_ID],0))</f>
        <v>8.7999999999999972</v>
      </c>
      <c r="F40" s="12">
        <f>INDEX(tbl_lcdod[L_225],MATCH($B40&amp;F$31, tbl_lcdod[test_ID],0))</f>
        <v>8.6600000000000037</v>
      </c>
      <c r="G40" s="12">
        <f t="shared" si="4"/>
        <v>8.8800000000000008</v>
      </c>
      <c r="H40">
        <f t="shared" si="5"/>
        <v>0.26907248094147296</v>
      </c>
    </row>
    <row r="41" spans="2:8" x14ac:dyDescent="0.2">
      <c r="B41" t="s">
        <v>73</v>
      </c>
      <c r="C41" t="str">
        <f>INDEX(tbl_cushions[batch],MATCH(B41,tbl_cushions[cushion],0))</f>
        <v>FW04621</v>
      </c>
      <c r="D41" s="12">
        <f>INDEX(tbl_lcdod[L_225],MATCH($B41&amp;D$31, tbl_lcdod[test_ID],0))</f>
        <v>8.7900000000000027</v>
      </c>
      <c r="E41" s="12">
        <f>INDEX(tbl_lcdod[L_225],MATCH($B41&amp;E$31, tbl_lcdod[test_ID],0))</f>
        <v>8.4499999999999957</v>
      </c>
      <c r="F41" s="12">
        <f>INDEX(tbl_lcdod[L_225],MATCH($B41&amp;F$31, tbl_lcdod[test_ID],0))</f>
        <v>8.2199999999999953</v>
      </c>
      <c r="G41" s="12">
        <f>AVERAGE(D41:F41)</f>
        <v>8.4866666666666646</v>
      </c>
      <c r="H41">
        <f t="shared" si="5"/>
        <v>0.28676354952004546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zoomScale="90" zoomScaleNormal="90" workbookViewId="0">
      <selection activeCell="A2" sqref="A2:A12"/>
    </sheetView>
  </sheetViews>
  <sheetFormatPr defaultColWidth="11.5703125" defaultRowHeight="12.75" x14ac:dyDescent="0.2"/>
  <cols>
    <col min="1" max="1" width="15.28515625" style="1" customWidth="1"/>
  </cols>
  <sheetData>
    <row r="1" spans="1:5" ht="15" x14ac:dyDescent="0.25">
      <c r="A1" s="7" t="s">
        <v>1</v>
      </c>
      <c r="B1" s="7" t="s">
        <v>56</v>
      </c>
      <c r="C1" s="7" t="s">
        <v>57</v>
      </c>
      <c r="D1" s="7" t="s">
        <v>58</v>
      </c>
      <c r="E1" s="1" t="s">
        <v>59</v>
      </c>
    </row>
    <row r="2" spans="1:5" x14ac:dyDescent="0.2">
      <c r="A2" s="1" t="s">
        <v>60</v>
      </c>
      <c r="B2" s="1">
        <v>466</v>
      </c>
      <c r="C2" s="1">
        <v>465</v>
      </c>
      <c r="D2" s="1">
        <v>109</v>
      </c>
      <c r="E2" s="1" t="s">
        <v>61</v>
      </c>
    </row>
    <row r="3" spans="1:5" x14ac:dyDescent="0.2">
      <c r="A3" s="1" t="s">
        <v>62</v>
      </c>
      <c r="B3" s="1">
        <v>461</v>
      </c>
      <c r="C3" s="1">
        <v>464</v>
      </c>
      <c r="D3" s="1">
        <v>108</v>
      </c>
      <c r="E3" s="1" t="s">
        <v>63</v>
      </c>
    </row>
    <row r="4" spans="1:5" x14ac:dyDescent="0.2">
      <c r="A4" s="1" t="s">
        <v>64</v>
      </c>
      <c r="B4" s="1">
        <v>469</v>
      </c>
      <c r="C4" s="1">
        <v>462</v>
      </c>
      <c r="D4" s="1">
        <v>109</v>
      </c>
      <c r="E4" s="1" t="s">
        <v>63</v>
      </c>
    </row>
    <row r="5" spans="1:5" x14ac:dyDescent="0.2">
      <c r="A5" s="1" t="s">
        <v>65</v>
      </c>
      <c r="B5" s="1">
        <v>459</v>
      </c>
      <c r="C5" s="1">
        <v>464</v>
      </c>
      <c r="D5" s="1">
        <v>109</v>
      </c>
      <c r="E5" s="1" t="s">
        <v>63</v>
      </c>
    </row>
    <row r="6" spans="1:5" x14ac:dyDescent="0.2">
      <c r="A6" s="1" t="s">
        <v>66</v>
      </c>
      <c r="B6" s="1">
        <v>463</v>
      </c>
      <c r="C6" s="1">
        <v>464</v>
      </c>
      <c r="D6" s="1">
        <v>109</v>
      </c>
      <c r="E6" s="1" t="s">
        <v>63</v>
      </c>
    </row>
    <row r="7" spans="1:5" x14ac:dyDescent="0.2">
      <c r="A7" s="1" t="s">
        <v>67</v>
      </c>
      <c r="B7" s="1">
        <v>464</v>
      </c>
      <c r="C7" s="1">
        <v>464</v>
      </c>
      <c r="D7" s="1">
        <v>109</v>
      </c>
      <c r="E7" s="1" t="s">
        <v>63</v>
      </c>
    </row>
    <row r="8" spans="1:5" x14ac:dyDescent="0.2">
      <c r="A8" s="1" t="s">
        <v>68</v>
      </c>
      <c r="B8" s="1">
        <v>434</v>
      </c>
      <c r="C8" s="1">
        <v>465</v>
      </c>
      <c r="D8" s="1">
        <v>121</v>
      </c>
      <c r="E8" s="1" t="s">
        <v>69</v>
      </c>
    </row>
    <row r="9" spans="1:5" x14ac:dyDescent="0.2">
      <c r="A9" s="1" t="s">
        <v>70</v>
      </c>
      <c r="B9" s="1">
        <v>434</v>
      </c>
      <c r="C9" s="1">
        <v>463</v>
      </c>
      <c r="D9" s="1">
        <v>121</v>
      </c>
      <c r="E9" s="1" t="s">
        <v>69</v>
      </c>
    </row>
    <row r="10" spans="1:5" x14ac:dyDescent="0.2">
      <c r="A10" s="1" t="s">
        <v>71</v>
      </c>
      <c r="B10" s="1">
        <v>432</v>
      </c>
      <c r="C10" s="1">
        <v>465</v>
      </c>
      <c r="D10" s="1">
        <v>121</v>
      </c>
      <c r="E10" s="1" t="s">
        <v>69</v>
      </c>
    </row>
    <row r="11" spans="1:5" x14ac:dyDescent="0.2">
      <c r="A11" s="1" t="s">
        <v>72</v>
      </c>
      <c r="B11" s="1">
        <v>429</v>
      </c>
      <c r="C11" s="1">
        <v>463</v>
      </c>
      <c r="D11" s="1">
        <v>119</v>
      </c>
      <c r="E11" s="1" t="s">
        <v>69</v>
      </c>
    </row>
    <row r="12" spans="1:5" x14ac:dyDescent="0.2">
      <c r="A12" s="1" t="s">
        <v>73</v>
      </c>
      <c r="B12" s="1">
        <v>433</v>
      </c>
      <c r="C12" s="1">
        <v>464</v>
      </c>
      <c r="D12" s="1">
        <v>119</v>
      </c>
      <c r="E12" s="1" t="s">
        <v>69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1"/>
  <sheetViews>
    <sheetView zoomScale="90" zoomScaleNormal="90" workbookViewId="0">
      <selection activeCell="T2" sqref="T2:AD2"/>
    </sheetView>
  </sheetViews>
  <sheetFormatPr defaultColWidth="11.5703125" defaultRowHeight="12.75" x14ac:dyDescent="0.2"/>
  <cols>
    <col min="2" max="2" width="11.7109375" style="1" customWidth="1"/>
    <col min="3" max="3" width="6.85546875" style="1" customWidth="1"/>
    <col min="4" max="4" width="9.7109375" style="1" customWidth="1"/>
    <col min="9" max="19" width="11.5703125" style="1" hidden="1"/>
  </cols>
  <sheetData>
    <row r="1" spans="1:30" ht="15" x14ac:dyDescent="0.25">
      <c r="A1" s="3" t="s">
        <v>74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75</v>
      </c>
      <c r="H1" s="8" t="s">
        <v>76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10</v>
      </c>
      <c r="R1" s="3" t="s">
        <v>11</v>
      </c>
      <c r="S1" s="3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81</v>
      </c>
      <c r="Y1" s="2" t="s">
        <v>82</v>
      </c>
      <c r="Z1" s="2" t="s">
        <v>83</v>
      </c>
      <c r="AA1" s="2" t="s">
        <v>84</v>
      </c>
      <c r="AB1" s="2" t="s">
        <v>17</v>
      </c>
      <c r="AC1" s="2" t="s">
        <v>18</v>
      </c>
      <c r="AD1" s="2" t="s">
        <v>19</v>
      </c>
    </row>
    <row r="2" spans="1:30" x14ac:dyDescent="0.2">
      <c r="A2" s="1" t="s">
        <v>20</v>
      </c>
      <c r="B2" s="1" t="str">
        <f t="shared" ref="B2:B31" si="0">LEFT(A2,LEN(A2)-1)</f>
        <v>W798553-01</v>
      </c>
      <c r="C2" s="1" t="str">
        <f t="shared" ref="C2:C31" si="1">RIGHT(A2,1)</f>
        <v>A</v>
      </c>
      <c r="D2" s="1">
        <f>VLOOKUP(B2, cushion_dimensions!$A$2:$D$12,4,0)</f>
        <v>108</v>
      </c>
      <c r="E2" s="1">
        <f>1-(AC2/U2)</f>
        <v>0.14676782138461819</v>
      </c>
      <c r="F2" s="1">
        <f>1-(AB2/V2)</f>
        <v>0.14505882471613163</v>
      </c>
      <c r="G2" s="1">
        <f>1-(AA2/W2)</f>
        <v>9.1916186897467167E-2</v>
      </c>
      <c r="H2" s="1">
        <f>1-(Z2/X2)</f>
        <v>4.0078855197855812E-2</v>
      </c>
      <c r="I2" s="1">
        <v>1.42283</v>
      </c>
      <c r="J2" s="1">
        <v>18.854710000000001</v>
      </c>
      <c r="K2" s="1">
        <v>33.647750000000002</v>
      </c>
      <c r="L2" s="1">
        <v>44.64141</v>
      </c>
      <c r="M2" s="1">
        <v>51.78557</v>
      </c>
      <c r="N2" s="1">
        <v>55.79204</v>
      </c>
      <c r="O2" s="1">
        <v>54.038580000000003</v>
      </c>
      <c r="P2" s="1">
        <v>50.465089999999996</v>
      </c>
      <c r="Q2" s="1">
        <v>44.433199999999999</v>
      </c>
      <c r="R2" s="1">
        <v>31.938369999999999</v>
      </c>
      <c r="S2" s="1">
        <v>5.0759600000000002</v>
      </c>
      <c r="T2" s="1">
        <f t="shared" ref="T2:AD2" si="2">$D2-I2</f>
        <v>106.57717</v>
      </c>
      <c r="U2" s="1">
        <f t="shared" si="2"/>
        <v>89.145290000000003</v>
      </c>
      <c r="V2" s="1">
        <f t="shared" si="2"/>
        <v>74.352249999999998</v>
      </c>
      <c r="W2" s="1">
        <f t="shared" si="2"/>
        <v>63.35859</v>
      </c>
      <c r="X2" s="1">
        <f t="shared" si="2"/>
        <v>56.21443</v>
      </c>
      <c r="Y2" s="1">
        <f t="shared" si="2"/>
        <v>52.20796</v>
      </c>
      <c r="Z2" s="1">
        <f t="shared" si="2"/>
        <v>53.961419999999997</v>
      </c>
      <c r="AA2" s="1">
        <f t="shared" si="2"/>
        <v>57.534910000000004</v>
      </c>
      <c r="AB2" s="1">
        <f t="shared" si="2"/>
        <v>63.566800000000001</v>
      </c>
      <c r="AC2" s="1">
        <f t="shared" si="2"/>
        <v>76.061630000000008</v>
      </c>
      <c r="AD2" s="1">
        <f t="shared" si="2"/>
        <v>102.92404000000001</v>
      </c>
    </row>
    <row r="3" spans="1:30" x14ac:dyDescent="0.2">
      <c r="A3" s="1" t="s">
        <v>21</v>
      </c>
      <c r="B3" s="1" t="str">
        <f t="shared" si="0"/>
        <v>W798553-01</v>
      </c>
      <c r="C3" s="1" t="str">
        <f t="shared" si="1"/>
        <v>B</v>
      </c>
      <c r="D3" s="1">
        <f>VLOOKUP(B3, cushion_dimensions!$A$2:$D$12,4,0)</f>
        <v>108</v>
      </c>
    </row>
    <row r="4" spans="1:30" x14ac:dyDescent="0.2">
      <c r="A4" s="1" t="s">
        <v>22</v>
      </c>
      <c r="B4" s="1" t="str">
        <f t="shared" si="0"/>
        <v>W798553-01</v>
      </c>
      <c r="C4" s="1" t="str">
        <f t="shared" si="1"/>
        <v>C</v>
      </c>
      <c r="D4" s="1">
        <f>VLOOKUP(B4, cushion_dimensions!$A$2:$D$12,4,0)</f>
        <v>108</v>
      </c>
    </row>
    <row r="5" spans="1:30" x14ac:dyDescent="0.2">
      <c r="A5" s="9" t="s">
        <v>23</v>
      </c>
      <c r="B5" s="1" t="str">
        <f t="shared" si="0"/>
        <v>W798553-02</v>
      </c>
      <c r="C5" s="1" t="str">
        <f t="shared" si="1"/>
        <v>A</v>
      </c>
      <c r="D5" s="1">
        <f>VLOOKUP(B5, cushion_dimensions!$A$2:$D$12,4,0)</f>
        <v>109</v>
      </c>
      <c r="E5" s="1">
        <f>1-(AC5/U5)</f>
        <v>0.14107520924913841</v>
      </c>
      <c r="F5" s="1">
        <f>1-(AB5/V5)</f>
        <v>0.15686770914501369</v>
      </c>
      <c r="G5" s="1">
        <f>1-(AA5/W5)</f>
        <v>0.10306733123129619</v>
      </c>
      <c r="H5" s="1">
        <f>1-(Z5/X5)</f>
        <v>4.6603957264670037E-2</v>
      </c>
      <c r="I5" s="1">
        <v>1.3099499999999999</v>
      </c>
      <c r="J5" s="1">
        <v>18.166889999999999</v>
      </c>
      <c r="K5" s="1">
        <v>31.896560000000001</v>
      </c>
      <c r="L5" s="1">
        <v>43.184480000000001</v>
      </c>
      <c r="M5" s="1">
        <v>50.695079999999997</v>
      </c>
      <c r="N5" s="1">
        <v>55.08202</v>
      </c>
      <c r="O5" s="1">
        <v>53.412320000000001</v>
      </c>
      <c r="P5" s="1">
        <v>49.967910000000003</v>
      </c>
      <c r="Q5" s="1">
        <v>43.991599999999998</v>
      </c>
      <c r="R5" s="1">
        <v>30.981190000000002</v>
      </c>
      <c r="S5" s="1">
        <v>5.0120399999999998</v>
      </c>
      <c r="T5" s="1">
        <f t="shared" ref="T5:AD5" si="3">$D5-I5</f>
        <v>107.69005</v>
      </c>
      <c r="U5" s="1">
        <f t="shared" si="3"/>
        <v>90.833110000000005</v>
      </c>
      <c r="V5" s="1">
        <f t="shared" si="3"/>
        <v>77.103440000000006</v>
      </c>
      <c r="W5" s="1">
        <f t="shared" si="3"/>
        <v>65.815519999999992</v>
      </c>
      <c r="X5" s="1">
        <f t="shared" si="3"/>
        <v>58.304920000000003</v>
      </c>
      <c r="Y5" s="1">
        <f t="shared" si="3"/>
        <v>53.91798</v>
      </c>
      <c r="Z5" s="1">
        <f t="shared" si="3"/>
        <v>55.587679999999999</v>
      </c>
      <c r="AA5" s="1">
        <f t="shared" si="3"/>
        <v>59.032089999999997</v>
      </c>
      <c r="AB5" s="1">
        <f t="shared" si="3"/>
        <v>65.008399999999995</v>
      </c>
      <c r="AC5" s="1">
        <f t="shared" si="3"/>
        <v>78.018810000000002</v>
      </c>
      <c r="AD5" s="1">
        <f t="shared" si="3"/>
        <v>103.98796</v>
      </c>
    </row>
    <row r="6" spans="1:30" x14ac:dyDescent="0.2">
      <c r="A6" s="1" t="s">
        <v>24</v>
      </c>
      <c r="B6" s="1" t="str">
        <f t="shared" si="0"/>
        <v>W798553-02</v>
      </c>
      <c r="C6" s="1" t="str">
        <f t="shared" si="1"/>
        <v>B</v>
      </c>
      <c r="D6" s="1">
        <f>VLOOKUP(B6, cushion_dimensions!$A$2:$D$12,4,0)</f>
        <v>109</v>
      </c>
    </row>
    <row r="7" spans="1:30" x14ac:dyDescent="0.2">
      <c r="A7" s="1" t="s">
        <v>25</v>
      </c>
      <c r="B7" s="1" t="str">
        <f t="shared" si="0"/>
        <v>W798553-02</v>
      </c>
      <c r="C7" s="1" t="str">
        <f t="shared" si="1"/>
        <v>C</v>
      </c>
      <c r="D7" s="1">
        <f>VLOOKUP(B7, cushion_dimensions!$A$2:$D$12,4,0)</f>
        <v>109</v>
      </c>
    </row>
    <row r="8" spans="1:30" x14ac:dyDescent="0.2">
      <c r="A8" s="9" t="s">
        <v>26</v>
      </c>
      <c r="B8" s="1" t="str">
        <f t="shared" si="0"/>
        <v>W798553-03</v>
      </c>
      <c r="C8" s="1" t="str">
        <f t="shared" si="1"/>
        <v>A</v>
      </c>
      <c r="D8" s="1">
        <f>VLOOKUP(B8, cushion_dimensions!$A$2:$D$12,4,0)</f>
        <v>109</v>
      </c>
      <c r="E8" s="1">
        <f>1-(AC8/U8)</f>
        <v>0.12457756370580098</v>
      </c>
      <c r="F8" s="1">
        <f>1-(AB8/V8)</f>
        <v>0.12852449931695731</v>
      </c>
      <c r="G8" s="1">
        <f>1-(AA8/W8)</f>
        <v>7.7431120698688849E-2</v>
      </c>
      <c r="H8" s="1">
        <f>1-(Z8/X8)</f>
        <v>4.2958171559981273E-2</v>
      </c>
      <c r="I8" s="1">
        <v>1.7912699999999999</v>
      </c>
      <c r="J8" s="1">
        <v>18.24963</v>
      </c>
      <c r="K8" s="1">
        <v>31.405999999999999</v>
      </c>
      <c r="L8" s="1">
        <v>41.533070000000002</v>
      </c>
      <c r="M8" s="1">
        <v>47.321629999999999</v>
      </c>
      <c r="N8" s="1">
        <v>51.575920000000004</v>
      </c>
      <c r="O8" s="1">
        <v>49.971220000000002</v>
      </c>
      <c r="P8" s="1">
        <v>46.757109999999997</v>
      </c>
      <c r="Q8" s="1">
        <v>41.378729999999997</v>
      </c>
      <c r="R8" s="1">
        <v>29.55509</v>
      </c>
      <c r="S8" s="1">
        <v>5.5345199999999997</v>
      </c>
      <c r="T8" s="1">
        <f t="shared" ref="T8:AD8" si="4">$D8-I8</f>
        <v>107.20873</v>
      </c>
      <c r="U8" s="1">
        <f t="shared" si="4"/>
        <v>90.750370000000004</v>
      </c>
      <c r="V8" s="1">
        <f t="shared" si="4"/>
        <v>77.593999999999994</v>
      </c>
      <c r="W8" s="1">
        <f t="shared" si="4"/>
        <v>67.466929999999991</v>
      </c>
      <c r="X8" s="1">
        <f t="shared" si="4"/>
        <v>61.678370000000001</v>
      </c>
      <c r="Y8" s="1">
        <f t="shared" si="4"/>
        <v>57.424079999999996</v>
      </c>
      <c r="Z8" s="1">
        <f t="shared" si="4"/>
        <v>59.028779999999998</v>
      </c>
      <c r="AA8" s="1">
        <f t="shared" si="4"/>
        <v>62.242890000000003</v>
      </c>
      <c r="AB8" s="1">
        <f t="shared" si="4"/>
        <v>67.62127000000001</v>
      </c>
      <c r="AC8" s="1">
        <f t="shared" si="4"/>
        <v>79.444909999999993</v>
      </c>
      <c r="AD8" s="1">
        <f t="shared" si="4"/>
        <v>103.46548</v>
      </c>
    </row>
    <row r="9" spans="1:30" x14ac:dyDescent="0.2">
      <c r="A9" s="1" t="s">
        <v>27</v>
      </c>
      <c r="B9" s="1" t="str">
        <f t="shared" si="0"/>
        <v>W798553-03</v>
      </c>
      <c r="C9" s="1" t="str">
        <f t="shared" si="1"/>
        <v>B</v>
      </c>
      <c r="D9" s="1">
        <f>VLOOKUP(B9, cushion_dimensions!$A$2:$D$12,4,0)</f>
        <v>109</v>
      </c>
    </row>
    <row r="10" spans="1:30" x14ac:dyDescent="0.2">
      <c r="A10" s="1" t="s">
        <v>28</v>
      </c>
      <c r="B10" s="1" t="str">
        <f t="shared" si="0"/>
        <v>W798553-03</v>
      </c>
      <c r="C10" s="1" t="str">
        <f t="shared" si="1"/>
        <v>C</v>
      </c>
      <c r="D10" s="1">
        <f>VLOOKUP(B10, cushion_dimensions!$A$2:$D$12,4,0)</f>
        <v>109</v>
      </c>
    </row>
    <row r="11" spans="1:30" x14ac:dyDescent="0.2">
      <c r="A11" s="9" t="s">
        <v>29</v>
      </c>
      <c r="B11" s="1" t="str">
        <f t="shared" si="0"/>
        <v>W896204-01</v>
      </c>
      <c r="C11" s="1" t="str">
        <f t="shared" si="1"/>
        <v>A</v>
      </c>
      <c r="D11" s="1">
        <f>VLOOKUP(B11, cushion_dimensions!$A$2:$D$12,4,0)</f>
        <v>109</v>
      </c>
      <c r="E11" s="1">
        <f>1-(AC11/U11)</f>
        <v>0.10294888314072603</v>
      </c>
      <c r="F11" s="1">
        <f>1-(AB11/V11)</f>
        <v>0.10738879693344106</v>
      </c>
      <c r="G11" s="1">
        <f>1-(AA11/W11)</f>
        <v>7.4430078096558661E-2</v>
      </c>
      <c r="H11" s="1">
        <f>1-(Z11/X11)</f>
        <v>4.0307484766658352E-2</v>
      </c>
      <c r="I11" s="1">
        <v>1.7614399999999999</v>
      </c>
      <c r="J11" s="1">
        <v>19.104610000000001</v>
      </c>
      <c r="K11" s="1">
        <v>31.341619999999999</v>
      </c>
      <c r="L11" s="1">
        <v>40.465609999999998</v>
      </c>
      <c r="M11" s="1">
        <v>46.613819999999997</v>
      </c>
      <c r="N11" s="1">
        <v>50.892629999999997</v>
      </c>
      <c r="O11" s="1">
        <v>49.128450000000001</v>
      </c>
      <c r="P11" s="1">
        <v>45.566630000000004</v>
      </c>
      <c r="Q11" s="1">
        <v>39.681260000000002</v>
      </c>
      <c r="R11" s="1">
        <v>28.35924</v>
      </c>
      <c r="S11" s="1">
        <v>6.1857199999999999</v>
      </c>
      <c r="T11" s="1">
        <f t="shared" ref="T11:AD11" si="5">$D11-I11</f>
        <v>107.23856000000001</v>
      </c>
      <c r="U11" s="1">
        <f t="shared" si="5"/>
        <v>89.895389999999992</v>
      </c>
      <c r="V11" s="1">
        <f t="shared" si="5"/>
        <v>77.658379999999994</v>
      </c>
      <c r="W11" s="1">
        <f t="shared" si="5"/>
        <v>68.534390000000002</v>
      </c>
      <c r="X11" s="1">
        <f t="shared" si="5"/>
        <v>62.386180000000003</v>
      </c>
      <c r="Y11" s="1">
        <f t="shared" si="5"/>
        <v>58.107370000000003</v>
      </c>
      <c r="Z11" s="1">
        <f t="shared" si="5"/>
        <v>59.871549999999999</v>
      </c>
      <c r="AA11" s="1">
        <f t="shared" si="5"/>
        <v>63.433369999999996</v>
      </c>
      <c r="AB11" s="1">
        <f t="shared" si="5"/>
        <v>69.318739999999991</v>
      </c>
      <c r="AC11" s="1">
        <f t="shared" si="5"/>
        <v>80.64076</v>
      </c>
      <c r="AD11" s="1">
        <f t="shared" si="5"/>
        <v>102.81428</v>
      </c>
    </row>
    <row r="12" spans="1:30" x14ac:dyDescent="0.2">
      <c r="A12" s="1" t="s">
        <v>30</v>
      </c>
      <c r="B12" s="1" t="str">
        <f t="shared" si="0"/>
        <v>W896204-01</v>
      </c>
      <c r="C12" s="1" t="str">
        <f t="shared" si="1"/>
        <v>B</v>
      </c>
      <c r="D12" s="1">
        <f>VLOOKUP(B12, cushion_dimensions!$A$2:$D$12,4,0)</f>
        <v>109</v>
      </c>
    </row>
    <row r="13" spans="1:30" x14ac:dyDescent="0.2">
      <c r="A13" s="1" t="s">
        <v>31</v>
      </c>
      <c r="B13" s="1" t="str">
        <f t="shared" si="0"/>
        <v>W896204-01</v>
      </c>
      <c r="C13" s="1" t="str">
        <f t="shared" si="1"/>
        <v>C</v>
      </c>
      <c r="D13" s="1">
        <f>VLOOKUP(B13, cushion_dimensions!$A$2:$D$12,4,0)</f>
        <v>109</v>
      </c>
    </row>
    <row r="14" spans="1:30" x14ac:dyDescent="0.2">
      <c r="A14" s="9" t="s">
        <v>32</v>
      </c>
      <c r="B14" s="1" t="str">
        <f t="shared" si="0"/>
        <v>W896204-02</v>
      </c>
      <c r="C14" s="1" t="str">
        <f t="shared" si="1"/>
        <v>A</v>
      </c>
      <c r="D14" s="1">
        <f>VLOOKUP(B14, cushion_dimensions!$A$2:$D$12,4,0)</f>
        <v>109</v>
      </c>
      <c r="E14" s="1">
        <f>1-(AC14/U14)</f>
        <v>9.5708585799021195E-2</v>
      </c>
      <c r="F14" s="1">
        <f>1-(AB14/V14)</f>
        <v>0.10167463810678923</v>
      </c>
      <c r="G14" s="1">
        <f>1-(AA14/W14)</f>
        <v>7.109064843877877E-2</v>
      </c>
      <c r="H14" s="1">
        <f>1-(Z14/X14)</f>
        <v>3.7635435837637843E-2</v>
      </c>
      <c r="I14" s="1">
        <v>1.6472100000000001</v>
      </c>
      <c r="J14" s="1">
        <v>18.78312</v>
      </c>
      <c r="K14" s="1">
        <v>30.344200000000001</v>
      </c>
      <c r="L14" s="1">
        <v>38.979819999999997</v>
      </c>
      <c r="M14" s="1">
        <v>44.938299999999998</v>
      </c>
      <c r="N14" s="1">
        <v>49.042940000000002</v>
      </c>
      <c r="O14" s="1">
        <v>47.349290000000003</v>
      </c>
      <c r="P14" s="1">
        <v>43.957599999999999</v>
      </c>
      <c r="Q14" s="1">
        <v>38.341500000000003</v>
      </c>
      <c r="R14" s="1">
        <v>27.417649999999998</v>
      </c>
      <c r="S14" s="1">
        <v>6.0037200000000004</v>
      </c>
      <c r="T14" s="1">
        <f t="shared" ref="T14:AD14" si="6">$D14-I14</f>
        <v>107.35279</v>
      </c>
      <c r="U14" s="1">
        <f t="shared" si="6"/>
        <v>90.216880000000003</v>
      </c>
      <c r="V14" s="1">
        <f t="shared" si="6"/>
        <v>78.655799999999999</v>
      </c>
      <c r="W14" s="1">
        <f t="shared" si="6"/>
        <v>70.020180000000011</v>
      </c>
      <c r="X14" s="1">
        <f t="shared" si="6"/>
        <v>64.061700000000002</v>
      </c>
      <c r="Y14" s="1">
        <f t="shared" si="6"/>
        <v>59.957059999999998</v>
      </c>
      <c r="Z14" s="1">
        <f t="shared" si="6"/>
        <v>61.650709999999997</v>
      </c>
      <c r="AA14" s="1">
        <f t="shared" si="6"/>
        <v>65.042400000000001</v>
      </c>
      <c r="AB14" s="1">
        <f t="shared" si="6"/>
        <v>70.658500000000004</v>
      </c>
      <c r="AC14" s="1">
        <f t="shared" si="6"/>
        <v>81.582350000000005</v>
      </c>
      <c r="AD14" s="1">
        <f t="shared" si="6"/>
        <v>102.99628</v>
      </c>
    </row>
    <row r="15" spans="1:30" x14ac:dyDescent="0.2">
      <c r="A15" s="1" t="s">
        <v>33</v>
      </c>
      <c r="B15" s="1" t="str">
        <f t="shared" si="0"/>
        <v>W896204-02</v>
      </c>
      <c r="C15" s="1" t="str">
        <f t="shared" si="1"/>
        <v>B</v>
      </c>
      <c r="D15" s="1">
        <f>VLOOKUP(B15, cushion_dimensions!$A$2:$D$12,4,0)</f>
        <v>109</v>
      </c>
    </row>
    <row r="16" spans="1:30" x14ac:dyDescent="0.2">
      <c r="A16" s="1" t="s">
        <v>34</v>
      </c>
      <c r="B16" s="1" t="str">
        <f t="shared" si="0"/>
        <v>W896204-02</v>
      </c>
      <c r="C16" s="1" t="str">
        <f t="shared" si="1"/>
        <v>C</v>
      </c>
      <c r="D16" s="1">
        <f>VLOOKUP(B16, cushion_dimensions!$A$2:$D$12,4,0)</f>
        <v>109</v>
      </c>
    </row>
    <row r="17" spans="1:30" x14ac:dyDescent="0.2">
      <c r="A17" s="9" t="s">
        <v>35</v>
      </c>
      <c r="B17" s="1" t="str">
        <f t="shared" si="0"/>
        <v>W819482-01</v>
      </c>
      <c r="C17" s="1" t="str">
        <f t="shared" si="1"/>
        <v>A</v>
      </c>
      <c r="D17" s="1">
        <f>VLOOKUP(B17, cushion_dimensions!$A$2:$D$12,4,0)</f>
        <v>121</v>
      </c>
      <c r="E17" s="1">
        <f>1-(AC17/U17)</f>
        <v>0.10665709482980368</v>
      </c>
      <c r="F17" s="1">
        <f>1-(AB17/V17)</f>
        <v>0.10913990816660968</v>
      </c>
      <c r="G17" s="1">
        <f>1-(AA17/W17)</f>
        <v>7.4070361436452736E-2</v>
      </c>
      <c r="H17" s="1">
        <f>1-(Z17/X17)</f>
        <v>4.2361229054222349E-2</v>
      </c>
      <c r="I17" s="1">
        <v>1.97458</v>
      </c>
      <c r="J17" s="1">
        <v>21.318680000000001</v>
      </c>
      <c r="K17" s="1">
        <v>33.343429999999998</v>
      </c>
      <c r="L17" s="1">
        <v>42.489379999999997</v>
      </c>
      <c r="M17" s="1">
        <v>48.460320000000003</v>
      </c>
      <c r="N17" s="1">
        <v>53.154440000000001</v>
      </c>
      <c r="O17" s="1">
        <v>51.533189999999998</v>
      </c>
      <c r="P17" s="1">
        <v>48.304690000000001</v>
      </c>
      <c r="Q17" s="1">
        <v>42.910260000000001</v>
      </c>
      <c r="R17" s="1">
        <v>31.950399999999998</v>
      </c>
      <c r="S17" s="1">
        <v>6.8425900000000004</v>
      </c>
      <c r="T17" s="1">
        <f t="shared" ref="T17:AD17" si="7">$D17-I17</f>
        <v>119.02542</v>
      </c>
      <c r="U17" s="1">
        <f t="shared" si="7"/>
        <v>99.681319999999999</v>
      </c>
      <c r="V17" s="1">
        <f t="shared" si="7"/>
        <v>87.656570000000002</v>
      </c>
      <c r="W17" s="1">
        <f t="shared" si="7"/>
        <v>78.510620000000003</v>
      </c>
      <c r="X17" s="1">
        <f t="shared" si="7"/>
        <v>72.539680000000004</v>
      </c>
      <c r="Y17" s="1">
        <f t="shared" si="7"/>
        <v>67.845560000000006</v>
      </c>
      <c r="Z17" s="1">
        <f t="shared" si="7"/>
        <v>69.466810000000009</v>
      </c>
      <c r="AA17" s="1">
        <f t="shared" si="7"/>
        <v>72.695310000000006</v>
      </c>
      <c r="AB17" s="1">
        <f t="shared" si="7"/>
        <v>78.089740000000006</v>
      </c>
      <c r="AC17" s="1">
        <f t="shared" si="7"/>
        <v>89.049599999999998</v>
      </c>
      <c r="AD17" s="1">
        <f t="shared" si="7"/>
        <v>114.15741</v>
      </c>
    </row>
    <row r="18" spans="1:30" x14ac:dyDescent="0.2">
      <c r="A18" s="1" t="s">
        <v>36</v>
      </c>
      <c r="B18" s="1" t="str">
        <f t="shared" si="0"/>
        <v>W819482-01</v>
      </c>
      <c r="C18" s="1" t="str">
        <f t="shared" si="1"/>
        <v>B</v>
      </c>
      <c r="D18" s="1">
        <f>VLOOKUP(B18, cushion_dimensions!$A$2:$D$12,4,0)</f>
        <v>121</v>
      </c>
    </row>
    <row r="19" spans="1:30" x14ac:dyDescent="0.2">
      <c r="A19" s="1" t="s">
        <v>37</v>
      </c>
      <c r="B19" s="1" t="str">
        <f t="shared" si="0"/>
        <v>W819482-01</v>
      </c>
      <c r="C19" s="1" t="str">
        <f t="shared" si="1"/>
        <v>C</v>
      </c>
      <c r="D19" s="1">
        <f>VLOOKUP(B19, cushion_dimensions!$A$2:$D$12,4,0)</f>
        <v>121</v>
      </c>
    </row>
    <row r="20" spans="1:30" x14ac:dyDescent="0.2">
      <c r="A20" s="9" t="s">
        <v>38</v>
      </c>
      <c r="B20" s="1" t="str">
        <f t="shared" si="0"/>
        <v>W819482-02</v>
      </c>
      <c r="C20" s="1" t="str">
        <f t="shared" si="1"/>
        <v>A</v>
      </c>
      <c r="D20" s="1">
        <f>VLOOKUP(B20, cushion_dimensions!$A$2:$D$12,4,0)</f>
        <v>121</v>
      </c>
      <c r="E20" s="1">
        <f>1-(AC20/U20)</f>
        <v>0.10015298709604736</v>
      </c>
      <c r="F20" s="1">
        <f>1-(AB20/V20)</f>
        <v>0.10158216789129215</v>
      </c>
      <c r="G20" s="1">
        <f>1-(AA20/W20)</f>
        <v>6.8663921167905762E-2</v>
      </c>
      <c r="H20" s="1">
        <f>1-(Z20/X20)</f>
        <v>3.8699184211997362E-2</v>
      </c>
      <c r="I20" s="1">
        <v>1.96529</v>
      </c>
      <c r="J20" s="1">
        <v>19.89997</v>
      </c>
      <c r="K20" s="1">
        <v>32.2926</v>
      </c>
      <c r="L20" s="1">
        <v>41.359340000000003</v>
      </c>
      <c r="M20" s="1">
        <v>47.299480000000003</v>
      </c>
      <c r="N20" s="1">
        <v>51.832349999999998</v>
      </c>
      <c r="O20" s="1">
        <v>50.151629999999997</v>
      </c>
      <c r="P20" s="1">
        <v>46.827779999999997</v>
      </c>
      <c r="Q20" s="1">
        <v>41.303690000000003</v>
      </c>
      <c r="R20" s="1">
        <v>30.02544</v>
      </c>
      <c r="S20" s="1">
        <v>6.3636799999999996</v>
      </c>
      <c r="T20" s="1">
        <f t="shared" ref="T20:AD20" si="8">$D20-I20</f>
        <v>119.03471</v>
      </c>
      <c r="U20" s="1">
        <f t="shared" si="8"/>
        <v>101.10003</v>
      </c>
      <c r="V20" s="1">
        <f t="shared" si="8"/>
        <v>88.707400000000007</v>
      </c>
      <c r="W20" s="1">
        <f t="shared" si="8"/>
        <v>79.640659999999997</v>
      </c>
      <c r="X20" s="1">
        <f t="shared" si="8"/>
        <v>73.700519999999997</v>
      </c>
      <c r="Y20" s="1">
        <f t="shared" si="8"/>
        <v>69.167650000000009</v>
      </c>
      <c r="Z20" s="1">
        <f t="shared" si="8"/>
        <v>70.848370000000003</v>
      </c>
      <c r="AA20" s="1">
        <f t="shared" si="8"/>
        <v>74.17222000000001</v>
      </c>
      <c r="AB20" s="1">
        <f t="shared" si="8"/>
        <v>79.696309999999997</v>
      </c>
      <c r="AC20" s="1">
        <f t="shared" si="8"/>
        <v>90.974559999999997</v>
      </c>
      <c r="AD20" s="1">
        <f t="shared" si="8"/>
        <v>114.63632</v>
      </c>
    </row>
    <row r="21" spans="1:30" x14ac:dyDescent="0.2">
      <c r="A21" s="1" t="s">
        <v>39</v>
      </c>
      <c r="B21" s="1" t="str">
        <f t="shared" si="0"/>
        <v>W819482-02</v>
      </c>
      <c r="C21" s="1" t="str">
        <f t="shared" si="1"/>
        <v>B</v>
      </c>
      <c r="D21" s="1">
        <f>VLOOKUP(B21, cushion_dimensions!$A$2:$D$12,4,0)</f>
        <v>121</v>
      </c>
    </row>
    <row r="22" spans="1:30" x14ac:dyDescent="0.2">
      <c r="A22" s="1" t="s">
        <v>40</v>
      </c>
      <c r="B22" s="1" t="str">
        <f t="shared" si="0"/>
        <v>W819482-02</v>
      </c>
      <c r="C22" s="1" t="str">
        <f t="shared" si="1"/>
        <v>C</v>
      </c>
      <c r="D22" s="1">
        <f>VLOOKUP(B22, cushion_dimensions!$A$2:$D$12,4,0)</f>
        <v>121</v>
      </c>
    </row>
    <row r="23" spans="1:30" x14ac:dyDescent="0.2">
      <c r="A23" s="9" t="s">
        <v>41</v>
      </c>
      <c r="B23" s="1" t="str">
        <f t="shared" si="0"/>
        <v>W819482-03</v>
      </c>
      <c r="C23" s="1" t="str">
        <f t="shared" si="1"/>
        <v>A</v>
      </c>
      <c r="D23" s="1">
        <f>VLOOKUP(B23, cushion_dimensions!$A$2:$D$12,4,0)</f>
        <v>121</v>
      </c>
      <c r="E23" s="1">
        <f>1-(AC23/U23)</f>
        <v>9.6969613891153217E-2</v>
      </c>
      <c r="F23" s="1">
        <f>1-(AB23/V23)</f>
        <v>9.9796914118104985E-2</v>
      </c>
      <c r="G23" s="1">
        <f>1-(AA23/W23)</f>
        <v>6.7409774422921176E-2</v>
      </c>
      <c r="H23" s="1">
        <f>1-(Z23/X23)</f>
        <v>3.6913799171562345E-2</v>
      </c>
      <c r="I23" s="1">
        <v>2.0289899999999998</v>
      </c>
      <c r="J23" s="1">
        <v>19.599060000000001</v>
      </c>
      <c r="K23" s="1">
        <v>31.894839999999999</v>
      </c>
      <c r="L23" s="1">
        <v>41.06812</v>
      </c>
      <c r="M23" s="1">
        <v>47.125999999999998</v>
      </c>
      <c r="N23" s="1">
        <v>51.57761</v>
      </c>
      <c r="O23" s="1">
        <v>49.852969999999999</v>
      </c>
      <c r="P23" s="1">
        <v>46.456310000000002</v>
      </c>
      <c r="Q23" s="1">
        <v>40.787260000000003</v>
      </c>
      <c r="R23" s="1">
        <v>29.43187</v>
      </c>
      <c r="S23" s="1">
        <v>6.3047500000000003</v>
      </c>
      <c r="T23" s="1">
        <f t="shared" ref="T23:AD23" si="9">$D23-I23</f>
        <v>118.97101000000001</v>
      </c>
      <c r="U23" s="1">
        <f t="shared" si="9"/>
        <v>101.40093999999999</v>
      </c>
      <c r="V23" s="1">
        <f t="shared" si="9"/>
        <v>89.105159999999998</v>
      </c>
      <c r="W23" s="1">
        <f t="shared" si="9"/>
        <v>79.931880000000007</v>
      </c>
      <c r="X23" s="1">
        <f t="shared" si="9"/>
        <v>73.873999999999995</v>
      </c>
      <c r="Y23" s="1">
        <f t="shared" si="9"/>
        <v>69.422390000000007</v>
      </c>
      <c r="Z23" s="1">
        <f t="shared" si="9"/>
        <v>71.147030000000001</v>
      </c>
      <c r="AA23" s="1">
        <f t="shared" si="9"/>
        <v>74.543689999999998</v>
      </c>
      <c r="AB23" s="1">
        <f t="shared" si="9"/>
        <v>80.212739999999997</v>
      </c>
      <c r="AC23" s="1">
        <f t="shared" si="9"/>
        <v>91.568129999999996</v>
      </c>
      <c r="AD23" s="1">
        <f t="shared" si="9"/>
        <v>114.69525</v>
      </c>
    </row>
    <row r="24" spans="1:30" x14ac:dyDescent="0.2">
      <c r="A24" s="1" t="s">
        <v>42</v>
      </c>
      <c r="B24" s="1" t="str">
        <f t="shared" si="0"/>
        <v>W819482-03</v>
      </c>
      <c r="C24" s="1" t="str">
        <f t="shared" si="1"/>
        <v>B</v>
      </c>
      <c r="D24" s="1">
        <f>VLOOKUP(B24, cushion_dimensions!$A$2:$D$12,4,0)</f>
        <v>121</v>
      </c>
    </row>
    <row r="25" spans="1:30" x14ac:dyDescent="0.2">
      <c r="A25" s="1" t="s">
        <v>43</v>
      </c>
      <c r="B25" s="1" t="str">
        <f t="shared" si="0"/>
        <v>W819482-03</v>
      </c>
      <c r="C25" s="1" t="str">
        <f t="shared" si="1"/>
        <v>C</v>
      </c>
      <c r="D25" s="1">
        <f>VLOOKUP(B25, cushion_dimensions!$A$2:$D$12,4,0)</f>
        <v>121</v>
      </c>
    </row>
    <row r="26" spans="1:30" x14ac:dyDescent="0.2">
      <c r="A26" s="9" t="s">
        <v>44</v>
      </c>
      <c r="B26" s="1" t="str">
        <f t="shared" si="0"/>
        <v>W884993-01</v>
      </c>
      <c r="C26" s="1" t="str">
        <f t="shared" si="1"/>
        <v>A</v>
      </c>
      <c r="D26" s="1">
        <f>VLOOKUP(B26, cushion_dimensions!$A$2:$D$12,4,0)</f>
        <v>119</v>
      </c>
      <c r="E26" s="1">
        <f>1-(AC26/U26)</f>
        <v>9.184154572355796E-2</v>
      </c>
      <c r="F26" s="1">
        <f>1-(AB26/V26)</f>
        <v>9.4833729485423901E-2</v>
      </c>
      <c r="G26" s="1">
        <f>1-(AA26/W26)</f>
        <v>6.9964670814608776E-2</v>
      </c>
      <c r="H26" s="1">
        <f>1-(Z26/X26)</f>
        <v>3.9849065871018885E-2</v>
      </c>
      <c r="I26" s="1">
        <v>1.9346699999999999</v>
      </c>
      <c r="J26" s="1">
        <v>20.883620000000001</v>
      </c>
      <c r="K26" s="1">
        <v>32.993470000000002</v>
      </c>
      <c r="L26" s="1">
        <v>41.848489999999998</v>
      </c>
      <c r="M26" s="1">
        <v>48.1479</v>
      </c>
      <c r="N26" s="1">
        <v>52.857590000000002</v>
      </c>
      <c r="O26" s="1">
        <v>50.971290000000003</v>
      </c>
      <c r="P26" s="1">
        <v>47.246369999999999</v>
      </c>
      <c r="Q26" s="1">
        <v>41.149790000000003</v>
      </c>
      <c r="R26" s="1">
        <v>29.894780000000001</v>
      </c>
      <c r="S26" s="1">
        <v>6.4348999999999998</v>
      </c>
      <c r="T26" s="1">
        <f t="shared" ref="T26:AD26" si="10">$D26-I26</f>
        <v>117.06533</v>
      </c>
      <c r="U26" s="1">
        <f t="shared" si="10"/>
        <v>98.116379999999992</v>
      </c>
      <c r="V26" s="1">
        <f t="shared" si="10"/>
        <v>86.006529999999998</v>
      </c>
      <c r="W26" s="1">
        <f t="shared" si="10"/>
        <v>77.151510000000002</v>
      </c>
      <c r="X26" s="1">
        <f t="shared" si="10"/>
        <v>70.852100000000007</v>
      </c>
      <c r="Y26" s="1">
        <f t="shared" si="10"/>
        <v>66.142409999999998</v>
      </c>
      <c r="Z26" s="1">
        <f t="shared" si="10"/>
        <v>68.02870999999999</v>
      </c>
      <c r="AA26" s="1">
        <f t="shared" si="10"/>
        <v>71.753630000000001</v>
      </c>
      <c r="AB26" s="1">
        <f t="shared" si="10"/>
        <v>77.850210000000004</v>
      </c>
      <c r="AC26" s="1">
        <f t="shared" si="10"/>
        <v>89.105220000000003</v>
      </c>
      <c r="AD26" s="1">
        <f t="shared" si="10"/>
        <v>112.5651</v>
      </c>
    </row>
    <row r="27" spans="1:30" x14ac:dyDescent="0.2">
      <c r="A27" s="1" t="s">
        <v>45</v>
      </c>
      <c r="B27" s="1" t="str">
        <f t="shared" si="0"/>
        <v>W884993-01</v>
      </c>
      <c r="C27" s="1" t="str">
        <f t="shared" si="1"/>
        <v>B</v>
      </c>
      <c r="D27" s="1">
        <f>VLOOKUP(B27, cushion_dimensions!$A$2:$D$12,4,0)</f>
        <v>119</v>
      </c>
    </row>
    <row r="28" spans="1:30" x14ac:dyDescent="0.2">
      <c r="A28" s="1" t="s">
        <v>46</v>
      </c>
      <c r="B28" s="1" t="str">
        <f t="shared" si="0"/>
        <v>W884993-01</v>
      </c>
      <c r="C28" s="1" t="str">
        <f t="shared" si="1"/>
        <v>C</v>
      </c>
      <c r="D28" s="1">
        <f>VLOOKUP(B28, cushion_dimensions!$A$2:$D$12,4,0)</f>
        <v>119</v>
      </c>
    </row>
    <row r="29" spans="1:30" x14ac:dyDescent="0.2">
      <c r="A29" s="9" t="s">
        <v>47</v>
      </c>
      <c r="B29" s="1" t="str">
        <f t="shared" si="0"/>
        <v>W884993-02</v>
      </c>
      <c r="C29" s="1" t="str">
        <f t="shared" si="1"/>
        <v>A</v>
      </c>
      <c r="D29" s="1">
        <f>VLOOKUP(B29, cushion_dimensions!$A$2:$D$12,4,0)</f>
        <v>119</v>
      </c>
      <c r="E29" s="1" t="s">
        <v>85</v>
      </c>
      <c r="H29" s="1">
        <f>1-(Z29/X29)</f>
        <v>0</v>
      </c>
      <c r="T29" s="1">
        <f t="shared" ref="T29:AD29" si="11">$D29-I29</f>
        <v>119</v>
      </c>
      <c r="U29" s="1">
        <f t="shared" si="11"/>
        <v>119</v>
      </c>
      <c r="V29" s="1">
        <f t="shared" si="11"/>
        <v>119</v>
      </c>
      <c r="W29" s="1">
        <f t="shared" si="11"/>
        <v>119</v>
      </c>
      <c r="X29" s="1">
        <f t="shared" si="11"/>
        <v>119</v>
      </c>
      <c r="Y29" s="1">
        <f t="shared" si="11"/>
        <v>119</v>
      </c>
      <c r="Z29" s="1">
        <f t="shared" si="11"/>
        <v>119</v>
      </c>
      <c r="AA29" s="1">
        <f t="shared" si="11"/>
        <v>119</v>
      </c>
      <c r="AB29" s="1">
        <f t="shared" si="11"/>
        <v>119</v>
      </c>
      <c r="AC29" s="1">
        <f t="shared" si="11"/>
        <v>119</v>
      </c>
      <c r="AD29" s="1">
        <f t="shared" si="11"/>
        <v>119</v>
      </c>
    </row>
    <row r="30" spans="1:30" x14ac:dyDescent="0.2">
      <c r="A30" s="1" t="s">
        <v>48</v>
      </c>
      <c r="B30" s="1" t="str">
        <f t="shared" si="0"/>
        <v>W884993-02</v>
      </c>
      <c r="C30" s="1" t="str">
        <f t="shared" si="1"/>
        <v>B</v>
      </c>
      <c r="D30" s="1">
        <f>VLOOKUP(B30, cushion_dimensions!$A$2:$D$12,4,0)</f>
        <v>119</v>
      </c>
    </row>
    <row r="31" spans="1:30" x14ac:dyDescent="0.2">
      <c r="A31" s="1" t="s">
        <v>49</v>
      </c>
      <c r="B31" s="1" t="str">
        <f t="shared" si="0"/>
        <v>W884993-02</v>
      </c>
      <c r="C31" s="1" t="str">
        <f t="shared" si="1"/>
        <v>C</v>
      </c>
      <c r="D31" s="1">
        <f>VLOOKUP(B31, cushion_dimensions!$A$2:$D$12,4,0)</f>
        <v>119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hysteresis</vt:lpstr>
      <vt:lpstr>hysteresis_stats</vt:lpstr>
      <vt:lpstr>lcdod</vt:lpstr>
      <vt:lpstr>lcdod_stats</vt:lpstr>
      <vt:lpstr>cushion_dimensions</vt:lpstr>
      <vt:lpstr>hysteresis_plus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Day, Robert</cp:lastModifiedBy>
  <cp:revision>2</cp:revision>
  <dcterms:created xsi:type="dcterms:W3CDTF">2023-09-27T19:51:33Z</dcterms:created>
  <dcterms:modified xsi:type="dcterms:W3CDTF">2023-09-28T05:04:25Z</dcterms:modified>
  <dc:language>en-AU</dc:language>
</cp:coreProperties>
</file>