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ri\Box\Yahriel's Data\MEMS Project\"/>
    </mc:Choice>
  </mc:AlternateContent>
  <xr:revisionPtr revIDLastSave="0" documentId="13_ncr:1_{8CAD8AC9-5B73-419B-BC25-82CB19E10649}" xr6:coauthVersionLast="47" xr6:coauthVersionMax="47" xr10:uidLastSave="{00000000-0000-0000-0000-000000000000}"/>
  <bookViews>
    <workbookView xWindow="-108" yWindow="-108" windowWidth="23256" windowHeight="12456" xr2:uid="{966710D9-84E2-4507-83AC-529205C6BBCF}"/>
  </bookViews>
  <sheets>
    <sheet name="Paper Tunability" sheetId="1" r:id="rId1"/>
    <sheet name="Contact Pad Tunability" sheetId="2" r:id="rId2"/>
    <sheet name="Resistor Tunabil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3" l="1"/>
  <c r="O69" i="3"/>
  <c r="P59" i="3"/>
  <c r="O107" i="3"/>
  <c r="O136" i="3"/>
  <c r="O165" i="3"/>
  <c r="P166" i="3" s="1"/>
  <c r="B29" i="3"/>
  <c r="B28" i="3"/>
  <c r="B69" i="3"/>
  <c r="B165" i="3"/>
  <c r="B136" i="3"/>
  <c r="B40" i="3"/>
  <c r="B107" i="3"/>
  <c r="D107" i="3"/>
  <c r="X144" i="3"/>
  <c r="X145" i="3"/>
  <c r="X146" i="3"/>
  <c r="X147" i="3"/>
  <c r="X148" i="3"/>
  <c r="X149" i="3"/>
  <c r="X150" i="3"/>
  <c r="X143" i="3"/>
  <c r="Q165" i="3"/>
  <c r="C154" i="3"/>
  <c r="D165" i="3" s="1"/>
  <c r="C155" i="3"/>
  <c r="C156" i="3"/>
  <c r="C157" i="3"/>
  <c r="P154" i="3"/>
  <c r="P155" i="3"/>
  <c r="P156" i="3"/>
  <c r="P157" i="3"/>
  <c r="C125" i="3"/>
  <c r="C126" i="3"/>
  <c r="C127" i="3"/>
  <c r="D136" i="3" s="1"/>
  <c r="C128" i="3"/>
  <c r="P125" i="3"/>
  <c r="P126" i="3"/>
  <c r="P127" i="3"/>
  <c r="P128" i="3"/>
  <c r="C96" i="3"/>
  <c r="C97" i="3"/>
  <c r="C98" i="3"/>
  <c r="C99" i="3"/>
  <c r="P96" i="3"/>
  <c r="P97" i="3"/>
  <c r="P98" i="3"/>
  <c r="P99" i="3"/>
  <c r="P58" i="3"/>
  <c r="P60" i="3"/>
  <c r="P61" i="3"/>
  <c r="Q69" i="3" s="1"/>
  <c r="P29" i="3"/>
  <c r="P30" i="3"/>
  <c r="P31" i="3"/>
  <c r="P32" i="3"/>
  <c r="P28" i="3"/>
  <c r="Q40" i="3" s="1"/>
  <c r="P57" i="3"/>
  <c r="P95" i="3"/>
  <c r="Q107" i="3" s="1"/>
  <c r="P124" i="3"/>
  <c r="Q136" i="3" s="1"/>
  <c r="P153" i="3"/>
  <c r="C153" i="3"/>
  <c r="C124" i="3"/>
  <c r="C95" i="3"/>
  <c r="Q29" i="3"/>
  <c r="Q39" i="3" s="1"/>
  <c r="Q30" i="3"/>
  <c r="Q31" i="3"/>
  <c r="Q32" i="3"/>
  <c r="Q28" i="3"/>
  <c r="Q58" i="3"/>
  <c r="Q59" i="3"/>
  <c r="Q60" i="3"/>
  <c r="Q61" i="3"/>
  <c r="Q57" i="3"/>
  <c r="Q68" i="3" s="1"/>
  <c r="Q96" i="3"/>
  <c r="Q106" i="3" s="1"/>
  <c r="Q97" i="3"/>
  <c r="Q98" i="3"/>
  <c r="Q99" i="3"/>
  <c r="Q95" i="3"/>
  <c r="Q125" i="3"/>
  <c r="Q126" i="3"/>
  <c r="Q127" i="3"/>
  <c r="Q128" i="3"/>
  <c r="Q124" i="3"/>
  <c r="Q135" i="3" s="1"/>
  <c r="Q154" i="3"/>
  <c r="Q155" i="3"/>
  <c r="Q156" i="3"/>
  <c r="Q157" i="3"/>
  <c r="Q153" i="3"/>
  <c r="Q164" i="3" s="1"/>
  <c r="D154" i="3"/>
  <c r="D164" i="3" s="1"/>
  <c r="D155" i="3"/>
  <c r="D156" i="3"/>
  <c r="D157" i="3"/>
  <c r="D153" i="3"/>
  <c r="D125" i="3"/>
  <c r="D126" i="3"/>
  <c r="D127" i="3"/>
  <c r="D128" i="3"/>
  <c r="D124" i="3"/>
  <c r="D135" i="3" s="1"/>
  <c r="D96" i="3"/>
  <c r="D106" i="3" s="1"/>
  <c r="D97" i="3"/>
  <c r="D98" i="3"/>
  <c r="D99" i="3"/>
  <c r="D95" i="3"/>
  <c r="D58" i="3"/>
  <c r="D68" i="3" s="1"/>
  <c r="D59" i="3"/>
  <c r="D60" i="3"/>
  <c r="D61" i="3"/>
  <c r="D57" i="3"/>
  <c r="C58" i="3"/>
  <c r="C59" i="3"/>
  <c r="C60" i="3"/>
  <c r="C61" i="3"/>
  <c r="C57" i="3"/>
  <c r="D69" i="3" s="1"/>
  <c r="D29" i="3"/>
  <c r="D30" i="3"/>
  <c r="D39" i="3" s="1"/>
  <c r="D31" i="3"/>
  <c r="D32" i="3"/>
  <c r="D28" i="3"/>
  <c r="C137" i="3" l="1"/>
  <c r="P108" i="3"/>
  <c r="C108" i="3"/>
  <c r="P41" i="3"/>
  <c r="P137" i="3"/>
  <c r="C70" i="3"/>
  <c r="P70" i="3"/>
  <c r="C166" i="3"/>
  <c r="C29" i="3"/>
  <c r="C30" i="3"/>
  <c r="C31" i="3"/>
  <c r="C32" i="3"/>
  <c r="C28" i="3"/>
  <c r="Q109" i="1"/>
  <c r="Q110" i="1"/>
  <c r="Q111" i="1"/>
  <c r="Q112" i="1"/>
  <c r="Q113" i="1"/>
  <c r="Q114" i="1"/>
  <c r="Q108" i="1"/>
  <c r="Q119" i="1" s="1"/>
  <c r="Q89" i="1"/>
  <c r="Q99" i="1" s="1"/>
  <c r="Q90" i="1"/>
  <c r="Q91" i="1"/>
  <c r="Q92" i="1"/>
  <c r="Q93" i="1"/>
  <c r="Q94" i="1"/>
  <c r="Q88" i="1"/>
  <c r="Q69" i="1"/>
  <c r="Q70" i="1"/>
  <c r="Q71" i="1"/>
  <c r="Q72" i="1"/>
  <c r="Q73" i="1"/>
  <c r="Q74" i="1"/>
  <c r="Q68" i="1"/>
  <c r="Q79" i="1" s="1"/>
  <c r="Q49" i="1"/>
  <c r="Q59" i="1" s="1"/>
  <c r="Q50" i="1"/>
  <c r="Q51" i="1"/>
  <c r="Q52" i="1"/>
  <c r="Q53" i="1"/>
  <c r="Q54" i="1"/>
  <c r="Q48" i="1"/>
  <c r="Q29" i="1"/>
  <c r="Q30" i="1"/>
  <c r="Q31" i="1"/>
  <c r="Q39" i="1" s="1"/>
  <c r="Q32" i="1"/>
  <c r="Q33" i="1"/>
  <c r="Q34" i="1"/>
  <c r="Q28" i="1"/>
  <c r="D208" i="1"/>
  <c r="D209" i="1"/>
  <c r="D210" i="1"/>
  <c r="D211" i="1"/>
  <c r="D207" i="1"/>
  <c r="D188" i="1"/>
  <c r="D189" i="1"/>
  <c r="D190" i="1"/>
  <c r="D191" i="1"/>
  <c r="D187" i="1"/>
  <c r="D168" i="1"/>
  <c r="D169" i="1"/>
  <c r="D170" i="1"/>
  <c r="D171" i="1"/>
  <c r="D167" i="1"/>
  <c r="D148" i="1"/>
  <c r="D149" i="1"/>
  <c r="D150" i="1"/>
  <c r="D151" i="1"/>
  <c r="D147" i="1"/>
  <c r="D159" i="1" s="1"/>
  <c r="D129" i="1"/>
  <c r="D130" i="1"/>
  <c r="D131" i="1"/>
  <c r="D132" i="1"/>
  <c r="D133" i="1"/>
  <c r="D134" i="1"/>
  <c r="D128" i="1"/>
  <c r="D109" i="1"/>
  <c r="D110" i="1"/>
  <c r="D111" i="1"/>
  <c r="D112" i="1"/>
  <c r="D113" i="1"/>
  <c r="D114" i="1"/>
  <c r="D108" i="1"/>
  <c r="D89" i="1"/>
  <c r="D90" i="1"/>
  <c r="D91" i="1"/>
  <c r="D92" i="1"/>
  <c r="D93" i="1"/>
  <c r="D94" i="1"/>
  <c r="D88" i="1"/>
  <c r="D69" i="1"/>
  <c r="D70" i="1"/>
  <c r="D71" i="1"/>
  <c r="D72" i="1"/>
  <c r="D73" i="1"/>
  <c r="D74" i="1"/>
  <c r="D68" i="1"/>
  <c r="D49" i="1"/>
  <c r="D50" i="1"/>
  <c r="D51" i="1"/>
  <c r="D52" i="1"/>
  <c r="D48" i="1"/>
  <c r="D59" i="1" s="1"/>
  <c r="D29" i="1"/>
  <c r="D30" i="1"/>
  <c r="D31" i="1"/>
  <c r="D32" i="1"/>
  <c r="D28" i="1"/>
  <c r="D40" i="1" s="1"/>
  <c r="D219" i="1"/>
  <c r="B41" i="1"/>
  <c r="P109" i="1"/>
  <c r="P110" i="1"/>
  <c r="P111" i="1"/>
  <c r="P112" i="1"/>
  <c r="P113" i="1"/>
  <c r="P114" i="1"/>
  <c r="P108" i="1"/>
  <c r="Q120" i="1" s="1"/>
  <c r="P89" i="1"/>
  <c r="P90" i="1"/>
  <c r="P91" i="1"/>
  <c r="P92" i="1"/>
  <c r="P93" i="1"/>
  <c r="P94" i="1"/>
  <c r="P88" i="1"/>
  <c r="Q100" i="1" s="1"/>
  <c r="P69" i="1"/>
  <c r="P70" i="1"/>
  <c r="P71" i="1"/>
  <c r="P72" i="1"/>
  <c r="P73" i="1"/>
  <c r="P74" i="1"/>
  <c r="P68" i="1"/>
  <c r="Q80" i="1" s="1"/>
  <c r="P49" i="1"/>
  <c r="P50" i="1"/>
  <c r="P51" i="1"/>
  <c r="P52" i="1"/>
  <c r="P53" i="1"/>
  <c r="P54" i="1"/>
  <c r="P48" i="1"/>
  <c r="Q60" i="1" s="1"/>
  <c r="P29" i="1"/>
  <c r="P30" i="1"/>
  <c r="P31" i="1"/>
  <c r="P32" i="1"/>
  <c r="P33" i="1"/>
  <c r="P34" i="1"/>
  <c r="P28" i="1"/>
  <c r="Q40" i="1" s="1"/>
  <c r="C208" i="1"/>
  <c r="C209" i="1"/>
  <c r="C210" i="1"/>
  <c r="C211" i="1"/>
  <c r="C207" i="1"/>
  <c r="D220" i="1" s="1"/>
  <c r="C188" i="1"/>
  <c r="C189" i="1"/>
  <c r="C190" i="1"/>
  <c r="C191" i="1"/>
  <c r="C187" i="1"/>
  <c r="C168" i="1"/>
  <c r="C169" i="1"/>
  <c r="C170" i="1"/>
  <c r="C171" i="1"/>
  <c r="C167" i="1"/>
  <c r="D180" i="1" s="1"/>
  <c r="C148" i="1"/>
  <c r="C149" i="1"/>
  <c r="C150" i="1"/>
  <c r="C151" i="1"/>
  <c r="C147" i="1"/>
  <c r="D160" i="1" s="1"/>
  <c r="C129" i="1"/>
  <c r="C130" i="1"/>
  <c r="C131" i="1"/>
  <c r="C132" i="1"/>
  <c r="C133" i="1"/>
  <c r="C134" i="1"/>
  <c r="C128" i="1"/>
  <c r="C109" i="1"/>
  <c r="C110" i="1"/>
  <c r="C111" i="1"/>
  <c r="C112" i="1"/>
  <c r="C113" i="1"/>
  <c r="C114" i="1"/>
  <c r="C108" i="1"/>
  <c r="D120" i="1" s="1"/>
  <c r="C89" i="1"/>
  <c r="C90" i="1"/>
  <c r="C91" i="1"/>
  <c r="C92" i="1"/>
  <c r="C93" i="1"/>
  <c r="C94" i="1"/>
  <c r="C88" i="1"/>
  <c r="C69" i="1"/>
  <c r="C70" i="1"/>
  <c r="C71" i="1"/>
  <c r="C72" i="1"/>
  <c r="C73" i="1"/>
  <c r="C74" i="1"/>
  <c r="C68" i="1"/>
  <c r="D80" i="1" s="1"/>
  <c r="C49" i="1"/>
  <c r="C50" i="1"/>
  <c r="C51" i="1"/>
  <c r="C52" i="1"/>
  <c r="C48" i="1"/>
  <c r="D60" i="1" s="1"/>
  <c r="C29" i="1"/>
  <c r="C30" i="1"/>
  <c r="C31" i="1"/>
  <c r="C32" i="1"/>
  <c r="C28" i="1"/>
  <c r="D41" i="1" s="1"/>
  <c r="C42" i="1" s="1"/>
  <c r="N108" i="1"/>
  <c r="O120" i="1" s="1"/>
  <c r="P121" i="1" s="1"/>
  <c r="D100" i="1" l="1"/>
  <c r="D119" i="1"/>
  <c r="D179" i="1"/>
  <c r="D79" i="1"/>
  <c r="D140" i="1"/>
  <c r="D200" i="1"/>
  <c r="D99" i="1"/>
  <c r="D40" i="3"/>
  <c r="C41" i="3" s="1"/>
  <c r="D199" i="1"/>
  <c r="D139" i="1"/>
  <c r="C141" i="1"/>
  <c r="A166" i="1"/>
  <c r="A167" i="1"/>
  <c r="A168" i="1"/>
  <c r="A169" i="1"/>
  <c r="A170" i="1"/>
  <c r="A171" i="1"/>
  <c r="A207" i="1"/>
  <c r="A208" i="1"/>
  <c r="A209" i="1"/>
  <c r="A210" i="1"/>
  <c r="A211" i="1"/>
  <c r="A187" i="1"/>
  <c r="A188" i="1"/>
  <c r="A189" i="1"/>
  <c r="A190" i="1"/>
  <c r="A191" i="1"/>
  <c r="A206" i="1"/>
  <c r="A186" i="1"/>
  <c r="A147" i="1"/>
  <c r="A148" i="1"/>
  <c r="A149" i="1"/>
  <c r="A150" i="1"/>
  <c r="A151" i="1"/>
  <c r="A146" i="1"/>
  <c r="AL14" i="1"/>
  <c r="Z5" i="1"/>
  <c r="Z6" i="1"/>
  <c r="Z7" i="1"/>
  <c r="Z8" i="1"/>
  <c r="Z4" i="1"/>
  <c r="AN13" i="1"/>
  <c r="AL13" i="1"/>
  <c r="AN12" i="1"/>
  <c r="AL12" i="1"/>
  <c r="AN11" i="1"/>
  <c r="AL11" i="1"/>
  <c r="AN10" i="1"/>
  <c r="AL10" i="1"/>
  <c r="AN9" i="1"/>
  <c r="AL9" i="1"/>
  <c r="AN8" i="1"/>
  <c r="AL8" i="1"/>
  <c r="AN7" i="1"/>
  <c r="AL7" i="1"/>
  <c r="AN6" i="1"/>
  <c r="AL6" i="1"/>
  <c r="AN5" i="1"/>
  <c r="AL5" i="1"/>
  <c r="A128" i="1"/>
  <c r="B140" i="1" s="1"/>
  <c r="A108" i="1"/>
  <c r="B120" i="1" s="1"/>
  <c r="C121" i="1" s="1"/>
  <c r="A88" i="1"/>
  <c r="B100" i="1" s="1"/>
  <c r="C101" i="1" s="1"/>
  <c r="A68" i="1"/>
  <c r="B80" i="1" s="1"/>
  <c r="C81" i="1" s="1"/>
  <c r="A48" i="1"/>
  <c r="B60" i="1" s="1"/>
  <c r="C61" i="1" s="1"/>
  <c r="A8" i="1"/>
  <c r="A9" i="1" s="1"/>
  <c r="A10" i="1" s="1"/>
  <c r="A11" i="1" s="1"/>
  <c r="A12" i="1" s="1"/>
  <c r="A13" i="1" s="1"/>
  <c r="B27" i="3"/>
  <c r="B30" i="3"/>
  <c r="B31" i="3"/>
  <c r="B32" i="3"/>
  <c r="B56" i="3"/>
  <c r="B57" i="3"/>
  <c r="B58" i="3"/>
  <c r="B59" i="3"/>
  <c r="B60" i="3"/>
  <c r="B61" i="3"/>
  <c r="B94" i="3"/>
  <c r="B95" i="3"/>
  <c r="B96" i="3"/>
  <c r="B97" i="3"/>
  <c r="B98" i="3"/>
  <c r="B99" i="3"/>
  <c r="B123" i="3"/>
  <c r="B124" i="3"/>
  <c r="B125" i="3"/>
  <c r="B126" i="3"/>
  <c r="B127" i="3"/>
  <c r="B128" i="3"/>
  <c r="B200" i="1" l="1"/>
  <c r="C201" i="1" s="1"/>
  <c r="B220" i="1"/>
  <c r="C221" i="1" s="1"/>
  <c r="B180" i="1"/>
  <c r="C181" i="1" s="1"/>
  <c r="B160" i="1"/>
  <c r="C161" i="1" s="1"/>
  <c r="O153" i="3"/>
  <c r="O154" i="3"/>
  <c r="O155" i="3"/>
  <c r="O156" i="3"/>
  <c r="O157" i="3"/>
  <c r="O152" i="3"/>
  <c r="O124" i="3"/>
  <c r="O125" i="3"/>
  <c r="O126" i="3"/>
  <c r="O127" i="3"/>
  <c r="O128" i="3"/>
  <c r="O123" i="3"/>
  <c r="O95" i="3"/>
  <c r="O96" i="3"/>
  <c r="O97" i="3"/>
  <c r="O98" i="3"/>
  <c r="O99" i="3"/>
  <c r="O94" i="3"/>
  <c r="O57" i="3"/>
  <c r="O58" i="3"/>
  <c r="O59" i="3"/>
  <c r="O60" i="3"/>
  <c r="O61" i="3"/>
  <c r="O56" i="3"/>
  <c r="O28" i="3"/>
  <c r="O29" i="3"/>
  <c r="O30" i="3"/>
  <c r="O31" i="3"/>
  <c r="O32" i="3"/>
  <c r="O27" i="3"/>
  <c r="B37" i="1"/>
  <c r="B153" i="3"/>
  <c r="B154" i="3"/>
  <c r="B155" i="3"/>
  <c r="B156" i="3"/>
  <c r="B157" i="3"/>
  <c r="B152" i="3"/>
  <c r="N15" i="2"/>
  <c r="M15" i="2"/>
  <c r="L15" i="2"/>
  <c r="K15" i="2"/>
  <c r="J15" i="2"/>
  <c r="I15" i="2"/>
  <c r="G15" i="2"/>
  <c r="L8" i="2"/>
  <c r="K8" i="2"/>
  <c r="J8" i="2"/>
  <c r="I8" i="2"/>
  <c r="H8" i="2"/>
  <c r="G8" i="2"/>
  <c r="AA37" i="1"/>
  <c r="AA36" i="1"/>
  <c r="AA35" i="1"/>
  <c r="AA34" i="1"/>
  <c r="AA33" i="1"/>
  <c r="AA32" i="1"/>
  <c r="AA31" i="1"/>
  <c r="AA30" i="1"/>
  <c r="AA29" i="1"/>
  <c r="AA28" i="1"/>
  <c r="AA27" i="1"/>
  <c r="AA26" i="1"/>
  <c r="N88" i="1"/>
  <c r="O100" i="1" s="1"/>
  <c r="P101" i="1" s="1"/>
  <c r="N68" i="1" l="1"/>
  <c r="O80" i="1" s="1"/>
  <c r="P81" i="1" s="1"/>
  <c r="N48" i="1"/>
  <c r="O60" i="1" s="1"/>
  <c r="P61" i="1" s="1"/>
  <c r="N28" i="1"/>
  <c r="O40" i="1" s="1"/>
  <c r="P41" i="1" s="1"/>
</calcChain>
</file>

<file path=xl/sharedStrings.xml><?xml version="1.0" encoding="utf-8"?>
<sst xmlns="http://schemas.openxmlformats.org/spreadsheetml/2006/main" count="682" uniqueCount="101">
  <si>
    <t>Length</t>
  </si>
  <si>
    <t>Thickness</t>
  </si>
  <si>
    <t>dR/dz</t>
  </si>
  <si>
    <t>Sensor Sensitivity vs. Beam Length</t>
  </si>
  <si>
    <t>Sensitivity</t>
  </si>
  <si>
    <t>Sensor Sensitivity vs. Beam Thickness</t>
  </si>
  <si>
    <t>Force Calibrations vs. Paper Stiffness</t>
  </si>
  <si>
    <t>mm</t>
  </si>
  <si>
    <t>kOhm/mm</t>
  </si>
  <si>
    <t>A</t>
  </si>
  <si>
    <t>R (20kohms)</t>
  </si>
  <si>
    <r>
      <t>Change in Resistance (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R)</t>
    </r>
  </si>
  <si>
    <t>Mass</t>
  </si>
  <si>
    <t>Force</t>
  </si>
  <si>
    <t>SENSOR CLASSIFICATION</t>
  </si>
  <si>
    <t>B</t>
  </si>
  <si>
    <r>
      <t>20k</t>
    </r>
    <r>
      <rPr>
        <sz val="11"/>
        <color theme="1"/>
        <rFont val="Symbol"/>
        <family val="1"/>
        <charset val="2"/>
      </rPr>
      <t>W</t>
    </r>
  </si>
  <si>
    <t>g</t>
  </si>
  <si>
    <t>g*m/s^2 (mN)</t>
  </si>
  <si>
    <t>Regular Cardstock Paper</t>
  </si>
  <si>
    <t>C</t>
  </si>
  <si>
    <t>Carbon Ink S.G.</t>
  </si>
  <si>
    <t>D</t>
  </si>
  <si>
    <t>E</t>
  </si>
  <si>
    <t>F</t>
  </si>
  <si>
    <t>G</t>
  </si>
  <si>
    <t>Field's Metal</t>
  </si>
  <si>
    <t>YSR-1-7 Series (A--&gt;F)</t>
  </si>
  <si>
    <t>YSR-1-8 Series (A--&gt;E)</t>
  </si>
  <si>
    <t>Deflection (z-direction)</t>
  </si>
  <si>
    <t>Slope</t>
  </si>
  <si>
    <t>Angle</t>
  </si>
  <si>
    <r>
      <t>R</t>
    </r>
    <r>
      <rPr>
        <u/>
        <vertAlign val="subscript"/>
        <sz val="11"/>
        <color theme="1"/>
        <rFont val="Calibri"/>
        <family val="2"/>
        <scheme val="minor"/>
      </rPr>
      <t>0</t>
    </r>
  </si>
  <si>
    <r>
      <t>k</t>
    </r>
    <r>
      <rPr>
        <sz val="11"/>
        <color theme="1"/>
        <rFont val="Symbol"/>
        <family val="1"/>
        <charset val="2"/>
      </rPr>
      <t>W</t>
    </r>
  </si>
  <si>
    <t>kW</t>
  </si>
  <si>
    <t>Mass (g)</t>
  </si>
  <si>
    <r>
      <rPr>
        <b/>
        <sz val="11"/>
        <color theme="1"/>
        <rFont val="Calibri"/>
        <family val="2"/>
        <scheme val="minor"/>
      </rPr>
      <t xml:space="preserve">Resistance Reading (20 </t>
    </r>
    <r>
      <rPr>
        <b/>
        <sz val="11"/>
        <color theme="1"/>
        <rFont val="Calibri"/>
        <family val="2"/>
      </rPr>
      <t>Ω)</t>
    </r>
  </si>
  <si>
    <r>
      <t>Force/Weight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N)</t>
    </r>
  </si>
  <si>
    <t>z0</t>
  </si>
  <si>
    <t>Chromotography Paper</t>
  </si>
  <si>
    <t>x</t>
  </si>
  <si>
    <t>SENSOR RESOLUTION vs. Contact Pads Solidification Method</t>
  </si>
  <si>
    <r>
      <t xml:space="preserve">FM Contact Pads </t>
    </r>
    <r>
      <rPr>
        <b/>
        <sz val="11"/>
        <color theme="1"/>
        <rFont val="Calibri"/>
        <family val="2"/>
        <scheme val="minor"/>
      </rPr>
      <t>Scratched</t>
    </r>
    <r>
      <rPr>
        <sz val="11"/>
        <color theme="1"/>
        <rFont val="Calibri"/>
        <family val="2"/>
        <scheme val="minor"/>
      </rPr>
      <t xml:space="preserve"> Solidification Method</t>
    </r>
  </si>
  <si>
    <t>RESOLUTION</t>
  </si>
  <si>
    <t>RANGES</t>
  </si>
  <si>
    <t xml:space="preserve">SAMPLE </t>
  </si>
  <si>
    <r>
      <t>200</t>
    </r>
    <r>
      <rPr>
        <b/>
        <sz val="11"/>
        <color theme="1"/>
        <rFont val="Calibri"/>
        <family val="2"/>
      </rPr>
      <t>Ω MIN</t>
    </r>
  </si>
  <si>
    <t>200Ω MAX</t>
  </si>
  <si>
    <t>2000Ω MIN</t>
  </si>
  <si>
    <t>2000Ω MAX</t>
  </si>
  <si>
    <t>20kΩ MIN</t>
  </si>
  <si>
    <t>20kΩ MAX</t>
  </si>
  <si>
    <t>200kΩ MIN</t>
  </si>
  <si>
    <t>200kΩ MAX</t>
  </si>
  <si>
    <t>20MΩ MIN</t>
  </si>
  <si>
    <t>20MΩ MAX</t>
  </si>
  <si>
    <t>Scratched #1</t>
  </si>
  <si>
    <t>Scratched #2</t>
  </si>
  <si>
    <t>Scratched #3</t>
  </si>
  <si>
    <t>SCRATCHED AVG</t>
  </si>
  <si>
    <r>
      <t xml:space="preserve">FM Contact Pads </t>
    </r>
    <r>
      <rPr>
        <b/>
        <sz val="11"/>
        <color theme="1"/>
        <rFont val="Calibri"/>
        <family val="2"/>
        <scheme val="minor"/>
      </rPr>
      <t xml:space="preserve">Rolled </t>
    </r>
    <r>
      <rPr>
        <sz val="11"/>
        <color theme="1"/>
        <rFont val="Calibri"/>
        <family val="2"/>
        <scheme val="minor"/>
      </rPr>
      <t>Solidification Method</t>
    </r>
  </si>
  <si>
    <t>SAMPLE</t>
  </si>
  <si>
    <t xml:space="preserve">Rolled #1 </t>
  </si>
  <si>
    <t>N/A</t>
  </si>
  <si>
    <t>Rolled #2</t>
  </si>
  <si>
    <t>Rolled #3</t>
  </si>
  <si>
    <t>ROLLED AVG</t>
  </si>
  <si>
    <t>Overall Resolution Ranges of each method</t>
  </si>
  <si>
    <t xml:space="preserve">200Ω </t>
  </si>
  <si>
    <t xml:space="preserve">2000Ω </t>
  </si>
  <si>
    <t>20kΩ</t>
  </si>
  <si>
    <t xml:space="preserve">200kΩ </t>
  </si>
  <si>
    <t xml:space="preserve">20MΩ </t>
  </si>
  <si>
    <t>SCRATCHED</t>
  </si>
  <si>
    <t>2.53-25.53</t>
  </si>
  <si>
    <t>3.66-27</t>
  </si>
  <si>
    <t>0.0-0.04</t>
  </si>
  <si>
    <t>0.0-0.0</t>
  </si>
  <si>
    <t>ROLLED</t>
  </si>
  <si>
    <t>130-N/A</t>
  </si>
  <si>
    <t>81.33-1549</t>
  </si>
  <si>
    <t>0.12-2.14</t>
  </si>
  <si>
    <t>0.0-2.03</t>
  </si>
  <si>
    <t>N/A-N/A</t>
  </si>
  <si>
    <t>Location</t>
  </si>
  <si>
    <t>Sensor Sensitivity vs. Resistor Length</t>
  </si>
  <si>
    <t>Sensor Sensitivity vs. Resistor Location</t>
  </si>
  <si>
    <t>YSR-1-29 Series (A--&gt;F)</t>
  </si>
  <si>
    <t>YSR-1-30 Series (A--&gt;E)</t>
  </si>
  <si>
    <t>slope fit</t>
  </si>
  <si>
    <t xml:space="preserve">TOOK </t>
  </si>
  <si>
    <t>AVERAGES</t>
  </si>
  <si>
    <t>H</t>
  </si>
  <si>
    <t>I</t>
  </si>
  <si>
    <t>J</t>
  </si>
  <si>
    <t>K</t>
  </si>
  <si>
    <t>GF</t>
  </si>
  <si>
    <t>Strain</t>
  </si>
  <si>
    <t>DR/R_0</t>
  </si>
  <si>
    <t>Rad.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</si>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</sst>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  <font>
      <u/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22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0" fillId="2" borderId="0" xfId="0" applyFill="1"/>
    <xf numFmtId="0" fontId="6" fillId="3" borderId="0" xfId="0" applyFont="1" applyFill="1"/>
    <xf numFmtId="0" fontId="0" fillId="3" borderId="0" xfId="0" applyFill="1"/>
    <xf numFmtId="0" fontId="7" fillId="4" borderId="0" xfId="0" applyFont="1" applyFill="1"/>
    <xf numFmtId="0" fontId="8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6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1" fillId="4" borderId="0" xfId="0" applyFont="1" applyFill="1"/>
    <xf numFmtId="0" fontId="1" fillId="8" borderId="0" xfId="0" applyFont="1" applyFill="1"/>
    <xf numFmtId="17" fontId="0" fillId="0" borderId="0" xfId="0" applyNumberFormat="1"/>
    <xf numFmtId="0" fontId="0" fillId="9" borderId="0" xfId="0" applyFill="1"/>
    <xf numFmtId="0" fontId="1" fillId="6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Arial Black" panose="020B0A04020102020204" pitchFamily="34" charset="0"/>
              </a:rPr>
              <a:t>Sensitivity vs. Change in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GF vs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'Paper Tunability'!$A$3:$A$12</c:f>
              <c:numCache>
                <c:formatCode>General</c:formatCode>
                <c:ptCount val="10"/>
                <c:pt idx="0">
                  <c:v>64.150000000000006</c:v>
                </c:pt>
                <c:pt idx="1">
                  <c:v>59.15</c:v>
                </c:pt>
                <c:pt idx="2">
                  <c:v>54.15</c:v>
                </c:pt>
                <c:pt idx="3">
                  <c:v>49.15</c:v>
                </c:pt>
                <c:pt idx="4">
                  <c:v>44.15</c:v>
                </c:pt>
                <c:pt idx="5">
                  <c:v>39.15</c:v>
                </c:pt>
                <c:pt idx="6">
                  <c:v>34.15</c:v>
                </c:pt>
                <c:pt idx="7">
                  <c:v>29.15</c:v>
                </c:pt>
                <c:pt idx="8">
                  <c:v>24.15</c:v>
                </c:pt>
                <c:pt idx="9">
                  <c:v>19.149999999999999</c:v>
                </c:pt>
              </c:numCache>
            </c:numRef>
          </c:xVal>
          <c:yVal>
            <c:numRef>
              <c:f>'Paper Tunability'!$D$3:$D$12</c:f>
              <c:numCache>
                <c:formatCode>General</c:formatCode>
                <c:ptCount val="10"/>
                <c:pt idx="0">
                  <c:v>2.8252981688921829E-2</c:v>
                </c:pt>
                <c:pt idx="1">
                  <c:v>2.9013045026093108E-2</c:v>
                </c:pt>
                <c:pt idx="2">
                  <c:v>3.2690228377593458E-2</c:v>
                </c:pt>
                <c:pt idx="3">
                  <c:v>2.972138640377325E-2</c:v>
                </c:pt>
                <c:pt idx="4">
                  <c:v>3.0834972531375977E-2</c:v>
                </c:pt>
                <c:pt idx="5">
                  <c:v>2.0244945957559241E-2</c:v>
                </c:pt>
                <c:pt idx="6">
                  <c:v>6.7189439817907218E-2</c:v>
                </c:pt>
                <c:pt idx="7">
                  <c:v>3.5544257003153876E-2</c:v>
                </c:pt>
                <c:pt idx="8">
                  <c:v>3.6937694710967667E-2</c:v>
                </c:pt>
                <c:pt idx="9">
                  <c:v>1.4978425301959124E-2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7-4466-AB89-8D1BDBB8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05936"/>
        <c:axId val="2036892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ΔR/ΔZ vs. Change in Length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2259576556802382"/>
                        <c:y val="-0.44799439725543272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ysClr val="windowText" lastClr="000000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050" b="1" baseline="0">
                              <a:solidFill>
                                <a:sysClr val="windowText" lastClr="000000"/>
                              </a:solidFill>
                              <a:latin typeface="Arial Black" panose="020B0A04020102020204" pitchFamily="34" charset="0"/>
                            </a:rPr>
                            <a:t>y = -0.0004x + 0.0148</a:t>
                          </a:r>
                          <a:br>
                            <a:rPr lang="en-US" sz="1050" b="1" baseline="0">
                              <a:solidFill>
                                <a:sysClr val="windowText" lastClr="000000"/>
                              </a:solidFill>
                              <a:latin typeface="Arial Black" panose="020B0A04020102020204" pitchFamily="34" charset="0"/>
                            </a:rPr>
                          </a:br>
                          <a:r>
                            <a:rPr lang="en-US" sz="1050" b="1" baseline="0">
                              <a:solidFill>
                                <a:sysClr val="windowText" lastClr="000000"/>
                              </a:solidFill>
                              <a:latin typeface="Arial Black" panose="020B0A04020102020204" pitchFamily="34" charset="0"/>
                            </a:rPr>
                            <a:t>R² = 0.9093</a:t>
                          </a:r>
                          <a:endParaRPr lang="en-US" sz="1050" b="1">
                            <a:solidFill>
                              <a:sysClr val="windowText" lastClr="000000"/>
                            </a:solidFill>
                            <a:latin typeface="Arial Black" panose="020B0A04020102020204" pitchFamily="34" charset="0"/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'Paper Tunability'!$A$3:$A$13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64.150000000000006</c:v>
                      </c:pt>
                      <c:pt idx="1">
                        <c:v>59.15</c:v>
                      </c:pt>
                      <c:pt idx="2">
                        <c:v>54.15</c:v>
                      </c:pt>
                      <c:pt idx="3">
                        <c:v>49.15</c:v>
                      </c:pt>
                      <c:pt idx="4">
                        <c:v>44.15</c:v>
                      </c:pt>
                      <c:pt idx="5">
                        <c:v>39.15</c:v>
                      </c:pt>
                      <c:pt idx="6">
                        <c:v>34.15</c:v>
                      </c:pt>
                      <c:pt idx="7">
                        <c:v>29.15</c:v>
                      </c:pt>
                      <c:pt idx="8">
                        <c:v>24.15</c:v>
                      </c:pt>
                      <c:pt idx="9">
                        <c:v>19.149999999999999</c:v>
                      </c:pt>
                      <c:pt idx="10">
                        <c:v>14.149999999999999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'Paper Tunability'!$C$3:$C$13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4.0000000000000002E-4</c:v>
                      </c:pt>
                      <c:pt idx="1">
                        <c:v>6.0599999999999998E-4</c:v>
                      </c:pt>
                      <c:pt idx="2">
                        <c:v>1.2459999999999999E-3</c:v>
                      </c:pt>
                      <c:pt idx="3">
                        <c:v>1.126E-3</c:v>
                      </c:pt>
                      <c:pt idx="4">
                        <c:v>1.8E-3</c:v>
                      </c:pt>
                      <c:pt idx="5">
                        <c:v>2.2000000000000001E-3</c:v>
                      </c:pt>
                      <c:pt idx="6">
                        <c:v>2.3E-3</c:v>
                      </c:pt>
                      <c:pt idx="7">
                        <c:v>5.5999999999999999E-3</c:v>
                      </c:pt>
                      <c:pt idx="8">
                        <c:v>6.4999999999999997E-3</c:v>
                      </c:pt>
                      <c:pt idx="9">
                        <c:v>1.1299999999999999E-2</c:v>
                      </c:pt>
                      <c:pt idx="10">
                        <c:v>1.26E-2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24C-4F02-9109-4ECC5F5626C3}"/>
                  </c:ext>
                </c:extLst>
              </c15:ser>
            </c15:filteredScatterSeries>
          </c:ext>
        </c:extLst>
      </c:scatterChart>
      <c:valAx>
        <c:axId val="19556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Cantilever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036892416"/>
        <c:crosses val="autoZero"/>
        <c:crossBetween val="midCat"/>
      </c:valAx>
      <c:valAx>
        <c:axId val="20368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Sensitivity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752276796712005E-2"/>
              <c:y val="0.31247234333333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55605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.52mm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25612941914403"/>
                  <c:y val="-4.35928608489226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8.5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[2]Sheet1!$A$3:$A$9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9.9999999999997868E-3</c:v>
                </c:pt>
                <c:pt idx="2">
                  <c:v>0.02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3-449C-A4D1-2F9A820E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.78mm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65904410158872"/>
                  <c:y val="-3.4988961588768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[3]Sheet1!$A$3:$A$9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1.9999999999999574E-2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C-4919-8936-25D578FA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1.04mm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11482939632544"/>
                  <c:y val="-4.37623868445015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[4]Sheet1!$B$3:$B$9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[4]Sheet1!$A$3:$A$9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1.9999999999999574E-2</c:v>
                </c:pt>
                <c:pt idx="2">
                  <c:v>0.05</c:v>
                </c:pt>
                <c:pt idx="3">
                  <c:v>0.09</c:v>
                </c:pt>
                <c:pt idx="4">
                  <c:v>0.13</c:v>
                </c:pt>
                <c:pt idx="5">
                  <c:v>0.17</c:v>
                </c:pt>
                <c:pt idx="6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0-431B-BA09-EA3A8342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1.04mm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11482939632544"/>
                  <c:y val="-4.37623868445015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[4]Sheet1!$B$3:$B$9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[4]Sheet1!$A$3:$A$9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1.9999999999999574E-2</c:v>
                </c:pt>
                <c:pt idx="2">
                  <c:v>0.05</c:v>
                </c:pt>
                <c:pt idx="3">
                  <c:v>0.09</c:v>
                </c:pt>
                <c:pt idx="4">
                  <c:v>0.13</c:v>
                </c:pt>
                <c:pt idx="5">
                  <c:v>0.17</c:v>
                </c:pt>
                <c:pt idx="6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4-42AF-8365-F38F09A2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1.30mm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90043208664955"/>
                  <c:y val="3.34553004217890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0.0436x - 0.0093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0.9939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[5]Sheet1!$B$3:$B$9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[5]Sheet1!$A$3:$A$9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1.9999999999999574E-2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2-4B1E-8575-448F43F2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latin typeface="Arial Black" panose="020B0A04020102020204" pitchFamily="34" charset="0"/>
              </a:rPr>
              <a:t>Force Resistance Calibration</a:t>
            </a:r>
            <a:endParaRPr lang="en-US" sz="1800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6282526222022"/>
          <c:y val="0.19102920373545201"/>
          <c:w val="0.74422799512265692"/>
          <c:h val="0.66990573624852712"/>
        </c:manualLayout>
      </c:layout>
      <c:scatterChart>
        <c:scatterStyle val="lineMarker"/>
        <c:varyColors val="0"/>
        <c:ser>
          <c:idx val="1"/>
          <c:order val="1"/>
          <c:tx>
            <c:v>Avg's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022506441829562E-2"/>
                  <c:y val="7.266638913474510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Arial Black" panose="020B0A04020102020204" pitchFamily="34" charset="0"/>
                      </a:rPr>
                      <a:t>y = 0.0007x + 12.402</a:t>
                    </a:r>
                    <a:br>
                      <a:rPr lang="en-US" sz="1400" baseline="0">
                        <a:latin typeface="Arial Black" panose="020B0A04020102020204" pitchFamily="34" charset="0"/>
                      </a:rPr>
                    </a:br>
                    <a:r>
                      <a:rPr lang="en-US" sz="1400" baseline="0">
                        <a:latin typeface="Arial Black" panose="020B0A04020102020204" pitchFamily="34" charset="0"/>
                      </a:rPr>
                      <a:t>R² = 0.896</a:t>
                    </a:r>
                    <a:endParaRPr lang="en-US" sz="1400">
                      <a:latin typeface="Arial Black" panose="020B0A040201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Tunability'!$AB$4:$AB$8</c:f>
              <c:numCache>
                <c:formatCode>General</c:formatCode>
                <c:ptCount val="5"/>
                <c:pt idx="0">
                  <c:v>0</c:v>
                </c:pt>
                <c:pt idx="1">
                  <c:v>49.05</c:v>
                </c:pt>
                <c:pt idx="2">
                  <c:v>96.873750000000001</c:v>
                </c:pt>
                <c:pt idx="3">
                  <c:v>145.18800000000002</c:v>
                </c:pt>
                <c:pt idx="4">
                  <c:v>192.27600000000001</c:v>
                </c:pt>
              </c:numCache>
            </c:numRef>
          </c:xVal>
          <c:yVal>
            <c:numRef>
              <c:f>'Paper Tunability'!$Y$4:$Y$8</c:f>
              <c:numCache>
                <c:formatCode>General</c:formatCode>
                <c:ptCount val="5"/>
                <c:pt idx="0">
                  <c:v>12.38</c:v>
                </c:pt>
                <c:pt idx="1">
                  <c:v>12.455</c:v>
                </c:pt>
                <c:pt idx="2">
                  <c:v>12.49</c:v>
                </c:pt>
                <c:pt idx="3">
                  <c:v>12.515000000000001</c:v>
                </c:pt>
                <c:pt idx="4">
                  <c:v>12.524999999999999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D1-435F-A876-20A8DEE1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34016"/>
        <c:axId val="1452685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Series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15485957113628696"/>
                        <c:y val="9.4012511368684361E-3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050" b="1" baseline="0">
                              <a:latin typeface="Arial Black" panose="020B0A04020102020204" pitchFamily="34" charset="0"/>
                            </a:rPr>
                            <a:t>R(</a:t>
                          </a:r>
                          <a:r>
                            <a:rPr lang="el-GR" sz="1050" b="1" i="0" u="none" strike="noStrike" baseline="0">
                              <a:effectLst/>
                              <a:latin typeface="Arial Black" panose="020B0A04020102020204" pitchFamily="34" charset="0"/>
                            </a:rPr>
                            <a:t>μ</a:t>
                          </a:r>
                          <a:r>
                            <a:rPr lang="en-US" sz="1050" b="1" i="0" u="none" strike="noStrike" baseline="0">
                              <a:effectLst/>
                              <a:latin typeface="Arial Black" panose="020B0A04020102020204" pitchFamily="34" charset="0"/>
                            </a:rPr>
                            <a:t>N)</a:t>
                          </a:r>
                          <a:r>
                            <a:rPr lang="en-US" sz="1050" b="1" baseline="0">
                              <a:latin typeface="Arial Black" panose="020B0A04020102020204" pitchFamily="34" charset="0"/>
                            </a:rPr>
                            <a:t> = 0.0007x + 0.0572</a:t>
                          </a:r>
                          <a:endParaRPr lang="en-US" sz="1050" b="1">
                            <a:latin typeface="Arial Black" panose="020B0A04020102020204" pitchFamily="34" charset="0"/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[6]Sheet1!$D$3:$D$12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49.834800000000001</c:v>
                      </c:pt>
                      <c:pt idx="2">
                        <c:v>97.315200000000004</c:v>
                      </c:pt>
                      <c:pt idx="3">
                        <c:v>145.5804</c:v>
                      </c:pt>
                      <c:pt idx="4">
                        <c:v>193.25700000000001</c:v>
                      </c:pt>
                      <c:pt idx="5">
                        <c:v>191.29500000000002</c:v>
                      </c:pt>
                      <c:pt idx="6">
                        <c:v>144.79560000000001</c:v>
                      </c:pt>
                      <c:pt idx="7">
                        <c:v>96.432300000000012</c:v>
                      </c:pt>
                      <c:pt idx="8">
                        <c:v>49.050000000000004</c:v>
                      </c:pt>
                      <c:pt idx="9">
                        <c:v>1.1772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[6]Sheet1!$B$3:$B$12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0.13000000000000078</c:v>
                      </c:pt>
                      <c:pt idx="2">
                        <c:v>0.12000000000000099</c:v>
                      </c:pt>
                      <c:pt idx="3">
                        <c:v>0.14000000000000057</c:v>
                      </c:pt>
                      <c:pt idx="4">
                        <c:v>0.15000000000000036</c:v>
                      </c:pt>
                      <c:pt idx="5">
                        <c:v>0.17999999999999972</c:v>
                      </c:pt>
                      <c:pt idx="6">
                        <c:v>0.16999999999999993</c:v>
                      </c:pt>
                      <c:pt idx="7">
                        <c:v>0.15000000000000036</c:v>
                      </c:pt>
                      <c:pt idx="8">
                        <c:v>0.13000000000000078</c:v>
                      </c:pt>
                      <c:pt idx="9">
                        <c:v>4.0000000000000924E-2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82A-498D-A773-AE840619E64A}"/>
                  </c:ext>
                </c:extLst>
              </c15:ser>
            </c15:filteredScatterSeries>
          </c:ext>
        </c:extLst>
      </c:scatterChart>
      <c:valAx>
        <c:axId val="13446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atin typeface="Arial Black" panose="020B0A04020102020204" pitchFamily="34" charset="0"/>
                  </a:rPr>
                  <a:t>Force</a:t>
                </a:r>
                <a:r>
                  <a:rPr lang="en-US" sz="1800" b="1" baseline="0">
                    <a:latin typeface="Arial Black" panose="020B0A04020102020204" pitchFamily="34" charset="0"/>
                  </a:rPr>
                  <a:t> (</a:t>
                </a:r>
                <a:r>
                  <a:rPr lang="el-GR" sz="1800" b="1" baseline="0">
                    <a:latin typeface="Arial Black" panose="020B0A04020102020204" pitchFamily="34" charset="0"/>
                  </a:rPr>
                  <a:t>μ</a:t>
                </a:r>
                <a:r>
                  <a:rPr lang="en-US" sz="1800" b="1" baseline="0">
                    <a:latin typeface="Arial Black" panose="020B0A04020102020204" pitchFamily="34" charset="0"/>
                  </a:rPr>
                  <a:t>N)</a:t>
                </a:r>
                <a:endParaRPr lang="en-US" sz="1800" b="1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85840"/>
        <c:crosses val="autoZero"/>
        <c:crossBetween val="midCat"/>
      </c:valAx>
      <c:valAx>
        <c:axId val="14526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Resistance</a:t>
                </a:r>
                <a:r>
                  <a:rPr lang="en-US" sz="1600" b="1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 (20k</a:t>
                </a:r>
                <a:r>
                  <a:rPr lang="el-GR" sz="1600" b="1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Ω</a:t>
                </a:r>
                <a:r>
                  <a:rPr lang="en-US" sz="1600" b="1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)</a:t>
                </a:r>
                <a:endParaRPr lang="en-US" sz="1600" b="1">
                  <a:solidFill>
                    <a:sysClr val="windowText" lastClr="000000"/>
                  </a:solidFill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  <a:latin typeface="Arial Black" panose="020B0A04020102020204" pitchFamily="34" charset="0"/>
              </a:rPr>
              <a:t>Force Resistance Calibration</a:t>
            </a:r>
            <a:endParaRPr lang="en-US" sz="1800">
              <a:solidFill>
                <a:schemeClr val="tx1"/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13780107517743828"/>
          <c:y val="7.92766721525707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58800128373431"/>
          <c:y val="0.16174815078170587"/>
          <c:w val="0.68835950958151659"/>
          <c:h val="0.673681156507943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98724663994554"/>
                  <c:y val="1.30140140172872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Arial Black" panose="020B0A04020102020204" pitchFamily="34" charset="0"/>
                      </a:rPr>
                      <a:t>R = 0.0001x + 9.7111</a:t>
                    </a:r>
                    <a:endParaRPr lang="en-US" sz="1200">
                      <a:solidFill>
                        <a:schemeClr val="tx1"/>
                      </a:solidFill>
                      <a:latin typeface="Arial Black" panose="020B0A040201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[7]Sheet1!$C$2:$C$13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108.72423000000001</c:v>
                </c:pt>
                <c:pt idx="2">
                  <c:v>149.60250000000002</c:v>
                </c:pt>
                <c:pt idx="3">
                  <c:v>248.87970000000001</c:v>
                </c:pt>
                <c:pt idx="4">
                  <c:v>357.60393000000005</c:v>
                </c:pt>
                <c:pt idx="5">
                  <c:v>444.88350000000003</c:v>
                </c:pt>
                <c:pt idx="6">
                  <c:v>556.71749999999997</c:v>
                </c:pt>
                <c:pt idx="7">
                  <c:v>725.94</c:v>
                </c:pt>
                <c:pt idx="8">
                  <c:v>855.92250000000001</c:v>
                </c:pt>
                <c:pt idx="9">
                  <c:v>1005.5250000000001</c:v>
                </c:pt>
                <c:pt idx="10">
                  <c:v>1226.25</c:v>
                </c:pt>
                <c:pt idx="11">
                  <c:v>1500.93</c:v>
                </c:pt>
              </c:numCache>
            </c:numRef>
          </c:xVal>
          <c:yVal>
            <c:numRef>
              <c:f>[7]Sheet1!$B$2:$B$13</c:f>
              <c:numCache>
                <c:formatCode>General</c:formatCode>
                <c:ptCount val="12"/>
                <c:pt idx="0">
                  <c:v>9.6999999999999993</c:v>
                </c:pt>
                <c:pt idx="1">
                  <c:v>9.7200000000000006</c:v>
                </c:pt>
                <c:pt idx="2">
                  <c:v>9.73</c:v>
                </c:pt>
                <c:pt idx="3">
                  <c:v>9.74</c:v>
                </c:pt>
                <c:pt idx="4">
                  <c:v>9.75</c:v>
                </c:pt>
                <c:pt idx="5">
                  <c:v>9.7799999999999994</c:v>
                </c:pt>
                <c:pt idx="6">
                  <c:v>9.8000000000000007</c:v>
                </c:pt>
                <c:pt idx="7">
                  <c:v>9.82</c:v>
                </c:pt>
                <c:pt idx="8">
                  <c:v>9.83</c:v>
                </c:pt>
                <c:pt idx="9">
                  <c:v>9.84</c:v>
                </c:pt>
                <c:pt idx="10">
                  <c:v>9.86</c:v>
                </c:pt>
                <c:pt idx="11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2C-4874-9144-41BC652C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34016"/>
        <c:axId val="1452685840"/>
      </c:scatterChart>
      <c:valAx>
        <c:axId val="13446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Force</a:t>
                </a:r>
                <a:r>
                  <a:rPr lang="en-US" sz="1800" b="1" baseline="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 (</a:t>
                </a:r>
                <a:r>
                  <a:rPr lang="el-GR" sz="1800" b="1" baseline="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μ</a:t>
                </a:r>
                <a:r>
                  <a:rPr lang="en-US" sz="1800" b="1" baseline="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N)</a:t>
                </a:r>
                <a:endParaRPr lang="en-US" sz="1800" b="1">
                  <a:solidFill>
                    <a:schemeClr val="tx1"/>
                  </a:solidFill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52353073444546"/>
              <c:y val="0.88648250100623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85840"/>
        <c:crosses val="autoZero"/>
        <c:crossBetween val="midCat"/>
      </c:valAx>
      <c:valAx>
        <c:axId val="14526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Resistance</a:t>
                </a:r>
                <a:r>
                  <a:rPr lang="en-US" sz="1800" b="1" baseline="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 (20k</a:t>
                </a:r>
                <a:r>
                  <a:rPr lang="el-GR" sz="1800" b="1" baseline="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Ω</a:t>
                </a:r>
                <a:r>
                  <a:rPr lang="en-US" sz="1800" b="1" baseline="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)</a:t>
                </a:r>
                <a:endParaRPr lang="en-US" sz="1800" b="1">
                  <a:solidFill>
                    <a:schemeClr val="tx1"/>
                  </a:solidFill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246612590254586E-2"/>
              <c:y val="0.16174800460394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57873177656265"/>
                  <c:y val="-2.36097339306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[8]Sheet1!$B$3:$B$9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0</c:v>
                </c:pt>
              </c:numCache>
            </c:numRef>
          </c:xVal>
          <c:yVal>
            <c:numRef>
              <c:f>[8]Sheet1!$A$3:$A$9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5-4A93-99A1-ECEB64E2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28302712160981"/>
                  <c:y val="-1.722756594201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[9]Sheet1!$B$3:$B$9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[9]Sheet1!$A$3:$A$9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9.9999999999997868E-3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C-40E8-AB8E-57333DF8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37182852143481"/>
                  <c:y val="3.33363941752178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[10]Sheet1!$B$3:$B$9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[10]Sheet1!$A$3:$A$9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8-4CBF-B6DD-7D6D2651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</a:rPr>
              <a:t>Sensitivity vs. Change in Thickness</a:t>
            </a:r>
            <a:endParaRPr lang="en-US" sz="1800">
              <a:solidFill>
                <a:sysClr val="windowText" lastClr="000000"/>
              </a:solidFill>
              <a:effectLst/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GR vs.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'Paper Tunability'!$N$2:$N$6</c:f>
              <c:numCache>
                <c:formatCode>General</c:formatCode>
                <c:ptCount val="5"/>
                <c:pt idx="0">
                  <c:v>0.26</c:v>
                </c:pt>
                <c:pt idx="1">
                  <c:v>0.52</c:v>
                </c:pt>
                <c:pt idx="2">
                  <c:v>0.78</c:v>
                </c:pt>
                <c:pt idx="3">
                  <c:v>1.04</c:v>
                </c:pt>
                <c:pt idx="4">
                  <c:v>1.3</c:v>
                </c:pt>
              </c:numCache>
            </c:numRef>
          </c:xVal>
          <c:yVal>
            <c:numRef>
              <c:f>'Paper Tunability'!$P$2:$P$6</c:f>
              <c:numCache>
                <c:formatCode>General</c:formatCode>
                <c:ptCount val="5"/>
                <c:pt idx="0">
                  <c:v>3.7073355448749193E-2</c:v>
                </c:pt>
                <c:pt idx="1">
                  <c:v>5.0855499638529728E-2</c:v>
                </c:pt>
                <c:pt idx="2">
                  <c:v>0.14718478573885221</c:v>
                </c:pt>
                <c:pt idx="3">
                  <c:v>0.20229162907686862</c:v>
                </c:pt>
                <c:pt idx="4">
                  <c:v>0.25754411798368693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8-4044-AAD7-7BACEE57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05936"/>
        <c:axId val="2036892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DR/DZ vs Length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27638219018948129"/>
                        <c:y val="-1.0772683377247471E-2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050" b="1" baseline="0">
                              <a:solidFill>
                                <a:sysClr val="windowText" lastClr="000000"/>
                              </a:solidFill>
                              <a:latin typeface="Arial Black" panose="020B0A04020102020204" pitchFamily="34" charset="0"/>
                            </a:rPr>
                            <a:t>y = 0.0413x - 0.01</a:t>
                          </a:r>
                          <a:br>
                            <a:rPr lang="en-US" sz="1050" b="1" baseline="0">
                              <a:solidFill>
                                <a:sysClr val="windowText" lastClr="000000"/>
                              </a:solidFill>
                              <a:latin typeface="Arial Black" panose="020B0A04020102020204" pitchFamily="34" charset="0"/>
                            </a:rPr>
                          </a:br>
                          <a:r>
                            <a:rPr lang="en-US" sz="1050" b="1" baseline="0">
                              <a:solidFill>
                                <a:sysClr val="windowText" lastClr="000000"/>
                              </a:solidFill>
                              <a:latin typeface="Arial Black" panose="020B0A04020102020204" pitchFamily="34" charset="0"/>
                            </a:rPr>
                            <a:t>R² = 0.9832</a:t>
                          </a:r>
                          <a:endParaRPr lang="en-US" sz="1050" b="1">
                            <a:solidFill>
                              <a:sysClr val="windowText" lastClr="000000"/>
                            </a:solidFill>
                            <a:latin typeface="Arial Black" panose="020B0A04020102020204" pitchFamily="34" charset="0"/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'Paper Tunability'!$N$2:$N$6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0.26</c:v>
                      </c:pt>
                      <c:pt idx="1">
                        <c:v>0.52</c:v>
                      </c:pt>
                      <c:pt idx="2">
                        <c:v>0.78</c:v>
                      </c:pt>
                      <c:pt idx="3">
                        <c:v>1.04</c:v>
                      </c:pt>
                      <c:pt idx="4">
                        <c:v>1.3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'Paper Tunability'!$O$2:$O$6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3.0000000000000001E-3</c:v>
                      </c:pt>
                      <c:pt idx="1">
                        <c:v>7.7999999999999996E-3</c:v>
                      </c:pt>
                      <c:pt idx="2">
                        <c:v>2.2599999999999999E-2</c:v>
                      </c:pt>
                      <c:pt idx="3">
                        <c:v>3.39E-2</c:v>
                      </c:pt>
                      <c:pt idx="4">
                        <c:v>4.36E-2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EF-459F-9CFB-7A690987B10B}"/>
                  </c:ext>
                </c:extLst>
              </c15:ser>
            </c15:filteredScatterSeries>
          </c:ext>
        </c:extLst>
      </c:scatterChart>
      <c:valAx>
        <c:axId val="19556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Cantilever Thickness (mm)</a:t>
                </a:r>
              </a:p>
            </c:rich>
          </c:tx>
          <c:layout>
            <c:manualLayout>
              <c:xMode val="edge"/>
              <c:yMode val="edge"/>
              <c:x val="0.20166817304065984"/>
              <c:y val="0.8703131082581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036892416"/>
        <c:crosses val="autoZero"/>
        <c:crossBetween val="midCat"/>
      </c:valAx>
      <c:valAx>
        <c:axId val="20368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Δ</a:t>
                </a:r>
                <a:r>
                  <a:rPr lang="en-US" sz="180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R/</a:t>
                </a:r>
                <a:r>
                  <a:rPr lang="el-GR" sz="180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Δ</a:t>
                </a:r>
                <a:r>
                  <a:rPr lang="en-US" sz="180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z (k</a:t>
                </a:r>
                <a:r>
                  <a:rPr lang="el-GR" sz="180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Ω</a:t>
                </a:r>
                <a:r>
                  <a:rPr lang="en-US" sz="1800">
                    <a:solidFill>
                      <a:sysClr val="windowText" lastClr="000000"/>
                    </a:solidFill>
                    <a:latin typeface="Arial Black" panose="020B0A04020102020204" pitchFamily="34" charset="0"/>
                  </a:rPr>
                  <a:t>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556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80511996912027"/>
                  <c:y val="-4.11991401056683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[11]Sheet1!$B$3:$B$9</c:f>
              <c:numCache>
                <c:formatCode>General</c:formatCode>
                <c:ptCount val="7"/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[11]Sheet1!$A$3:$A$9</c:f>
              <c:numCache>
                <c:formatCode>General</c:formatCode>
                <c:ptCount val="7"/>
                <c:pt idx="1">
                  <c:v>9.9999999999997868E-3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3-4009-84C6-8DD90356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68099449265574"/>
                  <c:y val="-7.1549365791472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[12]Sheet1!$B$3:$B$9</c:f>
              <c:numCache>
                <c:formatCode>General</c:formatCode>
                <c:ptCount val="7"/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[12]Sheet1!$A$3:$A$9</c:f>
              <c:numCache>
                <c:formatCode>General</c:formatCode>
                <c:ptCount val="7"/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E-4315-BF49-01440DC2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Tunability'!$A$47:$A$52</c:f>
              <c:numCache>
                <c:formatCode>General</c:formatCode>
                <c:ptCount val="6"/>
                <c:pt idx="0">
                  <c:v>0</c:v>
                </c:pt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</c:numCache>
            </c:numRef>
          </c:xVal>
          <c:yVal>
            <c:numRef>
              <c:f>'Paper Tunability'!$B$47:$B$52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8-413D-9812-BE573E33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64.15mm Cantilever</a:t>
            </a:r>
            <a:r>
              <a:rPr lang="en-US" baseline="0"/>
              <a:t> Sensor Deflection vs. DR</a:t>
            </a:r>
            <a:endParaRPr lang="en-US"/>
          </a:p>
        </c:rich>
      </c:tx>
      <c:layout>
        <c:manualLayout>
          <c:xMode val="edge"/>
          <c:yMode val="edge"/>
          <c:x val="0.11080689401206886"/>
          <c:y val="6.43035470163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1659063365521"/>
                  <c:y val="-1.07832101919758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Tunability'!$B$146:$B$151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'Paper Tunability'!$A$146:$A$151</c:f>
              <c:numCache>
                <c:formatCode>General</c:formatCode>
                <c:ptCount val="6"/>
                <c:pt idx="0">
                  <c:v>0</c:v>
                </c:pt>
                <c:pt idx="1">
                  <c:v>0.40000000000000568</c:v>
                </c:pt>
                <c:pt idx="2">
                  <c:v>0.59999999999999432</c:v>
                </c:pt>
                <c:pt idx="3">
                  <c:v>0.80000000000001137</c:v>
                </c:pt>
                <c:pt idx="4">
                  <c:v>0.69999999999998863</c:v>
                </c:pt>
                <c:pt idx="5">
                  <c:v>1.3000000000000114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1-4878-B38A-8F7C5392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Tunability'!$A$47:$A$52</c:f>
              <c:numCache>
                <c:formatCode>General</c:formatCode>
                <c:ptCount val="6"/>
                <c:pt idx="0">
                  <c:v>0</c:v>
                </c:pt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</c:numCache>
            </c:numRef>
          </c:xVal>
          <c:yVal>
            <c:numRef>
              <c:f>'Paper Tunability'!$B$47:$B$52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C-4578-9599-B3048424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54.15mm Cantilever</a:t>
            </a:r>
            <a:r>
              <a:rPr lang="en-US" baseline="0"/>
              <a:t> Sensor Deflection vs. DR</a:t>
            </a:r>
            <a:endParaRPr lang="en-US"/>
          </a:p>
        </c:rich>
      </c:tx>
      <c:layout>
        <c:manualLayout>
          <c:xMode val="edge"/>
          <c:yMode val="edge"/>
          <c:x val="0.11080689401206886"/>
          <c:y val="6.43035470163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1659063365521"/>
                  <c:y val="-1.07832101919758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Tunability'!$B$186:$B$191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'Paper Tunability'!$A$186:$A$191</c:f>
              <c:numCache>
                <c:formatCode>General</c:formatCode>
                <c:ptCount val="6"/>
                <c:pt idx="0">
                  <c:v>0</c:v>
                </c:pt>
                <c:pt idx="1">
                  <c:v>-0.19999999999998863</c:v>
                </c:pt>
                <c:pt idx="2">
                  <c:v>0.30000000000001137</c:v>
                </c:pt>
                <c:pt idx="3">
                  <c:v>0.69999999999998863</c:v>
                </c:pt>
                <c:pt idx="4">
                  <c:v>0.59999999999999432</c:v>
                </c:pt>
                <c:pt idx="5">
                  <c:v>3.8000000000000114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A-448B-A27A-46463C13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Tunability'!$A$47:$A$52</c:f>
              <c:numCache>
                <c:formatCode>General</c:formatCode>
                <c:ptCount val="6"/>
                <c:pt idx="0">
                  <c:v>0</c:v>
                </c:pt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</c:numCache>
            </c:numRef>
          </c:xVal>
          <c:yVal>
            <c:numRef>
              <c:f>'Paper Tunability'!$B$47:$B$52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B-45E0-8591-1C27A7D2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59.15mm Cantilever</a:t>
            </a:r>
            <a:r>
              <a:rPr lang="en-US" baseline="0"/>
              <a:t> Sensor Deflection vs. DR</a:t>
            </a:r>
            <a:endParaRPr lang="en-US"/>
          </a:p>
        </c:rich>
      </c:tx>
      <c:layout>
        <c:manualLayout>
          <c:xMode val="edge"/>
          <c:yMode val="edge"/>
          <c:x val="0.11080689401206886"/>
          <c:y val="6.43035470163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1659063365521"/>
                  <c:y val="-1.07832101919758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Tunability'!$B$166:$B$171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'Paper Tunability'!$A$166:$A$171</c:f>
              <c:numCache>
                <c:formatCode>General</c:formatCode>
                <c:ptCount val="6"/>
                <c:pt idx="0">
                  <c:v>0</c:v>
                </c:pt>
                <c:pt idx="1">
                  <c:v>0.19999999999998863</c:v>
                </c:pt>
                <c:pt idx="2">
                  <c:v>0.5</c:v>
                </c:pt>
                <c:pt idx="3">
                  <c:v>0.80000000000001137</c:v>
                </c:pt>
                <c:pt idx="4">
                  <c:v>1.3000000000000114</c:v>
                </c:pt>
                <c:pt idx="5">
                  <c:v>1.4000000000000057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C-41DA-B2E4-533DAD58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Tunability'!$A$47:$A$52</c:f>
              <c:numCache>
                <c:formatCode>General</c:formatCode>
                <c:ptCount val="6"/>
                <c:pt idx="0">
                  <c:v>0</c:v>
                </c:pt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</c:numCache>
            </c:numRef>
          </c:xVal>
          <c:yVal>
            <c:numRef>
              <c:f>'Paper Tunability'!$B$47:$B$52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1-47CA-BF42-C0795F08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49.15mm Cantilever</a:t>
            </a:r>
            <a:r>
              <a:rPr lang="en-US" baseline="0"/>
              <a:t> Sensor Deflection vs. DR</a:t>
            </a:r>
            <a:endParaRPr lang="en-US"/>
          </a:p>
        </c:rich>
      </c:tx>
      <c:layout>
        <c:manualLayout>
          <c:xMode val="edge"/>
          <c:yMode val="edge"/>
          <c:x val="0.11080689401206886"/>
          <c:y val="6.43035470163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1659063365521"/>
                  <c:y val="-1.07832101919758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Tunability'!$B$206:$B$211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'Paper Tunability'!$A$206:$A$211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0.30000000000001137</c:v>
                </c:pt>
                <c:pt idx="3">
                  <c:v>0.59999999999999432</c:v>
                </c:pt>
                <c:pt idx="4">
                  <c:v>1.2000000000000171</c:v>
                </c:pt>
                <c:pt idx="5">
                  <c:v>3.2000000000000171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D-4304-BC34-31A9AF35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44.15mm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'Paper Tunability'!$B$25:$B$26</c:f>
              <c:strCache>
                <c:ptCount val="2"/>
                <c:pt idx="0">
                  <c:v>Deflection (z-direction)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Tunability'!$A$27:$A$32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</c:numCache>
            </c:numRef>
          </c:xVal>
          <c:yVal>
            <c:numRef>
              <c:f>'Paper Tunability'!$B$27:$B$32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60-4879-9605-54109418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'Paper Tunability'!$AK$18:$AK$23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A45-8A03-42E8963245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'Paper Tunability'!$AL$18:$AL$23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A45-8A03-42E89632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3584"/>
        <c:axId val="213427744"/>
      </c:lineChart>
      <c:catAx>
        <c:axId val="213423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Arial Black" panose="020B0A04020102020204" pitchFamily="34" charset="0"/>
                  </a:rPr>
                  <a:t>Deflection</a:t>
                </a:r>
                <a:r>
                  <a:rPr lang="en-US" sz="1600" baseline="0">
                    <a:latin typeface="Arial Black" panose="020B0A04020102020204" pitchFamily="34" charset="0"/>
                  </a:rPr>
                  <a:t> (</a:t>
                </a:r>
                <a:r>
                  <a:rPr lang="el-GR" sz="1600" baseline="0">
                    <a:latin typeface="Arial Black" panose="020B0A04020102020204" pitchFamily="34" charset="0"/>
                  </a:rPr>
                  <a:t>Δ</a:t>
                </a:r>
                <a:r>
                  <a:rPr lang="en-US" sz="1600" baseline="0">
                    <a:latin typeface="Arial Black" panose="020B0A04020102020204" pitchFamily="34" charset="0"/>
                  </a:rPr>
                  <a:t>Z</a:t>
                </a:r>
                <a:r>
                  <a:rPr lang="en-US" sz="1100" baseline="0"/>
                  <a:t>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213427744"/>
        <c:crosses val="autoZero"/>
        <c:auto val="1"/>
        <c:lblAlgn val="ctr"/>
        <c:lblOffset val="100"/>
        <c:noMultiLvlLbl val="0"/>
      </c:catAx>
      <c:valAx>
        <c:axId val="2134277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0" i="0" baseline="0">
                    <a:effectLst/>
                    <a:latin typeface="Arial Black" panose="020B0A04020102020204" pitchFamily="34" charset="0"/>
                  </a:rPr>
                  <a:t>Δ</a:t>
                </a:r>
                <a:r>
                  <a:rPr lang="en-US" sz="1600" b="0" i="0" baseline="0">
                    <a:effectLst/>
                    <a:latin typeface="Arial Black" panose="020B0A04020102020204" pitchFamily="34" charset="0"/>
                  </a:rPr>
                  <a:t> </a:t>
                </a:r>
                <a:r>
                  <a:rPr lang="en-US" sz="1600">
                    <a:latin typeface="Arial Black" panose="020B0A04020102020204" pitchFamily="34" charset="0"/>
                  </a:rPr>
                  <a:t>Resistance </a:t>
                </a:r>
                <a:r>
                  <a:rPr lang="en-US" sz="1600" b="0" i="0" u="none" strike="noStrike" baseline="0">
                    <a:effectLst/>
                    <a:latin typeface="Arial Black" panose="020B0A04020102020204" pitchFamily="34" charset="0"/>
                  </a:rPr>
                  <a:t>(</a:t>
                </a:r>
                <a:r>
                  <a:rPr lang="el-GR" sz="1600" b="0" i="0" u="none" strike="noStrike" baseline="0">
                    <a:effectLst/>
                    <a:latin typeface="Arial Black" panose="020B0A04020102020204" pitchFamily="34" charset="0"/>
                  </a:rPr>
                  <a:t>Δ</a:t>
                </a:r>
                <a:r>
                  <a:rPr lang="en-US" sz="1600" b="0" i="0" u="none" strike="noStrike" baseline="0">
                    <a:effectLst/>
                    <a:latin typeface="Arial Black" panose="020B0A04020102020204" pitchFamily="34" charset="0"/>
                  </a:rPr>
                  <a:t>R)</a:t>
                </a:r>
                <a:endParaRPr lang="en-US" sz="1600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34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Arial Black" panose="020B0A04020102020204" pitchFamily="34" charset="0"/>
              </a:rPr>
              <a:t>Sensitivity vs. Change in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DR/DZ vs.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'Resistor Tunability'!$B$3:$B$7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'Resistor Tunability'!$C$3:$C$7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3.8379999999999997E-2</c:v>
                </c:pt>
                <c:pt idx="2">
                  <c:v>1.1900000000000001E-2</c:v>
                </c:pt>
                <c:pt idx="3">
                  <c:v>2.29E-2</c:v>
                </c:pt>
                <c:pt idx="4">
                  <c:v>0.11890000000000001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A-4F27-8574-A6400CA8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05936"/>
        <c:axId val="20368924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 vs. Length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'Resistor Tunability'!$B$3:$B$7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'Resistor Tunability'!$D$3:$D$7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5.451701725425849E-2</c:v>
                      </c:pt>
                      <c:pt idx="1">
                        <c:v>3.6194445795514028E-2</c:v>
                      </c:pt>
                      <c:pt idx="2">
                        <c:v>6.7788247749753172E-2</c:v>
                      </c:pt>
                      <c:pt idx="3">
                        <c:v>5.0440470600151041E-2</c:v>
                      </c:pt>
                      <c:pt idx="4">
                        <c:v>0.12479948693650353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088-438A-BFE7-C42B5A3C1FA1}"/>
                  </c:ext>
                </c:extLst>
              </c15:ser>
            </c15:filteredScatterSeries>
          </c:ext>
        </c:extLst>
      </c:scatterChart>
      <c:valAx>
        <c:axId val="19556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Resistor Length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036892416"/>
        <c:crosses val="autoZero"/>
        <c:crossBetween val="midCat"/>
      </c:valAx>
      <c:valAx>
        <c:axId val="20368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Sensitivity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81657844261905E-2"/>
              <c:y val="0.213036720820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55605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8mm Resistor Length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Tunability'!$B$25:$B$26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Tunability'!$A$27:$A$32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Tunability'!$B$27:$B$32</c:f>
              <c:numCache>
                <c:formatCode>General</c:formatCode>
                <c:ptCount val="6"/>
                <c:pt idx="0">
                  <c:v>0</c:v>
                </c:pt>
                <c:pt idx="1">
                  <c:v>0.10000000000000142</c:v>
                </c:pt>
                <c:pt idx="2">
                  <c:v>0.10000000000000142</c:v>
                </c:pt>
                <c:pt idx="3">
                  <c:v>0.30000000000000071</c:v>
                </c:pt>
                <c:pt idx="4">
                  <c:v>0.5</c:v>
                </c:pt>
                <c:pt idx="5">
                  <c:v>0.69999999999999929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B-456F-90FA-9CA6C7E6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12mm Resistor Length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Tunability'!$B$54:$B$55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Tunability'!$A$56:$A$61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Tunability'!$B$56:$B$61</c:f>
              <c:numCache>
                <c:formatCode>General</c:formatCode>
                <c:ptCount val="6"/>
                <c:pt idx="0">
                  <c:v>0</c:v>
                </c:pt>
                <c:pt idx="1">
                  <c:v>0.20000000000000284</c:v>
                </c:pt>
                <c:pt idx="2">
                  <c:v>0.29999999999999716</c:v>
                </c:pt>
                <c:pt idx="3">
                  <c:v>0.5</c:v>
                </c:pt>
                <c:pt idx="4">
                  <c:v>0.70000000000000284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8E-417A-BE41-EB05A91A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13mm Resistor Length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Tunability'!$B$92:$B$93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Tunability'!$A$94:$A$99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Tunability'!$B$94:$B$99</c:f>
              <c:numCache>
                <c:formatCode>General</c:formatCode>
                <c:ptCount val="6"/>
                <c:pt idx="0">
                  <c:v>0</c:v>
                </c:pt>
                <c:pt idx="1">
                  <c:v>3.9999999999999147E-2</c:v>
                </c:pt>
                <c:pt idx="2">
                  <c:v>8.9999999999999858E-2</c:v>
                </c:pt>
                <c:pt idx="3">
                  <c:v>0.16999999999999993</c:v>
                </c:pt>
                <c:pt idx="4">
                  <c:v>0.20999999999999908</c:v>
                </c:pt>
                <c:pt idx="5">
                  <c:v>0.29999999999999893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14-44AA-BD1F-BA6DBE71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14mm Resistor Length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Tunability'!$B$121:$B$122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Tunability'!$A$123:$A$128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Tunability'!$B$123:$B$128</c:f>
              <c:numCache>
                <c:formatCode>General</c:formatCode>
                <c:ptCount val="6"/>
                <c:pt idx="0">
                  <c:v>0</c:v>
                </c:pt>
                <c:pt idx="1">
                  <c:v>9.9999999999997868E-2</c:v>
                </c:pt>
                <c:pt idx="2">
                  <c:v>0.19999999999999929</c:v>
                </c:pt>
                <c:pt idx="3">
                  <c:v>0.29999999999999716</c:v>
                </c:pt>
                <c:pt idx="4">
                  <c:v>0.39999999999999858</c:v>
                </c:pt>
                <c:pt idx="5">
                  <c:v>0.59999999999999787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5-4740-900C-9A6C7114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16mm Resistor Length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Tunability'!$B$150:$B$151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Tunability'!$A$152:$A$157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Tunability'!$B$152:$B$157</c:f>
              <c:numCache>
                <c:formatCode>General</c:formatCode>
                <c:ptCount val="6"/>
                <c:pt idx="0">
                  <c:v>0</c:v>
                </c:pt>
                <c:pt idx="1">
                  <c:v>0.20000000000000284</c:v>
                </c:pt>
                <c:pt idx="2">
                  <c:v>0.89999999999999858</c:v>
                </c:pt>
                <c:pt idx="3">
                  <c:v>1.7000000000000028</c:v>
                </c:pt>
                <c:pt idx="4">
                  <c:v>2.2000000000000028</c:v>
                </c:pt>
                <c:pt idx="5">
                  <c:v>2.7999999999999972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D-40CB-B014-3A1B12E1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0mm Resistor Location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Tunability'!$O$25:$O$26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Tunability'!$N$27:$N$32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Tunability'!$O$27:$O$32</c:f>
              <c:numCache>
                <c:formatCode>General</c:formatCode>
                <c:ptCount val="6"/>
                <c:pt idx="0">
                  <c:v>0</c:v>
                </c:pt>
                <c:pt idx="1">
                  <c:v>0.10000000000000142</c:v>
                </c:pt>
                <c:pt idx="2">
                  <c:v>0.30000000000000071</c:v>
                </c:pt>
                <c:pt idx="3">
                  <c:v>0.40000000000000213</c:v>
                </c:pt>
                <c:pt idx="4">
                  <c:v>0.5</c:v>
                </c:pt>
                <c:pt idx="5">
                  <c:v>0.70000000000000284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6-4258-81B2-E54E13C4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5mm Resistor Location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Tunability'!$O$54:$O$55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Tunability'!$N$56:$N$61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Tunability'!$O$56:$O$61</c:f>
              <c:numCache>
                <c:formatCode>General</c:formatCode>
                <c:ptCount val="6"/>
                <c:pt idx="0">
                  <c:v>0</c:v>
                </c:pt>
                <c:pt idx="1">
                  <c:v>9.9999999999997868E-2</c:v>
                </c:pt>
                <c:pt idx="2">
                  <c:v>9.9999999999997868E-2</c:v>
                </c:pt>
                <c:pt idx="3">
                  <c:v>0.19999999999999929</c:v>
                </c:pt>
                <c:pt idx="4">
                  <c:v>0.29999999999999716</c:v>
                </c:pt>
                <c:pt idx="5">
                  <c:v>0.39999999999999858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F-4947-B20A-CC7375E3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 Resistor Location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Tunability'!$O$92:$O$93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Tunability'!$N$94:$N$99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Tunability'!$O$94:$O$99</c:f>
              <c:numCache>
                <c:formatCode>General</c:formatCode>
                <c:ptCount val="6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0.20000000000000107</c:v>
                </c:pt>
                <c:pt idx="4">
                  <c:v>0.29999999999999893</c:v>
                </c:pt>
                <c:pt idx="5">
                  <c:v>0.40000000000000036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AD-4AC4-92A6-5FFEB0F5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Tunability'!$A$47:$A$52</c:f>
              <c:numCache>
                <c:formatCode>General</c:formatCode>
                <c:ptCount val="6"/>
                <c:pt idx="0">
                  <c:v>0</c:v>
                </c:pt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</c:numCache>
            </c:numRef>
          </c:xVal>
          <c:yVal>
            <c:numRef>
              <c:f>'Paper Tunability'!$B$47:$B$52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7F-44B9-96D9-CE070558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15mm Resistor Location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Tunability'!$O$121:$O$122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Tunability'!$N$123:$N$128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Tunability'!$O$123:$O$128</c:f>
              <c:numCache>
                <c:formatCode>General</c:formatCode>
                <c:ptCount val="6"/>
                <c:pt idx="0">
                  <c:v>0</c:v>
                </c:pt>
                <c:pt idx="1">
                  <c:v>0.79999999999999716</c:v>
                </c:pt>
                <c:pt idx="2">
                  <c:v>1.6999999999999957</c:v>
                </c:pt>
                <c:pt idx="3">
                  <c:v>2.2999999999999972</c:v>
                </c:pt>
                <c:pt idx="4">
                  <c:v>2.6999999999999957</c:v>
                </c:pt>
                <c:pt idx="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10-40EB-BB84-AA5AF214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 Resistor Location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Tunability'!$O$150:$O$151</c:f>
              <c:strCache>
                <c:ptCount val="2"/>
                <c:pt idx="0">
                  <c:v>Change in Resistance (DR)</c:v>
                </c:pt>
                <c:pt idx="1">
                  <c:v>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'Resistor Tunability'!$N$152:$N$157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'Resistor Tunability'!$O$152:$O$157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0.19999999999999929</c:v>
                </c:pt>
                <c:pt idx="3">
                  <c:v>0.39999999999999858</c:v>
                </c:pt>
                <c:pt idx="4">
                  <c:v>0.59999999999999787</c:v>
                </c:pt>
                <c:pt idx="5">
                  <c:v>0.79999999999999716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E-4AC3-A3A8-DDC2B6B5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8"/>
        <c:axId val="335354792"/>
      </c:scatterChart>
      <c:valAx>
        <c:axId val="4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4792"/>
        <c:crosses val="autoZero"/>
        <c:crossBetween val="midCat"/>
      </c:valAx>
      <c:valAx>
        <c:axId val="3353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Arial Black" panose="020B0A04020102020204" pitchFamily="34" charset="0"/>
              </a:rPr>
              <a:t>Sensitivity vs. Resistor</a:t>
            </a:r>
            <a:r>
              <a:rPr lang="en-US" sz="1800" baseline="0">
                <a:solidFill>
                  <a:schemeClr val="tx1"/>
                </a:solidFill>
                <a:latin typeface="Arial Black" panose="020B0A04020102020204" pitchFamily="34" charset="0"/>
              </a:rPr>
              <a:t> Location</a:t>
            </a:r>
            <a:endParaRPr lang="en-US" sz="1800">
              <a:solidFill>
                <a:schemeClr val="tx1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DR/DZ vs. Location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'Resistor Tunability'!$M$3:$M$7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'Resistor Tunability'!$N$3:$N$7</c:f>
              <c:numCache>
                <c:formatCode>General</c:formatCode>
                <c:ptCount val="5"/>
                <c:pt idx="0">
                  <c:v>2.7400000000000001E-2</c:v>
                </c:pt>
                <c:pt idx="1">
                  <c:v>1.54E-2</c:v>
                </c:pt>
                <c:pt idx="2">
                  <c:v>1.49E-2</c:v>
                </c:pt>
                <c:pt idx="3">
                  <c:v>0.13600000000000001</c:v>
                </c:pt>
                <c:pt idx="4">
                  <c:v>3.4299999999999997E-2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DB8-9F37-B2C45D9E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05936"/>
        <c:axId val="20368924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 vs. Location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'Resistor Tunability'!$M$3:$M$7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'Resistor Tunability'!$P$3:$P$7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8.08692327556777E-2</c:v>
                      </c:pt>
                      <c:pt idx="1">
                        <c:v>5.0832089160711087E-2</c:v>
                      </c:pt>
                      <c:pt idx="2">
                        <c:v>5.6150712554885497E-2</c:v>
                      </c:pt>
                      <c:pt idx="3">
                        <c:v>0.19393285201124508</c:v>
                      </c:pt>
                      <c:pt idx="4">
                        <c:v>5.3142638668016391E-2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035-4494-8F52-95496C64B27C}"/>
                  </c:ext>
                </c:extLst>
              </c15:ser>
            </c15:filteredScatterSeries>
          </c:ext>
        </c:extLst>
      </c:scatterChart>
      <c:valAx>
        <c:axId val="19556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Location along Beam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036892416"/>
        <c:crosses val="autoZero"/>
        <c:crossBetween val="midCat"/>
      </c:valAx>
      <c:valAx>
        <c:axId val="20368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Sensitivity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81657844261905E-2"/>
              <c:y val="0.213036720820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55605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Tunability'!$A$67:$A$74</c:f>
              <c:numCache>
                <c:formatCode>General</c:formatCode>
                <c:ptCount val="8"/>
                <c:pt idx="0">
                  <c:v>0</c:v>
                </c:pt>
                <c:pt idx="1">
                  <c:v>9.9999999999997868E-3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</c:numCache>
            </c:numRef>
          </c:xVal>
          <c:yVal>
            <c:numRef>
              <c:f>'Paper Tunability'!$B$67:$B$74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56-4967-908B-F47E1433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'Paper Tunability'!$A$87:$A$94</c:f>
              <c:numCache>
                <c:formatCode>General</c:formatCode>
                <c:ptCount val="8"/>
                <c:pt idx="0">
                  <c:v>0</c:v>
                </c:pt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</c:numCache>
            </c:numRef>
          </c:xVal>
          <c:yVal>
            <c:numRef>
              <c:f>'Paper Tunability'!$B$87:$B$94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9D-4CA4-8D02-0A19DBCA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'Paper Tunability'!$B$105:$B$106</c:f>
              <c:strCache>
                <c:ptCount val="2"/>
                <c:pt idx="0">
                  <c:v>Deflection (z-direction)</c:v>
                </c:pt>
                <c:pt idx="1">
                  <c:v>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Tunability'!$A$107:$A$114</c:f>
              <c:numCache>
                <c:formatCode>General</c:formatCode>
                <c:ptCount val="8"/>
                <c:pt idx="0">
                  <c:v>0</c:v>
                </c:pt>
                <c:pt idx="1">
                  <c:v>9.9999999999997868E-3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</c:numCache>
            </c:numRef>
          </c:xVal>
          <c:yVal>
            <c:numRef>
              <c:f>'Paper Tunability'!$B$107:$B$114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E-4931-B6C4-635FCD9A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19.15mm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'Paper Tunability'!$B$125:$B$126</c:f>
              <c:strCache>
                <c:ptCount val="2"/>
                <c:pt idx="0">
                  <c:v>Deflection (z-direction)</c:v>
                </c:pt>
                <c:pt idx="1">
                  <c:v>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'Paper Tunability'!$A$127:$A$134</c:f>
              <c:numCache>
                <c:formatCode>General</c:formatCode>
                <c:ptCount val="8"/>
                <c:pt idx="0">
                  <c:v>0</c:v>
                </c:pt>
                <c:pt idx="1">
                  <c:v>1.0000000000000231E-2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'Paper Tunability'!$B$127:$B$134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09-4256-BC14-5F63EA28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.26mm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45331777858256"/>
                  <c:y val="-4.80703835749293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0.0078x - 6E-05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0.9542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</c:numCache>
            </c:numRef>
          </c:xVal>
          <c:yVal>
            <c:numRef>
              <c:f>[1]Sheet1!$A$3:$A$9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9.9999999999997868E-3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0-48EB-99EE-15ED1D9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63213</xdr:colOff>
      <xdr:row>1</xdr:row>
      <xdr:rowOff>125393</xdr:rowOff>
    </xdr:from>
    <xdr:to>
      <xdr:col>11</xdr:col>
      <xdr:colOff>550142</xdr:colOff>
      <xdr:row>20</xdr:row>
      <xdr:rowOff>19292</xdr:rowOff>
    </xdr:to>
    <xdr:graphicFrame macro="">
      <xdr:nvGraphicFramePr>
        <xdr:cNvPr id="2" name="Chart 1" descr="Change in ">
          <a:extLst>
            <a:ext uri="{FF2B5EF4-FFF2-40B4-BE49-F238E27FC236}">
              <a16:creationId xmlns:a16="http://schemas.microsoft.com/office/drawing/2014/main" id="{9C229C56-BBA7-4E69-BB79-FBC274B90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60032</xdr:colOff>
      <xdr:row>1</xdr:row>
      <xdr:rowOff>56871</xdr:rowOff>
    </xdr:from>
    <xdr:to>
      <xdr:col>23</xdr:col>
      <xdr:colOff>121643</xdr:colOff>
      <xdr:row>20</xdr:row>
      <xdr:rowOff>172619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FA418-0A2F-471C-84C5-F165DFFDD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38342</xdr:colOff>
      <xdr:row>28</xdr:row>
      <xdr:rowOff>12841</xdr:rowOff>
    </xdr:from>
    <xdr:to>
      <xdr:col>10</xdr:col>
      <xdr:colOff>9646</xdr:colOff>
      <xdr:row>42</xdr:row>
      <xdr:rowOff>70231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B4CDC-EB43-499C-9484-45089388A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597785</xdr:colOff>
      <xdr:row>48</xdr:row>
      <xdr:rowOff>22486</xdr:rowOff>
    </xdr:from>
    <xdr:to>
      <xdr:col>9</xdr:col>
      <xdr:colOff>598026</xdr:colOff>
      <xdr:row>62</xdr:row>
      <xdr:rowOff>79878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571144-A73B-4506-B84E-E366D122A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588138</xdr:colOff>
      <xdr:row>68</xdr:row>
      <xdr:rowOff>12840</xdr:rowOff>
    </xdr:from>
    <xdr:to>
      <xdr:col>9</xdr:col>
      <xdr:colOff>559442</xdr:colOff>
      <xdr:row>82</xdr:row>
      <xdr:rowOff>70231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94C2A-00C2-410A-A36F-00EACA0BD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9405</xdr:colOff>
      <xdr:row>88</xdr:row>
      <xdr:rowOff>12841</xdr:rowOff>
    </xdr:from>
    <xdr:to>
      <xdr:col>9</xdr:col>
      <xdr:colOff>598026</xdr:colOff>
      <xdr:row>102</xdr:row>
      <xdr:rowOff>70232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EF8D52-E925-43A8-B5C0-A833CB86E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9405</xdr:colOff>
      <xdr:row>108</xdr:row>
      <xdr:rowOff>22486</xdr:rowOff>
    </xdr:from>
    <xdr:to>
      <xdr:col>9</xdr:col>
      <xdr:colOff>598026</xdr:colOff>
      <xdr:row>122</xdr:row>
      <xdr:rowOff>79878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E4ADFF-1694-4CC3-B5E1-8F7399AFE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9405</xdr:colOff>
      <xdr:row>127</xdr:row>
      <xdr:rowOff>176815</xdr:rowOff>
    </xdr:from>
    <xdr:to>
      <xdr:col>9</xdr:col>
      <xdr:colOff>598026</xdr:colOff>
      <xdr:row>142</xdr:row>
      <xdr:rowOff>50939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DB77BB-224A-45B3-B979-F19F527AF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607429</xdr:colOff>
      <xdr:row>28</xdr:row>
      <xdr:rowOff>12841</xdr:rowOff>
    </xdr:from>
    <xdr:to>
      <xdr:col>22</xdr:col>
      <xdr:colOff>578734</xdr:colOff>
      <xdr:row>42</xdr:row>
      <xdr:rowOff>70231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3018B8-489D-4599-A4CB-3B234D66F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588138</xdr:colOff>
      <xdr:row>47</xdr:row>
      <xdr:rowOff>176814</xdr:rowOff>
    </xdr:from>
    <xdr:to>
      <xdr:col>22</xdr:col>
      <xdr:colOff>569088</xdr:colOff>
      <xdr:row>62</xdr:row>
      <xdr:rowOff>50940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BDE000-9B3C-489F-B2BE-002D0EB61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21117</xdr:colOff>
      <xdr:row>68</xdr:row>
      <xdr:rowOff>25415</xdr:rowOff>
    </xdr:from>
    <xdr:to>
      <xdr:col>23</xdr:col>
      <xdr:colOff>88877</xdr:colOff>
      <xdr:row>82</xdr:row>
      <xdr:rowOff>76433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CE839B-F1FA-45CD-8CD7-0F43D3A0A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108</xdr:row>
      <xdr:rowOff>41777</xdr:rowOff>
    </xdr:from>
    <xdr:to>
      <xdr:col>22</xdr:col>
      <xdr:colOff>578734</xdr:colOff>
      <xdr:row>122</xdr:row>
      <xdr:rowOff>99169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8AAD83C-E2CF-4036-8275-145FC7091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81642</xdr:colOff>
      <xdr:row>88</xdr:row>
      <xdr:rowOff>109813</xdr:rowOff>
    </xdr:from>
    <xdr:to>
      <xdr:col>23</xdr:col>
      <xdr:colOff>48054</xdr:colOff>
      <xdr:row>102</xdr:row>
      <xdr:rowOff>167205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24E64C6-DF20-4ED5-BB4C-650B40DA2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607429</xdr:colOff>
      <xdr:row>107</xdr:row>
      <xdr:rowOff>176815</xdr:rowOff>
    </xdr:from>
    <xdr:to>
      <xdr:col>23</xdr:col>
      <xdr:colOff>0</xdr:colOff>
      <xdr:row>122</xdr:row>
      <xdr:rowOff>50940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B67C37-DD5D-433D-AD81-B84BD4C7A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21771</xdr:colOff>
      <xdr:row>5</xdr:row>
      <xdr:rowOff>43544</xdr:rowOff>
    </xdr:from>
    <xdr:to>
      <xdr:col>35</xdr:col>
      <xdr:colOff>42701</xdr:colOff>
      <xdr:row>23</xdr:row>
      <xdr:rowOff>337457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B1269B3-A1C8-45A2-AD67-74FD2CCB3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19291</xdr:colOff>
      <xdr:row>27</xdr:row>
      <xdr:rowOff>30480</xdr:rowOff>
    </xdr:from>
    <xdr:to>
      <xdr:col>34</xdr:col>
      <xdr:colOff>152400</xdr:colOff>
      <xdr:row>45</xdr:row>
      <xdr:rowOff>87389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99717D-1C54-4501-BCD0-5CAB46C6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597785</xdr:colOff>
      <xdr:row>48</xdr:row>
      <xdr:rowOff>22486</xdr:rowOff>
    </xdr:from>
    <xdr:to>
      <xdr:col>9</xdr:col>
      <xdr:colOff>598026</xdr:colOff>
      <xdr:row>62</xdr:row>
      <xdr:rowOff>79878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066E39A-61E4-4318-A8D5-26AAC7332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588138</xdr:colOff>
      <xdr:row>68</xdr:row>
      <xdr:rowOff>12840</xdr:rowOff>
    </xdr:from>
    <xdr:to>
      <xdr:col>9</xdr:col>
      <xdr:colOff>559442</xdr:colOff>
      <xdr:row>82</xdr:row>
      <xdr:rowOff>70231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0C6F83-9C5B-47E1-BAD5-6D60AE104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9405</xdr:colOff>
      <xdr:row>88</xdr:row>
      <xdr:rowOff>12841</xdr:rowOff>
    </xdr:from>
    <xdr:to>
      <xdr:col>9</xdr:col>
      <xdr:colOff>598026</xdr:colOff>
      <xdr:row>102</xdr:row>
      <xdr:rowOff>70232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064B4C6-5B12-4FE9-B60E-19E84A4A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9405</xdr:colOff>
      <xdr:row>108</xdr:row>
      <xdr:rowOff>22486</xdr:rowOff>
    </xdr:from>
    <xdr:to>
      <xdr:col>9</xdr:col>
      <xdr:colOff>598026</xdr:colOff>
      <xdr:row>122</xdr:row>
      <xdr:rowOff>79878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3D22B3-D6F1-445D-BAD4-30F0FABB7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9405</xdr:colOff>
      <xdr:row>127</xdr:row>
      <xdr:rowOff>176815</xdr:rowOff>
    </xdr:from>
    <xdr:to>
      <xdr:col>9</xdr:col>
      <xdr:colOff>598026</xdr:colOff>
      <xdr:row>142</xdr:row>
      <xdr:rowOff>50939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069B783-090D-43EA-9931-DEA4DAEE3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597785</xdr:colOff>
      <xdr:row>147</xdr:row>
      <xdr:rowOff>22486</xdr:rowOff>
    </xdr:from>
    <xdr:to>
      <xdr:col>9</xdr:col>
      <xdr:colOff>598026</xdr:colOff>
      <xdr:row>161</xdr:row>
      <xdr:rowOff>79878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3A90C1-72F5-4761-9A13-7333EE6E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597785</xdr:colOff>
      <xdr:row>147</xdr:row>
      <xdr:rowOff>22486</xdr:rowOff>
    </xdr:from>
    <xdr:to>
      <xdr:col>9</xdr:col>
      <xdr:colOff>598026</xdr:colOff>
      <xdr:row>161</xdr:row>
      <xdr:rowOff>79878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4D2B3E4-33F7-4724-85CF-22178BF3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597785</xdr:colOff>
      <xdr:row>187</xdr:row>
      <xdr:rowOff>22486</xdr:rowOff>
    </xdr:from>
    <xdr:to>
      <xdr:col>9</xdr:col>
      <xdr:colOff>598026</xdr:colOff>
      <xdr:row>201</xdr:row>
      <xdr:rowOff>79878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D48DDBD-A89C-4F69-B7AA-3857C0E5B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597785</xdr:colOff>
      <xdr:row>187</xdr:row>
      <xdr:rowOff>22486</xdr:rowOff>
    </xdr:from>
    <xdr:to>
      <xdr:col>9</xdr:col>
      <xdr:colOff>598026</xdr:colOff>
      <xdr:row>201</xdr:row>
      <xdr:rowOff>79878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4DD2BEE-2DF9-4F0F-B849-7132F825F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597785</xdr:colOff>
      <xdr:row>167</xdr:row>
      <xdr:rowOff>22486</xdr:rowOff>
    </xdr:from>
    <xdr:to>
      <xdr:col>9</xdr:col>
      <xdr:colOff>598026</xdr:colOff>
      <xdr:row>181</xdr:row>
      <xdr:rowOff>79878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7440B4E-4211-461A-86EA-5CD3136DF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597785</xdr:colOff>
      <xdr:row>167</xdr:row>
      <xdr:rowOff>22486</xdr:rowOff>
    </xdr:from>
    <xdr:to>
      <xdr:col>9</xdr:col>
      <xdr:colOff>598026</xdr:colOff>
      <xdr:row>181</xdr:row>
      <xdr:rowOff>79878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02A5E97-CC13-41DA-BBC4-87FA57943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597785</xdr:colOff>
      <xdr:row>207</xdr:row>
      <xdr:rowOff>22486</xdr:rowOff>
    </xdr:from>
    <xdr:to>
      <xdr:col>9</xdr:col>
      <xdr:colOff>598026</xdr:colOff>
      <xdr:row>221</xdr:row>
      <xdr:rowOff>79878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7746366-9EE5-40CB-8533-3ED5C8602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597785</xdr:colOff>
      <xdr:row>207</xdr:row>
      <xdr:rowOff>22486</xdr:rowOff>
    </xdr:from>
    <xdr:to>
      <xdr:col>9</xdr:col>
      <xdr:colOff>598026</xdr:colOff>
      <xdr:row>221</xdr:row>
      <xdr:rowOff>79878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69C932C-5B49-47BB-9334-08D154BF8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94130</xdr:colOff>
      <xdr:row>11</xdr:row>
      <xdr:rowOff>67236</xdr:rowOff>
    </xdr:from>
    <xdr:to>
      <xdr:col>47</xdr:col>
      <xdr:colOff>8965</xdr:colOff>
      <xdr:row>23</xdr:row>
      <xdr:rowOff>67236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70E3E9-7765-B32B-0324-0AE5FFA3D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18037</xdr:colOff>
      <xdr:row>1</xdr:row>
      <xdr:rowOff>49193</xdr:rowOff>
    </xdr:from>
    <xdr:to>
      <xdr:col>12</xdr:col>
      <xdr:colOff>6944</xdr:colOff>
      <xdr:row>19</xdr:row>
      <xdr:rowOff>125972</xdr:rowOff>
    </xdr:to>
    <xdr:graphicFrame macro="">
      <xdr:nvGraphicFramePr>
        <xdr:cNvPr id="18" name="Chart 1" descr="Change in ">
          <a:extLst>
            <a:ext uri="{FF2B5EF4-FFF2-40B4-BE49-F238E27FC236}">
              <a16:creationId xmlns:a16="http://schemas.microsoft.com/office/drawing/2014/main" id="{A655DBB2-6EF6-48BA-B39B-E19152E0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28</xdr:row>
      <xdr:rowOff>57150</xdr:rowOff>
    </xdr:from>
    <xdr:to>
      <xdr:col>9</xdr:col>
      <xdr:colOff>523875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36842-31EA-CCE8-E7D9-A9E792799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57</xdr:row>
      <xdr:rowOff>57150</xdr:rowOff>
    </xdr:from>
    <xdr:to>
      <xdr:col>9</xdr:col>
      <xdr:colOff>523875</xdr:colOff>
      <xdr:row>71</xdr:row>
      <xdr:rowOff>133350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C908D50C-9E25-4DD0-A8B1-66DC2E82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95</xdr:row>
      <xdr:rowOff>57150</xdr:rowOff>
    </xdr:from>
    <xdr:to>
      <xdr:col>9</xdr:col>
      <xdr:colOff>523875</xdr:colOff>
      <xdr:row>111</xdr:row>
      <xdr:rowOff>53340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4F802089-B062-47E4-9F3C-587DC8BE6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124</xdr:row>
      <xdr:rowOff>57150</xdr:rowOff>
    </xdr:from>
    <xdr:to>
      <xdr:col>9</xdr:col>
      <xdr:colOff>523875</xdr:colOff>
      <xdr:row>138</xdr:row>
      <xdr:rowOff>133350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2CFBF495-25F7-4CA4-857C-FDD550403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153</xdr:row>
      <xdr:rowOff>57150</xdr:rowOff>
    </xdr:from>
    <xdr:to>
      <xdr:col>9</xdr:col>
      <xdr:colOff>523875</xdr:colOff>
      <xdr:row>167</xdr:row>
      <xdr:rowOff>133350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FB23CC7C-5610-4A53-A3A1-4F0F50591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</xdr:colOff>
      <xdr:row>28</xdr:row>
      <xdr:rowOff>57150</xdr:rowOff>
    </xdr:from>
    <xdr:to>
      <xdr:col>22</xdr:col>
      <xdr:colOff>523875</xdr:colOff>
      <xdr:row>42</xdr:row>
      <xdr:rowOff>133350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D4F07ABA-462C-4E84-B897-13644C8ED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38100</xdr:colOff>
      <xdr:row>57</xdr:row>
      <xdr:rowOff>57150</xdr:rowOff>
    </xdr:from>
    <xdr:to>
      <xdr:col>22</xdr:col>
      <xdr:colOff>523875</xdr:colOff>
      <xdr:row>71</xdr:row>
      <xdr:rowOff>133350</xdr:rowOff>
    </xdr:to>
    <xdr:graphicFrame macro="">
      <xdr:nvGraphicFramePr>
        <xdr:cNvPr id="28" name="Chart 2">
          <a:extLst>
            <a:ext uri="{FF2B5EF4-FFF2-40B4-BE49-F238E27FC236}">
              <a16:creationId xmlns:a16="http://schemas.microsoft.com/office/drawing/2014/main" id="{1654F901-1EF8-43F6-A4E0-945E2124F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38100</xdr:colOff>
      <xdr:row>95</xdr:row>
      <xdr:rowOff>57150</xdr:rowOff>
    </xdr:from>
    <xdr:to>
      <xdr:col>22</xdr:col>
      <xdr:colOff>523875</xdr:colOff>
      <xdr:row>109</xdr:row>
      <xdr:rowOff>133350</xdr:rowOff>
    </xdr:to>
    <xdr:graphicFrame macro="">
      <xdr:nvGraphicFramePr>
        <xdr:cNvPr id="30" name="Chart 2">
          <a:extLst>
            <a:ext uri="{FF2B5EF4-FFF2-40B4-BE49-F238E27FC236}">
              <a16:creationId xmlns:a16="http://schemas.microsoft.com/office/drawing/2014/main" id="{B6AF2566-28D4-450A-9FE4-91ED98188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124</xdr:row>
      <xdr:rowOff>57150</xdr:rowOff>
    </xdr:from>
    <xdr:to>
      <xdr:col>22</xdr:col>
      <xdr:colOff>523875</xdr:colOff>
      <xdr:row>138</xdr:row>
      <xdr:rowOff>133350</xdr:rowOff>
    </xdr:to>
    <xdr:graphicFrame macro="">
      <xdr:nvGraphicFramePr>
        <xdr:cNvPr id="31" name="Chart 2">
          <a:extLst>
            <a:ext uri="{FF2B5EF4-FFF2-40B4-BE49-F238E27FC236}">
              <a16:creationId xmlns:a16="http://schemas.microsoft.com/office/drawing/2014/main" id="{CE216FC1-2BDD-4ED5-92BC-262E450F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38100</xdr:colOff>
      <xdr:row>153</xdr:row>
      <xdr:rowOff>57150</xdr:rowOff>
    </xdr:from>
    <xdr:to>
      <xdr:col>22</xdr:col>
      <xdr:colOff>523875</xdr:colOff>
      <xdr:row>167</xdr:row>
      <xdr:rowOff>133350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B4A6AC2D-BBB7-4D37-9502-BC5F6727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596265</xdr:colOff>
      <xdr:row>1</xdr:row>
      <xdr:rowOff>22860</xdr:rowOff>
    </xdr:from>
    <xdr:to>
      <xdr:col>23</xdr:col>
      <xdr:colOff>547072</xdr:colOff>
      <xdr:row>19</xdr:row>
      <xdr:rowOff>107259</xdr:rowOff>
    </xdr:to>
    <xdr:graphicFrame macro="">
      <xdr:nvGraphicFramePr>
        <xdr:cNvPr id="33" name="Chart 32" descr="Change in ">
          <a:extLst>
            <a:ext uri="{FF2B5EF4-FFF2-40B4-BE49-F238E27FC236}">
              <a16:creationId xmlns:a16="http://schemas.microsoft.com/office/drawing/2014/main" id="{71CA5059-2209-4750-B387-04232EEE2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8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7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7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7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8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8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8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8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5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20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7B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7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9.9999999999997868E-3</v>
          </cell>
          <cell r="B4">
            <v>1</v>
          </cell>
        </row>
        <row r="5">
          <cell r="A5">
            <v>0.02</v>
          </cell>
          <cell r="B5">
            <v>3</v>
          </cell>
        </row>
        <row r="6">
          <cell r="A6">
            <v>0.03</v>
          </cell>
          <cell r="B6">
            <v>4</v>
          </cell>
        </row>
        <row r="7">
          <cell r="A7">
            <v>0.04</v>
          </cell>
          <cell r="B7">
            <v>5</v>
          </cell>
        </row>
        <row r="8">
          <cell r="A8">
            <v>0.06</v>
          </cell>
          <cell r="B8">
            <v>9</v>
          </cell>
        </row>
        <row r="9">
          <cell r="A9">
            <v>0.08</v>
          </cell>
          <cell r="B9">
            <v>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1.0000000000000231E-2</v>
          </cell>
          <cell r="B4">
            <v>4</v>
          </cell>
        </row>
        <row r="5">
          <cell r="A5">
            <v>0.02</v>
          </cell>
          <cell r="B5">
            <v>7</v>
          </cell>
        </row>
        <row r="6">
          <cell r="A6">
            <v>0.03</v>
          </cell>
          <cell r="B6">
            <v>9</v>
          </cell>
        </row>
        <row r="7">
          <cell r="A7">
            <v>0.04</v>
          </cell>
          <cell r="B7">
            <v>12</v>
          </cell>
        </row>
        <row r="8">
          <cell r="A8">
            <v>0.06</v>
          </cell>
          <cell r="B8">
            <v>16</v>
          </cell>
        </row>
        <row r="9">
          <cell r="A9">
            <v>0.08</v>
          </cell>
          <cell r="B9">
            <v>20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9.9999999999997868E-3</v>
          </cell>
          <cell r="B4">
            <v>4</v>
          </cell>
        </row>
        <row r="5">
          <cell r="A5">
            <v>0.02</v>
          </cell>
          <cell r="B5">
            <v>6</v>
          </cell>
        </row>
        <row r="6">
          <cell r="A6">
            <v>0.03</v>
          </cell>
          <cell r="B6">
            <v>7</v>
          </cell>
        </row>
        <row r="7">
          <cell r="A7">
            <v>0.04</v>
          </cell>
          <cell r="B7">
            <v>9</v>
          </cell>
        </row>
        <row r="8">
          <cell r="A8">
            <v>0.06</v>
          </cell>
          <cell r="B8">
            <v>13</v>
          </cell>
        </row>
        <row r="9">
          <cell r="A9">
            <v>0.08</v>
          </cell>
          <cell r="B9">
            <v>16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1.0000000000000231E-2</v>
          </cell>
          <cell r="B4">
            <v>5</v>
          </cell>
        </row>
        <row r="5">
          <cell r="A5">
            <v>0.02</v>
          </cell>
          <cell r="B5">
            <v>9</v>
          </cell>
        </row>
        <row r="6">
          <cell r="A6">
            <v>0.03</v>
          </cell>
          <cell r="B6">
            <v>12</v>
          </cell>
        </row>
        <row r="7">
          <cell r="A7">
            <v>0.04</v>
          </cell>
          <cell r="B7">
            <v>15</v>
          </cell>
        </row>
        <row r="8">
          <cell r="A8">
            <v>0.05</v>
          </cell>
          <cell r="B8">
            <v>17</v>
          </cell>
        </row>
        <row r="9">
          <cell r="A9">
            <v>0.06</v>
          </cell>
          <cell r="B9">
            <v>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9.9999999999997868E-3</v>
          </cell>
          <cell r="B4">
            <v>4</v>
          </cell>
        </row>
        <row r="5">
          <cell r="A5">
            <v>0.02</v>
          </cell>
          <cell r="B5">
            <v>5</v>
          </cell>
        </row>
        <row r="6">
          <cell r="A6">
            <v>0.03</v>
          </cell>
          <cell r="B6">
            <v>6</v>
          </cell>
        </row>
        <row r="7">
          <cell r="A7">
            <v>0.06</v>
          </cell>
          <cell r="B7">
            <v>8.5</v>
          </cell>
        </row>
        <row r="8">
          <cell r="A8">
            <v>0.1</v>
          </cell>
          <cell r="B8">
            <v>10</v>
          </cell>
        </row>
        <row r="9">
          <cell r="A9">
            <v>0.11</v>
          </cell>
          <cell r="B9">
            <v>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1.9999999999999574E-2</v>
          </cell>
          <cell r="B4">
            <v>1</v>
          </cell>
        </row>
        <row r="5">
          <cell r="A5">
            <v>0.05</v>
          </cell>
          <cell r="B5">
            <v>2</v>
          </cell>
        </row>
        <row r="6">
          <cell r="A6">
            <v>0.06</v>
          </cell>
          <cell r="B6">
            <v>3</v>
          </cell>
        </row>
        <row r="7">
          <cell r="A7">
            <v>0.08</v>
          </cell>
          <cell r="B7">
            <v>4</v>
          </cell>
        </row>
        <row r="8">
          <cell r="A8">
            <v>0.1</v>
          </cell>
          <cell r="B8">
            <v>4.5</v>
          </cell>
        </row>
        <row r="9">
          <cell r="A9">
            <v>0.12</v>
          </cell>
          <cell r="B9">
            <v>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1.9999999999999574E-2</v>
          </cell>
          <cell r="B4">
            <v>1</v>
          </cell>
        </row>
        <row r="5">
          <cell r="A5">
            <v>0.05</v>
          </cell>
          <cell r="B5">
            <v>2</v>
          </cell>
        </row>
        <row r="6">
          <cell r="A6">
            <v>0.09</v>
          </cell>
          <cell r="B6">
            <v>3</v>
          </cell>
        </row>
        <row r="7">
          <cell r="A7">
            <v>0.13</v>
          </cell>
          <cell r="B7">
            <v>4</v>
          </cell>
        </row>
        <row r="8">
          <cell r="A8">
            <v>0.17</v>
          </cell>
          <cell r="B8">
            <v>5</v>
          </cell>
        </row>
        <row r="9">
          <cell r="A9">
            <v>0.19</v>
          </cell>
          <cell r="B9">
            <v>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1.9999999999999574E-2</v>
          </cell>
          <cell r="B4">
            <v>1</v>
          </cell>
        </row>
        <row r="5">
          <cell r="A5">
            <v>0.08</v>
          </cell>
          <cell r="B5">
            <v>2</v>
          </cell>
        </row>
        <row r="6">
          <cell r="A6">
            <v>0.12</v>
          </cell>
          <cell r="B6">
            <v>3</v>
          </cell>
        </row>
        <row r="7">
          <cell r="A7">
            <v>0.17</v>
          </cell>
          <cell r="B7">
            <v>4</v>
          </cell>
        </row>
        <row r="8">
          <cell r="A8">
            <v>0.21</v>
          </cell>
          <cell r="B8">
            <v>5</v>
          </cell>
        </row>
        <row r="9">
          <cell r="A9">
            <v>0.25</v>
          </cell>
          <cell r="B9">
            <v>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</v>
          </cell>
          <cell r="D3">
            <v>0</v>
          </cell>
        </row>
        <row r="4">
          <cell r="B4">
            <v>0.13000000000000078</v>
          </cell>
          <cell r="D4">
            <v>49.834800000000001</v>
          </cell>
        </row>
        <row r="5">
          <cell r="B5">
            <v>0.12000000000000099</v>
          </cell>
          <cell r="D5">
            <v>97.315200000000004</v>
          </cell>
        </row>
        <row r="6">
          <cell r="B6">
            <v>0.14000000000000057</v>
          </cell>
          <cell r="D6">
            <v>145.5804</v>
          </cell>
        </row>
        <row r="7">
          <cell r="B7">
            <v>0.15000000000000036</v>
          </cell>
          <cell r="D7">
            <v>193.25700000000001</v>
          </cell>
        </row>
        <row r="8">
          <cell r="B8">
            <v>0.17999999999999972</v>
          </cell>
          <cell r="D8">
            <v>191.29500000000002</v>
          </cell>
        </row>
        <row r="9">
          <cell r="B9">
            <v>0.16999999999999993</v>
          </cell>
          <cell r="D9">
            <v>144.79560000000001</v>
          </cell>
        </row>
        <row r="10">
          <cell r="B10">
            <v>0.15000000000000036</v>
          </cell>
          <cell r="D10">
            <v>96.432300000000012</v>
          </cell>
        </row>
        <row r="11">
          <cell r="B11">
            <v>0.13000000000000078</v>
          </cell>
          <cell r="D11">
            <v>49.050000000000004</v>
          </cell>
        </row>
        <row r="12">
          <cell r="B12">
            <v>4.0000000000000924E-2</v>
          </cell>
          <cell r="D12">
            <v>1.1772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9.6999999999999993</v>
          </cell>
          <cell r="C2">
            <v>0</v>
          </cell>
        </row>
        <row r="3">
          <cell r="B3">
            <v>9.7200000000000006</v>
          </cell>
          <cell r="C3">
            <v>108.72423000000001</v>
          </cell>
        </row>
        <row r="4">
          <cell r="B4">
            <v>9.73</v>
          </cell>
          <cell r="C4">
            <v>149.60250000000002</v>
          </cell>
        </row>
        <row r="5">
          <cell r="B5">
            <v>9.74</v>
          </cell>
          <cell r="C5">
            <v>248.87970000000001</v>
          </cell>
        </row>
        <row r="6">
          <cell r="B6">
            <v>9.75</v>
          </cell>
          <cell r="C6">
            <v>357.60393000000005</v>
          </cell>
        </row>
        <row r="7">
          <cell r="B7">
            <v>9.7799999999999994</v>
          </cell>
          <cell r="C7">
            <v>444.88350000000003</v>
          </cell>
        </row>
        <row r="8">
          <cell r="B8">
            <v>9.8000000000000007</v>
          </cell>
          <cell r="C8">
            <v>556.71749999999997</v>
          </cell>
        </row>
        <row r="9">
          <cell r="B9">
            <v>9.82</v>
          </cell>
          <cell r="C9">
            <v>725.94</v>
          </cell>
        </row>
        <row r="10">
          <cell r="B10">
            <v>9.83</v>
          </cell>
          <cell r="C10">
            <v>855.92250000000001</v>
          </cell>
        </row>
        <row r="11">
          <cell r="B11">
            <v>9.84</v>
          </cell>
          <cell r="C11">
            <v>1005.5250000000001</v>
          </cell>
        </row>
        <row r="12">
          <cell r="B12">
            <v>9.86</v>
          </cell>
          <cell r="C12">
            <v>1226.25</v>
          </cell>
        </row>
        <row r="13">
          <cell r="B13">
            <v>9.9</v>
          </cell>
          <cell r="C13">
            <v>1500.93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1.0000000000000231E-2</v>
          </cell>
          <cell r="B4">
            <v>9</v>
          </cell>
        </row>
        <row r="5">
          <cell r="A5">
            <v>0.02</v>
          </cell>
          <cell r="B5">
            <v>16</v>
          </cell>
        </row>
        <row r="6">
          <cell r="A6">
            <v>0.03</v>
          </cell>
          <cell r="B6">
            <v>18</v>
          </cell>
        </row>
        <row r="7">
          <cell r="A7">
            <v>0.04</v>
          </cell>
          <cell r="B7">
            <v>23</v>
          </cell>
        </row>
        <row r="8">
          <cell r="A8">
            <v>0.05</v>
          </cell>
          <cell r="B8">
            <v>28</v>
          </cell>
        </row>
        <row r="9">
          <cell r="A9">
            <v>0</v>
          </cell>
          <cell r="B9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9.9999999999997868E-3</v>
          </cell>
          <cell r="B4">
            <v>2</v>
          </cell>
        </row>
        <row r="5">
          <cell r="A5">
            <v>0.02</v>
          </cell>
          <cell r="B5">
            <v>4</v>
          </cell>
        </row>
        <row r="6">
          <cell r="A6">
            <v>0.03</v>
          </cell>
          <cell r="B6">
            <v>5</v>
          </cell>
        </row>
        <row r="7">
          <cell r="A7">
            <v>0.04</v>
          </cell>
          <cell r="B7">
            <v>6</v>
          </cell>
        </row>
        <row r="8">
          <cell r="A8">
            <v>0.06</v>
          </cell>
          <cell r="B8">
            <v>8</v>
          </cell>
        </row>
        <row r="9">
          <cell r="A9">
            <v>0.08</v>
          </cell>
          <cell r="B9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6F10-CC77-4686-8645-C752F34CDD10}">
  <dimension ref="A1:AN221"/>
  <sheetViews>
    <sheetView tabSelected="1" zoomScale="68" zoomScaleNormal="85" workbookViewId="0">
      <selection activeCell="Y72" sqref="Y72"/>
    </sheetView>
  </sheetViews>
  <sheetFormatPr defaultRowHeight="14.4" x14ac:dyDescent="0.3"/>
  <cols>
    <col min="1" max="1" width="14.33203125" customWidth="1"/>
    <col min="2" max="2" width="15.6640625" customWidth="1"/>
    <col min="3" max="3" width="10.5546875" customWidth="1"/>
    <col min="15" max="15" width="9.33203125" customWidth="1"/>
    <col min="16" max="16" width="10.88671875" customWidth="1"/>
    <col min="30" max="30" width="10.33203125" customWidth="1"/>
    <col min="31" max="31" width="10.88671875" customWidth="1"/>
    <col min="32" max="32" width="11.33203125" customWidth="1"/>
  </cols>
  <sheetData>
    <row r="1" spans="1:40" ht="28.8" x14ac:dyDescent="0.55000000000000004">
      <c r="A1" t="s">
        <v>0</v>
      </c>
      <c r="B1" t="s">
        <v>1</v>
      </c>
      <c r="C1" t="s">
        <v>2</v>
      </c>
      <c r="D1" t="s">
        <v>96</v>
      </c>
      <c r="E1" s="5" t="s">
        <v>3</v>
      </c>
      <c r="F1" s="6"/>
      <c r="G1" s="6"/>
      <c r="H1" s="6"/>
      <c r="I1" s="6"/>
      <c r="J1" s="6"/>
      <c r="K1" s="6"/>
      <c r="M1" t="s">
        <v>0</v>
      </c>
      <c r="N1" t="s">
        <v>1</v>
      </c>
      <c r="O1" t="s">
        <v>4</v>
      </c>
      <c r="P1" t="s">
        <v>96</v>
      </c>
      <c r="Q1" s="7" t="s">
        <v>5</v>
      </c>
      <c r="R1" s="8"/>
      <c r="S1" s="8"/>
      <c r="T1" s="8"/>
      <c r="U1" s="8"/>
      <c r="V1" s="8"/>
      <c r="W1" s="8"/>
      <c r="X1" s="8"/>
      <c r="Z1" s="14" t="s">
        <v>6</v>
      </c>
      <c r="AA1" s="13"/>
      <c r="AB1" s="13"/>
      <c r="AC1" s="13"/>
      <c r="AD1" s="13"/>
      <c r="AE1" s="13"/>
      <c r="AF1" s="13"/>
      <c r="AG1" s="13"/>
    </row>
    <row r="2" spans="1:40" x14ac:dyDescent="0.3">
      <c r="A2" t="s">
        <v>7</v>
      </c>
      <c r="B2" t="s">
        <v>7</v>
      </c>
      <c r="C2" t="s">
        <v>8</v>
      </c>
      <c r="M2">
        <v>37.630000000000003</v>
      </c>
      <c r="N2">
        <v>0.26</v>
      </c>
      <c r="O2">
        <v>3.0000000000000001E-3</v>
      </c>
      <c r="P2">
        <v>3.7073355448749193E-2</v>
      </c>
      <c r="Q2" t="s">
        <v>9</v>
      </c>
      <c r="Y2" t="s">
        <v>10</v>
      </c>
      <c r="Z2" s="1" t="s">
        <v>11</v>
      </c>
      <c r="AA2" s="1" t="s">
        <v>12</v>
      </c>
      <c r="AB2" s="2" t="s">
        <v>13</v>
      </c>
      <c r="AC2" s="2" t="s">
        <v>14</v>
      </c>
      <c r="AF2" s="4"/>
    </row>
    <row r="3" spans="1:40" x14ac:dyDescent="0.3">
      <c r="A3">
        <v>64.150000000000006</v>
      </c>
      <c r="B3">
        <v>0.26</v>
      </c>
      <c r="C3">
        <v>4.0000000000000002E-4</v>
      </c>
      <c r="D3">
        <v>2.8252981688921829E-2</v>
      </c>
      <c r="E3" t="s">
        <v>92</v>
      </c>
      <c r="M3">
        <v>37.630000000000003</v>
      </c>
      <c r="N3">
        <v>0.52</v>
      </c>
      <c r="O3">
        <v>7.7999999999999996E-3</v>
      </c>
      <c r="P3">
        <v>5.0855499638529728E-2</v>
      </c>
      <c r="Q3" t="s">
        <v>15</v>
      </c>
      <c r="Z3" s="4" t="s">
        <v>16</v>
      </c>
      <c r="AA3" s="4" t="s">
        <v>17</v>
      </c>
      <c r="AB3" s="4" t="s">
        <v>18</v>
      </c>
      <c r="AC3" s="12" t="s">
        <v>19</v>
      </c>
      <c r="AD3" s="13"/>
      <c r="AE3" s="13"/>
      <c r="AF3" s="4"/>
      <c r="AK3" t="s">
        <v>10</v>
      </c>
      <c r="AL3" s="1" t="s">
        <v>11</v>
      </c>
      <c r="AM3" s="1" t="s">
        <v>12</v>
      </c>
      <c r="AN3" s="2" t="s">
        <v>13</v>
      </c>
    </row>
    <row r="4" spans="1:40" x14ac:dyDescent="0.3">
      <c r="A4">
        <v>59.15</v>
      </c>
      <c r="B4">
        <v>0.26</v>
      </c>
      <c r="C4">
        <v>6.0599999999999998E-4</v>
      </c>
      <c r="D4">
        <v>2.9013045026093108E-2</v>
      </c>
      <c r="E4" t="s">
        <v>93</v>
      </c>
      <c r="M4">
        <v>37.630000000000003</v>
      </c>
      <c r="N4">
        <v>0.78</v>
      </c>
      <c r="O4">
        <v>2.2599999999999999E-2</v>
      </c>
      <c r="P4">
        <v>0.14718478573885221</v>
      </c>
      <c r="Q4" t="s">
        <v>20</v>
      </c>
      <c r="X4">
        <v>0</v>
      </c>
      <c r="Y4">
        <v>12.38</v>
      </c>
      <c r="Z4">
        <f>Y4-12.4</f>
        <v>-1.9999999999999574E-2</v>
      </c>
      <c r="AA4">
        <v>0</v>
      </c>
      <c r="AB4">
        <v>0</v>
      </c>
      <c r="AC4" s="2" t="s">
        <v>21</v>
      </c>
      <c r="AF4" s="4"/>
      <c r="AL4" s="4" t="s">
        <v>16</v>
      </c>
      <c r="AM4" s="4" t="s">
        <v>17</v>
      </c>
      <c r="AN4" s="4" t="s">
        <v>18</v>
      </c>
    </row>
    <row r="5" spans="1:40" x14ac:dyDescent="0.3">
      <c r="A5">
        <v>54.15</v>
      </c>
      <c r="B5">
        <v>0.26</v>
      </c>
      <c r="C5">
        <v>1.2459999999999999E-3</v>
      </c>
      <c r="D5">
        <v>3.2690228377593458E-2</v>
      </c>
      <c r="E5" t="s">
        <v>94</v>
      </c>
      <c r="M5">
        <v>37.630000000000003</v>
      </c>
      <c r="N5">
        <v>1.04</v>
      </c>
      <c r="O5">
        <v>3.39E-2</v>
      </c>
      <c r="P5">
        <v>0.20229162907686862</v>
      </c>
      <c r="Q5" t="s">
        <v>22</v>
      </c>
      <c r="X5">
        <v>1</v>
      </c>
      <c r="Y5">
        <v>12.455</v>
      </c>
      <c r="Z5">
        <f t="shared" ref="Z5:Z8" si="0">Y5-12.4</f>
        <v>5.4999999999999716E-2</v>
      </c>
      <c r="AA5">
        <v>5.04</v>
      </c>
      <c r="AB5">
        <v>49.05</v>
      </c>
      <c r="AC5" s="15" t="s">
        <v>1</v>
      </c>
      <c r="AD5" s="4">
        <v>0.26</v>
      </c>
      <c r="AE5" s="4" t="s">
        <v>7</v>
      </c>
      <c r="AJ5">
        <v>0</v>
      </c>
      <c r="AK5">
        <v>12.36</v>
      </c>
      <c r="AL5">
        <f>AK5-12.36</f>
        <v>0</v>
      </c>
      <c r="AM5">
        <v>0</v>
      </c>
      <c r="AN5">
        <f>AM5*9.81</f>
        <v>0</v>
      </c>
    </row>
    <row r="6" spans="1:40" x14ac:dyDescent="0.3">
      <c r="A6">
        <v>49.15</v>
      </c>
      <c r="B6">
        <v>0.26</v>
      </c>
      <c r="C6">
        <v>1.126E-3</v>
      </c>
      <c r="D6">
        <v>2.972138640377325E-2</v>
      </c>
      <c r="E6" t="s">
        <v>95</v>
      </c>
      <c r="M6">
        <v>37.630000000000003</v>
      </c>
      <c r="N6">
        <v>1.3</v>
      </c>
      <c r="O6">
        <v>4.36E-2</v>
      </c>
      <c r="P6">
        <v>0.25754411798368693</v>
      </c>
      <c r="Q6" t="s">
        <v>23</v>
      </c>
      <c r="X6">
        <v>2</v>
      </c>
      <c r="Y6">
        <v>12.49</v>
      </c>
      <c r="Z6">
        <f t="shared" si="0"/>
        <v>8.9999999999999858E-2</v>
      </c>
      <c r="AA6">
        <v>9.875</v>
      </c>
      <c r="AB6">
        <v>96.873750000000001</v>
      </c>
      <c r="AJ6">
        <v>1</v>
      </c>
      <c r="AK6">
        <v>12.49</v>
      </c>
      <c r="AL6">
        <f t="shared" ref="AL6:AL14" si="1">AK6-12.36</f>
        <v>0.13000000000000078</v>
      </c>
      <c r="AM6">
        <v>5</v>
      </c>
      <c r="AN6">
        <f t="shared" ref="AN6:AN13" si="2">AM6*9.81</f>
        <v>49.050000000000004</v>
      </c>
    </row>
    <row r="7" spans="1:40" x14ac:dyDescent="0.3">
      <c r="A7">
        <v>44.15</v>
      </c>
      <c r="B7">
        <v>0.26</v>
      </c>
      <c r="C7">
        <v>1.8E-3</v>
      </c>
      <c r="D7">
        <v>3.0834972531375977E-2</v>
      </c>
      <c r="E7" t="s">
        <v>9</v>
      </c>
      <c r="X7">
        <v>3</v>
      </c>
      <c r="Y7">
        <v>12.515000000000001</v>
      </c>
      <c r="Z7">
        <f t="shared" si="0"/>
        <v>0.11500000000000021</v>
      </c>
      <c r="AA7">
        <v>14.8</v>
      </c>
      <c r="AB7">
        <v>145.18800000000002</v>
      </c>
      <c r="AJ7">
        <v>2</v>
      </c>
      <c r="AK7">
        <v>12.48</v>
      </c>
      <c r="AL7">
        <f t="shared" si="1"/>
        <v>0.12000000000000099</v>
      </c>
      <c r="AM7">
        <v>10</v>
      </c>
      <c r="AN7">
        <f t="shared" si="2"/>
        <v>98.100000000000009</v>
      </c>
    </row>
    <row r="8" spans="1:40" x14ac:dyDescent="0.3">
      <c r="A8">
        <f>A7-5</f>
        <v>39.15</v>
      </c>
      <c r="B8">
        <v>0.26</v>
      </c>
      <c r="C8">
        <v>2.2000000000000001E-3</v>
      </c>
      <c r="D8">
        <v>2.0244945957559241E-2</v>
      </c>
      <c r="E8" t="s">
        <v>15</v>
      </c>
      <c r="X8">
        <v>4</v>
      </c>
      <c r="Y8">
        <v>12.524999999999999</v>
      </c>
      <c r="Z8">
        <f t="shared" si="0"/>
        <v>0.12499999999999822</v>
      </c>
      <c r="AA8">
        <v>19.600000000000001</v>
      </c>
      <c r="AB8">
        <v>192.27600000000001</v>
      </c>
      <c r="AJ8">
        <v>3</v>
      </c>
      <c r="AK8">
        <v>12.5</v>
      </c>
      <c r="AL8">
        <f t="shared" si="1"/>
        <v>0.14000000000000057</v>
      </c>
      <c r="AM8">
        <v>15</v>
      </c>
      <c r="AN8">
        <f t="shared" si="2"/>
        <v>147.15</v>
      </c>
    </row>
    <row r="9" spans="1:40" x14ac:dyDescent="0.3">
      <c r="A9">
        <f t="shared" ref="A9:A12" si="3">A8-5</f>
        <v>34.15</v>
      </c>
      <c r="B9">
        <v>0.26</v>
      </c>
      <c r="C9">
        <v>2.3E-3</v>
      </c>
      <c r="D9">
        <v>6.7189439817907218E-2</v>
      </c>
      <c r="E9" t="s">
        <v>20</v>
      </c>
      <c r="AJ9">
        <v>4</v>
      </c>
      <c r="AK9">
        <v>12.51</v>
      </c>
      <c r="AL9">
        <f t="shared" si="1"/>
        <v>0.15000000000000036</v>
      </c>
      <c r="AM9">
        <v>19.7</v>
      </c>
      <c r="AN9">
        <f t="shared" si="2"/>
        <v>193.25700000000001</v>
      </c>
    </row>
    <row r="10" spans="1:40" x14ac:dyDescent="0.3">
      <c r="A10">
        <f t="shared" si="3"/>
        <v>29.15</v>
      </c>
      <c r="B10">
        <v>0.26</v>
      </c>
      <c r="C10">
        <v>5.5999999999999999E-3</v>
      </c>
      <c r="D10">
        <v>3.5544257003153876E-2</v>
      </c>
      <c r="E10" t="s">
        <v>22</v>
      </c>
      <c r="Y10" s="25" t="s">
        <v>90</v>
      </c>
      <c r="Z10" s="25" t="s">
        <v>91</v>
      </c>
      <c r="AJ10">
        <v>4</v>
      </c>
      <c r="AK10">
        <v>12.54</v>
      </c>
      <c r="AL10">
        <f t="shared" si="1"/>
        <v>0.17999999999999972</v>
      </c>
      <c r="AM10">
        <v>19.7</v>
      </c>
      <c r="AN10">
        <f t="shared" si="2"/>
        <v>193.25700000000001</v>
      </c>
    </row>
    <row r="11" spans="1:40" x14ac:dyDescent="0.3">
      <c r="A11">
        <f t="shared" si="3"/>
        <v>24.15</v>
      </c>
      <c r="B11">
        <v>0.26</v>
      </c>
      <c r="C11">
        <v>6.4999999999999997E-3</v>
      </c>
      <c r="D11">
        <v>3.6937694710967667E-2</v>
      </c>
      <c r="E11" t="s">
        <v>23</v>
      </c>
      <c r="AJ11">
        <v>3</v>
      </c>
      <c r="AK11">
        <v>12.53</v>
      </c>
      <c r="AL11">
        <f t="shared" si="1"/>
        <v>0.16999999999999993</v>
      </c>
      <c r="AM11">
        <v>15</v>
      </c>
      <c r="AN11">
        <f t="shared" si="2"/>
        <v>147.15</v>
      </c>
    </row>
    <row r="12" spans="1:40" x14ac:dyDescent="0.3">
      <c r="A12">
        <f t="shared" si="3"/>
        <v>19.149999999999999</v>
      </c>
      <c r="B12">
        <v>0.26</v>
      </c>
      <c r="C12">
        <v>1.1299999999999999E-2</v>
      </c>
      <c r="D12">
        <v>1.4978425301959124E-2</v>
      </c>
      <c r="E12" t="s">
        <v>24</v>
      </c>
      <c r="AJ12">
        <v>2</v>
      </c>
      <c r="AK12">
        <v>12.51</v>
      </c>
      <c r="AL12">
        <f t="shared" si="1"/>
        <v>0.15000000000000036</v>
      </c>
      <c r="AM12">
        <v>10</v>
      </c>
      <c r="AN12">
        <f t="shared" si="2"/>
        <v>98.100000000000009</v>
      </c>
    </row>
    <row r="13" spans="1:40" x14ac:dyDescent="0.3">
      <c r="A13">
        <f>A12-5</f>
        <v>14.149999999999999</v>
      </c>
      <c r="B13">
        <v>0.26</v>
      </c>
      <c r="C13">
        <v>1.26E-2</v>
      </c>
      <c r="E13" t="s">
        <v>25</v>
      </c>
      <c r="AJ13">
        <v>1</v>
      </c>
      <c r="AK13">
        <v>12.43</v>
      </c>
      <c r="AL13">
        <f t="shared" si="1"/>
        <v>7.0000000000000284E-2</v>
      </c>
      <c r="AM13">
        <v>5</v>
      </c>
      <c r="AN13">
        <f t="shared" si="2"/>
        <v>49.050000000000004</v>
      </c>
    </row>
    <row r="14" spans="1:40" x14ac:dyDescent="0.3">
      <c r="AJ14">
        <v>0</v>
      </c>
      <c r="AK14">
        <v>12.4</v>
      </c>
      <c r="AL14">
        <f t="shared" si="1"/>
        <v>4.0000000000000924E-2</v>
      </c>
      <c r="AM14">
        <v>0</v>
      </c>
      <c r="AN14">
        <v>0</v>
      </c>
    </row>
    <row r="15" spans="1:40" ht="46.2" x14ac:dyDescent="0.85">
      <c r="A15" s="9" t="s">
        <v>26</v>
      </c>
      <c r="B15" s="10"/>
      <c r="C15" s="11"/>
      <c r="D15" s="11"/>
    </row>
    <row r="18" spans="1:38" x14ac:dyDescent="0.3">
      <c r="AK18">
        <v>0</v>
      </c>
      <c r="AL18">
        <v>0</v>
      </c>
    </row>
    <row r="19" spans="1:38" x14ac:dyDescent="0.3">
      <c r="AK19">
        <v>1</v>
      </c>
      <c r="AL19">
        <v>1</v>
      </c>
    </row>
    <row r="20" spans="1:38" x14ac:dyDescent="0.3">
      <c r="AK20">
        <v>2</v>
      </c>
      <c r="AL20">
        <v>2</v>
      </c>
    </row>
    <row r="21" spans="1:38" x14ac:dyDescent="0.3">
      <c r="AK21">
        <v>3</v>
      </c>
      <c r="AL21">
        <v>3</v>
      </c>
    </row>
    <row r="22" spans="1:38" x14ac:dyDescent="0.3">
      <c r="AK22">
        <v>4</v>
      </c>
      <c r="AL22">
        <v>4</v>
      </c>
    </row>
    <row r="23" spans="1:38" ht="28.8" x14ac:dyDescent="0.55000000000000004">
      <c r="E23" s="5" t="s">
        <v>27</v>
      </c>
      <c r="F23" s="6"/>
      <c r="G23" s="6"/>
      <c r="H23" s="6"/>
      <c r="I23" s="6"/>
      <c r="R23" s="7" t="s">
        <v>28</v>
      </c>
      <c r="S23" s="8"/>
      <c r="T23" s="8"/>
      <c r="U23" s="8"/>
      <c r="V23" s="8"/>
      <c r="AK23">
        <v>5</v>
      </c>
      <c r="AL23">
        <v>5</v>
      </c>
    </row>
    <row r="25" spans="1:38" ht="15.6" x14ac:dyDescent="0.35">
      <c r="A25" s="1" t="s">
        <v>29</v>
      </c>
      <c r="B25" s="1"/>
      <c r="C25" s="2" t="s">
        <v>30</v>
      </c>
      <c r="D25" s="2" t="s">
        <v>31</v>
      </c>
      <c r="E25" s="3" t="s">
        <v>32</v>
      </c>
      <c r="F25" s="4">
        <v>3.3</v>
      </c>
      <c r="G25" s="4" t="s">
        <v>33</v>
      </c>
      <c r="K25" s="4" t="s">
        <v>34</v>
      </c>
      <c r="N25" s="1" t="s">
        <v>11</v>
      </c>
      <c r="O25" s="1" t="s">
        <v>29</v>
      </c>
      <c r="P25" s="2" t="s">
        <v>30</v>
      </c>
      <c r="Q25" s="2" t="s">
        <v>31</v>
      </c>
      <c r="R25" s="3" t="s">
        <v>32</v>
      </c>
      <c r="S25" s="4">
        <v>9.19</v>
      </c>
      <c r="T25" s="4" t="s">
        <v>33</v>
      </c>
      <c r="Y25" s="2" t="s">
        <v>35</v>
      </c>
      <c r="Z25" s="2" t="s">
        <v>36</v>
      </c>
      <c r="AA25" s="2" t="s">
        <v>37</v>
      </c>
      <c r="AB25" s="2" t="s">
        <v>14</v>
      </c>
    </row>
    <row r="26" spans="1:38" x14ac:dyDescent="0.3">
      <c r="A26" s="4" t="s">
        <v>7</v>
      </c>
      <c r="B26" s="4" t="s">
        <v>34</v>
      </c>
      <c r="C26" s="4" t="s">
        <v>7</v>
      </c>
      <c r="D26" s="4" t="s">
        <v>99</v>
      </c>
      <c r="E26" s="3" t="s">
        <v>38</v>
      </c>
      <c r="F26" s="4">
        <v>10.3</v>
      </c>
      <c r="G26" s="4" t="s">
        <v>7</v>
      </c>
      <c r="N26" s="4" t="s">
        <v>33</v>
      </c>
      <c r="O26" s="4" t="s">
        <v>7</v>
      </c>
      <c r="P26" s="4" t="s">
        <v>7</v>
      </c>
      <c r="Q26" s="4" t="s">
        <v>99</v>
      </c>
      <c r="R26" s="3" t="s">
        <v>38</v>
      </c>
      <c r="S26" s="4">
        <v>10.199999999999999</v>
      </c>
      <c r="T26" s="4" t="s">
        <v>7</v>
      </c>
      <c r="Y26">
        <v>0</v>
      </c>
      <c r="Z26">
        <v>9.6999999999999993</v>
      </c>
      <c r="AA26">
        <f t="shared" ref="AA26:AA37" si="4">Y26*9.81</f>
        <v>0</v>
      </c>
      <c r="AB26" s="12" t="s">
        <v>39</v>
      </c>
      <c r="AC26" s="13"/>
      <c r="AD26" s="13"/>
    </row>
    <row r="27" spans="1:38" x14ac:dyDescent="0.3">
      <c r="A27">
        <v>0</v>
      </c>
      <c r="B27">
        <v>0</v>
      </c>
      <c r="C27">
        <v>0</v>
      </c>
      <c r="D27">
        <v>0</v>
      </c>
      <c r="E27" s="3" t="s">
        <v>40</v>
      </c>
      <c r="F27" s="4">
        <v>44.15</v>
      </c>
      <c r="G27" s="4" t="s">
        <v>7</v>
      </c>
      <c r="K27">
        <v>0.01</v>
      </c>
      <c r="N27">
        <v>0</v>
      </c>
      <c r="O27">
        <v>0</v>
      </c>
      <c r="P27">
        <v>0</v>
      </c>
      <c r="Q27">
        <v>0</v>
      </c>
      <c r="R27" s="3" t="s">
        <v>40</v>
      </c>
      <c r="S27" s="4">
        <v>37.68</v>
      </c>
      <c r="T27" s="4" t="s">
        <v>7</v>
      </c>
      <c r="Y27">
        <v>11.083</v>
      </c>
      <c r="Z27">
        <v>9.7200000000000006</v>
      </c>
      <c r="AA27">
        <f t="shared" si="4"/>
        <v>108.72423000000001</v>
      </c>
      <c r="AB27" s="2" t="s">
        <v>21</v>
      </c>
    </row>
    <row r="28" spans="1:38" x14ac:dyDescent="0.3">
      <c r="A28">
        <v>7</v>
      </c>
      <c r="B28">
        <v>0.01</v>
      </c>
      <c r="C28">
        <f>SQRT((A28^2)+($F$27^2))</f>
        <v>44.701482078338294</v>
      </c>
      <c r="D28">
        <f>(A28/$F$27)</f>
        <v>0.15855039637599094</v>
      </c>
      <c r="E28" s="3" t="s">
        <v>1</v>
      </c>
      <c r="F28" s="4">
        <v>0.26</v>
      </c>
      <c r="G28" s="4" t="s">
        <v>7</v>
      </c>
      <c r="K28">
        <v>0.02</v>
      </c>
      <c r="N28">
        <f>9.2-S25</f>
        <v>9.9999999999997868E-3</v>
      </c>
      <c r="O28">
        <v>1</v>
      </c>
      <c r="P28">
        <f>SQRT((O28^2)+($S$27^2))</f>
        <v>37.693267303326202</v>
      </c>
      <c r="Q28">
        <f>(O28/$S$27)</f>
        <v>2.6539278131634821E-2</v>
      </c>
      <c r="R28" s="3" t="s">
        <v>1</v>
      </c>
      <c r="S28" s="4">
        <v>0.26</v>
      </c>
      <c r="T28" s="4" t="s">
        <v>7</v>
      </c>
      <c r="Y28">
        <v>15.25</v>
      </c>
      <c r="Z28">
        <v>9.73</v>
      </c>
      <c r="AA28">
        <f t="shared" si="4"/>
        <v>149.60250000000002</v>
      </c>
      <c r="AB28" s="2" t="s">
        <v>1</v>
      </c>
      <c r="AC28">
        <v>0.26</v>
      </c>
      <c r="AD28" t="s">
        <v>7</v>
      </c>
    </row>
    <row r="29" spans="1:38" x14ac:dyDescent="0.3">
      <c r="A29">
        <v>11</v>
      </c>
      <c r="B29">
        <v>0.02</v>
      </c>
      <c r="C29">
        <f t="shared" ref="C29:C32" si="5">SQRT((A29^2)+($F$27^2))</f>
        <v>45.499697801194237</v>
      </c>
      <c r="D29">
        <f t="shared" ref="D29:D32" si="6">(A29/$F$27)</f>
        <v>0.2491506228765572</v>
      </c>
      <c r="K29">
        <v>0.03</v>
      </c>
      <c r="N29">
        <v>0.02</v>
      </c>
      <c r="O29">
        <v>3</v>
      </c>
      <c r="P29">
        <f t="shared" ref="P29:P34" si="7">SQRT((O29^2)+($S$27^2))</f>
        <v>37.799238087559388</v>
      </c>
      <c r="Q29">
        <f t="shared" ref="Q29:Q34" si="8">(O29/$S$27)</f>
        <v>7.9617834394904455E-2</v>
      </c>
      <c r="Y29">
        <v>25.37</v>
      </c>
      <c r="Z29">
        <v>9.74</v>
      </c>
      <c r="AA29">
        <f t="shared" si="4"/>
        <v>248.87970000000001</v>
      </c>
    </row>
    <row r="30" spans="1:38" x14ac:dyDescent="0.3">
      <c r="A30">
        <v>14</v>
      </c>
      <c r="B30">
        <v>0.03</v>
      </c>
      <c r="C30">
        <f t="shared" si="5"/>
        <v>46.316546719288127</v>
      </c>
      <c r="D30">
        <f t="shared" si="6"/>
        <v>0.31710079275198189</v>
      </c>
      <c r="K30">
        <v>0.04</v>
      </c>
      <c r="N30">
        <v>0.03</v>
      </c>
      <c r="O30">
        <v>4</v>
      </c>
      <c r="P30">
        <f t="shared" si="7"/>
        <v>37.89171941202985</v>
      </c>
      <c r="Q30">
        <f t="shared" si="8"/>
        <v>0.10615711252653928</v>
      </c>
      <c r="Y30">
        <v>36.453000000000003</v>
      </c>
      <c r="Z30">
        <v>9.75</v>
      </c>
      <c r="AA30">
        <f t="shared" si="4"/>
        <v>357.60393000000005</v>
      </c>
    </row>
    <row r="31" spans="1:38" x14ac:dyDescent="0.3">
      <c r="A31">
        <v>18</v>
      </c>
      <c r="B31">
        <v>0.04</v>
      </c>
      <c r="C31">
        <f t="shared" si="5"/>
        <v>47.678323166822885</v>
      </c>
      <c r="D31">
        <f t="shared" si="6"/>
        <v>0.40770101925254815</v>
      </c>
      <c r="K31">
        <v>0.06</v>
      </c>
      <c r="N31">
        <v>0.04</v>
      </c>
      <c r="O31">
        <v>5</v>
      </c>
      <c r="P31">
        <f t="shared" si="7"/>
        <v>38.010293342724943</v>
      </c>
      <c r="Q31">
        <f t="shared" si="8"/>
        <v>0.1326963906581741</v>
      </c>
      <c r="Y31">
        <v>45.35</v>
      </c>
      <c r="Z31">
        <v>9.7799999999999994</v>
      </c>
      <c r="AA31">
        <f t="shared" si="4"/>
        <v>444.88350000000003</v>
      </c>
    </row>
    <row r="32" spans="1:38" x14ac:dyDescent="0.3">
      <c r="A32">
        <v>22</v>
      </c>
      <c r="B32">
        <v>0.05</v>
      </c>
      <c r="C32">
        <f t="shared" si="5"/>
        <v>49.3277051969783</v>
      </c>
      <c r="D32">
        <f t="shared" si="6"/>
        <v>0.49830124575311441</v>
      </c>
      <c r="K32">
        <v>0.08</v>
      </c>
      <c r="N32">
        <v>0.06</v>
      </c>
      <c r="O32">
        <v>9</v>
      </c>
      <c r="P32">
        <f t="shared" si="7"/>
        <v>38.739932885847907</v>
      </c>
      <c r="Q32">
        <f t="shared" si="8"/>
        <v>0.23885350318471338</v>
      </c>
      <c r="Y32">
        <v>56.75</v>
      </c>
      <c r="Z32">
        <v>9.8000000000000007</v>
      </c>
      <c r="AA32">
        <f t="shared" si="4"/>
        <v>556.71749999999997</v>
      </c>
    </row>
    <row r="33" spans="1:27" x14ac:dyDescent="0.3">
      <c r="K33">
        <v>0.09</v>
      </c>
      <c r="N33">
        <v>0.08</v>
      </c>
      <c r="O33">
        <v>9</v>
      </c>
      <c r="P33">
        <f t="shared" si="7"/>
        <v>38.739932885847907</v>
      </c>
      <c r="Q33">
        <f t="shared" si="8"/>
        <v>0.23885350318471338</v>
      </c>
      <c r="Y33">
        <v>74</v>
      </c>
      <c r="Z33">
        <v>9.82</v>
      </c>
      <c r="AA33">
        <f t="shared" si="4"/>
        <v>725.94</v>
      </c>
    </row>
    <row r="34" spans="1:27" x14ac:dyDescent="0.3">
      <c r="A34" t="s">
        <v>34</v>
      </c>
      <c r="C34" t="s">
        <v>30</v>
      </c>
      <c r="N34">
        <v>0.1</v>
      </c>
      <c r="O34">
        <v>11</v>
      </c>
      <c r="P34">
        <f t="shared" si="7"/>
        <v>39.252801173928979</v>
      </c>
      <c r="Q34">
        <f t="shared" si="8"/>
        <v>0.29193205944798301</v>
      </c>
      <c r="Y34">
        <v>87.25</v>
      </c>
      <c r="Z34">
        <v>9.83</v>
      </c>
      <c r="AA34">
        <f t="shared" si="4"/>
        <v>855.92250000000001</v>
      </c>
    </row>
    <row r="35" spans="1:27" x14ac:dyDescent="0.3">
      <c r="A35">
        <v>0</v>
      </c>
      <c r="C35">
        <v>370</v>
      </c>
      <c r="Y35">
        <v>102.5</v>
      </c>
      <c r="Z35">
        <v>9.84</v>
      </c>
      <c r="AA35">
        <f t="shared" si="4"/>
        <v>1005.5250000000001</v>
      </c>
    </row>
    <row r="36" spans="1:27" x14ac:dyDescent="0.3">
      <c r="A36">
        <v>0.01</v>
      </c>
      <c r="Y36">
        <v>125</v>
      </c>
      <c r="Z36">
        <v>9.86</v>
      </c>
      <c r="AA36">
        <f t="shared" si="4"/>
        <v>1226.25</v>
      </c>
    </row>
    <row r="37" spans="1:27" x14ac:dyDescent="0.3">
      <c r="A37">
        <v>0.02</v>
      </c>
      <c r="B37">
        <f>1/370</f>
        <v>2.7027027027027029E-3</v>
      </c>
      <c r="Y37">
        <v>153</v>
      </c>
      <c r="Z37">
        <v>9.9</v>
      </c>
      <c r="AA37">
        <f t="shared" si="4"/>
        <v>1500.93</v>
      </c>
    </row>
    <row r="38" spans="1:27" x14ac:dyDescent="0.3">
      <c r="A38">
        <v>0.03</v>
      </c>
    </row>
    <row r="39" spans="1:27" x14ac:dyDescent="0.3">
      <c r="A39">
        <v>0.04</v>
      </c>
      <c r="Q39">
        <f>TAN(AVERAGE(Q27:Q34))</f>
        <v>0.14023988788146988</v>
      </c>
    </row>
    <row r="40" spans="1:27" x14ac:dyDescent="0.3">
      <c r="A40">
        <v>0.05</v>
      </c>
      <c r="D40">
        <f>TAN(AVERAGE(D27:D32))</f>
        <v>0.27869770722854259</v>
      </c>
      <c r="N40" s="2" t="s">
        <v>98</v>
      </c>
      <c r="O40">
        <f>AVERAGE(N27:N34)/S25</f>
        <v>4.6245919477693109E-3</v>
      </c>
      <c r="P40" s="2" t="s">
        <v>97</v>
      </c>
      <c r="Q40">
        <f>(AVERAGE(P27:P34)*TAN(AVERAGE(Q27:Q34)))/S27</f>
        <v>0.1247416612764502</v>
      </c>
    </row>
    <row r="41" spans="1:27" x14ac:dyDescent="0.3">
      <c r="A41" s="2" t="s">
        <v>98</v>
      </c>
      <c r="B41">
        <f>AVERAGE(B27:B32)/F25</f>
        <v>7.5757575757575777E-3</v>
      </c>
      <c r="C41" s="2" t="s">
        <v>97</v>
      </c>
      <c r="D41">
        <f>(AVERAGE(C27:C32)*TAN(AVERAGE(D27:D32)))/F27</f>
        <v>0.24568718418830768</v>
      </c>
      <c r="O41" s="2" t="s">
        <v>96</v>
      </c>
      <c r="P41">
        <f>O40/Q40</f>
        <v>3.7073355448749193E-2</v>
      </c>
    </row>
    <row r="42" spans="1:27" x14ac:dyDescent="0.3">
      <c r="B42" s="2" t="s">
        <v>96</v>
      </c>
      <c r="C42">
        <f>B41/D41</f>
        <v>3.0834972531375977E-2</v>
      </c>
    </row>
    <row r="45" spans="1:27" ht="15.6" x14ac:dyDescent="0.35">
      <c r="A45" s="1" t="s">
        <v>11</v>
      </c>
      <c r="B45" s="1" t="s">
        <v>29</v>
      </c>
      <c r="C45" s="2" t="s">
        <v>30</v>
      </c>
      <c r="D45" s="2" t="s">
        <v>31</v>
      </c>
      <c r="E45" s="3" t="s">
        <v>32</v>
      </c>
      <c r="F45" s="4">
        <v>3.13</v>
      </c>
      <c r="G45" s="4" t="s">
        <v>33</v>
      </c>
      <c r="K45" s="4" t="s">
        <v>34</v>
      </c>
      <c r="N45" s="1" t="s">
        <v>11</v>
      </c>
      <c r="O45" s="1" t="s">
        <v>29</v>
      </c>
      <c r="P45" s="2" t="s">
        <v>30</v>
      </c>
      <c r="Q45" s="2" t="s">
        <v>31</v>
      </c>
      <c r="R45" s="3" t="s">
        <v>32</v>
      </c>
      <c r="S45" s="4">
        <v>6.66</v>
      </c>
      <c r="T45" s="4" t="s">
        <v>33</v>
      </c>
    </row>
    <row r="46" spans="1:27" x14ac:dyDescent="0.3">
      <c r="A46" s="4" t="s">
        <v>33</v>
      </c>
      <c r="B46" s="4" t="s">
        <v>7</v>
      </c>
      <c r="C46" s="4" t="s">
        <v>7</v>
      </c>
      <c r="D46" s="4" t="s">
        <v>99</v>
      </c>
      <c r="E46" s="3" t="s">
        <v>38</v>
      </c>
      <c r="F46" s="4">
        <v>10.3</v>
      </c>
      <c r="G46" s="4" t="s">
        <v>7</v>
      </c>
      <c r="N46" s="4" t="s">
        <v>33</v>
      </c>
      <c r="O46" s="4" t="s">
        <v>7</v>
      </c>
      <c r="P46" s="4" t="s">
        <v>7</v>
      </c>
      <c r="Q46" s="4" t="s">
        <v>99</v>
      </c>
      <c r="R46" s="3" t="s">
        <v>38</v>
      </c>
      <c r="S46" s="4">
        <v>10.3</v>
      </c>
      <c r="T46" s="4" t="s">
        <v>7</v>
      </c>
    </row>
    <row r="47" spans="1:27" x14ac:dyDescent="0.3">
      <c r="A47">
        <v>0</v>
      </c>
      <c r="B47">
        <v>0</v>
      </c>
      <c r="C47">
        <v>0</v>
      </c>
      <c r="D47">
        <v>0</v>
      </c>
      <c r="E47" s="3" t="s">
        <v>40</v>
      </c>
      <c r="F47" s="4">
        <v>39.15</v>
      </c>
      <c r="G47" s="4" t="s">
        <v>7</v>
      </c>
      <c r="K47">
        <v>0</v>
      </c>
      <c r="N47">
        <v>0</v>
      </c>
      <c r="O47">
        <v>0</v>
      </c>
      <c r="P47">
        <v>0</v>
      </c>
      <c r="Q47">
        <v>0</v>
      </c>
      <c r="R47" s="3" t="s">
        <v>40</v>
      </c>
      <c r="S47" s="4">
        <v>37.68</v>
      </c>
      <c r="T47" s="4" t="s">
        <v>7</v>
      </c>
    </row>
    <row r="48" spans="1:27" x14ac:dyDescent="0.3">
      <c r="A48">
        <f>3.14-F45</f>
        <v>1.0000000000000231E-2</v>
      </c>
      <c r="B48">
        <v>9</v>
      </c>
      <c r="C48">
        <f>SQRT((B48^2)+($F$47^2))</f>
        <v>40.171165031649252</v>
      </c>
      <c r="D48">
        <f>(B48/$F$47)</f>
        <v>0.22988505747126436</v>
      </c>
      <c r="E48" s="3" t="s">
        <v>1</v>
      </c>
      <c r="F48" s="4">
        <v>0.26</v>
      </c>
      <c r="G48" s="4" t="s">
        <v>7</v>
      </c>
      <c r="K48">
        <v>0.01</v>
      </c>
      <c r="N48">
        <f>6.67-S45</f>
        <v>9.9999999999997868E-3</v>
      </c>
      <c r="O48">
        <v>4</v>
      </c>
      <c r="P48">
        <f>SQRT((O48^2)+($S$47^2))</f>
        <v>37.89171941202985</v>
      </c>
      <c r="Q48">
        <f>(O48/$S$47)</f>
        <v>0.10615711252653928</v>
      </c>
      <c r="R48" s="3" t="s">
        <v>1</v>
      </c>
      <c r="S48" s="4">
        <v>0.52</v>
      </c>
      <c r="T48" s="4" t="s">
        <v>7</v>
      </c>
    </row>
    <row r="49" spans="1:17" x14ac:dyDescent="0.3">
      <c r="A49">
        <v>0.02</v>
      </c>
      <c r="B49">
        <v>16</v>
      </c>
      <c r="C49">
        <f t="shared" ref="C49:C52" si="9">SQRT((B49^2)+($F$47^2))</f>
        <v>42.293291430202025</v>
      </c>
      <c r="D49">
        <f t="shared" ref="D49:D52" si="10">(B49/$F$47)</f>
        <v>0.40868454661558112</v>
      </c>
      <c r="K49">
        <v>0.02</v>
      </c>
      <c r="N49">
        <v>0.02</v>
      </c>
      <c r="O49">
        <v>5</v>
      </c>
      <c r="P49">
        <f t="shared" ref="P49:P54" si="11">SQRT((O49^2)+($S$47^2))</f>
        <v>38.010293342724943</v>
      </c>
      <c r="Q49">
        <f t="shared" ref="Q49:Q54" si="12">(O49/$S$47)</f>
        <v>0.1326963906581741</v>
      </c>
    </row>
    <row r="50" spans="1:17" x14ac:dyDescent="0.3">
      <c r="A50">
        <v>0.03</v>
      </c>
      <c r="B50">
        <v>18</v>
      </c>
      <c r="C50">
        <f t="shared" si="9"/>
        <v>43.089702946295645</v>
      </c>
      <c r="D50">
        <f t="shared" si="10"/>
        <v>0.45977011494252873</v>
      </c>
      <c r="K50">
        <v>0.03</v>
      </c>
      <c r="N50">
        <v>0.03</v>
      </c>
      <c r="O50">
        <v>6</v>
      </c>
      <c r="P50">
        <f t="shared" si="11"/>
        <v>38.154716615380593</v>
      </c>
      <c r="Q50">
        <f t="shared" si="12"/>
        <v>0.15923566878980891</v>
      </c>
    </row>
    <row r="51" spans="1:17" x14ac:dyDescent="0.3">
      <c r="A51">
        <v>0.04</v>
      </c>
      <c r="B51">
        <v>23</v>
      </c>
      <c r="C51">
        <f t="shared" si="9"/>
        <v>45.406194511321907</v>
      </c>
      <c r="D51">
        <f t="shared" si="10"/>
        <v>0.58748403575989783</v>
      </c>
      <c r="K51">
        <v>0.04</v>
      </c>
      <c r="N51">
        <v>0.06</v>
      </c>
      <c r="O51">
        <v>8.5</v>
      </c>
      <c r="P51">
        <f t="shared" si="11"/>
        <v>38.626835231481238</v>
      </c>
      <c r="Q51">
        <f t="shared" si="12"/>
        <v>0.22558386411889597</v>
      </c>
    </row>
    <row r="52" spans="1:17" x14ac:dyDescent="0.3">
      <c r="A52">
        <v>0.05</v>
      </c>
      <c r="B52">
        <v>28</v>
      </c>
      <c r="C52">
        <f t="shared" si="9"/>
        <v>48.132343595549138</v>
      </c>
      <c r="D52">
        <f t="shared" si="10"/>
        <v>0.71519795657726692</v>
      </c>
      <c r="K52">
        <v>0.05</v>
      </c>
      <c r="N52">
        <v>0.1</v>
      </c>
      <c r="O52">
        <v>10</v>
      </c>
      <c r="P52">
        <f t="shared" si="11"/>
        <v>38.984386618234744</v>
      </c>
      <c r="Q52">
        <f t="shared" si="12"/>
        <v>0.26539278131634819</v>
      </c>
    </row>
    <row r="53" spans="1:17" x14ac:dyDescent="0.3">
      <c r="N53">
        <v>0.11</v>
      </c>
      <c r="O53">
        <v>11</v>
      </c>
      <c r="P53">
        <f t="shared" si="11"/>
        <v>39.252801173928979</v>
      </c>
      <c r="Q53">
        <f t="shared" si="12"/>
        <v>0.29193205944798301</v>
      </c>
    </row>
    <row r="54" spans="1:17" x14ac:dyDescent="0.3">
      <c r="N54">
        <v>0.14000000000000001</v>
      </c>
      <c r="O54">
        <v>13</v>
      </c>
      <c r="P54">
        <f t="shared" si="11"/>
        <v>39.859533364052318</v>
      </c>
      <c r="Q54">
        <f t="shared" si="12"/>
        <v>0.34501061571125263</v>
      </c>
    </row>
    <row r="59" spans="1:17" x14ac:dyDescent="0.3">
      <c r="D59">
        <f>TAN(AVERAGE(D47:D52))</f>
        <v>0.42299395760376185</v>
      </c>
      <c r="Q59">
        <f>TAN(AVERAGE(Q47:Q54))</f>
        <v>0.19309879124242699</v>
      </c>
    </row>
    <row r="60" spans="1:17" x14ac:dyDescent="0.3">
      <c r="A60" s="2" t="s">
        <v>98</v>
      </c>
      <c r="B60">
        <f>AVERAGE(A47:A52)/F45</f>
        <v>7.9872204472843586E-3</v>
      </c>
      <c r="C60" s="2" t="s">
        <v>97</v>
      </c>
      <c r="D60">
        <f>(AVERAGE(C47:C52)*TAN(AVERAGE(D47:D52)))/F47</f>
        <v>0.39452910687084436</v>
      </c>
      <c r="N60" s="2" t="s">
        <v>98</v>
      </c>
      <c r="O60">
        <f>AVERAGE(N47:N54)/S45</f>
        <v>8.8213213213213168E-3</v>
      </c>
      <c r="P60" s="2" t="s">
        <v>97</v>
      </c>
      <c r="Q60">
        <f>(AVERAGE(P47:P54)*TAN(AVERAGE(Q47:Q54)))/S47</f>
        <v>0.17345855185813583</v>
      </c>
    </row>
    <row r="61" spans="1:17" x14ac:dyDescent="0.3">
      <c r="B61" s="2" t="s">
        <v>96</v>
      </c>
      <c r="C61">
        <f>B60/D60</f>
        <v>2.0244945957559241E-2</v>
      </c>
      <c r="O61" s="2" t="s">
        <v>96</v>
      </c>
      <c r="P61">
        <f>O60/Q60</f>
        <v>5.0855499638529728E-2</v>
      </c>
    </row>
    <row r="65" spans="1:20" ht="15.6" x14ac:dyDescent="0.35">
      <c r="A65" s="1" t="s">
        <v>11</v>
      </c>
      <c r="B65" s="1" t="s">
        <v>29</v>
      </c>
      <c r="C65" s="2" t="s">
        <v>30</v>
      </c>
      <c r="D65" s="2" t="s">
        <v>31</v>
      </c>
      <c r="E65" s="3" t="s">
        <v>32</v>
      </c>
      <c r="F65" s="4">
        <v>4.26</v>
      </c>
      <c r="G65" s="4" t="s">
        <v>33</v>
      </c>
      <c r="K65" s="4" t="s">
        <v>33</v>
      </c>
      <c r="N65" s="1" t="s">
        <v>11</v>
      </c>
      <c r="O65" s="1" t="s">
        <v>29</v>
      </c>
      <c r="P65" s="2" t="s">
        <v>30</v>
      </c>
      <c r="Q65" s="2" t="s">
        <v>31</v>
      </c>
      <c r="R65" s="3" t="s">
        <v>32</v>
      </c>
      <c r="S65" s="4">
        <v>6.73</v>
      </c>
      <c r="T65" s="4" t="s">
        <v>33</v>
      </c>
    </row>
    <row r="66" spans="1:20" x14ac:dyDescent="0.3">
      <c r="A66" s="4" t="s">
        <v>33</v>
      </c>
      <c r="B66" s="4" t="s">
        <v>7</v>
      </c>
      <c r="C66" s="4" t="s">
        <v>7</v>
      </c>
      <c r="D66" s="4" t="s">
        <v>99</v>
      </c>
      <c r="E66" s="3" t="s">
        <v>38</v>
      </c>
      <c r="F66" s="4">
        <v>10.199999999999999</v>
      </c>
      <c r="G66" s="4" t="s">
        <v>7</v>
      </c>
      <c r="K66" t="s">
        <v>34</v>
      </c>
      <c r="N66" s="4" t="s">
        <v>33</v>
      </c>
      <c r="O66" s="4" t="s">
        <v>7</v>
      </c>
      <c r="P66" s="4" t="s">
        <v>7</v>
      </c>
      <c r="Q66" s="4" t="s">
        <v>99</v>
      </c>
      <c r="R66" s="3" t="s">
        <v>38</v>
      </c>
      <c r="S66" s="4">
        <v>10.1</v>
      </c>
      <c r="T66" s="4" t="s">
        <v>7</v>
      </c>
    </row>
    <row r="67" spans="1:20" x14ac:dyDescent="0.3">
      <c r="A67">
        <v>0</v>
      </c>
      <c r="B67">
        <v>0</v>
      </c>
      <c r="C67">
        <v>0</v>
      </c>
      <c r="D67">
        <v>0</v>
      </c>
      <c r="E67" s="3" t="s">
        <v>40</v>
      </c>
      <c r="F67" s="4">
        <v>34.15</v>
      </c>
      <c r="G67" s="4" t="s">
        <v>7</v>
      </c>
      <c r="K67">
        <v>0</v>
      </c>
      <c r="N67">
        <v>0</v>
      </c>
      <c r="O67">
        <v>0</v>
      </c>
      <c r="P67">
        <v>0</v>
      </c>
      <c r="Q67">
        <v>0</v>
      </c>
      <c r="R67" s="3" t="s">
        <v>40</v>
      </c>
      <c r="S67" s="4">
        <v>37.68</v>
      </c>
      <c r="T67" s="4" t="s">
        <v>7</v>
      </c>
    </row>
    <row r="68" spans="1:20" x14ac:dyDescent="0.3">
      <c r="A68">
        <f>4.27-F65</f>
        <v>9.9999999999997868E-3</v>
      </c>
      <c r="B68">
        <v>2</v>
      </c>
      <c r="C68">
        <f>SQRT((B68^2)+($F$67^2))</f>
        <v>34.208515021847994</v>
      </c>
      <c r="D68">
        <f>(B68/$F$67)</f>
        <v>5.8565153733528552E-2</v>
      </c>
      <c r="E68" s="3" t="s">
        <v>1</v>
      </c>
      <c r="F68" s="4">
        <v>0.26</v>
      </c>
      <c r="G68" s="4" t="s">
        <v>7</v>
      </c>
      <c r="K68">
        <v>0.01</v>
      </c>
      <c r="N68">
        <f>6.75-S65</f>
        <v>1.9999999999999574E-2</v>
      </c>
      <c r="O68">
        <v>1</v>
      </c>
      <c r="P68">
        <f>SQRT((O68^2)+($S$67^2))</f>
        <v>37.693267303326202</v>
      </c>
      <c r="Q68">
        <f>(O68/$S$67)</f>
        <v>2.6539278131634821E-2</v>
      </c>
      <c r="R68" s="3" t="s">
        <v>1</v>
      </c>
      <c r="S68" s="4">
        <v>0.78</v>
      </c>
      <c r="T68" s="4" t="s">
        <v>7</v>
      </c>
    </row>
    <row r="69" spans="1:20" x14ac:dyDescent="0.3">
      <c r="A69">
        <v>0.02</v>
      </c>
      <c r="B69">
        <v>4</v>
      </c>
      <c r="C69">
        <f t="shared" ref="C69:C74" si="13">SQRT((B69^2)+($F$67^2))</f>
        <v>34.383462594683508</v>
      </c>
      <c r="D69">
        <f t="shared" ref="D69:D74" si="14">(B69/$F$67)</f>
        <v>0.1171303074670571</v>
      </c>
      <c r="K69">
        <v>0.02</v>
      </c>
      <c r="N69">
        <v>0.05</v>
      </c>
      <c r="O69">
        <v>2</v>
      </c>
      <c r="P69">
        <f t="shared" ref="P69:P74" si="15">SQRT((O69^2)+($S$67^2))</f>
        <v>37.733041223839884</v>
      </c>
      <c r="Q69">
        <f t="shared" ref="Q69:Q74" si="16">(O69/$S$67)</f>
        <v>5.3078556263269641E-2</v>
      </c>
    </row>
    <row r="70" spans="1:20" x14ac:dyDescent="0.3">
      <c r="A70">
        <v>0.03</v>
      </c>
      <c r="B70">
        <v>5</v>
      </c>
      <c r="C70">
        <f t="shared" si="13"/>
        <v>34.514091325138487</v>
      </c>
      <c r="D70">
        <f t="shared" si="14"/>
        <v>0.14641288433382138</v>
      </c>
      <c r="K70">
        <v>0.03</v>
      </c>
      <c r="N70">
        <v>0.06</v>
      </c>
      <c r="O70">
        <v>3</v>
      </c>
      <c r="P70">
        <f t="shared" si="15"/>
        <v>37.799238087559388</v>
      </c>
      <c r="Q70">
        <f t="shared" si="16"/>
        <v>7.9617834394904455E-2</v>
      </c>
    </row>
    <row r="71" spans="1:20" x14ac:dyDescent="0.3">
      <c r="A71">
        <v>0.04</v>
      </c>
      <c r="B71">
        <v>6</v>
      </c>
      <c r="C71">
        <f t="shared" si="13"/>
        <v>34.673080336191646</v>
      </c>
      <c r="D71">
        <f t="shared" si="14"/>
        <v>0.17569546120058566</v>
      </c>
      <c r="K71">
        <v>0.04</v>
      </c>
      <c r="N71">
        <v>0.08</v>
      </c>
      <c r="O71">
        <v>4</v>
      </c>
      <c r="P71">
        <f t="shared" si="15"/>
        <v>37.89171941202985</v>
      </c>
      <c r="Q71">
        <f t="shared" si="16"/>
        <v>0.10615711252653928</v>
      </c>
    </row>
    <row r="72" spans="1:20" x14ac:dyDescent="0.3">
      <c r="A72">
        <v>0.06</v>
      </c>
      <c r="B72">
        <v>8</v>
      </c>
      <c r="C72">
        <f t="shared" si="13"/>
        <v>35.07452779439803</v>
      </c>
      <c r="D72">
        <f t="shared" si="14"/>
        <v>0.23426061493411421</v>
      </c>
      <c r="K72">
        <v>0.06</v>
      </c>
      <c r="N72">
        <v>0.1</v>
      </c>
      <c r="O72">
        <v>4.5</v>
      </c>
      <c r="P72">
        <f t="shared" si="15"/>
        <v>37.94775882710335</v>
      </c>
      <c r="Q72">
        <f t="shared" si="16"/>
        <v>0.11942675159235669</v>
      </c>
    </row>
    <row r="73" spans="1:20" x14ac:dyDescent="0.3">
      <c r="A73">
        <v>0.08</v>
      </c>
      <c r="B73">
        <v>9</v>
      </c>
      <c r="C73">
        <f t="shared" si="13"/>
        <v>35.316037433438083</v>
      </c>
      <c r="D73">
        <f t="shared" si="14"/>
        <v>0.26354319180087848</v>
      </c>
      <c r="K73">
        <v>0.08</v>
      </c>
      <c r="N73">
        <v>0.12</v>
      </c>
      <c r="O73">
        <v>5</v>
      </c>
      <c r="P73">
        <f t="shared" si="15"/>
        <v>38.010293342724943</v>
      </c>
      <c r="Q73">
        <f t="shared" si="16"/>
        <v>0.1326963906581741</v>
      </c>
    </row>
    <row r="74" spans="1:20" x14ac:dyDescent="0.3">
      <c r="A74">
        <v>0.1</v>
      </c>
      <c r="B74">
        <v>11</v>
      </c>
      <c r="C74">
        <f t="shared" si="13"/>
        <v>35.877883159406153</v>
      </c>
      <c r="D74">
        <f t="shared" si="14"/>
        <v>0.32210834553440704</v>
      </c>
      <c r="K74">
        <v>0.1</v>
      </c>
      <c r="N74">
        <v>0.14000000000000001</v>
      </c>
      <c r="O74">
        <v>5.0999999999999996</v>
      </c>
      <c r="P74">
        <f t="shared" si="15"/>
        <v>38.023576896446762</v>
      </c>
      <c r="Q74">
        <f t="shared" si="16"/>
        <v>0.13535031847133758</v>
      </c>
    </row>
    <row r="79" spans="1:20" x14ac:dyDescent="0.3">
      <c r="D79">
        <f>TAN(AVERAGE(D67:D74))</f>
        <v>0.16622045576296152</v>
      </c>
      <c r="Q79">
        <f>TAN(AVERAGE(Q67:Q74))</f>
        <v>8.1789932156525524E-2</v>
      </c>
    </row>
    <row r="80" spans="1:20" x14ac:dyDescent="0.3">
      <c r="A80" s="2" t="s">
        <v>98</v>
      </c>
      <c r="B80">
        <f>AVERAGE(A67:A74)/F65</f>
        <v>9.9765258215962372E-3</v>
      </c>
      <c r="C80" s="2" t="s">
        <v>97</v>
      </c>
      <c r="D80">
        <f>(AVERAGE(C67:C74)*TAN(AVERAGE(D67:D74)))/F67</f>
        <v>0.14848353920845325</v>
      </c>
      <c r="N80" s="2" t="s">
        <v>98</v>
      </c>
      <c r="O80">
        <f>AVERAGE(N67:N74)/S65</f>
        <v>1.0586924219910839E-2</v>
      </c>
      <c r="P80" s="2" t="s">
        <v>97</v>
      </c>
      <c r="Q80">
        <f>(AVERAGE(P67:P74)*TAN(AVERAGE(Q67:Q74)))/S67</f>
        <v>7.1929474006199673E-2</v>
      </c>
    </row>
    <row r="81" spans="1:20" x14ac:dyDescent="0.3">
      <c r="B81" s="2" t="s">
        <v>96</v>
      </c>
      <c r="C81">
        <f>B80/D80</f>
        <v>6.7189439817907218E-2</v>
      </c>
      <c r="O81" s="2" t="s">
        <v>96</v>
      </c>
      <c r="P81">
        <f>O80/Q80</f>
        <v>0.14718478573885221</v>
      </c>
    </row>
    <row r="85" spans="1:20" ht="15.6" x14ac:dyDescent="0.35">
      <c r="A85" s="1" t="s">
        <v>11</v>
      </c>
      <c r="B85" s="1" t="s">
        <v>29</v>
      </c>
      <c r="C85" s="2" t="s">
        <v>30</v>
      </c>
      <c r="D85" s="2" t="s">
        <v>31</v>
      </c>
      <c r="E85" s="3" t="s">
        <v>32</v>
      </c>
      <c r="F85" s="4">
        <v>2.94</v>
      </c>
      <c r="G85" s="4" t="s">
        <v>33</v>
      </c>
      <c r="N85" s="1" t="s">
        <v>11</v>
      </c>
      <c r="O85" s="1" t="s">
        <v>29</v>
      </c>
      <c r="P85" s="2" t="s">
        <v>30</v>
      </c>
      <c r="Q85" s="2" t="s">
        <v>31</v>
      </c>
      <c r="R85" s="3" t="s">
        <v>32</v>
      </c>
      <c r="S85" s="4">
        <v>6.7</v>
      </c>
      <c r="T85" s="4" t="s">
        <v>33</v>
      </c>
    </row>
    <row r="86" spans="1:20" x14ac:dyDescent="0.3">
      <c r="A86" s="4" t="s">
        <v>33</v>
      </c>
      <c r="B86" s="4" t="s">
        <v>7</v>
      </c>
      <c r="C86" s="4" t="s">
        <v>7</v>
      </c>
      <c r="D86" s="4" t="s">
        <v>99</v>
      </c>
      <c r="E86" s="3" t="s">
        <v>38</v>
      </c>
      <c r="F86" s="4">
        <v>10.199999999999999</v>
      </c>
      <c r="G86" s="4" t="s">
        <v>7</v>
      </c>
      <c r="N86" s="4" t="s">
        <v>33</v>
      </c>
      <c r="O86" s="4" t="s">
        <v>7</v>
      </c>
      <c r="P86" s="4" t="s">
        <v>7</v>
      </c>
      <c r="Q86" s="4" t="s">
        <v>99</v>
      </c>
      <c r="R86" s="3" t="s">
        <v>38</v>
      </c>
      <c r="S86" s="4">
        <v>10.3</v>
      </c>
      <c r="T86" s="4" t="s">
        <v>7</v>
      </c>
    </row>
    <row r="87" spans="1:20" x14ac:dyDescent="0.3">
      <c r="A87">
        <v>0</v>
      </c>
      <c r="B87">
        <v>0</v>
      </c>
      <c r="C87">
        <v>0</v>
      </c>
      <c r="D87">
        <v>0</v>
      </c>
      <c r="E87" s="3" t="s">
        <v>40</v>
      </c>
      <c r="F87" s="4">
        <v>29.15</v>
      </c>
      <c r="G87" s="4" t="s">
        <v>7</v>
      </c>
      <c r="N87">
        <v>0</v>
      </c>
      <c r="O87">
        <v>0</v>
      </c>
      <c r="P87">
        <v>0</v>
      </c>
      <c r="Q87">
        <v>0</v>
      </c>
      <c r="R87" s="3" t="s">
        <v>40</v>
      </c>
      <c r="S87" s="4">
        <v>37.68</v>
      </c>
      <c r="T87" s="4" t="s">
        <v>7</v>
      </c>
    </row>
    <row r="88" spans="1:20" x14ac:dyDescent="0.3">
      <c r="A88">
        <f>2.95-F85</f>
        <v>1.0000000000000231E-2</v>
      </c>
      <c r="B88">
        <v>4</v>
      </c>
      <c r="C88">
        <f>SQRT((B88^2)+($F$87^2))</f>
        <v>29.423162644420128</v>
      </c>
      <c r="D88">
        <f>(B88/$F$87)</f>
        <v>0.137221269296741</v>
      </c>
      <c r="E88" s="3" t="s">
        <v>1</v>
      </c>
      <c r="F88" s="4">
        <v>0.26</v>
      </c>
      <c r="G88" s="4" t="s">
        <v>7</v>
      </c>
      <c r="N88">
        <f>6.72-S85</f>
        <v>1.9999999999999574E-2</v>
      </c>
      <c r="O88">
        <v>1</v>
      </c>
      <c r="P88">
        <f>SQRT((O88^2)+($S$87^2))</f>
        <v>37.693267303326202</v>
      </c>
      <c r="Q88">
        <f>(O88/$S$87)</f>
        <v>2.6539278131634821E-2</v>
      </c>
      <c r="R88" s="3" t="s">
        <v>1</v>
      </c>
      <c r="S88" s="4">
        <v>0.52</v>
      </c>
      <c r="T88" s="4" t="s">
        <v>7</v>
      </c>
    </row>
    <row r="89" spans="1:20" x14ac:dyDescent="0.3">
      <c r="A89">
        <v>0.02</v>
      </c>
      <c r="B89">
        <v>7</v>
      </c>
      <c r="C89">
        <f t="shared" ref="C89:C94" si="17">SQRT((B89^2)+($F$87^2))</f>
        <v>29.978700772381714</v>
      </c>
      <c r="D89">
        <f t="shared" ref="D89:D94" si="18">(B89/$F$87)</f>
        <v>0.24013722126929676</v>
      </c>
      <c r="N89">
        <v>0.05</v>
      </c>
      <c r="O89">
        <v>2</v>
      </c>
      <c r="P89">
        <f t="shared" ref="P89:P94" si="19">SQRT((O89^2)+($S$87^2))</f>
        <v>37.733041223839884</v>
      </c>
      <c r="Q89">
        <f t="shared" ref="Q89:Q94" si="20">(O89/$S$87)</f>
        <v>5.3078556263269641E-2</v>
      </c>
    </row>
    <row r="90" spans="1:20" x14ac:dyDescent="0.3">
      <c r="A90">
        <v>0.03</v>
      </c>
      <c r="B90">
        <v>9</v>
      </c>
      <c r="C90">
        <f t="shared" si="17"/>
        <v>30.507744918299025</v>
      </c>
      <c r="D90">
        <f t="shared" si="18"/>
        <v>0.30874785591766724</v>
      </c>
      <c r="N90">
        <v>0.09</v>
      </c>
      <c r="O90">
        <v>3</v>
      </c>
      <c r="P90">
        <f t="shared" si="19"/>
        <v>37.799238087559388</v>
      </c>
      <c r="Q90">
        <f t="shared" si="20"/>
        <v>7.9617834394904455E-2</v>
      </c>
    </row>
    <row r="91" spans="1:20" x14ac:dyDescent="0.3">
      <c r="A91">
        <v>0.04</v>
      </c>
      <c r="B91">
        <v>12</v>
      </c>
      <c r="C91">
        <f t="shared" si="17"/>
        <v>31.523364350906455</v>
      </c>
      <c r="D91">
        <f t="shared" si="18"/>
        <v>0.411663807890223</v>
      </c>
      <c r="N91">
        <v>0.13</v>
      </c>
      <c r="O91">
        <v>4</v>
      </c>
      <c r="P91">
        <f t="shared" si="19"/>
        <v>37.89171941202985</v>
      </c>
      <c r="Q91">
        <f t="shared" si="20"/>
        <v>0.10615711252653928</v>
      </c>
    </row>
    <row r="92" spans="1:20" x14ac:dyDescent="0.3">
      <c r="A92">
        <v>0.06</v>
      </c>
      <c r="B92">
        <v>16</v>
      </c>
      <c r="C92">
        <f t="shared" si="17"/>
        <v>33.252405927992633</v>
      </c>
      <c r="D92">
        <f t="shared" si="18"/>
        <v>0.548885077186964</v>
      </c>
      <c r="N92">
        <v>0.17</v>
      </c>
      <c r="O92">
        <v>5</v>
      </c>
      <c r="P92">
        <f t="shared" si="19"/>
        <v>38.010293342724943</v>
      </c>
      <c r="Q92">
        <f t="shared" si="20"/>
        <v>0.1326963906581741</v>
      </c>
    </row>
    <row r="93" spans="1:20" x14ac:dyDescent="0.3">
      <c r="A93">
        <v>0.08</v>
      </c>
      <c r="B93">
        <v>20</v>
      </c>
      <c r="C93">
        <f t="shared" si="17"/>
        <v>35.351414398861046</v>
      </c>
      <c r="D93">
        <f t="shared" si="18"/>
        <v>0.68610634648370505</v>
      </c>
      <c r="N93">
        <v>0.19</v>
      </c>
      <c r="O93">
        <v>6</v>
      </c>
      <c r="P93">
        <f t="shared" si="19"/>
        <v>38.154716615380593</v>
      </c>
      <c r="Q93">
        <f t="shared" si="20"/>
        <v>0.15923566878980891</v>
      </c>
    </row>
    <row r="94" spans="1:20" x14ac:dyDescent="0.3">
      <c r="A94">
        <v>0.09</v>
      </c>
      <c r="B94">
        <v>22</v>
      </c>
      <c r="C94">
        <f t="shared" si="17"/>
        <v>36.520165662274863</v>
      </c>
      <c r="D94">
        <f t="shared" si="18"/>
        <v>0.75471698113207553</v>
      </c>
      <c r="N94">
        <v>0.24</v>
      </c>
      <c r="O94">
        <v>7</v>
      </c>
      <c r="P94">
        <f t="shared" si="19"/>
        <v>38.324696998149903</v>
      </c>
      <c r="Q94">
        <f t="shared" si="20"/>
        <v>0.18577494692144375</v>
      </c>
    </row>
    <row r="99" spans="1:20" x14ac:dyDescent="0.3">
      <c r="D99">
        <f>TAN(AVERAGE(D87:D94))</f>
        <v>0.40631075865577237</v>
      </c>
      <c r="Q99">
        <f>TAN(AVERAGE(Q87:Q94))</f>
        <v>9.3155545613305579E-2</v>
      </c>
    </row>
    <row r="100" spans="1:20" x14ac:dyDescent="0.3">
      <c r="A100" s="2" t="s">
        <v>98</v>
      </c>
      <c r="B100">
        <f>AVERAGE(A87:A94)/F85</f>
        <v>1.4030612244897968E-2</v>
      </c>
      <c r="C100" s="2" t="s">
        <v>97</v>
      </c>
      <c r="D100">
        <f>(AVERAGE(C87:C94)*TAN(AVERAGE(D87:D94)))/F87</f>
        <v>0.39473640548044142</v>
      </c>
      <c r="N100" s="2" t="s">
        <v>98</v>
      </c>
      <c r="O100">
        <f>AVERAGE(N87:N94)/S85</f>
        <v>1.6604477611940293E-2</v>
      </c>
      <c r="P100" s="2" t="s">
        <v>97</v>
      </c>
      <c r="Q100">
        <f>(AVERAGE(P87:P94)*TAN(AVERAGE(Q87:Q94)))/S87</f>
        <v>8.2081881923204897E-2</v>
      </c>
    </row>
    <row r="101" spans="1:20" x14ac:dyDescent="0.3">
      <c r="B101" s="2" t="s">
        <v>96</v>
      </c>
      <c r="C101">
        <f>B100/D100</f>
        <v>3.5544257003153876E-2</v>
      </c>
      <c r="O101" s="2" t="s">
        <v>96</v>
      </c>
      <c r="P101">
        <f>O100/Q100</f>
        <v>0.20229162907686862</v>
      </c>
    </row>
    <row r="105" spans="1:20" ht="15.6" x14ac:dyDescent="0.35">
      <c r="A105" s="1" t="s">
        <v>11</v>
      </c>
      <c r="B105" s="1" t="s">
        <v>29</v>
      </c>
      <c r="C105" s="2" t="s">
        <v>30</v>
      </c>
      <c r="D105" s="2" t="s">
        <v>31</v>
      </c>
      <c r="E105" s="3" t="s">
        <v>32</v>
      </c>
      <c r="F105" s="4">
        <v>2.91</v>
      </c>
      <c r="G105" s="4" t="s">
        <v>33</v>
      </c>
      <c r="N105" s="1" t="s">
        <v>11</v>
      </c>
      <c r="O105" s="1" t="s">
        <v>29</v>
      </c>
      <c r="P105" s="2" t="s">
        <v>30</v>
      </c>
      <c r="Q105" s="2" t="s">
        <v>31</v>
      </c>
      <c r="R105" s="3" t="s">
        <v>32</v>
      </c>
      <c r="S105" s="4">
        <v>6.8</v>
      </c>
      <c r="T105" s="4" t="s">
        <v>33</v>
      </c>
    </row>
    <row r="106" spans="1:20" x14ac:dyDescent="0.3">
      <c r="A106" s="4" t="s">
        <v>33</v>
      </c>
      <c r="B106" s="4" t="s">
        <v>7</v>
      </c>
      <c r="C106" s="4" t="s">
        <v>7</v>
      </c>
      <c r="D106" s="4" t="s">
        <v>99</v>
      </c>
      <c r="E106" s="3" t="s">
        <v>38</v>
      </c>
      <c r="F106" s="4">
        <v>10</v>
      </c>
      <c r="G106" s="4" t="s">
        <v>7</v>
      </c>
      <c r="N106" s="4" t="s">
        <v>33</v>
      </c>
      <c r="O106" s="4" t="s">
        <v>7</v>
      </c>
      <c r="P106" s="4" t="s">
        <v>7</v>
      </c>
      <c r="Q106" s="4" t="s">
        <v>99</v>
      </c>
      <c r="R106" s="3" t="s">
        <v>38</v>
      </c>
      <c r="S106" s="4">
        <v>10.3</v>
      </c>
      <c r="T106" s="4" t="s">
        <v>7</v>
      </c>
    </row>
    <row r="107" spans="1:20" x14ac:dyDescent="0.3">
      <c r="A107">
        <v>0</v>
      </c>
      <c r="B107">
        <v>0</v>
      </c>
      <c r="C107">
        <v>0</v>
      </c>
      <c r="D107">
        <v>0</v>
      </c>
      <c r="E107" s="3" t="s">
        <v>40</v>
      </c>
      <c r="F107" s="4">
        <v>24.15</v>
      </c>
      <c r="G107" s="4" t="s">
        <v>7</v>
      </c>
      <c r="N107">
        <v>0</v>
      </c>
      <c r="O107">
        <v>0</v>
      </c>
      <c r="P107">
        <v>0</v>
      </c>
      <c r="Q107">
        <v>0</v>
      </c>
      <c r="R107" s="3" t="s">
        <v>40</v>
      </c>
      <c r="S107" s="4">
        <v>37.68</v>
      </c>
      <c r="T107" s="4" t="s">
        <v>7</v>
      </c>
    </row>
    <row r="108" spans="1:20" x14ac:dyDescent="0.3">
      <c r="A108">
        <f>2.92-F105</f>
        <v>9.9999999999997868E-3</v>
      </c>
      <c r="B108">
        <v>4</v>
      </c>
      <c r="C108">
        <f>SQRT((B108^2)+($F$107^2))</f>
        <v>24.479021630776014</v>
      </c>
      <c r="D108">
        <f>(B108/$F$107)</f>
        <v>0.16563146997929606</v>
      </c>
      <c r="E108" s="3" t="s">
        <v>1</v>
      </c>
      <c r="F108" s="4">
        <v>0.26</v>
      </c>
      <c r="G108" s="4" t="s">
        <v>7</v>
      </c>
      <c r="N108">
        <f>10.3-S106</f>
        <v>0</v>
      </c>
      <c r="O108">
        <v>1</v>
      </c>
      <c r="P108">
        <f>SQRT((O108^2)+($S$107^2))</f>
        <v>37.693267303326202</v>
      </c>
      <c r="Q108">
        <f>(O108/$S$107)</f>
        <v>2.6539278131634821E-2</v>
      </c>
      <c r="R108" s="3" t="s">
        <v>1</v>
      </c>
      <c r="S108" s="4">
        <v>1.3</v>
      </c>
      <c r="T108" s="4" t="s">
        <v>7</v>
      </c>
    </row>
    <row r="109" spans="1:20" x14ac:dyDescent="0.3">
      <c r="A109">
        <v>0.02</v>
      </c>
      <c r="B109">
        <v>6</v>
      </c>
      <c r="C109">
        <f t="shared" ref="C109:C114" si="21">SQRT((B109^2)+($F$107^2))</f>
        <v>24.884181722532087</v>
      </c>
      <c r="D109">
        <f t="shared" ref="D109:D114" si="22">(B109/$F$107)</f>
        <v>0.24844720496894412</v>
      </c>
      <c r="N109">
        <v>0.08</v>
      </c>
      <c r="O109">
        <v>2</v>
      </c>
      <c r="P109">
        <f t="shared" ref="P109:P114" si="23">SQRT((O109^2)+($S$107^2))</f>
        <v>37.733041223839884</v>
      </c>
      <c r="Q109">
        <f t="shared" ref="Q109:Q114" si="24">(O109/$S$107)</f>
        <v>5.3078556263269641E-2</v>
      </c>
    </row>
    <row r="110" spans="1:20" x14ac:dyDescent="0.3">
      <c r="A110">
        <v>0.03</v>
      </c>
      <c r="B110">
        <v>7</v>
      </c>
      <c r="C110">
        <f t="shared" si="21"/>
        <v>25.144035077926532</v>
      </c>
      <c r="D110">
        <f t="shared" si="22"/>
        <v>0.28985507246376813</v>
      </c>
      <c r="N110">
        <v>0.12</v>
      </c>
      <c r="O110">
        <v>3</v>
      </c>
      <c r="P110">
        <f t="shared" si="23"/>
        <v>37.799238087559388</v>
      </c>
      <c r="Q110">
        <f t="shared" si="24"/>
        <v>7.9617834394904455E-2</v>
      </c>
    </row>
    <row r="111" spans="1:20" x14ac:dyDescent="0.3">
      <c r="A111">
        <v>0.04</v>
      </c>
      <c r="B111">
        <v>9</v>
      </c>
      <c r="C111">
        <f t="shared" si="21"/>
        <v>25.772514429135548</v>
      </c>
      <c r="D111">
        <f t="shared" si="22"/>
        <v>0.37267080745341619</v>
      </c>
      <c r="N111">
        <v>0.17</v>
      </c>
      <c r="O111">
        <v>4</v>
      </c>
      <c r="P111">
        <f t="shared" si="23"/>
        <v>37.89171941202985</v>
      </c>
      <c r="Q111">
        <f t="shared" si="24"/>
        <v>0.10615711252653928</v>
      </c>
    </row>
    <row r="112" spans="1:20" x14ac:dyDescent="0.3">
      <c r="A112">
        <v>0.06</v>
      </c>
      <c r="B112">
        <v>13</v>
      </c>
      <c r="C112">
        <f t="shared" si="21"/>
        <v>27.426674971640292</v>
      </c>
      <c r="D112">
        <f t="shared" si="22"/>
        <v>0.5383022774327122</v>
      </c>
      <c r="N112">
        <v>0.21</v>
      </c>
      <c r="O112">
        <v>5</v>
      </c>
      <c r="P112">
        <f t="shared" si="23"/>
        <v>38.010293342724943</v>
      </c>
      <c r="Q112">
        <f t="shared" si="24"/>
        <v>0.1326963906581741</v>
      </c>
    </row>
    <row r="113" spans="1:17" x14ac:dyDescent="0.3">
      <c r="A113">
        <v>0.08</v>
      </c>
      <c r="B113">
        <v>16</v>
      </c>
      <c r="C113">
        <f t="shared" si="21"/>
        <v>28.969337237845121</v>
      </c>
      <c r="D113">
        <f t="shared" si="22"/>
        <v>0.66252587991718426</v>
      </c>
      <c r="N113">
        <v>0.25</v>
      </c>
      <c r="O113">
        <v>6</v>
      </c>
      <c r="P113">
        <f t="shared" si="23"/>
        <v>38.154716615380593</v>
      </c>
      <c r="Q113">
        <f t="shared" si="24"/>
        <v>0.15923566878980891</v>
      </c>
    </row>
    <row r="114" spans="1:17" x14ac:dyDescent="0.3">
      <c r="A114">
        <v>0.09</v>
      </c>
      <c r="B114">
        <v>18</v>
      </c>
      <c r="C114">
        <f t="shared" si="21"/>
        <v>30.120134461851261</v>
      </c>
      <c r="D114">
        <f t="shared" si="22"/>
        <v>0.74534161490683237</v>
      </c>
      <c r="N114">
        <v>0.32</v>
      </c>
      <c r="O114">
        <v>7</v>
      </c>
      <c r="P114">
        <f t="shared" si="23"/>
        <v>38.324696998149903</v>
      </c>
      <c r="Q114">
        <f t="shared" si="24"/>
        <v>0.18577494692144375</v>
      </c>
    </row>
    <row r="119" spans="1:17" x14ac:dyDescent="0.3">
      <c r="D119">
        <f>TAN(AVERAGE(D107:D114))</f>
        <v>0.39691815129292773</v>
      </c>
      <c r="Q119">
        <f>TAN(AVERAGE(Q107:Q114))</f>
        <v>9.3155545613305579E-2</v>
      </c>
    </row>
    <row r="120" spans="1:17" x14ac:dyDescent="0.3">
      <c r="A120" s="2" t="s">
        <v>98</v>
      </c>
      <c r="B120">
        <f>AVERAGE(A107:A114)/F105</f>
        <v>1.4175257731958751E-2</v>
      </c>
      <c r="C120" s="2" t="s">
        <v>97</v>
      </c>
      <c r="D120">
        <f>(AVERAGE(C107:C114)*TAN(AVERAGE(D107:D114)))/F107</f>
        <v>0.38376129974753909</v>
      </c>
      <c r="N120" s="2" t="s">
        <v>98</v>
      </c>
      <c r="O120">
        <f>AVERAGE(N107:N114)/S105</f>
        <v>2.1139705882352939E-2</v>
      </c>
      <c r="P120" s="2" t="s">
        <v>97</v>
      </c>
      <c r="Q120">
        <f>(AVERAGE(P107:P114)*TAN(AVERAGE(Q107:Q114)))/S107</f>
        <v>8.2081881923204897E-2</v>
      </c>
    </row>
    <row r="121" spans="1:17" x14ac:dyDescent="0.3">
      <c r="B121" s="2" t="s">
        <v>96</v>
      </c>
      <c r="C121">
        <f>B120/D120</f>
        <v>3.6937694710967667E-2</v>
      </c>
      <c r="O121" s="2" t="s">
        <v>96</v>
      </c>
      <c r="P121">
        <f>O120/Q120</f>
        <v>0.25754411798368693</v>
      </c>
    </row>
    <row r="125" spans="1:17" ht="15.6" x14ac:dyDescent="0.35">
      <c r="A125" s="1" t="s">
        <v>11</v>
      </c>
      <c r="B125" s="1" t="s">
        <v>29</v>
      </c>
      <c r="C125" s="2" t="s">
        <v>30</v>
      </c>
      <c r="D125" s="2" t="s">
        <v>31</v>
      </c>
      <c r="E125" s="3" t="s">
        <v>32</v>
      </c>
      <c r="F125" s="4">
        <v>2.9</v>
      </c>
      <c r="G125" s="4" t="s">
        <v>33</v>
      </c>
    </row>
    <row r="126" spans="1:17" x14ac:dyDescent="0.3">
      <c r="A126" s="4" t="s">
        <v>33</v>
      </c>
      <c r="B126" s="4" t="s">
        <v>7</v>
      </c>
      <c r="C126" s="4" t="s">
        <v>7</v>
      </c>
      <c r="D126" s="4" t="s">
        <v>99</v>
      </c>
      <c r="E126" s="3" t="s">
        <v>38</v>
      </c>
      <c r="F126" s="4">
        <v>9.9</v>
      </c>
      <c r="G126" s="4" t="s">
        <v>7</v>
      </c>
    </row>
    <row r="127" spans="1:17" x14ac:dyDescent="0.3">
      <c r="A127">
        <v>0</v>
      </c>
      <c r="B127">
        <v>0</v>
      </c>
      <c r="C127">
        <v>0</v>
      </c>
      <c r="D127">
        <v>0</v>
      </c>
      <c r="E127" s="3" t="s">
        <v>40</v>
      </c>
      <c r="F127" s="4">
        <v>19.149999999999999</v>
      </c>
      <c r="G127" s="4" t="s">
        <v>7</v>
      </c>
    </row>
    <row r="128" spans="1:17" x14ac:dyDescent="0.3">
      <c r="A128">
        <f>2.91-F125</f>
        <v>1.0000000000000231E-2</v>
      </c>
      <c r="B128">
        <v>5</v>
      </c>
      <c r="C128">
        <f>SQRT((B128^2)+($F$127^2))</f>
        <v>19.791980699263021</v>
      </c>
      <c r="D128">
        <f>(B128/$F$127)</f>
        <v>0.26109660574412535</v>
      </c>
      <c r="E128" s="3" t="s">
        <v>1</v>
      </c>
      <c r="F128" s="4">
        <v>0.26</v>
      </c>
      <c r="G128" s="4" t="s">
        <v>7</v>
      </c>
    </row>
    <row r="129" spans="1:11" x14ac:dyDescent="0.3">
      <c r="A129">
        <v>0.02</v>
      </c>
      <c r="B129">
        <v>9</v>
      </c>
      <c r="C129">
        <f t="shared" ref="C129:C134" si="25">SQRT((B129^2)+($F$127^2))</f>
        <v>21.159454151749756</v>
      </c>
      <c r="D129">
        <f t="shared" ref="D129:D134" si="26">(B129/$F$127)</f>
        <v>0.4699738903394256</v>
      </c>
    </row>
    <row r="130" spans="1:11" x14ac:dyDescent="0.3">
      <c r="A130">
        <v>0.03</v>
      </c>
      <c r="B130">
        <v>12</v>
      </c>
      <c r="C130">
        <f t="shared" si="25"/>
        <v>22.599170338753588</v>
      </c>
      <c r="D130">
        <f t="shared" si="26"/>
        <v>0.62663185378590081</v>
      </c>
    </row>
    <row r="131" spans="1:11" x14ac:dyDescent="0.3">
      <c r="A131">
        <v>0.04</v>
      </c>
      <c r="B131">
        <v>15</v>
      </c>
      <c r="C131">
        <f t="shared" si="25"/>
        <v>24.325346862891802</v>
      </c>
      <c r="D131">
        <f t="shared" si="26"/>
        <v>0.78328981723237601</v>
      </c>
    </row>
    <row r="132" spans="1:11" x14ac:dyDescent="0.3">
      <c r="A132">
        <v>0.05</v>
      </c>
      <c r="B132">
        <v>17</v>
      </c>
      <c r="C132">
        <f t="shared" si="25"/>
        <v>25.607079099342823</v>
      </c>
      <c r="D132">
        <f t="shared" si="26"/>
        <v>0.88772845953002621</v>
      </c>
    </row>
    <row r="133" spans="1:11" x14ac:dyDescent="0.3">
      <c r="A133">
        <v>0.06</v>
      </c>
      <c r="B133">
        <v>18</v>
      </c>
      <c r="C133">
        <f t="shared" si="25"/>
        <v>26.281600027395591</v>
      </c>
      <c r="D133">
        <f t="shared" si="26"/>
        <v>0.93994778067885121</v>
      </c>
    </row>
    <row r="134" spans="1:11" x14ac:dyDescent="0.3">
      <c r="A134">
        <v>7.0000000000000007E-2</v>
      </c>
      <c r="B134">
        <v>21</v>
      </c>
      <c r="C134">
        <f t="shared" si="25"/>
        <v>28.420459179963999</v>
      </c>
      <c r="D134">
        <f t="shared" si="26"/>
        <v>1.0966057441253265</v>
      </c>
    </row>
    <row r="139" spans="1:11" x14ac:dyDescent="0.3">
      <c r="D139">
        <f>TAN(AVERAGE(D127:D134))</f>
        <v>0.73396467956713518</v>
      </c>
    </row>
    <row r="140" spans="1:11" x14ac:dyDescent="0.3">
      <c r="A140" s="2" t="s">
        <v>98</v>
      </c>
      <c r="B140">
        <f>AVERAGE(A127:A134)/F125</f>
        <v>1.206896551724139E-2</v>
      </c>
      <c r="C140" s="2" t="s">
        <v>97</v>
      </c>
      <c r="D140">
        <f>(AVERAGE(C127:C134)*TAN(AVERAGE(D127:D134)))/F127</f>
        <v>0.80575663155076871</v>
      </c>
    </row>
    <row r="141" spans="1:11" x14ac:dyDescent="0.3">
      <c r="B141" s="2" t="s">
        <v>96</v>
      </c>
      <c r="C141">
        <f>B140/D140</f>
        <v>1.4978425301959124E-2</v>
      </c>
    </row>
    <row r="144" spans="1:11" ht="15.6" x14ac:dyDescent="0.35">
      <c r="A144" s="1" t="s">
        <v>11</v>
      </c>
      <c r="B144" s="1" t="s">
        <v>29</v>
      </c>
      <c r="C144" s="2" t="s">
        <v>30</v>
      </c>
      <c r="D144" s="2" t="s">
        <v>31</v>
      </c>
      <c r="E144" s="3" t="s">
        <v>32</v>
      </c>
      <c r="F144" s="4">
        <v>132</v>
      </c>
      <c r="G144" s="4" t="s">
        <v>33</v>
      </c>
      <c r="K144" s="4" t="s">
        <v>34</v>
      </c>
    </row>
    <row r="145" spans="1:11" x14ac:dyDescent="0.3">
      <c r="A145" s="4" t="s">
        <v>33</v>
      </c>
      <c r="B145" s="4" t="s">
        <v>7</v>
      </c>
      <c r="C145" s="4" t="s">
        <v>7</v>
      </c>
      <c r="D145" s="4" t="s">
        <v>99</v>
      </c>
      <c r="E145" s="3" t="s">
        <v>38</v>
      </c>
      <c r="F145" s="4">
        <v>10.3</v>
      </c>
      <c r="G145" s="4" t="s">
        <v>7</v>
      </c>
    </row>
    <row r="146" spans="1:11" x14ac:dyDescent="0.3">
      <c r="A146">
        <f>K146-$F$144</f>
        <v>0</v>
      </c>
      <c r="B146">
        <v>0</v>
      </c>
      <c r="C146">
        <v>0</v>
      </c>
      <c r="D146">
        <v>0</v>
      </c>
      <c r="E146" s="3" t="s">
        <v>40</v>
      </c>
      <c r="F146" s="4">
        <v>64.150000000000006</v>
      </c>
      <c r="G146" s="4" t="s">
        <v>7</v>
      </c>
      <c r="K146">
        <v>132</v>
      </c>
    </row>
    <row r="147" spans="1:11" x14ac:dyDescent="0.3">
      <c r="A147">
        <f t="shared" ref="A147:A151" si="27">K147-$F$144</f>
        <v>0.40000000000000568</v>
      </c>
      <c r="B147">
        <v>5</v>
      </c>
      <c r="C147">
        <f>SQRT((B147^2)+($F$146^2))</f>
        <v>64.344560764683138</v>
      </c>
      <c r="D147">
        <f>(B147/$F$146)</f>
        <v>7.7942322681215898E-2</v>
      </c>
      <c r="E147" s="3" t="s">
        <v>1</v>
      </c>
      <c r="F147" s="4">
        <v>0.26</v>
      </c>
      <c r="G147" s="4" t="s">
        <v>7</v>
      </c>
      <c r="K147">
        <v>132.4</v>
      </c>
    </row>
    <row r="148" spans="1:11" x14ac:dyDescent="0.3">
      <c r="A148">
        <f t="shared" si="27"/>
        <v>0.59999999999999432</v>
      </c>
      <c r="B148">
        <v>10</v>
      </c>
      <c r="C148">
        <f t="shared" ref="C148:C151" si="28">SQRT((B148^2)+($F$146^2))</f>
        <v>64.924744897458012</v>
      </c>
      <c r="D148">
        <f t="shared" ref="D148:D151" si="29">(B148/$F$146)</f>
        <v>0.1558846453624318</v>
      </c>
      <c r="K148">
        <v>132.6</v>
      </c>
    </row>
    <row r="149" spans="1:11" x14ac:dyDescent="0.3">
      <c r="A149">
        <f t="shared" si="27"/>
        <v>0.80000000000001137</v>
      </c>
      <c r="B149">
        <v>15</v>
      </c>
      <c r="C149">
        <f t="shared" si="28"/>
        <v>65.880365056669206</v>
      </c>
      <c r="D149">
        <f t="shared" si="29"/>
        <v>0.23382696804364769</v>
      </c>
      <c r="K149">
        <v>132.80000000000001</v>
      </c>
    </row>
    <row r="150" spans="1:11" x14ac:dyDescent="0.3">
      <c r="A150">
        <f t="shared" si="27"/>
        <v>0.69999999999998863</v>
      </c>
      <c r="B150">
        <v>20</v>
      </c>
      <c r="C150">
        <f t="shared" si="28"/>
        <v>67.195405348877841</v>
      </c>
      <c r="D150">
        <f t="shared" si="29"/>
        <v>0.31176929072486359</v>
      </c>
      <c r="K150">
        <v>132.69999999999999</v>
      </c>
    </row>
    <row r="151" spans="1:11" x14ac:dyDescent="0.3">
      <c r="A151">
        <f t="shared" si="27"/>
        <v>1.3000000000000114</v>
      </c>
      <c r="B151">
        <v>25</v>
      </c>
      <c r="C151">
        <f t="shared" si="28"/>
        <v>68.849273779757482</v>
      </c>
      <c r="D151">
        <f t="shared" si="29"/>
        <v>0.38971161340607946</v>
      </c>
      <c r="K151">
        <v>133.30000000000001</v>
      </c>
    </row>
    <row r="159" spans="1:11" x14ac:dyDescent="0.3">
      <c r="D159">
        <f>TAN(AVERAGE(D146:D151))</f>
        <v>0.1973599920446637</v>
      </c>
    </row>
    <row r="160" spans="1:11" x14ac:dyDescent="0.3">
      <c r="A160" s="2" t="s">
        <v>98</v>
      </c>
      <c r="B160">
        <f>AVERAGE(A146:A151)/F144</f>
        <v>4.7979797979798124E-3</v>
      </c>
      <c r="C160" s="2" t="s">
        <v>97</v>
      </c>
      <c r="D160">
        <f>(AVERAGE(C146:C151)*TAN(AVERAGE(D146:D151)))/F146</f>
        <v>0.16982206872208219</v>
      </c>
    </row>
    <row r="161" spans="1:11" x14ac:dyDescent="0.3">
      <c r="B161" s="2" t="s">
        <v>96</v>
      </c>
      <c r="C161">
        <f>B160/D160</f>
        <v>2.8252981688921829E-2</v>
      </c>
    </row>
    <row r="164" spans="1:11" ht="15.6" x14ac:dyDescent="0.35">
      <c r="A164" s="1" t="s">
        <v>11</v>
      </c>
      <c r="B164" s="1" t="s">
        <v>29</v>
      </c>
      <c r="C164" s="2" t="s">
        <v>30</v>
      </c>
      <c r="D164" s="2" t="s">
        <v>31</v>
      </c>
      <c r="E164" s="3" t="s">
        <v>32</v>
      </c>
      <c r="F164" s="4">
        <v>130</v>
      </c>
      <c r="G164" s="4" t="s">
        <v>33</v>
      </c>
      <c r="K164" s="4" t="s">
        <v>34</v>
      </c>
    </row>
    <row r="165" spans="1:11" x14ac:dyDescent="0.3">
      <c r="A165" s="4" t="s">
        <v>33</v>
      </c>
      <c r="B165" s="4" t="s">
        <v>7</v>
      </c>
      <c r="C165" s="4" t="s">
        <v>7</v>
      </c>
      <c r="D165" s="4" t="s">
        <v>99</v>
      </c>
      <c r="E165" s="3" t="s">
        <v>38</v>
      </c>
      <c r="F165" s="4">
        <v>10.3</v>
      </c>
      <c r="G165" s="4" t="s">
        <v>7</v>
      </c>
    </row>
    <row r="166" spans="1:11" x14ac:dyDescent="0.3">
      <c r="A166">
        <f t="shared" ref="A166:A171" si="30">K166-$F$164</f>
        <v>0</v>
      </c>
      <c r="B166">
        <v>0</v>
      </c>
      <c r="C166">
        <v>0</v>
      </c>
      <c r="D166">
        <v>0</v>
      </c>
      <c r="E166" s="3" t="s">
        <v>40</v>
      </c>
      <c r="F166" s="4">
        <v>59.15</v>
      </c>
      <c r="G166" s="4" t="s">
        <v>7</v>
      </c>
      <c r="K166">
        <v>130</v>
      </c>
    </row>
    <row r="167" spans="1:11" x14ac:dyDescent="0.3">
      <c r="A167">
        <f t="shared" si="30"/>
        <v>0.19999999999998863</v>
      </c>
      <c r="B167">
        <v>5</v>
      </c>
      <c r="C167">
        <f>SQRT((B167^2)+($F$166^2))</f>
        <v>59.360950969471503</v>
      </c>
      <c r="D167">
        <f>(B167/$F$166)</f>
        <v>8.453085376162299E-2</v>
      </c>
      <c r="E167" s="3" t="s">
        <v>1</v>
      </c>
      <c r="F167" s="4">
        <v>0.26</v>
      </c>
      <c r="G167" s="4" t="s">
        <v>7</v>
      </c>
      <c r="K167">
        <v>130.19999999999999</v>
      </c>
    </row>
    <row r="168" spans="1:11" x14ac:dyDescent="0.3">
      <c r="A168">
        <f t="shared" si="30"/>
        <v>0.5</v>
      </c>
      <c r="B168">
        <v>10</v>
      </c>
      <c r="C168">
        <f t="shared" ref="C168:C171" si="31">SQRT((B168^2)+($F$166^2))</f>
        <v>59.989353222050994</v>
      </c>
      <c r="D168">
        <f t="shared" ref="D168:D171" si="32">(B168/$F$166)</f>
        <v>0.16906170752324598</v>
      </c>
      <c r="K168">
        <v>130.5</v>
      </c>
    </row>
    <row r="169" spans="1:11" x14ac:dyDescent="0.3">
      <c r="A169">
        <f t="shared" si="30"/>
        <v>0.80000000000001137</v>
      </c>
      <c r="B169">
        <v>15</v>
      </c>
      <c r="C169">
        <f t="shared" si="31"/>
        <v>61.022311493420176</v>
      </c>
      <c r="D169">
        <f t="shared" si="32"/>
        <v>0.25359256128486896</v>
      </c>
      <c r="K169">
        <v>130.80000000000001</v>
      </c>
    </row>
    <row r="170" spans="1:11" x14ac:dyDescent="0.3">
      <c r="A170">
        <f t="shared" si="30"/>
        <v>1.3000000000000114</v>
      </c>
      <c r="B170">
        <v>20</v>
      </c>
      <c r="C170">
        <f t="shared" si="31"/>
        <v>62.43975096042584</v>
      </c>
      <c r="D170">
        <f t="shared" si="32"/>
        <v>0.33812341504649196</v>
      </c>
      <c r="K170">
        <v>131.30000000000001</v>
      </c>
    </row>
    <row r="171" spans="1:11" x14ac:dyDescent="0.3">
      <c r="A171">
        <f t="shared" si="30"/>
        <v>1.4000000000000057</v>
      </c>
      <c r="B171">
        <v>25</v>
      </c>
      <c r="C171">
        <f t="shared" si="31"/>
        <v>64.216216799185545</v>
      </c>
      <c r="D171">
        <f t="shared" si="32"/>
        <v>0.42265426880811496</v>
      </c>
      <c r="K171">
        <v>131.4</v>
      </c>
    </row>
    <row r="179" spans="1:11" x14ac:dyDescent="0.3">
      <c r="D179">
        <f>TAN(AVERAGE(D166:D171))</f>
        <v>0.21453026349198787</v>
      </c>
    </row>
    <row r="180" spans="1:11" x14ac:dyDescent="0.3">
      <c r="A180" s="2" t="s">
        <v>98</v>
      </c>
      <c r="B180">
        <f>AVERAGE(A166:A171)/F164</f>
        <v>5.3846153846154061E-3</v>
      </c>
      <c r="C180" s="2" t="s">
        <v>97</v>
      </c>
      <c r="D180">
        <f>(AVERAGE(C166:C171)*TAN(AVERAGE(D166:D171)))/F166</f>
        <v>0.18559290759631436</v>
      </c>
    </row>
    <row r="181" spans="1:11" x14ac:dyDescent="0.3">
      <c r="B181" s="2" t="s">
        <v>96</v>
      </c>
      <c r="C181">
        <f>B180/D180</f>
        <v>2.9013045026093108E-2</v>
      </c>
    </row>
    <row r="184" spans="1:11" ht="15.6" x14ac:dyDescent="0.35">
      <c r="A184" s="1" t="s">
        <v>11</v>
      </c>
      <c r="B184" s="1" t="s">
        <v>29</v>
      </c>
      <c r="C184" s="2" t="s">
        <v>30</v>
      </c>
      <c r="D184" s="2" t="s">
        <v>31</v>
      </c>
      <c r="E184" s="3" t="s">
        <v>32</v>
      </c>
      <c r="F184" s="4">
        <v>129.5</v>
      </c>
      <c r="G184" s="4" t="s">
        <v>33</v>
      </c>
      <c r="K184" s="4" t="s">
        <v>34</v>
      </c>
    </row>
    <row r="185" spans="1:11" x14ac:dyDescent="0.3">
      <c r="A185" s="4" t="s">
        <v>33</v>
      </c>
      <c r="B185" s="4" t="s">
        <v>7</v>
      </c>
      <c r="C185" s="4" t="s">
        <v>7</v>
      </c>
      <c r="D185" s="4" t="s">
        <v>99</v>
      </c>
      <c r="E185" s="3" t="s">
        <v>38</v>
      </c>
      <c r="F185" s="4">
        <v>10.3</v>
      </c>
      <c r="G185" s="4" t="s">
        <v>7</v>
      </c>
    </row>
    <row r="186" spans="1:11" x14ac:dyDescent="0.3">
      <c r="A186">
        <f t="shared" ref="A186:A191" si="33">K186-$F$184</f>
        <v>0</v>
      </c>
      <c r="B186">
        <v>0</v>
      </c>
      <c r="C186">
        <v>0</v>
      </c>
      <c r="D186">
        <v>0</v>
      </c>
      <c r="E186" s="3" t="s">
        <v>40</v>
      </c>
      <c r="F186" s="4">
        <v>54.15</v>
      </c>
      <c r="G186" s="4" t="s">
        <v>7</v>
      </c>
      <c r="K186">
        <v>129.5</v>
      </c>
    </row>
    <row r="187" spans="1:11" x14ac:dyDescent="0.3">
      <c r="A187">
        <f t="shared" si="33"/>
        <v>-0.19999999999998863</v>
      </c>
      <c r="B187">
        <v>5</v>
      </c>
      <c r="C187">
        <f>SQRT((B187^2)+($F$186^2))</f>
        <v>54.380350311486595</v>
      </c>
      <c r="D187">
        <f>(B187/$F$186)</f>
        <v>9.2336103416435833E-2</v>
      </c>
      <c r="E187" s="3" t="s">
        <v>1</v>
      </c>
      <c r="F187" s="4">
        <v>0.26</v>
      </c>
      <c r="G187" s="4" t="s">
        <v>7</v>
      </c>
      <c r="K187">
        <v>129.30000000000001</v>
      </c>
    </row>
    <row r="188" spans="1:11" x14ac:dyDescent="0.3">
      <c r="A188">
        <f t="shared" si="33"/>
        <v>0.30000000000001137</v>
      </c>
      <c r="B188">
        <v>10</v>
      </c>
      <c r="C188">
        <f t="shared" ref="C188:C191" si="34">SQRT((B188^2)+($F$186^2))</f>
        <v>55.06561994566119</v>
      </c>
      <c r="D188">
        <f t="shared" ref="D188:D191" si="35">(B188/$F$186)</f>
        <v>0.18467220683287167</v>
      </c>
      <c r="K188">
        <v>129.80000000000001</v>
      </c>
    </row>
    <row r="189" spans="1:11" x14ac:dyDescent="0.3">
      <c r="A189">
        <f t="shared" si="33"/>
        <v>0.69999999999998863</v>
      </c>
      <c r="B189">
        <v>15</v>
      </c>
      <c r="C189">
        <f t="shared" si="34"/>
        <v>56.189167105412764</v>
      </c>
      <c r="D189">
        <f t="shared" si="35"/>
        <v>0.2770083102493075</v>
      </c>
      <c r="K189">
        <v>130.19999999999999</v>
      </c>
    </row>
    <row r="190" spans="1:11" x14ac:dyDescent="0.3">
      <c r="A190">
        <f t="shared" si="33"/>
        <v>0.59999999999999432</v>
      </c>
      <c r="B190">
        <v>20</v>
      </c>
      <c r="C190">
        <f t="shared" si="34"/>
        <v>57.725406018494141</v>
      </c>
      <c r="D190">
        <f t="shared" si="35"/>
        <v>0.36934441366574333</v>
      </c>
      <c r="K190">
        <v>130.1</v>
      </c>
    </row>
    <row r="191" spans="1:11" x14ac:dyDescent="0.3">
      <c r="A191">
        <f t="shared" si="33"/>
        <v>3.8000000000000114</v>
      </c>
      <c r="B191">
        <v>25</v>
      </c>
      <c r="C191">
        <f t="shared" si="34"/>
        <v>59.642455516184107</v>
      </c>
      <c r="D191">
        <f t="shared" si="35"/>
        <v>0.46168051708217916</v>
      </c>
      <c r="K191">
        <v>133.30000000000001</v>
      </c>
    </row>
    <row r="199" spans="1:11" x14ac:dyDescent="0.3">
      <c r="D199">
        <f>TAN(AVERAGE(D186:D191))</f>
        <v>0.23502986110170254</v>
      </c>
    </row>
    <row r="200" spans="1:11" x14ac:dyDescent="0.3">
      <c r="A200" s="2" t="s">
        <v>98</v>
      </c>
      <c r="B200">
        <f>AVERAGE(A186:A191)/F184</f>
        <v>6.6924066924067141E-3</v>
      </c>
      <c r="C200" s="2" t="s">
        <v>97</v>
      </c>
      <c r="D200">
        <f>(AVERAGE(C186:C191)*TAN(AVERAGE(D186:D191)))/F186</f>
        <v>0.20472193143177381</v>
      </c>
    </row>
    <row r="201" spans="1:11" x14ac:dyDescent="0.3">
      <c r="B201" s="2" t="s">
        <v>96</v>
      </c>
      <c r="C201">
        <f>B200/D200</f>
        <v>3.2690228377593458E-2</v>
      </c>
    </row>
    <row r="204" spans="1:11" ht="15.6" x14ac:dyDescent="0.35">
      <c r="A204" s="1" t="s">
        <v>11</v>
      </c>
      <c r="B204" s="1" t="s">
        <v>29</v>
      </c>
      <c r="C204" s="2" t="s">
        <v>30</v>
      </c>
      <c r="D204" s="2" t="s">
        <v>31</v>
      </c>
      <c r="E204" s="3" t="s">
        <v>32</v>
      </c>
      <c r="F204" s="4">
        <v>130.1</v>
      </c>
      <c r="G204" s="4" t="s">
        <v>33</v>
      </c>
      <c r="K204" s="4" t="s">
        <v>34</v>
      </c>
    </row>
    <row r="205" spans="1:11" x14ac:dyDescent="0.3">
      <c r="A205" s="4" t="s">
        <v>33</v>
      </c>
      <c r="B205" s="4" t="s">
        <v>7</v>
      </c>
      <c r="C205" s="4" t="s">
        <v>7</v>
      </c>
      <c r="D205" s="4" t="s">
        <v>99</v>
      </c>
      <c r="E205" s="3" t="s">
        <v>38</v>
      </c>
      <c r="F205" s="4">
        <v>10.3</v>
      </c>
      <c r="G205" s="4" t="s">
        <v>7</v>
      </c>
    </row>
    <row r="206" spans="1:11" x14ac:dyDescent="0.3">
      <c r="A206">
        <f>K206-$F$204</f>
        <v>0</v>
      </c>
      <c r="B206">
        <v>0</v>
      </c>
      <c r="C206">
        <v>0</v>
      </c>
      <c r="D206">
        <v>0</v>
      </c>
      <c r="E206" s="3" t="s">
        <v>40</v>
      </c>
      <c r="F206" s="4">
        <v>49.15</v>
      </c>
      <c r="G206" s="4" t="s">
        <v>7</v>
      </c>
      <c r="K206">
        <v>130.1</v>
      </c>
    </row>
    <row r="207" spans="1:11" x14ac:dyDescent="0.3">
      <c r="A207">
        <f t="shared" ref="A207:A211" si="36">K207-$F$204</f>
        <v>0</v>
      </c>
      <c r="B207">
        <v>5</v>
      </c>
      <c r="C207">
        <f>SQRT((B207^2)+($F$206^2))</f>
        <v>49.403668892097478</v>
      </c>
      <c r="D207">
        <f>(B207/$F$206)</f>
        <v>0.10172939979654121</v>
      </c>
      <c r="E207" s="3" t="s">
        <v>1</v>
      </c>
      <c r="F207" s="4">
        <v>0.26</v>
      </c>
      <c r="G207" s="4" t="s">
        <v>7</v>
      </c>
      <c r="K207">
        <v>130.1</v>
      </c>
    </row>
    <row r="208" spans="1:11" x14ac:dyDescent="0.3">
      <c r="A208">
        <f t="shared" si="36"/>
        <v>0.30000000000001137</v>
      </c>
      <c r="B208">
        <v>10</v>
      </c>
      <c r="C208">
        <f t="shared" ref="C208:C211" si="37">SQRT((B208^2)+($F$206^2))</f>
        <v>50.156978577262805</v>
      </c>
      <c r="D208">
        <f t="shared" ref="D208:D211" si="38">(B208/$F$206)</f>
        <v>0.20345879959308241</v>
      </c>
      <c r="K208">
        <v>130.4</v>
      </c>
    </row>
    <row r="209" spans="1:11" x14ac:dyDescent="0.3">
      <c r="A209">
        <f t="shared" si="36"/>
        <v>0.59999999999999432</v>
      </c>
      <c r="B209">
        <v>15</v>
      </c>
      <c r="C209">
        <f t="shared" si="37"/>
        <v>51.3879606522773</v>
      </c>
      <c r="D209">
        <f t="shared" si="38"/>
        <v>0.3051881993896236</v>
      </c>
      <c r="K209">
        <v>130.69999999999999</v>
      </c>
    </row>
    <row r="210" spans="1:11" x14ac:dyDescent="0.3">
      <c r="A210">
        <f t="shared" si="36"/>
        <v>1.2000000000000171</v>
      </c>
      <c r="B210">
        <v>20</v>
      </c>
      <c r="C210">
        <f t="shared" si="37"/>
        <v>53.063381912576965</v>
      </c>
      <c r="D210">
        <f t="shared" si="38"/>
        <v>0.40691759918616482</v>
      </c>
      <c r="K210">
        <v>131.30000000000001</v>
      </c>
    </row>
    <row r="211" spans="1:11" x14ac:dyDescent="0.3">
      <c r="A211">
        <f t="shared" si="36"/>
        <v>3.2000000000000171</v>
      </c>
      <c r="B211">
        <v>25</v>
      </c>
      <c r="C211">
        <f t="shared" si="37"/>
        <v>55.142746576499071</v>
      </c>
      <c r="D211">
        <f t="shared" si="38"/>
        <v>0.50864699898270604</v>
      </c>
      <c r="K211">
        <v>133.30000000000001</v>
      </c>
    </row>
    <row r="219" spans="1:11" x14ac:dyDescent="0.3">
      <c r="D219">
        <f>TAN(AVERAGE(D206:D211))</f>
        <v>0.25995242929659385</v>
      </c>
    </row>
    <row r="220" spans="1:11" x14ac:dyDescent="0.3">
      <c r="A220" s="2" t="s">
        <v>98</v>
      </c>
      <c r="B220">
        <f>AVERAGE(A206:A211)/F204</f>
        <v>6.7896489879580319E-3</v>
      </c>
      <c r="C220" s="2" t="s">
        <v>97</v>
      </c>
      <c r="D220">
        <f>(AVERAGE(C206:C211)*TAN(AVERAGE(D206:D211)))/F206</f>
        <v>0.22844321243022697</v>
      </c>
    </row>
    <row r="221" spans="1:11" x14ac:dyDescent="0.3">
      <c r="B221" s="2" t="s">
        <v>96</v>
      </c>
      <c r="C221">
        <f>B220/D220</f>
        <v>2.972138640377325E-2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A83C-6166-4A2C-ACD6-71CC69839259}">
  <dimension ref="B2:P20"/>
  <sheetViews>
    <sheetView workbookViewId="0"/>
  </sheetViews>
  <sheetFormatPr defaultRowHeight="14.4" x14ac:dyDescent="0.3"/>
  <sheetData>
    <row r="2" spans="2:16" ht="28.8" x14ac:dyDescent="0.55000000000000004">
      <c r="B2" s="16" t="s">
        <v>41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6" x14ac:dyDescent="0.3">
      <c r="B3" s="23" t="s">
        <v>42</v>
      </c>
      <c r="C3" s="23"/>
      <c r="D3" s="23"/>
      <c r="E3" s="23"/>
      <c r="F3" s="23"/>
      <c r="G3" s="18"/>
      <c r="H3" s="19" t="s">
        <v>43</v>
      </c>
      <c r="I3" s="18"/>
      <c r="J3" s="19"/>
      <c r="K3" s="19" t="s">
        <v>44</v>
      </c>
      <c r="L3" s="18"/>
      <c r="M3" s="18"/>
      <c r="N3" s="18"/>
      <c r="O3" s="18"/>
      <c r="P3" s="18"/>
    </row>
    <row r="4" spans="2:16" x14ac:dyDescent="0.3">
      <c r="B4" s="2" t="s">
        <v>45</v>
      </c>
      <c r="G4" s="2" t="s">
        <v>46</v>
      </c>
      <c r="H4" s="2" t="s">
        <v>47</v>
      </c>
      <c r="I4" s="2" t="s">
        <v>48</v>
      </c>
      <c r="J4" s="2" t="s">
        <v>49</v>
      </c>
      <c r="K4" s="2" t="s">
        <v>50</v>
      </c>
      <c r="L4" s="2" t="s">
        <v>51</v>
      </c>
      <c r="M4" s="2" t="s">
        <v>52</v>
      </c>
      <c r="N4" s="2" t="s">
        <v>53</v>
      </c>
      <c r="O4" s="2" t="s">
        <v>54</v>
      </c>
      <c r="P4" s="2" t="s">
        <v>55</v>
      </c>
    </row>
    <row r="5" spans="2:16" x14ac:dyDescent="0.3">
      <c r="B5" t="s">
        <v>56</v>
      </c>
      <c r="G5">
        <v>2.4</v>
      </c>
      <c r="H5">
        <v>11.1</v>
      </c>
      <c r="I5">
        <v>4</v>
      </c>
      <c r="J5">
        <v>15</v>
      </c>
      <c r="K5">
        <v>0</v>
      </c>
      <c r="L5">
        <v>0.03</v>
      </c>
      <c r="M5">
        <v>0</v>
      </c>
      <c r="N5">
        <v>0</v>
      </c>
      <c r="O5">
        <v>0</v>
      </c>
      <c r="P5">
        <v>0</v>
      </c>
    </row>
    <row r="6" spans="2:16" x14ac:dyDescent="0.3">
      <c r="B6" t="s">
        <v>57</v>
      </c>
      <c r="G6">
        <v>2.8</v>
      </c>
      <c r="H6">
        <v>42.1</v>
      </c>
      <c r="I6">
        <v>4</v>
      </c>
      <c r="J6">
        <v>43</v>
      </c>
      <c r="K6">
        <v>0</v>
      </c>
      <c r="L6">
        <v>0.05</v>
      </c>
      <c r="M6">
        <v>0</v>
      </c>
      <c r="N6">
        <v>0</v>
      </c>
      <c r="O6">
        <v>0</v>
      </c>
      <c r="P6">
        <v>0</v>
      </c>
    </row>
    <row r="7" spans="2:16" x14ac:dyDescent="0.3">
      <c r="B7" t="s">
        <v>58</v>
      </c>
      <c r="G7">
        <v>2.4</v>
      </c>
      <c r="H7">
        <v>23.4</v>
      </c>
      <c r="I7">
        <v>3</v>
      </c>
      <c r="J7">
        <v>23</v>
      </c>
      <c r="K7">
        <v>0</v>
      </c>
      <c r="L7">
        <v>0.04</v>
      </c>
      <c r="M7">
        <v>0</v>
      </c>
      <c r="N7">
        <v>0</v>
      </c>
      <c r="O7">
        <v>0</v>
      </c>
      <c r="P7">
        <v>0</v>
      </c>
    </row>
    <row r="8" spans="2:16" x14ac:dyDescent="0.3">
      <c r="B8" s="2" t="s">
        <v>59</v>
      </c>
      <c r="G8">
        <f>AVERAGE(G5:G7)</f>
        <v>2.5333333333333332</v>
      </c>
      <c r="H8">
        <f>AVERAGE(H5:H7)</f>
        <v>25.533333333333331</v>
      </c>
      <c r="I8">
        <f>AVERAGE(I5:I7)</f>
        <v>3.6666666666666665</v>
      </c>
      <c r="J8">
        <f>AVERAGE(J5:J7)</f>
        <v>27</v>
      </c>
      <c r="K8">
        <f>SUM(K5:K7)</f>
        <v>0</v>
      </c>
      <c r="L8">
        <f>AVERAGE(L5:L7)</f>
        <v>0.04</v>
      </c>
      <c r="M8">
        <v>0</v>
      </c>
      <c r="N8">
        <v>0</v>
      </c>
      <c r="O8">
        <v>0</v>
      </c>
      <c r="P8">
        <v>0</v>
      </c>
    </row>
    <row r="10" spans="2:16" x14ac:dyDescent="0.3">
      <c r="B10" s="23" t="s">
        <v>60</v>
      </c>
      <c r="C10" s="23"/>
      <c r="D10" s="23"/>
      <c r="E10" s="23"/>
      <c r="F10" s="23"/>
      <c r="G10" s="11"/>
      <c r="H10" s="20" t="s">
        <v>43</v>
      </c>
      <c r="I10" s="11"/>
      <c r="J10" s="11"/>
      <c r="K10" s="20" t="s">
        <v>44</v>
      </c>
      <c r="L10" s="11"/>
      <c r="M10" s="11"/>
      <c r="N10" s="11"/>
      <c r="O10" s="11"/>
      <c r="P10" s="11"/>
    </row>
    <row r="11" spans="2:16" x14ac:dyDescent="0.3">
      <c r="B11" s="21" t="s">
        <v>61</v>
      </c>
      <c r="G11" s="2" t="s">
        <v>46</v>
      </c>
      <c r="H11" s="2" t="s">
        <v>47</v>
      </c>
      <c r="I11" s="2" t="s">
        <v>48</v>
      </c>
      <c r="J11" s="2" t="s">
        <v>49</v>
      </c>
      <c r="K11" s="2" t="s">
        <v>50</v>
      </c>
      <c r="L11" s="2" t="s">
        <v>51</v>
      </c>
      <c r="M11" s="2" t="s">
        <v>52</v>
      </c>
      <c r="N11" s="2" t="s">
        <v>53</v>
      </c>
      <c r="O11" s="2" t="s">
        <v>54</v>
      </c>
      <c r="P11" s="2" t="s">
        <v>55</v>
      </c>
    </row>
    <row r="12" spans="2:16" x14ac:dyDescent="0.3">
      <c r="B12" t="s">
        <v>62</v>
      </c>
      <c r="G12">
        <v>129</v>
      </c>
      <c r="H12" t="s">
        <v>63</v>
      </c>
      <c r="I12">
        <v>24</v>
      </c>
      <c r="J12">
        <v>1255</v>
      </c>
      <c r="K12">
        <v>0.1</v>
      </c>
      <c r="L12">
        <v>1.61</v>
      </c>
      <c r="M12">
        <v>0</v>
      </c>
      <c r="N12">
        <v>1.5</v>
      </c>
      <c r="O12" t="s">
        <v>63</v>
      </c>
      <c r="P12" t="s">
        <v>63</v>
      </c>
    </row>
    <row r="13" spans="2:16" x14ac:dyDescent="0.3">
      <c r="B13" t="s">
        <v>64</v>
      </c>
      <c r="G13">
        <v>133</v>
      </c>
      <c r="H13" t="s">
        <v>63</v>
      </c>
      <c r="I13">
        <v>65</v>
      </c>
      <c r="J13">
        <v>1756</v>
      </c>
      <c r="K13">
        <v>0.12</v>
      </c>
      <c r="L13">
        <v>2.02</v>
      </c>
      <c r="M13">
        <v>0</v>
      </c>
      <c r="N13">
        <v>1.8</v>
      </c>
      <c r="O13" t="s">
        <v>63</v>
      </c>
      <c r="P13" t="s">
        <v>63</v>
      </c>
    </row>
    <row r="14" spans="2:16" x14ac:dyDescent="0.3">
      <c r="B14" t="s">
        <v>65</v>
      </c>
      <c r="G14">
        <v>128</v>
      </c>
      <c r="H14" t="s">
        <v>63</v>
      </c>
      <c r="I14">
        <v>155</v>
      </c>
      <c r="J14">
        <v>1636</v>
      </c>
      <c r="K14">
        <v>0.14000000000000001</v>
      </c>
      <c r="L14">
        <v>2.78</v>
      </c>
      <c r="M14">
        <v>0</v>
      </c>
      <c r="N14">
        <v>2.8</v>
      </c>
      <c r="O14" t="s">
        <v>63</v>
      </c>
      <c r="P14" t="s">
        <v>63</v>
      </c>
    </row>
    <row r="15" spans="2:16" x14ac:dyDescent="0.3">
      <c r="B15" s="2" t="s">
        <v>66</v>
      </c>
      <c r="G15">
        <f>AVERAGE(G12:G14)</f>
        <v>130</v>
      </c>
      <c r="H15" t="s">
        <v>63</v>
      </c>
      <c r="I15">
        <f t="shared" ref="I15:N15" si="0">AVERAGE(I12:I14)</f>
        <v>81.333333333333329</v>
      </c>
      <c r="J15">
        <f t="shared" si="0"/>
        <v>1549</v>
      </c>
      <c r="K15">
        <f t="shared" si="0"/>
        <v>0.12</v>
      </c>
      <c r="L15">
        <f t="shared" si="0"/>
        <v>2.1366666666666667</v>
      </c>
      <c r="M15">
        <f t="shared" si="0"/>
        <v>0</v>
      </c>
      <c r="N15">
        <f t="shared" si="0"/>
        <v>2.0333333333333332</v>
      </c>
      <c r="O15" t="s">
        <v>63</v>
      </c>
      <c r="P15" t="s">
        <v>63</v>
      </c>
    </row>
    <row r="18" spans="2:11" x14ac:dyDescent="0.3">
      <c r="B18" s="24" t="s">
        <v>67</v>
      </c>
      <c r="C18" s="17"/>
      <c r="D18" s="17"/>
      <c r="E18" s="17"/>
      <c r="F18" s="17"/>
      <c r="G18" s="2" t="s">
        <v>68</v>
      </c>
      <c r="H18" s="2" t="s">
        <v>69</v>
      </c>
      <c r="I18" s="2" t="s">
        <v>70</v>
      </c>
      <c r="J18" s="2" t="s">
        <v>71</v>
      </c>
      <c r="K18" s="2" t="s">
        <v>72</v>
      </c>
    </row>
    <row r="19" spans="2:11" x14ac:dyDescent="0.3">
      <c r="B19" s="2" t="s">
        <v>73</v>
      </c>
      <c r="G19" t="s">
        <v>74</v>
      </c>
      <c r="H19" s="22" t="s">
        <v>75</v>
      </c>
      <c r="I19" t="s">
        <v>76</v>
      </c>
      <c r="J19" t="s">
        <v>77</v>
      </c>
      <c r="K19" t="s">
        <v>77</v>
      </c>
    </row>
    <row r="20" spans="2:11" x14ac:dyDescent="0.3">
      <c r="B20" s="2" t="s">
        <v>78</v>
      </c>
      <c r="G20" t="s">
        <v>79</v>
      </c>
      <c r="H20" t="s">
        <v>80</v>
      </c>
      <c r="I20" t="s">
        <v>81</v>
      </c>
      <c r="J20" t="s">
        <v>82</v>
      </c>
      <c r="K20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5FE1-E741-4507-A37C-92663D712D89}">
  <dimension ref="A1:X166"/>
  <sheetViews>
    <sheetView topLeftCell="B153" zoomScale="94" workbookViewId="0">
      <selection activeCell="N178" sqref="N178"/>
    </sheetView>
  </sheetViews>
  <sheetFormatPr defaultRowHeight="14.4" x14ac:dyDescent="0.3"/>
  <cols>
    <col min="1" max="1" width="8.88671875" customWidth="1"/>
    <col min="2" max="2" width="9.109375" customWidth="1"/>
    <col min="3" max="3" width="10.33203125" customWidth="1"/>
    <col min="4" max="4" width="9" customWidth="1"/>
    <col min="5" max="5" width="10.44140625" customWidth="1"/>
  </cols>
  <sheetData>
    <row r="1" spans="1:24" ht="28.8" x14ac:dyDescent="0.55000000000000004">
      <c r="A1" t="s">
        <v>84</v>
      </c>
      <c r="B1" t="s">
        <v>0</v>
      </c>
      <c r="C1" t="s">
        <v>2</v>
      </c>
      <c r="D1" t="s">
        <v>100</v>
      </c>
      <c r="E1" s="5" t="s">
        <v>85</v>
      </c>
      <c r="F1" s="6"/>
      <c r="G1" s="6"/>
      <c r="H1" s="6"/>
      <c r="I1" s="6"/>
      <c r="J1" s="6"/>
      <c r="K1" s="6"/>
      <c r="M1" t="s">
        <v>84</v>
      </c>
      <c r="N1" t="s">
        <v>2</v>
      </c>
      <c r="O1" t="s">
        <v>0</v>
      </c>
      <c r="P1" t="s">
        <v>100</v>
      </c>
      <c r="Q1" s="7" t="s">
        <v>86</v>
      </c>
      <c r="R1" s="8"/>
      <c r="S1" s="8"/>
      <c r="T1" s="8"/>
      <c r="U1" s="8"/>
      <c r="V1" s="8"/>
      <c r="W1" s="8"/>
      <c r="X1" s="8"/>
    </row>
    <row r="2" spans="1:24" x14ac:dyDescent="0.3">
      <c r="A2" t="s">
        <v>7</v>
      </c>
      <c r="B2" t="s">
        <v>7</v>
      </c>
      <c r="C2" t="s">
        <v>8</v>
      </c>
      <c r="M2" t="s">
        <v>7</v>
      </c>
      <c r="N2" t="s">
        <v>8</v>
      </c>
      <c r="O2" t="s">
        <v>7</v>
      </c>
    </row>
    <row r="3" spans="1:24" x14ac:dyDescent="0.3">
      <c r="A3">
        <v>0</v>
      </c>
      <c r="B3">
        <v>8</v>
      </c>
      <c r="C3">
        <v>2.8000000000000001E-2</v>
      </c>
      <c r="D3">
        <v>5.451701725425849E-2</v>
      </c>
      <c r="E3" t="s">
        <v>9</v>
      </c>
      <c r="M3">
        <v>0</v>
      </c>
      <c r="N3">
        <v>2.7400000000000001E-2</v>
      </c>
      <c r="O3">
        <v>0</v>
      </c>
      <c r="P3">
        <v>8.08692327556777E-2</v>
      </c>
      <c r="Q3" t="s">
        <v>9</v>
      </c>
    </row>
    <row r="4" spans="1:24" x14ac:dyDescent="0.3">
      <c r="A4">
        <v>0</v>
      </c>
      <c r="B4">
        <v>12</v>
      </c>
      <c r="C4">
        <v>3.8379999999999997E-2</v>
      </c>
      <c r="D4">
        <v>3.6194445795514028E-2</v>
      </c>
      <c r="E4" t="s">
        <v>15</v>
      </c>
      <c r="M4">
        <v>5</v>
      </c>
      <c r="N4">
        <v>1.54E-2</v>
      </c>
      <c r="O4">
        <v>0</v>
      </c>
      <c r="P4">
        <v>5.0832089160711087E-2</v>
      </c>
      <c r="Q4" t="s">
        <v>15</v>
      </c>
    </row>
    <row r="5" spans="1:24" x14ac:dyDescent="0.3">
      <c r="A5">
        <v>0</v>
      </c>
      <c r="B5">
        <v>13</v>
      </c>
      <c r="C5">
        <v>1.1900000000000001E-2</v>
      </c>
      <c r="D5">
        <v>6.7788247749753172E-2</v>
      </c>
      <c r="E5" t="s">
        <v>20</v>
      </c>
      <c r="M5">
        <v>10</v>
      </c>
      <c r="N5">
        <v>1.49E-2</v>
      </c>
      <c r="O5">
        <v>0</v>
      </c>
      <c r="P5">
        <v>5.6150712554885497E-2</v>
      </c>
      <c r="Q5" t="s">
        <v>20</v>
      </c>
    </row>
    <row r="6" spans="1:24" x14ac:dyDescent="0.3">
      <c r="A6">
        <v>0</v>
      </c>
      <c r="B6">
        <v>14</v>
      </c>
      <c r="C6">
        <v>2.29E-2</v>
      </c>
      <c r="D6">
        <v>5.0440470600151041E-2</v>
      </c>
      <c r="E6" t="s">
        <v>22</v>
      </c>
      <c r="M6">
        <v>15</v>
      </c>
      <c r="N6">
        <v>0.13600000000000001</v>
      </c>
      <c r="O6">
        <v>0</v>
      </c>
      <c r="P6">
        <v>0.19393285201124508</v>
      </c>
      <c r="Q6" t="s">
        <v>22</v>
      </c>
    </row>
    <row r="7" spans="1:24" x14ac:dyDescent="0.3">
      <c r="A7">
        <v>0</v>
      </c>
      <c r="B7">
        <v>16</v>
      </c>
      <c r="C7">
        <v>0.11890000000000001</v>
      </c>
      <c r="D7">
        <v>0.12479948693650353</v>
      </c>
      <c r="E7" t="s">
        <v>23</v>
      </c>
      <c r="M7">
        <v>20</v>
      </c>
      <c r="N7">
        <v>3.4299999999999997E-2</v>
      </c>
      <c r="O7">
        <v>0</v>
      </c>
      <c r="P7">
        <v>5.3142638668016391E-2</v>
      </c>
      <c r="Q7" t="s">
        <v>23</v>
      </c>
    </row>
    <row r="12" spans="1:24" ht="46.2" x14ac:dyDescent="0.85">
      <c r="A12" s="9" t="s">
        <v>26</v>
      </c>
      <c r="B12" s="10"/>
      <c r="C12" s="11"/>
      <c r="D12" s="11"/>
    </row>
    <row r="23" spans="1:24" ht="28.8" x14ac:dyDescent="0.55000000000000004">
      <c r="E23" s="5" t="s">
        <v>87</v>
      </c>
      <c r="F23" s="6"/>
      <c r="G23" s="6"/>
      <c r="H23" s="6"/>
      <c r="I23" s="6"/>
    </row>
    <row r="24" spans="1:24" ht="28.8" x14ac:dyDescent="0.55000000000000004">
      <c r="R24" s="7" t="s">
        <v>88</v>
      </c>
      <c r="S24" s="8"/>
      <c r="T24" s="8"/>
      <c r="U24" s="8"/>
      <c r="V24" s="8"/>
    </row>
    <row r="25" spans="1:24" ht="15.6" x14ac:dyDescent="0.35">
      <c r="A25" s="1" t="s">
        <v>29</v>
      </c>
      <c r="B25" s="1" t="s">
        <v>11</v>
      </c>
      <c r="C25" s="2" t="s">
        <v>30</v>
      </c>
      <c r="D25" s="2" t="s">
        <v>31</v>
      </c>
      <c r="E25" s="3" t="s">
        <v>32</v>
      </c>
      <c r="F25" s="4">
        <v>23.2</v>
      </c>
      <c r="G25" s="4" t="s">
        <v>33</v>
      </c>
      <c r="H25">
        <v>1</v>
      </c>
      <c r="I25" s="4" t="s">
        <v>33</v>
      </c>
      <c r="N25" s="1" t="s">
        <v>29</v>
      </c>
      <c r="O25" s="1" t="s">
        <v>11</v>
      </c>
      <c r="P25" s="2" t="s">
        <v>30</v>
      </c>
      <c r="Q25" s="2" t="s">
        <v>31</v>
      </c>
      <c r="R25" s="3" t="s">
        <v>32</v>
      </c>
      <c r="S25" s="4">
        <v>18.399999999999999</v>
      </c>
      <c r="T25" s="4" t="s">
        <v>33</v>
      </c>
      <c r="U25">
        <v>1</v>
      </c>
      <c r="V25" s="4" t="s">
        <v>33</v>
      </c>
    </row>
    <row r="26" spans="1:24" x14ac:dyDescent="0.3">
      <c r="A26" s="4" t="s">
        <v>7</v>
      </c>
      <c r="B26" s="4" t="s">
        <v>33</v>
      </c>
      <c r="C26" s="4" t="s">
        <v>7</v>
      </c>
      <c r="D26" s="4" t="s">
        <v>99</v>
      </c>
      <c r="E26" s="3" t="s">
        <v>38</v>
      </c>
      <c r="F26" s="4">
        <v>10.3</v>
      </c>
      <c r="G26" s="4" t="s">
        <v>7</v>
      </c>
      <c r="H26">
        <v>20</v>
      </c>
      <c r="I26" s="4" t="s">
        <v>33</v>
      </c>
      <c r="N26" s="4" t="s">
        <v>7</v>
      </c>
      <c r="O26" s="4" t="s">
        <v>33</v>
      </c>
      <c r="P26" s="4" t="s">
        <v>7</v>
      </c>
      <c r="Q26" s="4" t="s">
        <v>99</v>
      </c>
      <c r="R26" s="3" t="s">
        <v>38</v>
      </c>
      <c r="S26" s="4">
        <v>10.3</v>
      </c>
      <c r="T26" s="4" t="s">
        <v>7</v>
      </c>
      <c r="U26">
        <v>20</v>
      </c>
      <c r="V26" s="4" t="s">
        <v>33</v>
      </c>
    </row>
    <row r="27" spans="1:24" x14ac:dyDescent="0.3">
      <c r="A27">
        <v>0</v>
      </c>
      <c r="B27">
        <f>K27-$F$25</f>
        <v>0</v>
      </c>
      <c r="C27">
        <v>0</v>
      </c>
      <c r="D27">
        <v>0</v>
      </c>
      <c r="E27" s="3" t="s">
        <v>40</v>
      </c>
      <c r="F27" s="4">
        <v>50</v>
      </c>
      <c r="G27" s="4" t="s">
        <v>7</v>
      </c>
      <c r="H27">
        <v>200</v>
      </c>
      <c r="I27" s="4" t="s">
        <v>33</v>
      </c>
      <c r="K27">
        <v>23.2</v>
      </c>
      <c r="N27">
        <v>0</v>
      </c>
      <c r="O27">
        <f>X27-$S$25</f>
        <v>0</v>
      </c>
      <c r="P27">
        <v>0</v>
      </c>
      <c r="Q27">
        <v>0</v>
      </c>
      <c r="R27" s="3" t="s">
        <v>40</v>
      </c>
      <c r="S27" s="4">
        <v>50</v>
      </c>
      <c r="T27" s="4" t="s">
        <v>7</v>
      </c>
      <c r="U27">
        <v>200</v>
      </c>
      <c r="V27" s="4" t="s">
        <v>33</v>
      </c>
      <c r="X27">
        <v>18.399999999999999</v>
      </c>
    </row>
    <row r="28" spans="1:24" x14ac:dyDescent="0.3">
      <c r="A28">
        <v>5</v>
      </c>
      <c r="B28">
        <f>K28-$F$25</f>
        <v>0.10000000000000142</v>
      </c>
      <c r="C28">
        <f>SQRT((A28^2)+($F$27^2))</f>
        <v>50.24937810560445</v>
      </c>
      <c r="D28">
        <f>(A28/$F$27)</f>
        <v>0.1</v>
      </c>
      <c r="E28" s="3" t="s">
        <v>1</v>
      </c>
      <c r="F28" s="4">
        <v>0.26</v>
      </c>
      <c r="G28" s="4" t="s">
        <v>7</v>
      </c>
      <c r="K28">
        <v>23.3</v>
      </c>
      <c r="N28">
        <v>5</v>
      </c>
      <c r="O28">
        <f t="shared" ref="O28:O32" si="0">X28-$S$25</f>
        <v>0.10000000000000142</v>
      </c>
      <c r="P28">
        <f>SQRT((N28^2)+($F$27^2))</f>
        <v>50.24937810560445</v>
      </c>
      <c r="Q28">
        <f>(N28/$F$27)</f>
        <v>0.1</v>
      </c>
      <c r="R28" s="3" t="s">
        <v>1</v>
      </c>
      <c r="S28" s="4">
        <v>0.26</v>
      </c>
      <c r="T28" s="4" t="s">
        <v>7</v>
      </c>
      <c r="X28">
        <v>18.5</v>
      </c>
    </row>
    <row r="29" spans="1:24" x14ac:dyDescent="0.3">
      <c r="A29">
        <v>10</v>
      </c>
      <c r="B29">
        <f>K29-$F$25</f>
        <v>0.10000000000000142</v>
      </c>
      <c r="C29">
        <f t="shared" ref="C29:C32" si="1">SQRT((A29^2)+($F$27^2))</f>
        <v>50.990195135927848</v>
      </c>
      <c r="D29">
        <f t="shared" ref="D29:D32" si="2">(A29/$F$27)</f>
        <v>0.2</v>
      </c>
      <c r="K29">
        <v>23.3</v>
      </c>
      <c r="N29">
        <v>10</v>
      </c>
      <c r="O29">
        <f t="shared" si="0"/>
        <v>0.30000000000000071</v>
      </c>
      <c r="P29">
        <f t="shared" ref="P29:P32" si="3">SQRT((N29^2)+($F$27^2))</f>
        <v>50.990195135927848</v>
      </c>
      <c r="Q29">
        <f t="shared" ref="Q29:Q32" si="4">(N29/$F$27)</f>
        <v>0.2</v>
      </c>
      <c r="X29">
        <v>18.7</v>
      </c>
    </row>
    <row r="30" spans="1:24" x14ac:dyDescent="0.3">
      <c r="A30">
        <v>15</v>
      </c>
      <c r="B30">
        <f t="shared" ref="B30:B32" si="5">K30-$F$25</f>
        <v>0.30000000000000071</v>
      </c>
      <c r="C30">
        <f t="shared" si="1"/>
        <v>52.201532544552748</v>
      </c>
      <c r="D30">
        <f t="shared" si="2"/>
        <v>0.3</v>
      </c>
      <c r="K30">
        <v>23.5</v>
      </c>
      <c r="N30">
        <v>15</v>
      </c>
      <c r="O30">
        <f t="shared" si="0"/>
        <v>0.40000000000000213</v>
      </c>
      <c r="P30">
        <f t="shared" si="3"/>
        <v>52.201532544552748</v>
      </c>
      <c r="Q30">
        <f t="shared" si="4"/>
        <v>0.3</v>
      </c>
      <c r="X30">
        <v>18.8</v>
      </c>
    </row>
    <row r="31" spans="1:24" x14ac:dyDescent="0.3">
      <c r="A31">
        <v>20</v>
      </c>
      <c r="B31">
        <f t="shared" si="5"/>
        <v>0.5</v>
      </c>
      <c r="C31">
        <f t="shared" si="1"/>
        <v>53.851648071345039</v>
      </c>
      <c r="D31">
        <f t="shared" si="2"/>
        <v>0.4</v>
      </c>
      <c r="K31">
        <v>23.7</v>
      </c>
      <c r="N31">
        <v>20</v>
      </c>
      <c r="O31">
        <f t="shared" si="0"/>
        <v>0.5</v>
      </c>
      <c r="P31">
        <f t="shared" si="3"/>
        <v>53.851648071345039</v>
      </c>
      <c r="Q31">
        <f t="shared" si="4"/>
        <v>0.4</v>
      </c>
      <c r="X31">
        <v>18.899999999999999</v>
      </c>
    </row>
    <row r="32" spans="1:24" x14ac:dyDescent="0.3">
      <c r="A32">
        <v>25</v>
      </c>
      <c r="B32">
        <f t="shared" si="5"/>
        <v>0.69999999999999929</v>
      </c>
      <c r="C32">
        <f t="shared" si="1"/>
        <v>55.901699437494742</v>
      </c>
      <c r="D32">
        <f t="shared" si="2"/>
        <v>0.5</v>
      </c>
      <c r="K32">
        <v>23.9</v>
      </c>
      <c r="N32">
        <v>25</v>
      </c>
      <c r="O32">
        <f t="shared" si="0"/>
        <v>0.70000000000000284</v>
      </c>
      <c r="P32">
        <f t="shared" si="3"/>
        <v>55.901699437494742</v>
      </c>
      <c r="Q32">
        <f t="shared" si="4"/>
        <v>0.5</v>
      </c>
      <c r="X32">
        <v>19.100000000000001</v>
      </c>
    </row>
    <row r="34" spans="1:17" x14ac:dyDescent="0.3">
      <c r="C34" t="s">
        <v>89</v>
      </c>
      <c r="P34" t="s">
        <v>89</v>
      </c>
    </row>
    <row r="35" spans="1:17" x14ac:dyDescent="0.3">
      <c r="C35">
        <v>2.8000000000000001E-2</v>
      </c>
      <c r="P35">
        <v>2.7400000000000001E-2</v>
      </c>
    </row>
    <row r="39" spans="1:17" x14ac:dyDescent="0.3">
      <c r="D39">
        <f>TAN(AVERAGE(D27:D32))</f>
        <v>0.25534192122103627</v>
      </c>
      <c r="Q39">
        <f>TAN(AVERAGE(Q27:Q32))</f>
        <v>0.25534192122103627</v>
      </c>
    </row>
    <row r="40" spans="1:17" x14ac:dyDescent="0.3">
      <c r="A40" s="2" t="s">
        <v>98</v>
      </c>
      <c r="B40">
        <f>AVERAGE(B27:B32)/F25</f>
        <v>1.2212643678160941E-2</v>
      </c>
      <c r="C40" s="2" t="s">
        <v>97</v>
      </c>
      <c r="D40">
        <f>(AVERAGE(C27:C32)*TAN(AVERAGE(D27:D32)))/F27</f>
        <v>0.22401525786348803</v>
      </c>
      <c r="N40" s="2" t="s">
        <v>98</v>
      </c>
      <c r="O40">
        <f>AVERAGE(O27:O32)/S25</f>
        <v>1.8115942028985574E-2</v>
      </c>
      <c r="P40" s="2" t="s">
        <v>97</v>
      </c>
      <c r="Q40">
        <f>(AVERAGE(P27:P32)*TAN(AVERAGE(Q27:Q32)))/S27</f>
        <v>0.22401525786348803</v>
      </c>
    </row>
    <row r="41" spans="1:17" x14ac:dyDescent="0.3">
      <c r="B41" s="2" t="s">
        <v>96</v>
      </c>
      <c r="C41">
        <f>B40/D40</f>
        <v>5.451701725425849E-2</v>
      </c>
      <c r="O41" s="2" t="s">
        <v>96</v>
      </c>
      <c r="P41">
        <f>O40/Q40</f>
        <v>8.08692327556777E-2</v>
      </c>
    </row>
    <row r="54" spans="1:24" ht="15.6" x14ac:dyDescent="0.35">
      <c r="A54" s="1" t="s">
        <v>29</v>
      </c>
      <c r="B54" s="1" t="s">
        <v>11</v>
      </c>
      <c r="C54" s="2" t="s">
        <v>30</v>
      </c>
      <c r="D54" s="2" t="s">
        <v>31</v>
      </c>
      <c r="E54" s="3" t="s">
        <v>32</v>
      </c>
      <c r="F54" s="4">
        <v>55.5</v>
      </c>
      <c r="G54" s="4" t="s">
        <v>33</v>
      </c>
      <c r="H54">
        <v>1</v>
      </c>
      <c r="I54" s="4" t="s">
        <v>33</v>
      </c>
      <c r="N54" s="1" t="s">
        <v>29</v>
      </c>
      <c r="O54" s="1" t="s">
        <v>11</v>
      </c>
      <c r="P54" s="2" t="s">
        <v>30</v>
      </c>
      <c r="Q54" s="2" t="s">
        <v>31</v>
      </c>
      <c r="R54" s="3" t="s">
        <v>32</v>
      </c>
      <c r="S54" s="4">
        <v>16.100000000000001</v>
      </c>
      <c r="T54" s="4" t="s">
        <v>33</v>
      </c>
      <c r="U54">
        <v>1</v>
      </c>
      <c r="V54" s="4" t="s">
        <v>33</v>
      </c>
    </row>
    <row r="55" spans="1:24" x14ac:dyDescent="0.3">
      <c r="A55" s="4" t="s">
        <v>7</v>
      </c>
      <c r="B55" s="4" t="s">
        <v>33</v>
      </c>
      <c r="C55" s="4" t="s">
        <v>7</v>
      </c>
      <c r="D55" s="4" t="s">
        <v>99</v>
      </c>
      <c r="E55" s="3" t="s">
        <v>38</v>
      </c>
      <c r="F55" s="4">
        <v>10.3</v>
      </c>
      <c r="G55" s="4" t="s">
        <v>7</v>
      </c>
      <c r="H55">
        <v>20</v>
      </c>
      <c r="I55" s="4" t="s">
        <v>33</v>
      </c>
      <c r="N55" s="4" t="s">
        <v>7</v>
      </c>
      <c r="O55" s="4" t="s">
        <v>33</v>
      </c>
      <c r="P55" s="4" t="s">
        <v>7</v>
      </c>
      <c r="Q55" s="4" t="s">
        <v>99</v>
      </c>
      <c r="R55" s="3" t="s">
        <v>38</v>
      </c>
      <c r="S55" s="4">
        <v>10.3</v>
      </c>
      <c r="T55" s="4" t="s">
        <v>7</v>
      </c>
      <c r="U55">
        <v>20</v>
      </c>
      <c r="V55" s="4" t="s">
        <v>33</v>
      </c>
    </row>
    <row r="56" spans="1:24" x14ac:dyDescent="0.3">
      <c r="A56">
        <v>0</v>
      </c>
      <c r="B56">
        <f>K56-$F$54</f>
        <v>0</v>
      </c>
      <c r="C56">
        <v>0</v>
      </c>
      <c r="D56">
        <v>0</v>
      </c>
      <c r="E56" s="3" t="s">
        <v>40</v>
      </c>
      <c r="F56" s="4">
        <v>50</v>
      </c>
      <c r="G56" s="4" t="s">
        <v>7</v>
      </c>
      <c r="H56">
        <v>200</v>
      </c>
      <c r="I56" s="4" t="s">
        <v>33</v>
      </c>
      <c r="K56">
        <v>55.5</v>
      </c>
      <c r="N56">
        <v>0</v>
      </c>
      <c r="O56">
        <f>X56-$S$54</f>
        <v>0</v>
      </c>
      <c r="P56">
        <v>0</v>
      </c>
      <c r="Q56">
        <v>0</v>
      </c>
      <c r="R56" s="3" t="s">
        <v>40</v>
      </c>
      <c r="S56" s="4">
        <v>50</v>
      </c>
      <c r="T56" s="4" t="s">
        <v>7</v>
      </c>
      <c r="U56">
        <v>200</v>
      </c>
      <c r="V56" s="4" t="s">
        <v>33</v>
      </c>
      <c r="X56">
        <v>16.100000000000001</v>
      </c>
    </row>
    <row r="57" spans="1:24" x14ac:dyDescent="0.3">
      <c r="A57">
        <v>5</v>
      </c>
      <c r="B57">
        <f t="shared" ref="B57:B61" si="6">K57-$F$54</f>
        <v>0.20000000000000284</v>
      </c>
      <c r="C57">
        <f>SQRT((A57^2)+($F$56^2))</f>
        <v>50.24937810560445</v>
      </c>
      <c r="D57">
        <f>(A57/$F$56)</f>
        <v>0.1</v>
      </c>
      <c r="E57" s="3" t="s">
        <v>1</v>
      </c>
      <c r="F57" s="4">
        <v>0.26</v>
      </c>
      <c r="G57" s="4" t="s">
        <v>7</v>
      </c>
      <c r="K57">
        <v>55.7</v>
      </c>
      <c r="N57">
        <v>5</v>
      </c>
      <c r="O57">
        <f t="shared" ref="O57:O61" si="7">X57-$S$54</f>
        <v>9.9999999999997868E-2</v>
      </c>
      <c r="P57">
        <f>SQRT((N57^2)+($F$56^2))</f>
        <v>50.24937810560445</v>
      </c>
      <c r="Q57">
        <f>(N57/$F$56)</f>
        <v>0.1</v>
      </c>
      <c r="R57" s="3" t="s">
        <v>1</v>
      </c>
      <c r="S57" s="4">
        <v>0.26</v>
      </c>
      <c r="T57" s="4" t="s">
        <v>7</v>
      </c>
      <c r="X57">
        <v>16.2</v>
      </c>
    </row>
    <row r="58" spans="1:24" x14ac:dyDescent="0.3">
      <c r="A58">
        <v>10</v>
      </c>
      <c r="B58">
        <f t="shared" si="6"/>
        <v>0.29999999999999716</v>
      </c>
      <c r="C58">
        <f t="shared" ref="C58:C61" si="8">SQRT((A58^2)+($F$56^2))</f>
        <v>50.990195135927848</v>
      </c>
      <c r="D58">
        <f t="shared" ref="D58:D61" si="9">(A58/$F$56)</f>
        <v>0.2</v>
      </c>
      <c r="K58">
        <v>55.8</v>
      </c>
      <c r="N58">
        <v>10</v>
      </c>
      <c r="O58">
        <f t="shared" si="7"/>
        <v>9.9999999999997868E-2</v>
      </c>
      <c r="P58">
        <f t="shared" ref="P58:P61" si="10">SQRT((N58^2)+($F$56^2))</f>
        <v>50.990195135927848</v>
      </c>
      <c r="Q58">
        <f t="shared" ref="Q58:Q61" si="11">(N58/$F$56)</f>
        <v>0.2</v>
      </c>
      <c r="X58">
        <v>16.2</v>
      </c>
    </row>
    <row r="59" spans="1:24" x14ac:dyDescent="0.3">
      <c r="A59">
        <v>15</v>
      </c>
      <c r="B59">
        <f t="shared" si="6"/>
        <v>0.5</v>
      </c>
      <c r="C59">
        <f t="shared" si="8"/>
        <v>52.201532544552748</v>
      </c>
      <c r="D59">
        <f t="shared" si="9"/>
        <v>0.3</v>
      </c>
      <c r="K59">
        <v>56</v>
      </c>
      <c r="N59">
        <v>15</v>
      </c>
      <c r="O59">
        <f t="shared" si="7"/>
        <v>0.19999999999999929</v>
      </c>
      <c r="P59">
        <f>SQRT((N59^2)+($F$56^2))</f>
        <v>52.201532544552748</v>
      </c>
      <c r="Q59">
        <f t="shared" si="11"/>
        <v>0.3</v>
      </c>
      <c r="X59">
        <v>16.3</v>
      </c>
    </row>
    <row r="60" spans="1:24" x14ac:dyDescent="0.3">
      <c r="A60">
        <v>20</v>
      </c>
      <c r="B60">
        <f t="shared" si="6"/>
        <v>0.70000000000000284</v>
      </c>
      <c r="C60">
        <f t="shared" si="8"/>
        <v>53.851648071345039</v>
      </c>
      <c r="D60">
        <f t="shared" si="9"/>
        <v>0.4</v>
      </c>
      <c r="K60">
        <v>56.2</v>
      </c>
      <c r="N60">
        <v>20</v>
      </c>
      <c r="O60">
        <f t="shared" si="7"/>
        <v>0.29999999999999716</v>
      </c>
      <c r="P60">
        <f t="shared" si="10"/>
        <v>53.851648071345039</v>
      </c>
      <c r="Q60">
        <f t="shared" si="11"/>
        <v>0.4</v>
      </c>
      <c r="X60">
        <v>16.399999999999999</v>
      </c>
    </row>
    <row r="61" spans="1:24" x14ac:dyDescent="0.3">
      <c r="A61">
        <v>25</v>
      </c>
      <c r="B61">
        <f t="shared" si="6"/>
        <v>1</v>
      </c>
      <c r="C61">
        <f t="shared" si="8"/>
        <v>55.901699437494742</v>
      </c>
      <c r="D61">
        <f t="shared" si="9"/>
        <v>0.5</v>
      </c>
      <c r="K61">
        <v>56.5</v>
      </c>
      <c r="N61">
        <v>25</v>
      </c>
      <c r="O61">
        <f t="shared" si="7"/>
        <v>0.39999999999999858</v>
      </c>
      <c r="P61">
        <f t="shared" si="10"/>
        <v>55.901699437494742</v>
      </c>
      <c r="Q61">
        <f t="shared" si="11"/>
        <v>0.5</v>
      </c>
      <c r="X61">
        <v>16.5</v>
      </c>
    </row>
    <row r="63" spans="1:24" x14ac:dyDescent="0.3">
      <c r="C63" t="s">
        <v>89</v>
      </c>
      <c r="P63" t="s">
        <v>89</v>
      </c>
    </row>
    <row r="64" spans="1:24" x14ac:dyDescent="0.3">
      <c r="C64">
        <v>3.8379999999999997E-2</v>
      </c>
      <c r="P64">
        <v>1.54E-2</v>
      </c>
    </row>
    <row r="68" spans="1:17" x14ac:dyDescent="0.3">
      <c r="D68">
        <f>TAN(AVERAGE(D56:D61))</f>
        <v>0.25534192122103627</v>
      </c>
      <c r="Q68">
        <f>TAN(AVERAGE(Q56:Q61))</f>
        <v>0.25534192122103627</v>
      </c>
    </row>
    <row r="69" spans="1:17" x14ac:dyDescent="0.3">
      <c r="A69" s="2" t="s">
        <v>98</v>
      </c>
      <c r="B69">
        <f>AVERAGE(B56:B61)/F54</f>
        <v>8.1081081081081155E-3</v>
      </c>
      <c r="C69" s="2" t="s">
        <v>97</v>
      </c>
      <c r="D69">
        <f>(AVERAGE(C56:C61)*TAN(AVERAGE(D56:D61)))/F56</f>
        <v>0.22401525786348803</v>
      </c>
      <c r="N69" s="2" t="s">
        <v>98</v>
      </c>
      <c r="O69">
        <f>AVERAGE(O56:O61)/S54</f>
        <v>1.1387163561076509E-2</v>
      </c>
      <c r="P69" s="2" t="s">
        <v>97</v>
      </c>
      <c r="Q69">
        <f>(AVERAGE(P56:P61)*TAN(AVERAGE(Q56:Q61)))/S56</f>
        <v>0.22401525786348803</v>
      </c>
    </row>
    <row r="70" spans="1:17" x14ac:dyDescent="0.3">
      <c r="B70" s="2" t="s">
        <v>96</v>
      </c>
      <c r="C70">
        <f>B69/D69</f>
        <v>3.6194445795514028E-2</v>
      </c>
      <c r="O70" s="2" t="s">
        <v>96</v>
      </c>
      <c r="P70">
        <f>O69/Q69</f>
        <v>5.0832089160711087E-2</v>
      </c>
    </row>
    <row r="92" spans="1:24" ht="15.6" x14ac:dyDescent="0.35">
      <c r="A92" s="1" t="s">
        <v>29</v>
      </c>
      <c r="B92" s="1" t="s">
        <v>11</v>
      </c>
      <c r="C92" s="2" t="s">
        <v>30</v>
      </c>
      <c r="D92" s="2" t="s">
        <v>31</v>
      </c>
      <c r="E92" s="3" t="s">
        <v>32</v>
      </c>
      <c r="F92" s="4">
        <v>8.89</v>
      </c>
      <c r="G92" s="4" t="s">
        <v>33</v>
      </c>
      <c r="H92">
        <v>1</v>
      </c>
      <c r="I92" s="4" t="s">
        <v>33</v>
      </c>
      <c r="N92" s="1" t="s">
        <v>29</v>
      </c>
      <c r="O92" s="1" t="s">
        <v>11</v>
      </c>
      <c r="P92" s="2" t="s">
        <v>30</v>
      </c>
      <c r="Q92" s="2" t="s">
        <v>31</v>
      </c>
      <c r="R92" s="3" t="s">
        <v>32</v>
      </c>
      <c r="S92" s="4">
        <v>15.9</v>
      </c>
      <c r="T92" s="4" t="s">
        <v>33</v>
      </c>
      <c r="U92">
        <v>1</v>
      </c>
      <c r="V92" s="4" t="s">
        <v>33</v>
      </c>
    </row>
    <row r="93" spans="1:24" x14ac:dyDescent="0.3">
      <c r="A93" s="4" t="s">
        <v>7</v>
      </c>
      <c r="B93" s="4" t="s">
        <v>33</v>
      </c>
      <c r="C93" s="4" t="s">
        <v>7</v>
      </c>
      <c r="D93" s="4" t="s">
        <v>99</v>
      </c>
      <c r="E93" s="3" t="s">
        <v>38</v>
      </c>
      <c r="F93" s="4">
        <v>10.3</v>
      </c>
      <c r="G93" s="4" t="s">
        <v>7</v>
      </c>
      <c r="H93">
        <v>20</v>
      </c>
      <c r="I93" s="4" t="s">
        <v>33</v>
      </c>
      <c r="N93" s="4" t="s">
        <v>7</v>
      </c>
      <c r="O93" s="4" t="s">
        <v>33</v>
      </c>
      <c r="P93" s="4" t="s">
        <v>7</v>
      </c>
      <c r="Q93" s="4" t="s">
        <v>99</v>
      </c>
      <c r="R93" s="3" t="s">
        <v>38</v>
      </c>
      <c r="S93" s="4">
        <v>10.3</v>
      </c>
      <c r="T93" s="4" t="s">
        <v>7</v>
      </c>
      <c r="U93">
        <v>20</v>
      </c>
      <c r="V93" s="4" t="s">
        <v>33</v>
      </c>
    </row>
    <row r="94" spans="1:24" x14ac:dyDescent="0.3">
      <c r="A94">
        <v>0</v>
      </c>
      <c r="B94">
        <f>K94-$F$92</f>
        <v>0</v>
      </c>
      <c r="C94">
        <v>0</v>
      </c>
      <c r="D94">
        <v>0</v>
      </c>
      <c r="E94" s="3" t="s">
        <v>40</v>
      </c>
      <c r="F94" s="4">
        <v>50</v>
      </c>
      <c r="G94" s="4" t="s">
        <v>7</v>
      </c>
      <c r="H94">
        <v>200</v>
      </c>
      <c r="I94" s="4" t="s">
        <v>33</v>
      </c>
      <c r="K94">
        <v>8.89</v>
      </c>
      <c r="N94">
        <v>0</v>
      </c>
      <c r="O94">
        <f>X94-$S$92</f>
        <v>0</v>
      </c>
      <c r="P94">
        <v>0</v>
      </c>
      <c r="Q94">
        <v>0</v>
      </c>
      <c r="R94" s="3" t="s">
        <v>40</v>
      </c>
      <c r="S94" s="4">
        <v>50</v>
      </c>
      <c r="T94" s="4" t="s">
        <v>7</v>
      </c>
      <c r="U94">
        <v>200</v>
      </c>
      <c r="V94" s="4" t="s">
        <v>33</v>
      </c>
      <c r="X94">
        <v>15.9</v>
      </c>
    </row>
    <row r="95" spans="1:24" x14ac:dyDescent="0.3">
      <c r="A95">
        <v>5</v>
      </c>
      <c r="B95">
        <f t="shared" ref="B95:B99" si="12">K95-$F$92</f>
        <v>3.9999999999999147E-2</v>
      </c>
      <c r="C95">
        <f>SQRT((A95^2)+($F$94^2))</f>
        <v>50.24937810560445</v>
      </c>
      <c r="D95">
        <f>(A95/$F$94)</f>
        <v>0.1</v>
      </c>
      <c r="E95" s="3" t="s">
        <v>1</v>
      </c>
      <c r="F95" s="4">
        <v>0.26</v>
      </c>
      <c r="G95" s="4" t="s">
        <v>7</v>
      </c>
      <c r="K95">
        <v>8.93</v>
      </c>
      <c r="N95">
        <v>5</v>
      </c>
      <c r="O95">
        <f t="shared" ref="O95:O99" si="13">X95-$S$92</f>
        <v>9.9999999999999645E-2</v>
      </c>
      <c r="P95">
        <f>SQRT((N95^2)+($F$94^2))</f>
        <v>50.24937810560445</v>
      </c>
      <c r="Q95">
        <f>(N95/$F$94)</f>
        <v>0.1</v>
      </c>
      <c r="R95" s="3" t="s">
        <v>1</v>
      </c>
      <c r="S95" s="4">
        <v>0.26</v>
      </c>
      <c r="T95" s="4" t="s">
        <v>7</v>
      </c>
      <c r="X95">
        <v>16</v>
      </c>
    </row>
    <row r="96" spans="1:24" x14ac:dyDescent="0.3">
      <c r="A96">
        <v>10</v>
      </c>
      <c r="B96">
        <f t="shared" si="12"/>
        <v>8.9999999999999858E-2</v>
      </c>
      <c r="C96">
        <f t="shared" ref="C96:C99" si="14">SQRT((A96^2)+($F$94^2))</f>
        <v>50.990195135927848</v>
      </c>
      <c r="D96">
        <f t="shared" ref="D96:D99" si="15">(A96/$F$94)</f>
        <v>0.2</v>
      </c>
      <c r="K96">
        <v>8.98</v>
      </c>
      <c r="N96">
        <v>10</v>
      </c>
      <c r="O96">
        <f t="shared" si="13"/>
        <v>0.20000000000000107</v>
      </c>
      <c r="P96">
        <f t="shared" ref="P96:P99" si="16">SQRT((N96^2)+($F$94^2))</f>
        <v>50.990195135927848</v>
      </c>
      <c r="Q96">
        <f t="shared" ref="Q96:Q99" si="17">(N96/$F$94)</f>
        <v>0.2</v>
      </c>
      <c r="X96">
        <v>16.100000000000001</v>
      </c>
    </row>
    <row r="97" spans="1:24" x14ac:dyDescent="0.3">
      <c r="A97">
        <v>15</v>
      </c>
      <c r="B97">
        <f t="shared" si="12"/>
        <v>0.16999999999999993</v>
      </c>
      <c r="C97">
        <f t="shared" si="14"/>
        <v>52.201532544552748</v>
      </c>
      <c r="D97">
        <f t="shared" si="15"/>
        <v>0.3</v>
      </c>
      <c r="K97">
        <v>9.06</v>
      </c>
      <c r="N97">
        <v>15</v>
      </c>
      <c r="O97">
        <f t="shared" si="13"/>
        <v>0.20000000000000107</v>
      </c>
      <c r="P97">
        <f t="shared" si="16"/>
        <v>52.201532544552748</v>
      </c>
      <c r="Q97">
        <f t="shared" si="17"/>
        <v>0.3</v>
      </c>
      <c r="X97">
        <v>16.100000000000001</v>
      </c>
    </row>
    <row r="98" spans="1:24" x14ac:dyDescent="0.3">
      <c r="A98">
        <v>20</v>
      </c>
      <c r="B98">
        <f t="shared" si="12"/>
        <v>0.20999999999999908</v>
      </c>
      <c r="C98">
        <f t="shared" si="14"/>
        <v>53.851648071345039</v>
      </c>
      <c r="D98">
        <f t="shared" si="15"/>
        <v>0.4</v>
      </c>
      <c r="K98">
        <v>9.1</v>
      </c>
      <c r="N98">
        <v>20</v>
      </c>
      <c r="O98">
        <f t="shared" si="13"/>
        <v>0.29999999999999893</v>
      </c>
      <c r="P98">
        <f t="shared" si="16"/>
        <v>53.851648071345039</v>
      </c>
      <c r="Q98">
        <f t="shared" si="17"/>
        <v>0.4</v>
      </c>
      <c r="X98">
        <v>16.2</v>
      </c>
    </row>
    <row r="99" spans="1:24" x14ac:dyDescent="0.3">
      <c r="A99">
        <v>25</v>
      </c>
      <c r="B99">
        <f t="shared" si="12"/>
        <v>0.29999999999999893</v>
      </c>
      <c r="C99">
        <f t="shared" si="14"/>
        <v>55.901699437494742</v>
      </c>
      <c r="D99">
        <f t="shared" si="15"/>
        <v>0.5</v>
      </c>
      <c r="K99">
        <v>9.19</v>
      </c>
      <c r="N99">
        <v>25</v>
      </c>
      <c r="O99">
        <f t="shared" si="13"/>
        <v>0.40000000000000036</v>
      </c>
      <c r="P99">
        <f t="shared" si="16"/>
        <v>55.901699437494742</v>
      </c>
      <c r="Q99">
        <f t="shared" si="17"/>
        <v>0.5</v>
      </c>
      <c r="X99">
        <v>16.3</v>
      </c>
    </row>
    <row r="101" spans="1:24" x14ac:dyDescent="0.3">
      <c r="C101" t="s">
        <v>89</v>
      </c>
      <c r="P101" t="s">
        <v>89</v>
      </c>
    </row>
    <row r="102" spans="1:24" x14ac:dyDescent="0.3">
      <c r="C102">
        <v>1.1900000000000001E-2</v>
      </c>
      <c r="P102">
        <v>1.49E-2</v>
      </c>
    </row>
    <row r="106" spans="1:24" x14ac:dyDescent="0.3">
      <c r="D106">
        <f>TAN(AVERAGE(D94:D99))</f>
        <v>0.25534192122103627</v>
      </c>
      <c r="Q106">
        <f>TAN(AVERAGE(Q94:Q99))</f>
        <v>0.25534192122103627</v>
      </c>
    </row>
    <row r="107" spans="1:24" x14ac:dyDescent="0.3">
      <c r="A107" s="2" t="s">
        <v>98</v>
      </c>
      <c r="B107">
        <f>AVERAGE(B94:B99)/F92</f>
        <v>1.5185601799774968E-2</v>
      </c>
      <c r="C107" s="2" t="s">
        <v>97</v>
      </c>
      <c r="D107">
        <f>(AVERAGE(C94:C99)*TAN(AVERAGE(D94:D99)))/F94</f>
        <v>0.22401525786348803</v>
      </c>
      <c r="N107" s="2" t="s">
        <v>98</v>
      </c>
      <c r="O107">
        <f>AVERAGE(O94:O99)/S92</f>
        <v>1.2578616352201269E-2</v>
      </c>
      <c r="P107" s="2" t="s">
        <v>97</v>
      </c>
      <c r="Q107">
        <f>(AVERAGE(P94:P99)*TAN(AVERAGE(Q94:Q99)))/S94</f>
        <v>0.22401525786348803</v>
      </c>
    </row>
    <row r="108" spans="1:24" x14ac:dyDescent="0.3">
      <c r="B108" s="2" t="s">
        <v>96</v>
      </c>
      <c r="C108">
        <f>B107/D107</f>
        <v>6.7788247749753172E-2</v>
      </c>
      <c r="O108" s="2" t="s">
        <v>96</v>
      </c>
      <c r="P108">
        <f>O107/Q107</f>
        <v>5.6150712554885497E-2</v>
      </c>
    </row>
    <row r="121" spans="1:24" ht="15.6" x14ac:dyDescent="0.35">
      <c r="A121" s="1" t="s">
        <v>29</v>
      </c>
      <c r="B121" s="1" t="s">
        <v>11</v>
      </c>
      <c r="C121" s="2" t="s">
        <v>30</v>
      </c>
      <c r="D121" s="2" t="s">
        <v>31</v>
      </c>
      <c r="E121" s="3" t="s">
        <v>32</v>
      </c>
      <c r="F121" s="4">
        <v>23.6</v>
      </c>
      <c r="G121" s="4" t="s">
        <v>33</v>
      </c>
      <c r="H121">
        <v>1</v>
      </c>
      <c r="I121" s="4" t="s">
        <v>33</v>
      </c>
      <c r="N121" s="1" t="s">
        <v>29</v>
      </c>
      <c r="O121" s="1" t="s">
        <v>11</v>
      </c>
      <c r="P121" s="2" t="s">
        <v>30</v>
      </c>
      <c r="Q121" s="2" t="s">
        <v>31</v>
      </c>
      <c r="R121" s="3" t="s">
        <v>32</v>
      </c>
      <c r="S121" s="4">
        <v>42.2</v>
      </c>
      <c r="T121" s="4" t="s">
        <v>33</v>
      </c>
      <c r="U121">
        <v>1</v>
      </c>
      <c r="V121" s="4" t="s">
        <v>33</v>
      </c>
    </row>
    <row r="122" spans="1:24" x14ac:dyDescent="0.3">
      <c r="A122" s="4" t="s">
        <v>7</v>
      </c>
      <c r="B122" s="4" t="s">
        <v>33</v>
      </c>
      <c r="C122" s="4" t="s">
        <v>7</v>
      </c>
      <c r="D122" s="4" t="s">
        <v>99</v>
      </c>
      <c r="E122" s="3" t="s">
        <v>38</v>
      </c>
      <c r="F122" s="4">
        <v>10.3</v>
      </c>
      <c r="G122" s="4" t="s">
        <v>7</v>
      </c>
      <c r="H122">
        <v>20</v>
      </c>
      <c r="I122" s="4" t="s">
        <v>33</v>
      </c>
      <c r="N122" s="4" t="s">
        <v>7</v>
      </c>
      <c r="O122" s="4" t="s">
        <v>33</v>
      </c>
      <c r="P122" s="4" t="s">
        <v>7</v>
      </c>
      <c r="Q122" s="4" t="s">
        <v>99</v>
      </c>
      <c r="R122" s="3" t="s">
        <v>38</v>
      </c>
      <c r="S122" s="4">
        <v>10.3</v>
      </c>
      <c r="T122" s="4" t="s">
        <v>7</v>
      </c>
      <c r="U122">
        <v>20</v>
      </c>
      <c r="V122" s="4" t="s">
        <v>33</v>
      </c>
    </row>
    <row r="123" spans="1:24" x14ac:dyDescent="0.3">
      <c r="A123">
        <v>0</v>
      </c>
      <c r="B123">
        <f>K123-$F$121</f>
        <v>0</v>
      </c>
      <c r="C123">
        <v>0</v>
      </c>
      <c r="D123">
        <v>0</v>
      </c>
      <c r="E123" s="3" t="s">
        <v>40</v>
      </c>
      <c r="F123" s="4">
        <v>50</v>
      </c>
      <c r="G123" s="4" t="s">
        <v>7</v>
      </c>
      <c r="H123">
        <v>200</v>
      </c>
      <c r="I123" s="4" t="s">
        <v>33</v>
      </c>
      <c r="K123">
        <v>23.6</v>
      </c>
      <c r="N123">
        <v>0</v>
      </c>
      <c r="O123">
        <f>X123-$S$121</f>
        <v>0</v>
      </c>
      <c r="P123">
        <v>0</v>
      </c>
      <c r="Q123">
        <v>0</v>
      </c>
      <c r="R123" s="3" t="s">
        <v>40</v>
      </c>
      <c r="S123" s="4">
        <v>50</v>
      </c>
      <c r="T123" s="4" t="s">
        <v>7</v>
      </c>
      <c r="U123">
        <v>200</v>
      </c>
      <c r="V123" s="4" t="s">
        <v>33</v>
      </c>
      <c r="X123">
        <v>42.2</v>
      </c>
    </row>
    <row r="124" spans="1:24" x14ac:dyDescent="0.3">
      <c r="A124">
        <v>5</v>
      </c>
      <c r="B124">
        <f t="shared" ref="B124:B128" si="18">K124-$F$121</f>
        <v>9.9999999999997868E-2</v>
      </c>
      <c r="C124">
        <f>SQRT((A124^2)+($F$123^2))</f>
        <v>50.24937810560445</v>
      </c>
      <c r="D124">
        <f>(A124/$F$123)</f>
        <v>0.1</v>
      </c>
      <c r="E124" s="3" t="s">
        <v>1</v>
      </c>
      <c r="F124" s="4">
        <v>0.26</v>
      </c>
      <c r="G124" s="4" t="s">
        <v>7</v>
      </c>
      <c r="K124">
        <v>23.7</v>
      </c>
      <c r="N124">
        <v>5</v>
      </c>
      <c r="O124">
        <f t="shared" ref="O124:O128" si="19">X124-$S$121</f>
        <v>0.79999999999999716</v>
      </c>
      <c r="P124">
        <f>SQRT((N124^2)+($F$123^2))</f>
        <v>50.24937810560445</v>
      </c>
      <c r="Q124">
        <f>(N124/$F$123)</f>
        <v>0.1</v>
      </c>
      <c r="R124" s="3" t="s">
        <v>1</v>
      </c>
      <c r="S124" s="4">
        <v>0.26</v>
      </c>
      <c r="T124" s="4" t="s">
        <v>7</v>
      </c>
      <c r="X124">
        <v>43</v>
      </c>
    </row>
    <row r="125" spans="1:24" x14ac:dyDescent="0.3">
      <c r="A125">
        <v>10</v>
      </c>
      <c r="B125">
        <f t="shared" si="18"/>
        <v>0.19999999999999929</v>
      </c>
      <c r="C125">
        <f t="shared" ref="C125:C128" si="20">SQRT((A125^2)+($F$123^2))</f>
        <v>50.990195135927848</v>
      </c>
      <c r="D125">
        <f t="shared" ref="D125:D128" si="21">(A125/$F$123)</f>
        <v>0.2</v>
      </c>
      <c r="K125">
        <v>23.8</v>
      </c>
      <c r="N125">
        <v>10</v>
      </c>
      <c r="O125">
        <f t="shared" si="19"/>
        <v>1.6999999999999957</v>
      </c>
      <c r="P125">
        <f t="shared" ref="P125:P128" si="22">SQRT((N125^2)+($F$123^2))</f>
        <v>50.990195135927848</v>
      </c>
      <c r="Q125">
        <f t="shared" ref="Q125:Q128" si="23">(N125/$F$123)</f>
        <v>0.2</v>
      </c>
      <c r="X125">
        <v>43.9</v>
      </c>
    </row>
    <row r="126" spans="1:24" x14ac:dyDescent="0.3">
      <c r="A126">
        <v>15</v>
      </c>
      <c r="B126">
        <f t="shared" si="18"/>
        <v>0.29999999999999716</v>
      </c>
      <c r="C126">
        <f t="shared" si="20"/>
        <v>52.201532544552748</v>
      </c>
      <c r="D126">
        <f t="shared" si="21"/>
        <v>0.3</v>
      </c>
      <c r="K126">
        <v>23.9</v>
      </c>
      <c r="N126">
        <v>15</v>
      </c>
      <c r="O126">
        <f t="shared" si="19"/>
        <v>2.2999999999999972</v>
      </c>
      <c r="P126">
        <f t="shared" si="22"/>
        <v>52.201532544552748</v>
      </c>
      <c r="Q126">
        <f t="shared" si="23"/>
        <v>0.3</v>
      </c>
      <c r="X126">
        <v>44.5</v>
      </c>
    </row>
    <row r="127" spans="1:24" x14ac:dyDescent="0.3">
      <c r="A127">
        <v>20</v>
      </c>
      <c r="B127">
        <f t="shared" si="18"/>
        <v>0.39999999999999858</v>
      </c>
      <c r="C127">
        <f t="shared" si="20"/>
        <v>53.851648071345039</v>
      </c>
      <c r="D127">
        <f t="shared" si="21"/>
        <v>0.4</v>
      </c>
      <c r="K127">
        <v>24</v>
      </c>
      <c r="N127">
        <v>20</v>
      </c>
      <c r="O127">
        <f t="shared" si="19"/>
        <v>2.6999999999999957</v>
      </c>
      <c r="P127">
        <f t="shared" si="22"/>
        <v>53.851648071345039</v>
      </c>
      <c r="Q127">
        <f t="shared" si="23"/>
        <v>0.4</v>
      </c>
      <c r="X127">
        <v>44.9</v>
      </c>
    </row>
    <row r="128" spans="1:24" x14ac:dyDescent="0.3">
      <c r="A128">
        <v>25</v>
      </c>
      <c r="B128">
        <f t="shared" si="18"/>
        <v>0.59999999999999787</v>
      </c>
      <c r="C128">
        <f t="shared" si="20"/>
        <v>55.901699437494742</v>
      </c>
      <c r="D128">
        <f t="shared" si="21"/>
        <v>0.5</v>
      </c>
      <c r="K128">
        <v>24.2</v>
      </c>
      <c r="N128">
        <v>25</v>
      </c>
      <c r="O128">
        <f t="shared" si="19"/>
        <v>3.5</v>
      </c>
      <c r="P128">
        <f t="shared" si="22"/>
        <v>55.901699437494742</v>
      </c>
      <c r="Q128">
        <f t="shared" si="23"/>
        <v>0.5</v>
      </c>
      <c r="X128">
        <v>45.7</v>
      </c>
    </row>
    <row r="130" spans="1:24" x14ac:dyDescent="0.3">
      <c r="C130" t="s">
        <v>89</v>
      </c>
      <c r="P130" t="s">
        <v>89</v>
      </c>
    </row>
    <row r="131" spans="1:24" x14ac:dyDescent="0.3">
      <c r="C131">
        <v>2.29E-2</v>
      </c>
      <c r="P131">
        <v>0.13600000000000001</v>
      </c>
    </row>
    <row r="135" spans="1:24" x14ac:dyDescent="0.3">
      <c r="D135">
        <f>TAN(AVERAGE(D123:D128))</f>
        <v>0.25534192122103627</v>
      </c>
      <c r="Q135">
        <f>TAN(AVERAGE(Q123:Q128))</f>
        <v>0.25534192122103627</v>
      </c>
    </row>
    <row r="136" spans="1:24" x14ac:dyDescent="0.3">
      <c r="A136" s="2" t="s">
        <v>98</v>
      </c>
      <c r="B136">
        <f>AVERAGE(B123:B128)/F121</f>
        <v>1.1299435028248522E-2</v>
      </c>
      <c r="C136" s="2" t="s">
        <v>97</v>
      </c>
      <c r="D136">
        <f>(AVERAGE(C123:C128)*TAN(AVERAGE(D123:D128)))/F123</f>
        <v>0.22401525786348803</v>
      </c>
      <c r="N136" s="2" t="s">
        <v>98</v>
      </c>
      <c r="O136">
        <f>AVERAGE(O123:O128)/S121</f>
        <v>4.344391785150073E-2</v>
      </c>
      <c r="P136" s="2" t="s">
        <v>97</v>
      </c>
      <c r="Q136">
        <f>(AVERAGE(P123:P128)*TAN(AVERAGE(Q123:Q128)))/S123</f>
        <v>0.22401525786348803</v>
      </c>
    </row>
    <row r="137" spans="1:24" x14ac:dyDescent="0.3">
      <c r="B137" s="2" t="s">
        <v>96</v>
      </c>
      <c r="C137">
        <f>B136/D136</f>
        <v>5.0440470600151041E-2</v>
      </c>
      <c r="O137" s="2" t="s">
        <v>96</v>
      </c>
      <c r="P137">
        <f>O136/Q136</f>
        <v>0.19393285201124508</v>
      </c>
    </row>
    <row r="143" spans="1:24" x14ac:dyDescent="0.3">
      <c r="X143">
        <f>X151*20</f>
        <v>0</v>
      </c>
    </row>
    <row r="144" spans="1:24" x14ac:dyDescent="0.3">
      <c r="X144">
        <f t="shared" ref="X144:X150" si="24">X152*20</f>
        <v>560</v>
      </c>
    </row>
    <row r="145" spans="1:24" x14ac:dyDescent="0.3">
      <c r="X145">
        <f t="shared" si="24"/>
        <v>560</v>
      </c>
    </row>
    <row r="146" spans="1:24" x14ac:dyDescent="0.3">
      <c r="X146">
        <f t="shared" si="24"/>
        <v>564</v>
      </c>
    </row>
    <row r="147" spans="1:24" x14ac:dyDescent="0.3">
      <c r="X147">
        <f t="shared" si="24"/>
        <v>568</v>
      </c>
    </row>
    <row r="148" spans="1:24" x14ac:dyDescent="0.3">
      <c r="X148">
        <f t="shared" si="24"/>
        <v>572</v>
      </c>
    </row>
    <row r="149" spans="1:24" x14ac:dyDescent="0.3">
      <c r="X149">
        <f t="shared" si="24"/>
        <v>576</v>
      </c>
    </row>
    <row r="150" spans="1:24" ht="15.6" x14ac:dyDescent="0.35">
      <c r="A150" s="1" t="s">
        <v>29</v>
      </c>
      <c r="B150" s="1" t="s">
        <v>11</v>
      </c>
      <c r="C150" s="2" t="s">
        <v>30</v>
      </c>
      <c r="D150" s="2" t="s">
        <v>31</v>
      </c>
      <c r="E150" s="3" t="s">
        <v>32</v>
      </c>
      <c r="F150" s="4">
        <v>46.5</v>
      </c>
      <c r="G150" s="4" t="s">
        <v>33</v>
      </c>
      <c r="H150">
        <v>1</v>
      </c>
      <c r="I150" s="4" t="s">
        <v>33</v>
      </c>
      <c r="N150" s="1" t="s">
        <v>29</v>
      </c>
      <c r="O150" s="1" t="s">
        <v>11</v>
      </c>
      <c r="P150" s="2" t="s">
        <v>30</v>
      </c>
      <c r="Q150" s="2" t="s">
        <v>31</v>
      </c>
      <c r="R150" s="3" t="s">
        <v>32</v>
      </c>
      <c r="S150" s="4">
        <v>28</v>
      </c>
      <c r="T150" s="4" t="s">
        <v>33</v>
      </c>
      <c r="U150">
        <v>1</v>
      </c>
      <c r="V150" s="4" t="s">
        <v>33</v>
      </c>
      <c r="X150">
        <f t="shared" si="24"/>
        <v>0</v>
      </c>
    </row>
    <row r="151" spans="1:24" x14ac:dyDescent="0.3">
      <c r="A151" s="4" t="s">
        <v>7</v>
      </c>
      <c r="B151" s="4" t="s">
        <v>33</v>
      </c>
      <c r="C151" s="4" t="s">
        <v>7</v>
      </c>
      <c r="D151" s="4" t="s">
        <v>99</v>
      </c>
      <c r="E151" s="3" t="s">
        <v>38</v>
      </c>
      <c r="F151" s="4">
        <v>10.3</v>
      </c>
      <c r="G151" s="4" t="s">
        <v>7</v>
      </c>
      <c r="H151">
        <v>20</v>
      </c>
      <c r="I151" s="4" t="s">
        <v>33</v>
      </c>
      <c r="N151" s="4" t="s">
        <v>7</v>
      </c>
      <c r="O151" s="4" t="s">
        <v>33</v>
      </c>
      <c r="P151" s="4" t="s">
        <v>7</v>
      </c>
      <c r="Q151" s="4" t="s">
        <v>99</v>
      </c>
      <c r="R151" s="3" t="s">
        <v>38</v>
      </c>
      <c r="S151" s="4">
        <v>10.3</v>
      </c>
      <c r="T151" s="4" t="s">
        <v>7</v>
      </c>
      <c r="U151">
        <v>20</v>
      </c>
      <c r="V151" s="4" t="s">
        <v>33</v>
      </c>
    </row>
    <row r="152" spans="1:24" x14ac:dyDescent="0.3">
      <c r="A152">
        <v>0</v>
      </c>
      <c r="B152">
        <f>K152-$F$150</f>
        <v>0</v>
      </c>
      <c r="C152">
        <v>0</v>
      </c>
      <c r="D152">
        <v>0</v>
      </c>
      <c r="E152" s="3" t="s">
        <v>40</v>
      </c>
      <c r="F152" s="4">
        <v>50</v>
      </c>
      <c r="G152" s="4" t="s">
        <v>7</v>
      </c>
      <c r="H152">
        <v>200</v>
      </c>
      <c r="I152" s="4" t="s">
        <v>33</v>
      </c>
      <c r="K152">
        <v>46.5</v>
      </c>
      <c r="N152">
        <v>0</v>
      </c>
      <c r="O152">
        <f>X152-$S$150</f>
        <v>0</v>
      </c>
      <c r="P152">
        <v>0</v>
      </c>
      <c r="Q152">
        <v>0</v>
      </c>
      <c r="R152" s="3" t="s">
        <v>40</v>
      </c>
      <c r="S152" s="4">
        <v>50</v>
      </c>
      <c r="T152" s="4" t="s">
        <v>7</v>
      </c>
      <c r="U152">
        <v>200</v>
      </c>
      <c r="V152" s="4" t="s">
        <v>33</v>
      </c>
      <c r="X152">
        <v>28</v>
      </c>
    </row>
    <row r="153" spans="1:24" x14ac:dyDescent="0.3">
      <c r="A153">
        <v>5</v>
      </c>
      <c r="B153">
        <f t="shared" ref="B153:B157" si="25">K153-$F$150</f>
        <v>0.20000000000000284</v>
      </c>
      <c r="C153">
        <f>SQRT((A153^2)+($F$152^2))</f>
        <v>50.24937810560445</v>
      </c>
      <c r="D153">
        <f>(A153/$F$152)</f>
        <v>0.1</v>
      </c>
      <c r="E153" s="3" t="s">
        <v>1</v>
      </c>
      <c r="F153" s="4">
        <v>0.26</v>
      </c>
      <c r="G153" s="4" t="s">
        <v>7</v>
      </c>
      <c r="K153">
        <v>46.7</v>
      </c>
      <c r="N153">
        <v>5</v>
      </c>
      <c r="O153">
        <f t="shared" ref="O153:O157" si="26">X153-$S$150</f>
        <v>0</v>
      </c>
      <c r="P153">
        <f>SQRT((N153^2)+($F$152^2))</f>
        <v>50.24937810560445</v>
      </c>
      <c r="Q153">
        <f>(N153/$F$152)</f>
        <v>0.1</v>
      </c>
      <c r="R153" s="3" t="s">
        <v>1</v>
      </c>
      <c r="S153" s="4">
        <v>0.26</v>
      </c>
      <c r="T153" s="4" t="s">
        <v>7</v>
      </c>
      <c r="X153">
        <v>28</v>
      </c>
    </row>
    <row r="154" spans="1:24" x14ac:dyDescent="0.3">
      <c r="A154">
        <v>10</v>
      </c>
      <c r="B154">
        <f t="shared" si="25"/>
        <v>0.89999999999999858</v>
      </c>
      <c r="C154">
        <f t="shared" ref="C154:C157" si="27">SQRT((A154^2)+($F$152^2))</f>
        <v>50.990195135927848</v>
      </c>
      <c r="D154">
        <f t="shared" ref="D154:D157" si="28">(A154/$F$152)</f>
        <v>0.2</v>
      </c>
      <c r="K154">
        <v>47.4</v>
      </c>
      <c r="N154">
        <v>10</v>
      </c>
      <c r="O154">
        <f t="shared" si="26"/>
        <v>0.19999999999999929</v>
      </c>
      <c r="P154">
        <f t="shared" ref="P154:P157" si="29">SQRT((N154^2)+($F$152^2))</f>
        <v>50.990195135927848</v>
      </c>
      <c r="Q154">
        <f t="shared" ref="Q154:Q157" si="30">(N154/$F$152)</f>
        <v>0.2</v>
      </c>
      <c r="X154">
        <v>28.2</v>
      </c>
    </row>
    <row r="155" spans="1:24" x14ac:dyDescent="0.3">
      <c r="A155">
        <v>15</v>
      </c>
      <c r="B155">
        <f t="shared" si="25"/>
        <v>1.7000000000000028</v>
      </c>
      <c r="C155">
        <f t="shared" si="27"/>
        <v>52.201532544552748</v>
      </c>
      <c r="D155">
        <f t="shared" si="28"/>
        <v>0.3</v>
      </c>
      <c r="K155">
        <v>48.2</v>
      </c>
      <c r="N155">
        <v>15</v>
      </c>
      <c r="O155">
        <f t="shared" si="26"/>
        <v>0.39999999999999858</v>
      </c>
      <c r="P155">
        <f t="shared" si="29"/>
        <v>52.201532544552748</v>
      </c>
      <c r="Q155">
        <f t="shared" si="30"/>
        <v>0.3</v>
      </c>
      <c r="X155">
        <v>28.4</v>
      </c>
    </row>
    <row r="156" spans="1:24" x14ac:dyDescent="0.3">
      <c r="A156">
        <v>20</v>
      </c>
      <c r="B156">
        <f t="shared" si="25"/>
        <v>2.2000000000000028</v>
      </c>
      <c r="C156">
        <f t="shared" si="27"/>
        <v>53.851648071345039</v>
      </c>
      <c r="D156">
        <f t="shared" si="28"/>
        <v>0.4</v>
      </c>
      <c r="K156">
        <v>48.7</v>
      </c>
      <c r="N156">
        <v>20</v>
      </c>
      <c r="O156">
        <f t="shared" si="26"/>
        <v>0.59999999999999787</v>
      </c>
      <c r="P156">
        <f t="shared" si="29"/>
        <v>53.851648071345039</v>
      </c>
      <c r="Q156">
        <f t="shared" si="30"/>
        <v>0.4</v>
      </c>
      <c r="X156">
        <v>28.599999999999998</v>
      </c>
    </row>
    <row r="157" spans="1:24" x14ac:dyDescent="0.3">
      <c r="A157">
        <v>25</v>
      </c>
      <c r="B157">
        <f t="shared" si="25"/>
        <v>2.7999999999999972</v>
      </c>
      <c r="C157">
        <f t="shared" si="27"/>
        <v>55.901699437494742</v>
      </c>
      <c r="D157">
        <f t="shared" si="28"/>
        <v>0.5</v>
      </c>
      <c r="K157">
        <v>49.3</v>
      </c>
      <c r="N157">
        <v>25</v>
      </c>
      <c r="O157">
        <f t="shared" si="26"/>
        <v>0.79999999999999716</v>
      </c>
      <c r="P157">
        <f t="shared" si="29"/>
        <v>55.901699437494742</v>
      </c>
      <c r="Q157">
        <f t="shared" si="30"/>
        <v>0.5</v>
      </c>
      <c r="X157">
        <v>28.799999999999997</v>
      </c>
    </row>
    <row r="159" spans="1:24" x14ac:dyDescent="0.3">
      <c r="C159" t="s">
        <v>89</v>
      </c>
      <c r="P159" t="s">
        <v>89</v>
      </c>
    </row>
    <row r="160" spans="1:24" x14ac:dyDescent="0.3">
      <c r="C160">
        <v>0.11890000000000001</v>
      </c>
      <c r="P160">
        <v>3.4299999999999997E-2</v>
      </c>
    </row>
    <row r="164" spans="1:17" x14ac:dyDescent="0.3">
      <c r="D164">
        <f>TAN(AVERAGE(D152:D157))</f>
        <v>0.25534192122103627</v>
      </c>
      <c r="Q164">
        <f>TAN(AVERAGE(Q152:Q157))</f>
        <v>0.25534192122103627</v>
      </c>
    </row>
    <row r="165" spans="1:17" x14ac:dyDescent="0.3">
      <c r="A165" s="2" t="s">
        <v>98</v>
      </c>
      <c r="B165">
        <f>AVERAGE(B152:B157)/F150</f>
        <v>2.7956989247311843E-2</v>
      </c>
      <c r="C165" s="2" t="s">
        <v>97</v>
      </c>
      <c r="D165">
        <f>(AVERAGE(C152:C157)*TAN(AVERAGE(D152:D157)))/F152</f>
        <v>0.22401525786348803</v>
      </c>
      <c r="N165" s="2" t="s">
        <v>98</v>
      </c>
      <c r="O165">
        <f>AVERAGE(O152:O157)/S150</f>
        <v>1.1904761904761862E-2</v>
      </c>
      <c r="P165" s="2" t="s">
        <v>97</v>
      </c>
      <c r="Q165">
        <f>(AVERAGE(P152:P157)*TAN(AVERAGE(Q152:Q157)))/S152</f>
        <v>0.22401525786348803</v>
      </c>
    </row>
    <row r="166" spans="1:17" x14ac:dyDescent="0.3">
      <c r="B166" s="2" t="s">
        <v>96</v>
      </c>
      <c r="C166">
        <f>B165/D165</f>
        <v>0.12479948693650353</v>
      </c>
      <c r="O166" s="2" t="s">
        <v>96</v>
      </c>
      <c r="P166">
        <f>O165/Q165</f>
        <v>5.3142638668016391E-2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Tunability</vt:lpstr>
      <vt:lpstr>Contact Pad Tunability</vt:lpstr>
      <vt:lpstr>Resistor Tunability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Martin</dc:creator>
  <cp:keywords/>
  <dc:description/>
  <cp:lastModifiedBy>Yahriel Salinas-Reyes</cp:lastModifiedBy>
  <cp:revision/>
  <dcterms:created xsi:type="dcterms:W3CDTF">2020-02-25T14:11:17Z</dcterms:created>
  <dcterms:modified xsi:type="dcterms:W3CDTF">2023-03-03T22:50:22Z</dcterms:modified>
  <cp:category/>
  <cp:contentStatus/>
</cp:coreProperties>
</file>