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ahya\Documents\Python Scripts\Dashboard_Supply_Chain_and_Freight_Analytics-main\"/>
    </mc:Choice>
  </mc:AlternateContent>
  <bookViews>
    <workbookView showHorizontalScroll="0" showVerticalScroll="0" xWindow="0" yWindow="0" windowWidth="20496" windowHeight="7656" activeTab="2"/>
  </bookViews>
  <sheets>
    <sheet name="Datatable" sheetId="1" r:id="rId1"/>
    <sheet name="PVT " sheetId="2" r:id="rId2"/>
    <sheet name="Dashboard" sheetId="3" r:id="rId3"/>
  </sheets>
  <definedNames>
    <definedName name="Slicer_Driver_Name">#N/A</definedName>
    <definedName name="Slicer_Month">#N/A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7" i="2" l="1"/>
  <c r="Z16" i="2"/>
  <c r="Z15" i="2"/>
  <c r="Z14" i="2"/>
  <c r="Z13" i="2"/>
  <c r="Z12" i="2"/>
  <c r="Z11" i="2"/>
  <c r="Z10" i="2"/>
  <c r="Z9" i="2"/>
  <c r="Z8" i="2"/>
  <c r="Z7" i="2"/>
  <c r="AM6" i="2"/>
  <c r="C15" i="3" s="1"/>
  <c r="Z6" i="2"/>
  <c r="S35" i="3"/>
  <c r="P35" i="3"/>
  <c r="S32" i="3"/>
  <c r="S30" i="3"/>
  <c r="S28" i="3"/>
  <c r="Q32" i="3"/>
  <c r="Q30" i="3"/>
  <c r="Q28" i="3"/>
  <c r="BF11" i="2"/>
  <c r="BE11" i="2"/>
  <c r="BC12" i="2"/>
  <c r="BB12" i="2"/>
  <c r="BA12" i="2"/>
  <c r="BC11" i="2"/>
  <c r="BB11" i="2"/>
  <c r="BA11" i="2"/>
  <c r="A17" i="3"/>
  <c r="G3" i="2"/>
  <c r="C21" i="3"/>
  <c r="C11" i="3"/>
  <c r="C10" i="3"/>
  <c r="U8" i="2"/>
  <c r="O8" i="2"/>
  <c r="D5" i="2"/>
  <c r="N8" i="2"/>
  <c r="C5" i="2"/>
  <c r="A21" i="3"/>
  <c r="B17" i="3"/>
  <c r="B21" i="3"/>
  <c r="C17" i="3"/>
  <c r="T8" i="2"/>
  <c r="S8" i="2"/>
  <c r="M8" i="2"/>
  <c r="B5" i="2"/>
  <c r="V8" i="2"/>
  <c r="P8" i="2"/>
  <c r="R12" i="3" l="1"/>
  <c r="R23" i="3"/>
  <c r="E10" i="3"/>
  <c r="B6" i="2"/>
  <c r="E11" i="3" s="1"/>
  <c r="R7" i="3"/>
  <c r="R17" i="3"/>
  <c r="R19" i="3"/>
  <c r="I10" i="3"/>
  <c r="C6" i="2"/>
  <c r="I11" i="3" s="1"/>
  <c r="R8" i="3"/>
  <c r="B4" i="3"/>
  <c r="R10" i="3"/>
  <c r="R21" i="3"/>
  <c r="C7" i="3"/>
</calcChain>
</file>

<file path=xl/sharedStrings.xml><?xml version="1.0" encoding="utf-8"?>
<sst xmlns="http://schemas.openxmlformats.org/spreadsheetml/2006/main" count="607" uniqueCount="108">
  <si>
    <t>Month</t>
  </si>
  <si>
    <t>Day</t>
  </si>
  <si>
    <t>Load</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</si>
  <si>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</si>
  <si>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</si>
  <si>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</si>
  <si>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</si>
  <si>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</si>
  <si>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</si>
  <si>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</si>
  <si>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</si>
  <si>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</si>
  <si>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</si>
  <si>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</si>
  <si>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</si>
  <si>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</si>
  <si>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</si>
  <si>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</si>
  <si>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</si>
  <si>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</si>
  <si>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</si>
  <si>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Jan</t>
  </si>
  <si>
    <t>Wood</t>
  </si>
  <si>
    <t>Feb</t>
  </si>
  <si>
    <t>Sand</t>
  </si>
  <si>
    <t>Mar</t>
  </si>
  <si>
    <t>Iron</t>
  </si>
  <si>
    <t>Freightliner Sprinter</t>
  </si>
  <si>
    <t>Apr</t>
  </si>
  <si>
    <t>Chevrolet Express</t>
  </si>
  <si>
    <t>May</t>
  </si>
  <si>
    <t>Jun</t>
  </si>
  <si>
    <t>RAM ProMaster</t>
  </si>
  <si>
    <t>Jul</t>
  </si>
  <si>
    <t>Nissan NV2500</t>
  </si>
  <si>
    <t>Aug</t>
  </si>
  <si>
    <t>Sep</t>
  </si>
  <si>
    <t>Oct</t>
  </si>
  <si>
    <t>Nov</t>
  </si>
  <si>
    <t>Dec</t>
  </si>
  <si>
    <t>Alessandro Smith</t>
  </si>
  <si>
    <t>Beauregard Mike</t>
  </si>
  <si>
    <t>Jean Bartholomew</t>
  </si>
  <si>
    <t>Jaison Augustine</t>
  </si>
  <si>
    <t>Tonnage</t>
  </si>
  <si>
    <t>Customer Type</t>
  </si>
  <si>
    <t>Retaining Customer</t>
  </si>
  <si>
    <t>New Customer</t>
  </si>
  <si>
    <t>Destination</t>
  </si>
  <si>
    <t>Alberta</t>
  </si>
  <si>
    <t>British Columbia</t>
  </si>
  <si>
    <t>Manitoba</t>
  </si>
  <si>
    <t>New Brunswick</t>
  </si>
  <si>
    <t>Nova Scotia</t>
  </si>
  <si>
    <t>Nunavut</t>
  </si>
  <si>
    <t>Yukon</t>
  </si>
  <si>
    <t>First condition type</t>
  </si>
  <si>
    <t>Shipment cost sub-items</t>
  </si>
  <si>
    <t>Basic freight</t>
  </si>
  <si>
    <t>Final Amount</t>
  </si>
  <si>
    <t>ERE Stage</t>
  </si>
  <si>
    <t>Nunavut.</t>
  </si>
  <si>
    <t>Sum of Rate</t>
  </si>
  <si>
    <t>Sum of Total Expenses</t>
  </si>
  <si>
    <t>Sum of Balance</t>
  </si>
  <si>
    <t>Expenses</t>
  </si>
  <si>
    <t>Balance</t>
  </si>
  <si>
    <t>Monthly Rate</t>
  </si>
  <si>
    <t>Monthly Balance</t>
  </si>
  <si>
    <t>Year To Date</t>
  </si>
  <si>
    <t>Row Labels</t>
  </si>
  <si>
    <t>Grand Total</t>
  </si>
  <si>
    <t>Income</t>
  </si>
  <si>
    <t>Count of Customer Type</t>
  </si>
  <si>
    <t xml:space="preserve"> Retaining Customer</t>
  </si>
  <si>
    <t>Sum of Insurance</t>
  </si>
  <si>
    <t>Sum of Fuel</t>
  </si>
  <si>
    <t>Sum of Diesel Exhaust Fluid</t>
  </si>
  <si>
    <t>Sum of Advance</t>
  </si>
  <si>
    <t>Track Expenses</t>
  </si>
  <si>
    <t>Sum of Warehouse</t>
  </si>
  <si>
    <t>Count of Repairs</t>
  </si>
  <si>
    <t>Sum of Tolls</t>
  </si>
  <si>
    <t>Sum of Fundings</t>
  </si>
  <si>
    <t>Freight Expenses</t>
  </si>
  <si>
    <t>.</t>
  </si>
  <si>
    <t>Income &amp; Expenses</t>
  </si>
  <si>
    <t>Sum of Odometer</t>
  </si>
  <si>
    <t>Sum of Miles</t>
  </si>
  <si>
    <t>Sum of Rate Per Miles</t>
  </si>
  <si>
    <t>Sum of Extra Stops</t>
  </si>
  <si>
    <t>Sum of Extra Pay</t>
  </si>
  <si>
    <t>Sum of Costs Driver Paid</t>
  </si>
  <si>
    <t xml:space="preserve"> Extra Stops</t>
  </si>
  <si>
    <t xml:space="preserve">        Driver Payroll</t>
  </si>
  <si>
    <t xml:space="preserve">        Drivers Name</t>
  </si>
  <si>
    <t xml:space="preserve">             New Customer</t>
  </si>
  <si>
    <t>Count of Destination</t>
  </si>
  <si>
    <t xml:space="preserve">Fright </t>
  </si>
  <si>
    <t xml:space="preserve"> Destination</t>
  </si>
  <si>
    <t>/</t>
  </si>
  <si>
    <t>Count of Load</t>
  </si>
  <si>
    <t>Sum of Tonnage</t>
  </si>
  <si>
    <t>Total Tonnage</t>
  </si>
  <si>
    <t>Frt.</t>
  </si>
  <si>
    <t>Tone</t>
  </si>
  <si>
    <t>Fright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</si>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</sst>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_(&quot;$&quot;* \(#,##0.00\);_(&quot;$&quot;* &quot;-&quot;??_);_(@_)"/>
    <numFmt numFmtId="165" formatCode="[$-409]mmmm\ d\,\ yyyy;@"/>
    <numFmt numFmtId="166" formatCode="&quot;$&quot;#,##0"/>
    <numFmt numFmtId="167" formatCode="[$-409]d\-mmm\-yy;@"/>
    <numFmt numFmtId="168" formatCode="0.0"/>
  </numFmts>
  <fonts count="34"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2"/>
      <color theme="1"/>
      <name val="Arial"/>
      <family val="2"/>
    </font>
    <font>
      <sz val="12"/>
      <color theme="1" tint="4.9989318521683403E-2"/>
      <name val="Arial"/>
      <family val="2"/>
    </font>
    <font>
      <b/>
      <sz val="12"/>
      <color theme="1" tint="4.9989318521683403E-2"/>
      <name val="Arial"/>
      <family val="2"/>
    </font>
    <font>
      <b/>
      <sz val="11"/>
      <color theme="1"/>
      <name val="Calibri"/>
      <family val="2"/>
      <scheme val="minor"/>
    </font>
    <font>
      <sz val="11"/>
      <color theme="1"/>
      <name val="Arial"/>
      <family val="2"/>
    </font>
    <font>
      <b/>
      <sz val="11"/>
      <color theme="1"/>
      <name val="Arial"/>
      <family val="2"/>
    </font>
    <font>
      <b/>
      <sz val="12"/>
      <color theme="1"/>
      <name val="Calibri"/>
      <family val="2"/>
      <scheme val="minor"/>
    </font>
    <font>
      <sz val="11"/>
      <color theme="2" tint="-0.499984740745262"/>
      <name val="Calibri"/>
      <family val="2"/>
      <scheme val="minor"/>
    </font>
    <font>
      <b/>
      <sz val="11"/>
      <color rgb="FFFF0000"/>
      <name val="Arial"/>
      <family val="2"/>
    </font>
    <font>
      <b/>
      <sz val="11"/>
      <color theme="1" tint="0.34998626667073579"/>
      <name val="Calibri"/>
      <family val="2"/>
      <scheme val="minor"/>
    </font>
    <font>
      <b/>
      <sz val="16"/>
      <color theme="7" tint="-0.249977111117893"/>
      <name val="Calibri"/>
      <family val="2"/>
      <scheme val="minor"/>
    </font>
    <font>
      <b/>
      <sz val="16"/>
      <color theme="9" tint="-0.249977111117893"/>
      <name val="Calibri"/>
      <family val="2"/>
      <scheme val="minor"/>
    </font>
    <font>
      <sz val="11"/>
      <color theme="1"/>
      <name val="Arial"/>
    </font>
    <font>
      <sz val="26"/>
      <color rgb="FFFF0000"/>
      <name val="Agency FB"/>
      <family val="2"/>
    </font>
    <font>
      <sz val="20"/>
      <color rgb="FFFF0000"/>
      <name val="Calibri"/>
      <family val="2"/>
    </font>
    <font>
      <b/>
      <sz val="16"/>
      <color rgb="FFFF0000"/>
      <name val="Calibri"/>
      <family val="2"/>
      <scheme val="minor"/>
    </font>
    <font>
      <b/>
      <sz val="12"/>
      <color theme="1" tint="0.34998626667073579"/>
      <name val="Calibri"/>
      <family val="2"/>
      <scheme val="minor"/>
    </font>
    <font>
      <b/>
      <sz val="12"/>
      <color theme="4"/>
      <name val="Calibri"/>
      <family val="2"/>
      <scheme val="minor"/>
    </font>
    <font>
      <sz val="11"/>
      <color theme="1" tint="0.34998626667073579"/>
      <name val="Calibri"/>
      <family val="2"/>
      <scheme val="minor"/>
    </font>
    <font>
      <b/>
      <sz val="14"/>
      <color theme="1"/>
      <name val="Calibri"/>
      <family val="2"/>
      <scheme val="minor"/>
    </font>
    <font>
      <b/>
      <sz val="14"/>
      <color theme="4"/>
      <name val="Calibri"/>
      <family val="2"/>
      <scheme val="minor"/>
    </font>
    <font>
      <b/>
      <sz val="14"/>
      <color theme="8" tint="-0.499984740745262"/>
      <name val="Calibri"/>
      <family val="2"/>
      <scheme val="minor"/>
    </font>
    <font>
      <sz val="14"/>
      <color theme="8" tint="-0.499984740745262"/>
      <name val="Calibri"/>
      <family val="2"/>
      <scheme val="minor"/>
    </font>
    <font>
      <b/>
      <sz val="11"/>
      <color theme="8" tint="-0.499984740745262"/>
      <name val="Calibri"/>
      <family val="2"/>
      <scheme val="minor"/>
    </font>
    <font>
      <b/>
      <sz val="12"/>
      <color theme="8" tint="-0.499984740745262"/>
      <name val="Calibri"/>
      <family val="2"/>
      <scheme val="minor"/>
    </font>
    <font>
      <sz val="10"/>
      <color theme="1"/>
      <name val="Calibri"/>
      <family val="2"/>
      <scheme val="minor"/>
    </font>
    <font>
      <b/>
      <sz val="12"/>
      <color theme="1"/>
      <name val="Arial"/>
      <family val="2"/>
    </font>
    <font>
      <sz val="14"/>
      <color theme="1"/>
      <name val="Calibri Light"/>
      <family val="2"/>
      <scheme val="major"/>
    </font>
    <font>
      <b/>
      <sz val="14"/>
      <color theme="1"/>
      <name val="Calibri Light"/>
      <family val="2"/>
      <scheme val="major"/>
    </font>
    <font>
      <b/>
      <sz val="16"/>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theme="2" tint="-0.249977111117893"/>
      </right>
      <top/>
      <bottom/>
      <diagonal/>
    </border>
    <border>
      <left style="medium">
        <color theme="2" tint="-0.249977111117893"/>
      </left>
      <right style="medium">
        <color theme="2" tint="-0.249977111117893"/>
      </right>
      <top style="medium">
        <color theme="2" tint="-0.249977111117893"/>
      </top>
      <bottom style="medium">
        <color theme="2" tint="-0.249977111117893"/>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06">
    <xf numFmtId="0" fontId="0" fillId="0" borderId="0" xfId="0"/>
    <xf numFmtId="0" fontId="4" fillId="0" borderId="0" xfId="0" applyFont="1" applyAlignment="1">
      <alignment horizontal="center" vertical="center"/>
    </xf>
    <xf numFmtId="0" fontId="4" fillId="0" borderId="0" xfId="0" applyFont="1" applyAlignment="1">
      <alignment horizontal="center"/>
    </xf>
    <xf numFmtId="165" fontId="5" fillId="0" borderId="5" xfId="0" applyNumberFormat="1" applyFont="1" applyBorder="1" applyAlignment="1">
      <alignment horizontal="center" vertical="center"/>
    </xf>
    <xf numFmtId="1" fontId="5" fillId="0" borderId="1" xfId="0" applyNumberFormat="1" applyFont="1" applyBorder="1" applyAlignment="1">
      <alignment horizontal="center" vertical="center"/>
    </xf>
    <xf numFmtId="0" fontId="5" fillId="0" borderId="1" xfId="0" applyFont="1" applyBorder="1" applyAlignment="1">
      <alignment horizontal="center" vertical="center"/>
    </xf>
    <xf numFmtId="168" fontId="5" fillId="0" borderId="1" xfId="0" applyNumberFormat="1" applyFont="1" applyBorder="1" applyAlignment="1">
      <alignment horizontal="center" vertical="center"/>
    </xf>
    <xf numFmtId="166" fontId="6" fillId="0" borderId="1" xfId="1" applyNumberFormat="1" applyFont="1" applyBorder="1" applyAlignment="1">
      <alignment horizontal="center" vertical="center"/>
    </xf>
    <xf numFmtId="166" fontId="5" fillId="0" borderId="1" xfId="0" applyNumberFormat="1" applyFont="1" applyBorder="1" applyAlignment="1">
      <alignment horizontal="center" vertical="center"/>
    </xf>
    <xf numFmtId="167" fontId="5" fillId="0" borderId="1" xfId="0" applyNumberFormat="1" applyFont="1" applyBorder="1" applyAlignment="1">
      <alignment horizontal="center" vertical="center"/>
    </xf>
    <xf numFmtId="166" fontId="6" fillId="0" borderId="1" xfId="0" applyNumberFormat="1" applyFont="1" applyBorder="1" applyAlignment="1">
      <alignment horizontal="center" vertical="center"/>
    </xf>
    <xf numFmtId="166" fontId="5" fillId="0" borderId="6" xfId="0" applyNumberFormat="1" applyFont="1" applyBorder="1" applyAlignment="1">
      <alignment horizontal="center" vertical="center"/>
    </xf>
    <xf numFmtId="165" fontId="5" fillId="0" borderId="7" xfId="0" applyNumberFormat="1" applyFont="1" applyBorder="1" applyAlignment="1">
      <alignment horizontal="center" vertical="center"/>
    </xf>
    <xf numFmtId="1" fontId="5" fillId="0" borderId="8" xfId="0" applyNumberFormat="1" applyFont="1" applyBorder="1" applyAlignment="1">
      <alignment horizontal="center" vertical="center"/>
    </xf>
    <xf numFmtId="167" fontId="5" fillId="0" borderId="8" xfId="0" applyNumberFormat="1" applyFont="1" applyBorder="1" applyAlignment="1">
      <alignment horizontal="center" vertical="center"/>
    </xf>
    <xf numFmtId="168" fontId="5" fillId="0" borderId="8" xfId="0" applyNumberFormat="1" applyFont="1" applyBorder="1" applyAlignment="1">
      <alignment horizontal="center" vertical="center"/>
    </xf>
    <xf numFmtId="0" fontId="5" fillId="0" borderId="8" xfId="0" applyFont="1" applyBorder="1" applyAlignment="1">
      <alignment horizontal="center" vertical="center"/>
    </xf>
    <xf numFmtId="166" fontId="6" fillId="0" borderId="8" xfId="1" applyNumberFormat="1" applyFont="1" applyBorder="1" applyAlignment="1">
      <alignment horizontal="center" vertical="center"/>
    </xf>
    <xf numFmtId="166" fontId="5" fillId="0" borderId="8" xfId="0" applyNumberFormat="1" applyFont="1" applyBorder="1" applyAlignment="1">
      <alignment horizontal="center" vertical="center"/>
    </xf>
    <xf numFmtId="166" fontId="6" fillId="0" borderId="8" xfId="0" applyNumberFormat="1" applyFont="1" applyBorder="1" applyAlignment="1">
      <alignment horizontal="center" vertical="center"/>
    </xf>
    <xf numFmtId="166" fontId="5" fillId="0" borderId="9" xfId="0" applyNumberFormat="1" applyFont="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Font="1" applyBorder="1" applyAlignment="1">
      <alignment horizontal="center" vertical="center" wrapText="1"/>
    </xf>
    <xf numFmtId="0" fontId="8" fillId="0" borderId="0" xfId="0" applyFont="1" applyBorder="1" applyAlignment="1">
      <alignment horizontal="center" vertical="center" wrapText="1"/>
    </xf>
    <xf numFmtId="166" fontId="9" fillId="0" borderId="0" xfId="0" applyNumberFormat="1" applyFont="1" applyBorder="1" applyAlignment="1">
      <alignment horizontal="center" vertical="center"/>
    </xf>
    <xf numFmtId="166" fontId="9" fillId="0" borderId="0" xfId="0" applyNumberFormat="1" applyFont="1" applyAlignment="1">
      <alignment horizontal="center" vertical="center"/>
    </xf>
    <xf numFmtId="3" fontId="9" fillId="0" borderId="0" xfId="0" applyNumberFormat="1" applyFont="1" applyAlignment="1">
      <alignment horizontal="center" vertical="center"/>
    </xf>
    <xf numFmtId="0" fontId="11" fillId="3" borderId="0" xfId="0" applyFont="1" applyFill="1" applyAlignment="1">
      <alignment horizontal="center" vertical="center"/>
    </xf>
    <xf numFmtId="9" fontId="11" fillId="3" borderId="0" xfId="2" applyFont="1" applyFill="1" applyAlignment="1">
      <alignment horizontal="center" vertical="center"/>
    </xf>
    <xf numFmtId="0" fontId="0" fillId="0" borderId="10" xfId="0" applyBorder="1"/>
    <xf numFmtId="0" fontId="0" fillId="0" borderId="0" xfId="0" applyBorder="1"/>
    <xf numFmtId="0" fontId="8" fillId="0" borderId="0" xfId="0" applyFont="1" applyBorder="1" applyAlignment="1">
      <alignment horizontal="center" vertical="center"/>
    </xf>
    <xf numFmtId="0" fontId="8" fillId="0" borderId="0" xfId="0" pivotButton="1"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center"/>
    </xf>
    <xf numFmtId="3" fontId="9" fillId="0" borderId="0" xfId="0" applyNumberFormat="1" applyFont="1" applyBorder="1" applyAlignment="1">
      <alignment horizontal="center" vertical="center"/>
    </xf>
    <xf numFmtId="3" fontId="9" fillId="0" borderId="0" xfId="0" applyNumberFormat="1" applyFont="1" applyBorder="1" applyAlignment="1">
      <alignment horizontal="center" vertical="center" wrapText="1"/>
    </xf>
    <xf numFmtId="3" fontId="0" fillId="0" borderId="0" xfId="0" applyNumberFormat="1" applyAlignment="1">
      <alignment horizontal="center" vertical="center"/>
    </xf>
    <xf numFmtId="0" fontId="0" fillId="0" borderId="0" xfId="0" applyBorder="1" applyAlignment="1">
      <alignment horizontal="center"/>
    </xf>
    <xf numFmtId="0" fontId="0" fillId="0" borderId="10" xfId="0" applyBorder="1" applyAlignment="1">
      <alignment horizontal="center"/>
    </xf>
    <xf numFmtId="166" fontId="9" fillId="0" borderId="0" xfId="0" applyNumberFormat="1" applyFont="1" applyBorder="1" applyAlignment="1">
      <alignment horizontal="center"/>
    </xf>
    <xf numFmtId="0" fontId="8" fillId="0" borderId="0" xfId="0" applyFont="1" applyBorder="1" applyAlignment="1">
      <alignment horizontal="center"/>
    </xf>
    <xf numFmtId="0" fontId="0" fillId="0" borderId="11" xfId="0" applyBorder="1" applyAlignment="1">
      <alignment horizontal="center" vertical="center"/>
    </xf>
    <xf numFmtId="166" fontId="0" fillId="0" borderId="0" xfId="0" applyNumberFormat="1"/>
    <xf numFmtId="0" fontId="16" fillId="0" borderId="1" xfId="0" applyFont="1" applyBorder="1" applyAlignment="1">
      <alignment horizontal="center" vertical="center"/>
    </xf>
    <xf numFmtId="0" fontId="16" fillId="0" borderId="1" xfId="0" applyFont="1" applyBorder="1" applyAlignment="1">
      <alignment horizontal="center"/>
    </xf>
    <xf numFmtId="0" fontId="0" fillId="0" borderId="1" xfId="0" applyFont="1" applyBorder="1" applyAlignment="1">
      <alignment horizontal="center"/>
    </xf>
    <xf numFmtId="0" fontId="0" fillId="0" borderId="0" xfId="0" applyFont="1"/>
    <xf numFmtId="0" fontId="17" fillId="0" borderId="0" xfId="0" applyFont="1"/>
    <xf numFmtId="0" fontId="18" fillId="0" borderId="0" xfId="0" applyFont="1"/>
    <xf numFmtId="0" fontId="19" fillId="0" borderId="1" xfId="0" applyFont="1" applyBorder="1" applyAlignment="1">
      <alignment horizontal="center"/>
    </xf>
    <xf numFmtId="0" fontId="0" fillId="4" borderId="0" xfId="0" applyFill="1"/>
    <xf numFmtId="0" fontId="9" fillId="4" borderId="0" xfId="0" applyFont="1" applyFill="1" applyAlignment="1">
      <alignment vertical="center"/>
    </xf>
    <xf numFmtId="3" fontId="13" fillId="4" borderId="0" xfId="0" applyNumberFormat="1" applyFont="1" applyFill="1" applyAlignment="1">
      <alignment vertical="center"/>
    </xf>
    <xf numFmtId="0" fontId="13" fillId="4" borderId="0" xfId="0" applyFont="1" applyFill="1" applyAlignment="1">
      <alignment vertical="center"/>
    </xf>
    <xf numFmtId="3" fontId="7" fillId="4" borderId="0" xfId="0" applyNumberFormat="1" applyFont="1" applyFill="1" applyAlignment="1">
      <alignment horizontal="center" vertical="center"/>
    </xf>
    <xf numFmtId="3" fontId="0" fillId="4" borderId="0" xfId="0" applyNumberFormat="1" applyFill="1" applyAlignment="1">
      <alignment horizontal="center" vertical="center"/>
    </xf>
    <xf numFmtId="0" fontId="13" fillId="4" borderId="0" xfId="0" applyFont="1" applyFill="1" applyAlignment="1">
      <alignment horizontal="right" vertical="center"/>
    </xf>
    <xf numFmtId="0" fontId="0" fillId="4" borderId="0" xfId="0" applyFill="1" applyAlignment="1">
      <alignment horizontal="center" vertical="center"/>
    </xf>
    <xf numFmtId="0" fontId="7" fillId="4" borderId="0" xfId="0" applyFont="1" applyFill="1" applyAlignment="1">
      <alignment horizontal="center" vertical="center"/>
    </xf>
    <xf numFmtId="166" fontId="21" fillId="4" borderId="0" xfId="0" applyNumberFormat="1" applyFont="1" applyFill="1" applyAlignment="1">
      <alignment horizontal="center" vertical="center"/>
    </xf>
    <xf numFmtId="0" fontId="0" fillId="4" borderId="0" xfId="0" applyFill="1" applyAlignment="1">
      <alignment horizontal="left" vertical="center"/>
    </xf>
    <xf numFmtId="166" fontId="7" fillId="4" borderId="0" xfId="0" applyNumberFormat="1" applyFont="1" applyFill="1" applyAlignment="1">
      <alignment horizontal="center" vertical="center"/>
    </xf>
    <xf numFmtId="0" fontId="7" fillId="4" borderId="0" xfId="0" applyFont="1" applyFill="1" applyAlignment="1">
      <alignment horizontal="left" vertical="center"/>
    </xf>
    <xf numFmtId="0" fontId="7" fillId="4" borderId="0" xfId="0" applyFont="1" applyFill="1"/>
    <xf numFmtId="166" fontId="7" fillId="4" borderId="0" xfId="0" applyNumberFormat="1" applyFont="1" applyFill="1" applyAlignment="1">
      <alignment horizontal="center"/>
    </xf>
    <xf numFmtId="0" fontId="0" fillId="4" borderId="0" xfId="0" applyFill="1" applyAlignment="1"/>
    <xf numFmtId="0" fontId="7" fillId="0" borderId="0" xfId="0" applyFont="1" applyAlignment="1">
      <alignment horizontal="center" vertical="center"/>
    </xf>
    <xf numFmtId="0" fontId="22" fillId="0" borderId="0" xfId="0" applyFont="1" applyFill="1" applyAlignment="1">
      <alignment horizontal="left" vertical="center"/>
    </xf>
    <xf numFmtId="0" fontId="22" fillId="0" borderId="0" xfId="0" applyFont="1" applyFill="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3" fontId="9" fillId="0" borderId="0" xfId="0" applyNumberFormat="1" applyFont="1" applyFill="1" applyBorder="1" applyAlignment="1">
      <alignment horizontal="center" vertical="center"/>
    </xf>
    <xf numFmtId="0" fontId="28" fillId="4" borderId="0" xfId="0" applyFont="1" applyFill="1" applyAlignment="1">
      <alignment vertical="center"/>
    </xf>
    <xf numFmtId="0" fontId="27" fillId="4" borderId="0" xfId="0" applyFont="1" applyFill="1" applyAlignment="1">
      <alignment vertical="center"/>
    </xf>
    <xf numFmtId="3" fontId="28" fillId="4" borderId="0" xfId="0" applyNumberFormat="1" applyFont="1" applyFill="1" applyAlignment="1">
      <alignment vertical="center"/>
    </xf>
    <xf numFmtId="0" fontId="27" fillId="4" borderId="0" xfId="0" applyFont="1" applyFill="1" applyAlignment="1"/>
    <xf numFmtId="0" fontId="12" fillId="0" borderId="0" xfId="0" applyFont="1" applyAlignment="1">
      <alignment horizontal="center" vertical="center"/>
    </xf>
    <xf numFmtId="0" fontId="20" fillId="4" borderId="0" xfId="0" applyFont="1" applyFill="1" applyAlignment="1">
      <alignment horizontal="left" vertical="center"/>
    </xf>
    <xf numFmtId="0" fontId="9" fillId="4" borderId="0" xfId="0" applyFont="1" applyFill="1" applyAlignment="1">
      <alignment horizontal="left" vertical="center"/>
    </xf>
    <xf numFmtId="0" fontId="7" fillId="4" borderId="0" xfId="0" applyFont="1" applyFill="1" applyAlignment="1">
      <alignment horizontal="center" vertical="center"/>
    </xf>
    <xf numFmtId="0" fontId="9" fillId="4" borderId="0" xfId="0" applyFont="1" applyFill="1" applyAlignment="1">
      <alignment horizontal="center" vertical="center"/>
    </xf>
    <xf numFmtId="0" fontId="13" fillId="4" borderId="0" xfId="0" applyFont="1" applyFill="1" applyAlignment="1">
      <alignment horizontal="center" vertical="center"/>
    </xf>
    <xf numFmtId="3" fontId="10" fillId="4" borderId="0" xfId="0" applyNumberFormat="1" applyFont="1" applyFill="1" applyAlignment="1">
      <alignment horizontal="center" vertical="center"/>
    </xf>
    <xf numFmtId="0" fontId="13" fillId="4" borderId="0" xfId="0" applyFont="1" applyFill="1" applyAlignment="1">
      <alignment horizontal="right" vertical="center"/>
    </xf>
    <xf numFmtId="0" fontId="13" fillId="4" borderId="0" xfId="0" applyFont="1" applyFill="1" applyAlignment="1">
      <alignment vertical="center"/>
    </xf>
    <xf numFmtId="0" fontId="15" fillId="4" borderId="0" xfId="0" applyFont="1" applyFill="1" applyAlignment="1">
      <alignment horizontal="center" vertical="center"/>
    </xf>
    <xf numFmtId="0" fontId="0" fillId="4" borderId="0" xfId="0" applyFont="1" applyFill="1" applyAlignment="1">
      <alignment horizontal="center" vertical="center"/>
    </xf>
    <xf numFmtId="3" fontId="7" fillId="4" borderId="0" xfId="0" applyNumberFormat="1" applyFont="1" applyFill="1" applyAlignment="1">
      <alignment horizontal="center" vertical="center"/>
    </xf>
    <xf numFmtId="0" fontId="14" fillId="4" borderId="0" xfId="0" applyFont="1" applyFill="1" applyAlignment="1">
      <alignment horizontal="center" vertical="center"/>
    </xf>
    <xf numFmtId="9" fontId="13" fillId="4" borderId="0" xfId="2" applyFont="1" applyFill="1" applyAlignment="1">
      <alignment horizontal="center" vertical="center"/>
    </xf>
    <xf numFmtId="3" fontId="7" fillId="4" borderId="0" xfId="0" applyNumberFormat="1" applyFont="1" applyFill="1" applyBorder="1" applyAlignment="1">
      <alignment horizontal="center" vertical="center"/>
    </xf>
    <xf numFmtId="0" fontId="0" fillId="4" borderId="0" xfId="0" applyFont="1" applyFill="1" applyBorder="1" applyAlignment="1">
      <alignment horizontal="center" vertical="center"/>
    </xf>
    <xf numFmtId="0" fontId="31" fillId="4" borderId="0" xfId="0" applyFont="1" applyFill="1" applyBorder="1" applyAlignment="1">
      <alignment horizontal="center" vertical="center"/>
    </xf>
    <xf numFmtId="0" fontId="30" fillId="4" borderId="0" xfId="0" applyFont="1" applyFill="1" applyAlignment="1">
      <alignment horizontal="left" vertical="center"/>
    </xf>
    <xf numFmtId="0" fontId="29" fillId="4" borderId="0" xfId="0" applyFont="1" applyFill="1" applyAlignment="1">
      <alignment horizontal="left" vertical="center"/>
    </xf>
    <xf numFmtId="3" fontId="23" fillId="4" borderId="0" xfId="0" applyNumberFormat="1" applyFont="1" applyFill="1" applyAlignment="1">
      <alignment horizontal="center" vertical="center"/>
    </xf>
    <xf numFmtId="0" fontId="24" fillId="4" borderId="0" xfId="0" applyFont="1" applyFill="1" applyAlignment="1">
      <alignment horizontal="center" vertical="center"/>
    </xf>
    <xf numFmtId="0" fontId="33" fillId="4" borderId="0" xfId="0" applyFont="1" applyFill="1" applyAlignment="1">
      <alignment horizontal="center" vertical="center"/>
    </xf>
    <xf numFmtId="0" fontId="32" fillId="4" borderId="0" xfId="0" applyFont="1" applyFill="1" applyBorder="1" applyAlignment="1">
      <alignment horizontal="center" vertical="center"/>
    </xf>
  </cellXfs>
  <cellStyles count="3">
    <cellStyle name="Currency" xfId="1" builtinId="4"/>
    <cellStyle name="Normal" xfId="0" builtinId="0"/>
    <cellStyle name="Percent" xfId="2" builtinId="5"/>
  </cellStyles>
  <dxfs count="275">
    <dxf>
      <numFmt numFmtId="3" formatCode="#,##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numFmt numFmtId="3" formatCode="#,##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alignment vertical="bottom" readingOrder="0"/>
    </dxf>
    <dxf>
      <alignment vertical="bottom" readingOrder="0"/>
    </dxf>
    <dxf>
      <alignment horizontal="center" readingOrder="0"/>
    </dxf>
    <dxf>
      <alignment horizontal="center" readingOrder="0"/>
    </dxf>
    <dxf>
      <font>
        <name val="Calibri"/>
        <scheme val="minor"/>
      </font>
    </dxf>
    <dxf>
      <alignment horizontal="center" readingOrder="0"/>
    </dxf>
    <dxf>
      <alignment horizontal="general" readingOrder="0"/>
    </dxf>
    <dxf>
      <font>
        <b/>
      </font>
    </dxf>
    <dxf>
      <font>
        <name val="Arial"/>
        <scheme val="none"/>
      </font>
    </dxf>
    <dxf>
      <font>
        <name val="Arial"/>
        <scheme val="none"/>
      </font>
    </dxf>
    <dxf>
      <font>
        <name val="Arial"/>
        <scheme val="none"/>
      </font>
    </dxf>
    <dxf>
      <alignment wrapText="1" readingOrder="0"/>
    </dxf>
    <dxf>
      <alignment wrapText="0" readingOrder="0"/>
    </dxf>
    <dxf>
      <alignment wrapText="1" readingOrder="0"/>
    </dxf>
    <dxf>
      <alignment wrapText="0" readingOrder="0"/>
    </dxf>
    <dxf>
      <border>
        <left/>
        <right/>
        <top/>
        <bottom/>
        <vertical/>
        <horizontal/>
      </border>
    </dxf>
    <dxf>
      <border>
        <left/>
        <right/>
        <top/>
        <bottom/>
        <vertical/>
        <horizontal/>
      </border>
    </dxf>
    <dxf>
      <border>
        <left/>
        <right/>
        <top/>
        <bottom/>
        <vertical/>
        <horizontal/>
      </border>
    </dxf>
    <dxf>
      <numFmt numFmtId="166" formatCode="&quot;$&quot;#,##0"/>
    </dxf>
    <dxf>
      <numFmt numFmtId="3" formatCode="#,##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alignment vertical="bottom" readingOrder="0"/>
    </dxf>
    <dxf>
      <alignment vertical="bottom"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numFmt numFmtId="3" formatCode="#,##0"/>
    </dxf>
    <dxf>
      <alignment wrapText="1" readingOrder="0"/>
    </dxf>
    <dxf>
      <alignment wrapText="1" readingOrder="0"/>
    </dxf>
    <dxf>
      <alignment wrapText="1"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font>
        <name val="Calibri"/>
        <scheme val="minor"/>
      </font>
    </dxf>
    <dxf>
      <alignment horizontal="center" readingOrder="0"/>
    </dxf>
    <dxf>
      <alignment horizontal="general" readingOrder="0"/>
    </dxf>
    <dxf>
      <font>
        <b/>
      </font>
    </dxf>
    <dxf>
      <font>
        <name val="Arial"/>
        <scheme val="none"/>
      </font>
    </dxf>
    <dxf>
      <font>
        <name val="Arial"/>
        <scheme val="none"/>
      </font>
    </dxf>
    <dxf>
      <font>
        <name val="Arial"/>
        <scheme val="none"/>
      </font>
    </dxf>
    <dxf>
      <alignment wrapText="1" readingOrder="0"/>
    </dxf>
    <dxf>
      <alignment wrapText="0" readingOrder="0"/>
    </dxf>
    <dxf>
      <alignment wrapText="1" readingOrder="0"/>
    </dxf>
    <dxf>
      <alignment wrapText="0" readingOrder="0"/>
    </dxf>
    <dxf>
      <border>
        <left/>
        <right/>
        <top/>
        <bottom/>
        <vertical/>
        <horizontal/>
      </border>
    </dxf>
    <dxf>
      <border>
        <left/>
        <right/>
        <top/>
        <bottom/>
        <vertical/>
        <horizontal/>
      </border>
    </dxf>
    <dxf>
      <border>
        <left/>
        <right/>
        <top/>
        <bottom/>
        <vertical/>
        <horizontal/>
      </border>
    </dxf>
    <dxf>
      <numFmt numFmtId="166" formatCode="&quot;$&quot;#,##0"/>
    </dxf>
    <dxf>
      <numFmt numFmtId="3" formatCode="#,##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alignment vertical="bottom" readingOrder="0"/>
    </dxf>
    <dxf>
      <alignment horizontal="center" readingOrder="0"/>
    </dxf>
    <dxf>
      <font>
        <name val="Calibri"/>
        <scheme val="minor"/>
      </font>
    </dxf>
    <dxf>
      <alignment horizontal="center" readingOrder="0"/>
    </dxf>
    <dxf>
      <alignment horizontal="general" readingOrder="0"/>
    </dxf>
    <dxf>
      <font>
        <b/>
      </font>
    </dxf>
    <dxf>
      <font>
        <name val="Arial"/>
        <scheme val="none"/>
      </font>
    </dxf>
    <dxf>
      <font>
        <name val="Arial"/>
        <scheme val="none"/>
      </font>
    </dxf>
    <dxf>
      <font>
        <name val="Arial"/>
        <scheme val="none"/>
      </font>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border>
        <left/>
        <right/>
        <top/>
        <bottom/>
        <vertical/>
        <horizontal/>
      </border>
    </dxf>
    <dxf>
      <border>
        <left/>
        <right/>
        <top/>
        <bottom/>
        <vertical/>
        <horizontal/>
      </border>
    </dxf>
    <dxf>
      <border>
        <left/>
        <right/>
        <top/>
        <bottom/>
        <vertical/>
        <horizontal/>
      </border>
    </dxf>
    <dxf>
      <numFmt numFmtId="166" formatCode="&quot;$&quot;#,##0"/>
    </dxf>
    <dxf>
      <numFmt numFmtId="3" formatCode="#,##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3" formatCode="#,##0"/>
    </dxf>
    <dxf>
      <numFmt numFmtId="3" formatCode="#,##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numFmt numFmtId="3" formatCode="#,##0"/>
    </dxf>
    <dxf>
      <alignment wrapText="1" readingOrder="0"/>
    </dxf>
    <dxf>
      <alignment wrapText="1"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6"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7"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tint="4.9989318521683403E-2"/>
        <name val="Arial"/>
        <scheme val="none"/>
      </font>
      <numFmt numFmtId="166"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8"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7"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409]mmmm\ d\,\ 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Arial"/>
        <scheme val="none"/>
      </font>
      <fill>
        <patternFill patternType="solid">
          <fgColor indexed="64"/>
          <bgColor theme="1" tint="0.34998626667073579"/>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theme="1"/>
        <name val="Arial"/>
        <scheme val="none"/>
      </font>
      <border diagonalUp="0" diagonalDown="0">
        <left/>
        <right/>
        <top/>
        <bottom/>
        <vertical/>
        <horizontal/>
      </border>
    </dxf>
    <dxf>
      <font>
        <color theme="1"/>
      </font>
      <border diagonalUp="0" diagonalDown="0">
        <left/>
        <right/>
        <top/>
        <bottom/>
        <vertical/>
        <horizontal/>
      </border>
    </dxf>
    <dxf>
      <font>
        <color theme="1"/>
        <name val="Arial"/>
        <scheme val="none"/>
      </font>
      <border diagonalUp="0" diagonalDown="0">
        <left/>
        <right/>
        <top/>
        <bottom/>
        <vertical/>
        <horizontal/>
      </border>
    </dxf>
    <dxf>
      <font>
        <color theme="1"/>
      </font>
      <border diagonalUp="0" diagonalDown="0">
        <left/>
        <right/>
        <top/>
        <bottom/>
        <vertical/>
        <horizontal/>
      </border>
    </dxf>
  </dxfs>
  <tableStyles count="2" defaultTableStyle="TableStyleMedium2" defaultPivotStyle="PivotStyleLight16">
    <tableStyle name="Monthly_Slicer" pivot="0" table="0" count="10">
      <tableStyleElement type="wholeTable" dxfId="274"/>
      <tableStyleElement type="headerRow" dxfId="273"/>
    </tableStyle>
    <tableStyle name="SlicerStyleLight3 2 2" pivot="0" table="0" count="10">
      <tableStyleElement type="wholeTable" dxfId="272"/>
      <tableStyleElement type="headerRow" dxfId="271"/>
    </tableStyle>
  </tableStyles>
  <colors>
    <mruColors>
      <color rgb="FF000000"/>
      <color rgb="FF458DCF"/>
      <color rgb="FFFFF5F3"/>
      <color rgb="FFF5F5F7"/>
      <color rgb="FF2D8CDB"/>
      <color rgb="FFF5FAFD"/>
      <color rgb="FF3749AB"/>
      <color rgb="FF95D1E6"/>
      <color rgb="FF5BD0A0"/>
      <color rgb="FFE76666"/>
    </mruColors>
  </colors>
  <extLst>
    <ext xmlns:x14="http://schemas.microsoft.com/office/spreadsheetml/2009/9/main" uri="{46F421CA-312F-682f-3DD2-61675219B42D}">
      <x14:dxfs count="16">
        <dxf>
          <font>
            <color rgb="FF000000"/>
            <name val="Arial"/>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499984740745262"/>
            <name val="Arial"/>
            <scheme val="none"/>
          </font>
          <fill>
            <patternFill patternType="solid">
              <fgColor auto="1"/>
              <bgColor theme="6" tint="0.79998168889431442"/>
            </patternFill>
          </fill>
          <border diagonalUp="0" diagonalDown="0">
            <left/>
            <right/>
            <top/>
            <bottom/>
            <vertical/>
            <horizontal/>
          </border>
        </dxf>
        <dxf>
          <font>
            <b val="0"/>
            <i val="0"/>
            <color theme="1"/>
            <name val="Arial"/>
            <scheme val="none"/>
          </font>
          <fill>
            <patternFill patternType="solid">
              <fgColor auto="1"/>
              <bgColor theme="6" tint="0.79998168889431442"/>
            </patternFill>
          </fill>
          <border diagonalUp="0" diagonalDown="0">
            <left/>
            <right/>
            <top/>
            <bottom/>
            <vertical/>
            <horizontal/>
          </border>
        </dxf>
        <dxf>
          <font>
            <color rgb="FF828282"/>
            <name val="Arial"/>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theme="1" tint="0.24994659260841701"/>
            <name val="Arial"/>
            <scheme val="none"/>
          </font>
          <fill>
            <patternFill patternType="none">
              <fgColor indexed="64"/>
              <bgColor auto="1"/>
            </patternFill>
          </fill>
          <border diagonalUp="0" diagonalDown="0">
            <left/>
            <right/>
            <top/>
            <bottom/>
            <vertical/>
            <horizontal/>
          </border>
        </dxf>
        <dxf>
          <font>
            <color rgb="FF828282"/>
            <name val="Arial"/>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1" tint="0.499984740745262"/>
            <name val="Arial"/>
            <scheme val="none"/>
          </font>
          <fill>
            <patternFill patternType="none">
              <fgColor indexed="64"/>
              <bgColor auto="1"/>
            </patternFill>
          </fill>
          <border diagonalUp="0" diagonalDown="0">
            <left/>
            <right/>
            <top/>
            <bottom/>
            <vertical/>
            <horizontal/>
          </border>
        </dxf>
        <dxf>
          <font>
            <color rgb="FF000000"/>
            <name val="Arial"/>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24994659260841701"/>
            <name val="Arial"/>
            <scheme val="none"/>
          </font>
          <fill>
            <patternFill patternType="solid">
              <fgColor auto="1"/>
              <bgColor theme="0"/>
            </patternFill>
          </fill>
          <border diagonalUp="0" diagonalDown="0">
            <left/>
            <right/>
            <top/>
            <bottom/>
            <vertical/>
            <horizontal/>
          </border>
        </dxf>
        <dxf>
          <font>
            <b/>
            <i val="0"/>
            <color theme="1"/>
            <name val="Arial"/>
            <scheme val="none"/>
          </font>
          <fill>
            <patternFill patternType="solid">
              <fgColor auto="1"/>
              <bgColor theme="0"/>
            </patternFill>
          </fill>
          <border diagonalUp="0" diagonalDown="0">
            <left/>
            <right/>
            <top/>
            <bottom/>
            <vertical/>
            <horizontal/>
          </border>
        </dxf>
        <dxf>
          <font>
            <color rgb="FF828282"/>
            <name val="Arial"/>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rgb="FF000000"/>
            <name val="Arial"/>
            <scheme val="none"/>
          </font>
          <fill>
            <patternFill patternType="none">
              <fgColor indexed="64"/>
              <bgColor auto="1"/>
            </patternFill>
          </fill>
          <border diagonalUp="0" diagonalDown="0">
            <left/>
            <right/>
            <top/>
            <bottom/>
            <vertical/>
            <horizontal/>
          </border>
        </dxf>
        <dxf>
          <font>
            <color rgb="FF828282"/>
            <name val="Arial"/>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tint="-0.499984740745262"/>
            <name val="Arial"/>
            <scheme val="none"/>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onthly_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[Aramex Dashboard.xlsx]PVT !PivotTable4</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'PVT '!$H$5</c:f>
              <c:strCache>
                <c:ptCount val="1"/>
                <c:pt idx="0">
                  <c:v>Total</c:v>
                </c:pt>
              </c:strCache>
            </c:strRef>
          </c:tx>
          <c:spPr>
            <a:ln w="28575" cap="rnd">
              <a:solidFill>
                <a:schemeClr val="accent1"/>
              </a:solidFill>
              <a:round/>
            </a:ln>
            <a:effectLst/>
          </c:spPr>
          <c:marker>
            <c:symbol val="none"/>
          </c:marker>
          <c:cat>
            <c:strRef>
              <c:f>'PVT '!$G$6:$G$18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'!$H$6:$H$18</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0"/>
          <c:extLst>
            <c:ext xmlns:c16="http://schemas.microsoft.com/office/drawing/2014/chart" uri="{C3380CC4-5D6E-409C-BE32-E72D297353CC}">
              <c16:uniqueId val="{00000000-5FCA-4AFD-87E8-75197B3E0892}"/>
            </c:ext>
          </c:extLst>
        </c:ser>
        <c:dLbls>
          <c:showLegendKey val="0"/>
          <c:showVal val="0"/>
          <c:showCatName val="0"/>
          <c:showSerName val="0"/>
          <c:showPercent val="0"/>
          <c:showBubbleSize val="0"/>
        </c:dLbls>
        <c:smooth val="0"/>
        <c:axId val="2036459215"/>
        <c:axId val="2036460879"/>
      </c:lineChart>
      <c:catAx>
        <c:axId val="203645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6460879"/>
        <c:crosses val="autoZero"/>
        <c:auto val="1"/>
        <c:lblAlgn val="ctr"/>
        <c:lblOffset val="100"/>
        <c:noMultiLvlLbl val="0"/>
      </c:catAx>
      <c:valAx>
        <c:axId val="2036460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64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[Aramex Dashboard.xlsx]PVT !PivotTable11</c:name>
    <c:fmtId val="9"/>
  </c:pivotSource>
  <c:chart>
    <c:autoTitleDeleted val="1"/>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0"/>
              </a:prstClr>
            </a:outerShdw>
          </a:effectLst>
        </c:spPr>
      </c:pivotFmt>
      <c:pivotFmt>
        <c:idx val="4"/>
        <c:spPr>
          <a:solidFill>
            <a:schemeClr val="accent1"/>
          </a:solidFill>
          <a:ln>
            <a:noFill/>
          </a:ln>
          <a:effectLst>
            <a:outerShdw blurRad="317500" algn="ctr" rotWithShape="0">
              <a:prstClr val="black">
                <a:alpha val="0"/>
              </a:prstClr>
            </a:outerShdw>
          </a:effectLst>
        </c:spPr>
      </c:pivotFmt>
      <c:pivotFmt>
        <c:idx val="5"/>
        <c:spPr>
          <a:solidFill>
            <a:schemeClr val="accent1"/>
          </a:solidFill>
          <a:ln>
            <a:noFill/>
          </a:ln>
          <a:effectLst>
            <a:outerShdw blurRad="317500" algn="ctr" rotWithShape="0">
              <a:prstClr val="black">
                <a:alpha val="0"/>
              </a:prstClr>
            </a:outerShdw>
          </a:effectLst>
        </c:spPr>
      </c:pivotFmt>
      <c:pivotFmt>
        <c:idx val="6"/>
        <c:spPr>
          <a:solidFill>
            <a:schemeClr val="accent1"/>
          </a:solidFill>
          <a:ln>
            <a:noFill/>
          </a:ln>
          <a:effectLst>
            <a:outerShdw blurRad="317500" algn="ctr" rotWithShape="0">
              <a:prstClr val="black">
                <a:alpha val="0"/>
              </a:prstClr>
            </a:outerShdw>
          </a:effectLst>
        </c:spPr>
      </c:pivotFmt>
      <c:pivotFmt>
        <c:idx val="7"/>
        <c:spPr>
          <a:solidFill>
            <a:schemeClr val="accent1"/>
          </a:solidFill>
          <a:ln>
            <a:noFill/>
          </a:ln>
          <a:effectLst>
            <a:outerShdw blurRad="317500" algn="ctr" rotWithShape="0">
              <a:prstClr val="black">
                <a:alpha val="0"/>
              </a:prstClr>
            </a:outerShdw>
          </a:effectLst>
        </c:spPr>
      </c:pivotFmt>
      <c:pivotFmt>
        <c:idx val="8"/>
        <c:spPr>
          <a:solidFill>
            <a:schemeClr val="accent1"/>
          </a:solidFill>
          <a:ln>
            <a:noFill/>
          </a:ln>
          <a:effectLst>
            <a:outerShdw blurRad="317500" algn="ctr" rotWithShape="0">
              <a:prstClr val="black">
                <a:alpha val="0"/>
              </a:prstClr>
            </a:outerShdw>
          </a:effectLst>
        </c:spPr>
      </c:pivotFmt>
    </c:pivotFmts>
    <c:plotArea>
      <c:layout/>
      <c:pieChart>
        <c:varyColors val="1"/>
        <c:ser>
          <c:idx val="0"/>
          <c:order val="0"/>
          <c:tx>
            <c:strRef>
              <c:f>'PVT '!$AR$5</c:f>
              <c:strCache>
                <c:ptCount val="1"/>
                <c:pt idx="0">
                  <c:v>Total</c:v>
                </c:pt>
              </c:strCache>
            </c:strRef>
          </c:tx>
          <c:spPr>
            <a:effectLst>
              <a:outerShdw blurRad="317500" algn="ctr" rotWithShape="0">
                <a:prstClr val="black">
                  <a:alpha val="0"/>
                </a:prstClr>
              </a:outerShdw>
            </a:effectLst>
          </c:spPr>
          <c:dPt>
            <c:idx val="0"/>
            <c:bubble3D val="0"/>
            <c:spPr>
              <a:solidFill>
                <a:schemeClr val="accent1"/>
              </a:solidFill>
              <a:ln>
                <a:noFill/>
              </a:ln>
              <a:effectLst>
                <a:outerShdw blurRad="317500" algn="ctr" rotWithShape="0">
                  <a:prstClr val="black">
                    <a:alpha val="0"/>
                  </a:prstClr>
                </a:outerShdw>
              </a:effectLst>
            </c:spPr>
            <c:extLst>
              <c:ext xmlns:c16="http://schemas.microsoft.com/office/drawing/2014/chart" uri="{C3380CC4-5D6E-409C-BE32-E72D297353CC}">
                <c16:uniqueId val="{00000002-DCF4-4FFE-982B-AB0F8EEEEA94}"/>
              </c:ext>
            </c:extLst>
          </c:dPt>
          <c:dPt>
            <c:idx val="1"/>
            <c:bubble3D val="0"/>
            <c:spPr>
              <a:solidFill>
                <a:schemeClr val="accent2"/>
              </a:solidFill>
              <a:ln>
                <a:noFill/>
              </a:ln>
              <a:effectLst>
                <a:outerShdw blurRad="317500" algn="ctr" rotWithShape="0">
                  <a:prstClr val="black">
                    <a:alpha val="0"/>
                  </a:prstClr>
                </a:outerShdw>
              </a:effectLst>
            </c:spPr>
            <c:extLst>
              <c:ext xmlns:c16="http://schemas.microsoft.com/office/drawing/2014/chart" uri="{C3380CC4-5D6E-409C-BE32-E72D297353CC}">
                <c16:uniqueId val="{00000003-4C81-4D40-B8C5-87F5D450FBF4}"/>
              </c:ext>
            </c:extLst>
          </c:dPt>
          <c:dPt>
            <c:idx val="2"/>
            <c:bubble3D val="0"/>
            <c:spPr>
              <a:solidFill>
                <a:schemeClr val="accent3"/>
              </a:solidFill>
              <a:ln>
                <a:noFill/>
              </a:ln>
              <a:effectLst>
                <a:outerShdw blurRad="317500" algn="ctr" rotWithShape="0">
                  <a:prstClr val="black">
                    <a:alpha val="0"/>
                  </a:prstClr>
                </a:outerShdw>
              </a:effectLst>
            </c:spPr>
            <c:extLst>
              <c:ext xmlns:c16="http://schemas.microsoft.com/office/drawing/2014/chart" uri="{C3380CC4-5D6E-409C-BE32-E72D297353CC}">
                <c16:uniqueId val="{00000001-DCF4-4FFE-982B-AB0F8EEEEA94}"/>
              </c:ext>
            </c:extLst>
          </c:dPt>
          <c:dPt>
            <c:idx val="3"/>
            <c:bubble3D val="0"/>
            <c:spPr>
              <a:solidFill>
                <a:schemeClr val="accent4"/>
              </a:solidFill>
              <a:ln>
                <a:noFill/>
              </a:ln>
              <a:effectLst>
                <a:outerShdw blurRad="317500" algn="ctr" rotWithShape="0">
                  <a:prstClr val="black">
                    <a:alpha val="0"/>
                  </a:prstClr>
                </a:outerShdw>
              </a:effectLst>
            </c:spPr>
            <c:extLst>
              <c:ext xmlns:c16="http://schemas.microsoft.com/office/drawing/2014/chart" uri="{C3380CC4-5D6E-409C-BE32-E72D297353CC}">
                <c16:uniqueId val="{00000003-DCF4-4FFE-982B-AB0F8EEEEA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'PVT '!$AQ$6:$AQ$10</c:f>
              <c:strCache>
                <c:ptCount val="4"/>
                <c:pt idx="0">
                  <c:v>Alessandro Smith</c:v>
                </c:pt>
                <c:pt idx="1">
                  <c:v>Beauregard Mike</c:v>
                </c:pt>
                <c:pt idx="2">
                  <c:v>Jaison Augustine</c:v>
                </c:pt>
                <c:pt idx="3">
                  <c:v>Jean Bartholomew</c:v>
                </c:pt>
              </c:strCache>
            </c:strRef>
          </c:cat>
          <c:val>
            <c:numRef>
              <c:f>'PVT '!$AR$6:$AR$10</c:f>
              <c:numCache>
                <c:formatCode>"$"#,##0</c:formatCode>
                <c:ptCount val="4"/>
                <c:pt idx="0">
                  <c:v>80337</c:v>
                </c:pt>
                <c:pt idx="1">
                  <c:v>73954</c:v>
                </c:pt>
                <c:pt idx="2">
                  <c:v>112585</c:v>
                </c:pt>
                <c:pt idx="3">
                  <c:v>92162</c:v>
                </c:pt>
              </c:numCache>
            </c:numRef>
          </c:val>
          <c:extLst>
            <c:ext xmlns:c16="http://schemas.microsoft.com/office/drawing/2014/chart" uri="{C3380CC4-5D6E-409C-BE32-E72D297353CC}">
              <c16:uniqueId val="{00000000-DCF4-4FFE-982B-AB0F8EEEEA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[Aramex Dashboard.xlsx]PVT !PivotTable4</c:name>
    <c:fmtId val="8"/>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002060"/>
            </a:solidFill>
            <a:round/>
          </a:ln>
          <a:effectLst/>
        </c:spPr>
        <c:marker>
          <c:symbol val="none"/>
        </c:marker>
      </c:pivotFmt>
    </c:pivotFmts>
    <c:plotArea>
      <c:layout/>
      <c:lineChart>
        <c:grouping val="standard"/>
        <c:varyColors val="0"/>
        <c:ser>
          <c:idx val="0"/>
          <c:order val="0"/>
          <c:tx>
            <c:strRef>
              <c:f>'PVT '!$H$5</c:f>
              <c:strCache>
                <c:ptCount val="1"/>
                <c:pt idx="0">
                  <c:v>Total</c:v>
                </c:pt>
              </c:strCache>
            </c:strRef>
          </c:tx>
          <c:spPr>
            <a:ln w="28575" cap="rnd">
              <a:solidFill>
                <a:srgbClr val="002060"/>
              </a:solidFill>
              <a:round/>
            </a:ln>
            <a:effectLst/>
          </c:spPr>
          <c:marker>
            <c:symbol val="none"/>
          </c:marker>
          <c:cat>
            <c:strRef>
              <c:f>'PVT '!$G$6:$G$18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'!$H$6:$H$18</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F97B-4AFA-B50C-424F4F3C4076}"/>
            </c:ext>
          </c:extLst>
        </c:ser>
        <c:dLbls>
          <c:showLegendKey val="0"/>
          <c:showVal val="0"/>
          <c:showCatName val="0"/>
          <c:showSerName val="0"/>
          <c:showPercent val="0"/>
          <c:showBubbleSize val="0"/>
        </c:dLbls>
        <c:smooth val="0"/>
        <c:axId val="2036459215"/>
        <c:axId val="2036460879"/>
      </c:lineChart>
      <c:catAx>
        <c:axId val="203645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6460879"/>
        <c:crosses val="autoZero"/>
        <c:auto val="1"/>
        <c:lblAlgn val="ctr"/>
        <c:lblOffset val="100"/>
        <c:noMultiLvlLbl val="0"/>
      </c:catAx>
      <c:valAx>
        <c:axId val="2036460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36459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[Aramex Dashboard.xlsx]PVT !PivotTable8</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70AD47">
              <a:lumMod val="75000"/>
            </a:srgbClr>
          </a:solidFill>
          <a:ln>
            <a:noFill/>
          </a:ln>
          <a:effectLst/>
        </c:spPr>
      </c:pivotFmt>
      <c:pivotFmt>
        <c:idx val="7"/>
        <c:spPr>
          <a:solidFill>
            <a:srgbClr val="ED7D31"/>
          </a:solidFill>
          <a:ln>
            <a:solidFill>
              <a:srgbClr val="70AD47"/>
            </a:solid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'PVT '!$AC$5</c:f>
              <c:strCache>
                <c:ptCount val="1"/>
                <c:pt idx="0">
                  <c:v>Sum of Rate</c:v>
                </c:pt>
              </c:strCache>
            </c:strRef>
          </c:tx>
          <c:spPr>
            <a:solidFill>
              <a:schemeClr val="accent1"/>
            </a:solidFill>
            <a:ln>
              <a:noFill/>
            </a:ln>
            <a:effectLst/>
          </c:spPr>
          <c:invertIfNegative val="0"/>
          <c:cat>
            <c:strRef>
              <c:f>'PVT '!$AB$6:$AB$18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'!$AC$6:$AC$18</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1509-434E-AC71-FCB1B46A3413}"/>
            </c:ext>
          </c:extLst>
        </c:ser>
        <c:ser>
          <c:idx val="1"/>
          <c:order val="1"/>
          <c:tx>
            <c:strRef>
              <c:f>'PVT '!$AD$5</c:f>
              <c:strCache>
                <c:ptCount val="1"/>
                <c:pt idx="0">
                  <c:v>Sum of Total Expenses</c:v>
                </c:pt>
              </c:strCache>
            </c:strRef>
          </c:tx>
          <c:spPr>
            <a:solidFill>
              <a:schemeClr val="accent2"/>
            </a:solidFill>
            <a:ln>
              <a:noFill/>
            </a:ln>
            <a:effectLst/>
          </c:spPr>
          <c:invertIfNegative val="0"/>
          <c:cat>
            <c:strRef>
              <c:f>'PVT '!$AB$6:$AB$18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'!$AD$6:$AD$18</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1509-434E-AC71-FCB1B46A3413}"/>
            </c:ext>
          </c:extLst>
        </c:ser>
        <c:dLbls>
          <c:showLegendKey val="0"/>
          <c:showVal val="0"/>
          <c:showCatName val="0"/>
          <c:showSerName val="0"/>
          <c:showPercent val="0"/>
          <c:showBubbleSize val="0"/>
        </c:dLbls>
        <c:gapWidth val="219"/>
        <c:overlap val="-27"/>
        <c:axId val="1810651423"/>
        <c:axId val="1810646015"/>
      </c:barChart>
      <c:catAx>
        <c:axId val="1810651423"/>
        <c:scaling>
          <c:orientation val="minMax"/>
        </c:scaling>
        <c:delete val="0"/>
        <c:axPos val="b"/>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0646015"/>
        <c:crosses val="autoZero"/>
        <c:auto val="1"/>
        <c:lblAlgn val="ctr"/>
        <c:lblOffset val="100"/>
        <c:noMultiLvlLbl val="0"/>
      </c:catAx>
      <c:valAx>
        <c:axId val="1810646015"/>
        <c:scaling>
          <c:orientation val="minMax"/>
        </c:scaling>
        <c:delete val="1"/>
        <c:axPos val="l"/>
        <c:numFmt formatCode="&quot;$&quot;#,##0" sourceLinked="1"/>
        <c:majorTickMark val="none"/>
        <c:minorTickMark val="none"/>
        <c:tickLblPos val="nextTo"/>
        <c:crossAx val="1810651423"/>
        <c:crosses val="autoZero"/>
        <c:crossBetween val="between"/>
      </c:valAx>
      <c:spPr>
        <a:noFill/>
        <a:ln>
          <a:noFill/>
        </a:ln>
        <a:effectLst/>
      </c:spPr>
    </c:plotArea>
    <c:plotVisOnly val="1"/>
    <c:dispBlanksAs val="gap"/>
    <c:showDLblsOverMax val="0"/>
  </c:chart>
  <c:spPr>
    <a:solidFill>
      <a:srgbClr val="4472C4">
        <a:lumMod val="20000"/>
        <a:lumOff val="80000"/>
      </a:srgbClr>
    </a:solidFill>
    <a:ln w="9525" cap="flat" cmpd="sng" algn="ctr">
      <a:solidFill>
        <a:srgbClr val="4472C4">
          <a:lumMod val="20000"/>
          <a:lumOff val="80000"/>
        </a:srgb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[Aramex Dashboard.xlsx]PVT !PivotTable11</c:name>
    <c:fmtId val="19"/>
  </c:pivotSource>
  <c:chart>
    <c:autoTitleDeleted val="1"/>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0"/>
              </a:prstClr>
            </a:outerShdw>
          </a:effectLst>
        </c:spPr>
        <c:marker>
          <c:symbol val="circle"/>
          <c:size val="6"/>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317500" algn="ctr" rotWithShape="0">
              <a:prstClr val="black">
                <a:alpha val="0"/>
              </a:prstClr>
            </a:outerShdw>
          </a:effectLst>
        </c:spPr>
      </c:pivotFmt>
      <c:pivotFmt>
        <c:idx val="4"/>
        <c:spPr>
          <a:solidFill>
            <a:schemeClr val="accent1"/>
          </a:solidFill>
          <a:ln>
            <a:noFill/>
          </a:ln>
          <a:effectLst>
            <a:outerShdw blurRad="317500" algn="ctr" rotWithShape="0">
              <a:prstClr val="black">
                <a:alpha val="0"/>
              </a:prstClr>
            </a:outerShdw>
          </a:effectLst>
        </c:spPr>
      </c:pivotFmt>
      <c:pivotFmt>
        <c:idx val="5"/>
        <c:spPr>
          <a:solidFill>
            <a:schemeClr val="accent4"/>
          </a:solidFill>
          <a:ln>
            <a:noFill/>
          </a:ln>
          <a:effectLst>
            <a:outerShdw blurRad="317500" algn="ctr" rotWithShape="0">
              <a:prstClr val="black">
                <a:alpha val="0"/>
              </a:prstClr>
            </a:outerShdw>
          </a:effectLst>
        </c:spPr>
      </c:pivotFmt>
      <c:pivotFmt>
        <c:idx val="6"/>
        <c:spPr>
          <a:solidFill>
            <a:schemeClr val="accent1"/>
          </a:solidFill>
          <a:ln>
            <a:noFill/>
          </a:ln>
          <a:effectLst>
            <a:outerShdw blurRad="317500" algn="ctr" rotWithShape="0">
              <a:prstClr val="black">
                <a:alpha val="0"/>
              </a:prst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0"/>
              </a:prstClr>
            </a:outerShdw>
          </a:effectLst>
        </c:spPr>
      </c:pivotFmt>
      <c:pivotFmt>
        <c:idx val="8"/>
        <c:spPr>
          <a:solidFill>
            <a:schemeClr val="accent1"/>
          </a:solidFill>
          <a:ln>
            <a:noFill/>
          </a:ln>
          <a:effectLst>
            <a:outerShdw blurRad="317500" algn="ctr" rotWithShape="0">
              <a:prstClr val="black">
                <a:alpha val="0"/>
              </a:prstClr>
            </a:outerShdw>
          </a:effectLst>
        </c:spPr>
      </c:pivotFmt>
      <c:pivotFmt>
        <c:idx val="9"/>
        <c:spPr>
          <a:solidFill>
            <a:schemeClr val="accent1"/>
          </a:solidFill>
          <a:ln>
            <a:noFill/>
          </a:ln>
          <a:effectLst>
            <a:outerShdw blurRad="317500" algn="ctr" rotWithShape="0">
              <a:prstClr val="black">
                <a:alpha val="0"/>
              </a:prstClr>
            </a:outerShdw>
          </a:effectLst>
        </c:spPr>
      </c:pivotFmt>
      <c:pivotFmt>
        <c:idx val="10"/>
        <c:spPr>
          <a:solidFill>
            <a:schemeClr val="accent1"/>
          </a:solidFill>
          <a:ln>
            <a:noFill/>
          </a:ln>
          <a:effectLst>
            <a:outerShdw blurRad="317500" algn="ctr" rotWithShape="0">
              <a:prstClr val="black">
                <a:alpha val="0"/>
              </a:prstClr>
            </a:outerShdw>
          </a:effectLst>
        </c:spPr>
      </c:pivotFmt>
      <c:pivotFmt>
        <c:idx val="11"/>
        <c:spPr>
          <a:solidFill>
            <a:schemeClr val="accent1"/>
          </a:solidFill>
          <a:ln>
            <a:noFill/>
          </a:ln>
          <a:effectLst>
            <a:outerShdw blurRad="317500" algn="ctr" rotWithShape="0">
              <a:prstClr val="black">
                <a:alpha val="0"/>
              </a:prstClr>
            </a:outerShdw>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317500" algn="ctr" rotWithShape="0">
              <a:prstClr val="black">
                <a:alpha val="0"/>
              </a:prstClr>
            </a:outerShdw>
          </a:effectLst>
        </c:spPr>
      </c:pivotFmt>
      <c:pivotFmt>
        <c:idx val="13"/>
        <c:spPr>
          <a:solidFill>
            <a:schemeClr val="accent1"/>
          </a:solidFill>
          <a:ln>
            <a:noFill/>
          </a:ln>
          <a:effectLst>
            <a:outerShdw blurRad="317500" algn="ctr" rotWithShape="0">
              <a:prstClr val="black">
                <a:alpha val="0"/>
              </a:prstClr>
            </a:outerShdw>
          </a:effectLst>
        </c:spPr>
      </c:pivotFmt>
      <c:pivotFmt>
        <c:idx val="14"/>
        <c:spPr>
          <a:solidFill>
            <a:schemeClr val="accent1">
              <a:lumMod val="60000"/>
              <a:lumOff val="40000"/>
            </a:schemeClr>
          </a:solidFill>
          <a:ln>
            <a:noFill/>
          </a:ln>
          <a:effectLst>
            <a:outerShdw blurRad="317500" algn="ctr" rotWithShape="0">
              <a:prstClr val="black">
                <a:alpha val="0"/>
              </a:prstClr>
            </a:outerShdw>
          </a:effectLst>
        </c:spPr>
      </c:pivotFmt>
      <c:pivotFmt>
        <c:idx val="15"/>
        <c:spPr>
          <a:solidFill>
            <a:schemeClr val="bg2">
              <a:lumMod val="75000"/>
            </a:schemeClr>
          </a:solidFill>
          <a:ln>
            <a:noFill/>
          </a:ln>
          <a:effectLst>
            <a:outerShdw blurRad="317500" algn="ctr" rotWithShape="0">
              <a:prstClr val="black">
                <a:alpha val="0"/>
              </a:prstClr>
            </a:outerShdw>
          </a:effectLst>
        </c:spPr>
      </c:pivotFmt>
    </c:pivotFmts>
    <c:plotArea>
      <c:layout/>
      <c:pieChart>
        <c:varyColors val="1"/>
        <c:ser>
          <c:idx val="0"/>
          <c:order val="0"/>
          <c:tx>
            <c:strRef>
              <c:f>'PVT '!$AR$5</c:f>
              <c:strCache>
                <c:ptCount val="1"/>
                <c:pt idx="0">
                  <c:v>Total</c:v>
                </c:pt>
              </c:strCache>
            </c:strRef>
          </c:tx>
          <c:spPr>
            <a:effectLst>
              <a:outerShdw blurRad="317500" algn="ctr" rotWithShape="0">
                <a:prstClr val="black">
                  <a:alpha val="0"/>
                </a:prstClr>
              </a:outerShdw>
            </a:effectLst>
          </c:spPr>
          <c:dPt>
            <c:idx val="0"/>
            <c:bubble3D val="0"/>
            <c:spPr>
              <a:solidFill>
                <a:schemeClr val="accent1"/>
              </a:solidFill>
              <a:ln>
                <a:noFill/>
              </a:ln>
              <a:effectLst>
                <a:outerShdw blurRad="317500" algn="ctr" rotWithShape="0">
                  <a:prstClr val="black">
                    <a:alpha val="0"/>
                  </a:prstClr>
                </a:outerShdw>
              </a:effectLst>
            </c:spPr>
            <c:extLst>
              <c:ext xmlns:c16="http://schemas.microsoft.com/office/drawing/2014/chart" uri="{C3380CC4-5D6E-409C-BE32-E72D297353CC}">
                <c16:uniqueId val="{00000001-AC58-47C9-960A-1EEDEE1529C4}"/>
              </c:ext>
            </c:extLst>
          </c:dPt>
          <c:dPt>
            <c:idx val="1"/>
            <c:bubble3D val="0"/>
            <c:spPr>
              <a:solidFill>
                <a:schemeClr val="accent2"/>
              </a:solidFill>
              <a:ln>
                <a:noFill/>
              </a:ln>
              <a:effectLst>
                <a:outerShdw blurRad="317500" algn="ctr" rotWithShape="0">
                  <a:prstClr val="black">
                    <a:alpha val="0"/>
                  </a:prstClr>
                </a:outerShdw>
              </a:effectLst>
            </c:spPr>
            <c:extLst>
              <c:ext xmlns:c16="http://schemas.microsoft.com/office/drawing/2014/chart" uri="{C3380CC4-5D6E-409C-BE32-E72D297353CC}">
                <c16:uniqueId val="{00000003-AC58-47C9-960A-1EEDEE1529C4}"/>
              </c:ext>
            </c:extLst>
          </c:dPt>
          <c:dPt>
            <c:idx val="2"/>
            <c:bubble3D val="0"/>
            <c:spPr>
              <a:solidFill>
                <a:schemeClr val="accent1">
                  <a:lumMod val="60000"/>
                  <a:lumOff val="40000"/>
                </a:schemeClr>
              </a:solidFill>
              <a:ln>
                <a:noFill/>
              </a:ln>
              <a:effectLst>
                <a:outerShdw blurRad="317500" algn="ctr" rotWithShape="0">
                  <a:prstClr val="black">
                    <a:alpha val="0"/>
                  </a:prstClr>
                </a:outerShdw>
              </a:effectLst>
            </c:spPr>
            <c:extLst>
              <c:ext xmlns:c16="http://schemas.microsoft.com/office/drawing/2014/chart" uri="{C3380CC4-5D6E-409C-BE32-E72D297353CC}">
                <c16:uniqueId val="{00000005-AC58-47C9-960A-1EEDEE1529C4}"/>
              </c:ext>
            </c:extLst>
          </c:dPt>
          <c:dPt>
            <c:idx val="3"/>
            <c:bubble3D val="0"/>
            <c:spPr>
              <a:solidFill>
                <a:schemeClr val="bg2">
                  <a:lumMod val="75000"/>
                </a:schemeClr>
              </a:solidFill>
              <a:ln>
                <a:noFill/>
              </a:ln>
              <a:effectLst>
                <a:outerShdw blurRad="317500" algn="ctr" rotWithShape="0">
                  <a:prstClr val="black">
                    <a:alpha val="0"/>
                  </a:prstClr>
                </a:outerShdw>
              </a:effectLst>
            </c:spPr>
            <c:extLst>
              <c:ext xmlns:c16="http://schemas.microsoft.com/office/drawing/2014/chart" uri="{C3380CC4-5D6E-409C-BE32-E72D297353CC}">
                <c16:uniqueId val="{00000007-AC58-47C9-960A-1EEDEE1529C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'PVT '!$AQ$6:$AQ$10</c:f>
              <c:strCache>
                <c:ptCount val="4"/>
                <c:pt idx="0">
                  <c:v>Alessandro Smith</c:v>
                </c:pt>
                <c:pt idx="1">
                  <c:v>Beauregard Mike</c:v>
                </c:pt>
                <c:pt idx="2">
                  <c:v>Jaison Augustine</c:v>
                </c:pt>
                <c:pt idx="3">
                  <c:v>Jean Bartholomew</c:v>
                </c:pt>
              </c:strCache>
            </c:strRef>
          </c:cat>
          <c:val>
            <c:numRef>
              <c:f>'PVT '!$AR$6:$AR$10</c:f>
              <c:numCache>
                <c:formatCode>"$"#,##0</c:formatCode>
                <c:ptCount val="4"/>
                <c:pt idx="0">
                  <c:v>80337</c:v>
                </c:pt>
                <c:pt idx="1">
                  <c:v>73954</c:v>
                </c:pt>
                <c:pt idx="2">
                  <c:v>112585</c:v>
                </c:pt>
                <c:pt idx="3">
                  <c:v>92162</c:v>
                </c:pt>
              </c:numCache>
            </c:numRef>
          </c:val>
          <c:extLst>
            <c:ext xmlns:c16="http://schemas.microsoft.com/office/drawing/2014/chart" uri="{C3380CC4-5D6E-409C-BE32-E72D297353CC}">
              <c16:uniqueId val="{00000008-AC58-47C9-960A-1EEDEE1529C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https://www.aramex.com/" TargetMode="External"/><Relationship Id="rId3" Type="http://schemas.openxmlformats.org/officeDocument/2006/relationships/chart" Target="../charts/chart4.xml"/><Relationship Id="rId7" Type="http://schemas.openxmlformats.org/officeDocument/2006/relationships/image" Target="../media/image5.emf"/><Relationship Id="rId2" Type="http://schemas.openxmlformats.org/officeDocument/2006/relationships/chart" Target="../charts/chart3.xml"/><Relationship Id="rId1" Type="http://schemas.openxmlformats.org/officeDocument/2006/relationships/image" Target="../media/image2.png"/><Relationship Id="rId6" Type="http://schemas.openxmlformats.org/officeDocument/2006/relationships/image" Target="../media/image4.emf"/><Relationship Id="rId5" Type="http://schemas.openxmlformats.org/officeDocument/2006/relationships/image" Target="../media/image3.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857250</xdr:colOff>
      <xdr:row>19</xdr:row>
      <xdr:rowOff>0</xdr:rowOff>
    </xdr:from>
    <xdr:to>
      <xdr:col>9</xdr:col>
      <xdr:colOff>390525</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xdr:row>
      <xdr:rowOff>19050</xdr:rowOff>
    </xdr:from>
    <xdr:to>
      <xdr:col>10</xdr:col>
      <xdr:colOff>504825</xdr:colOff>
      <xdr:row>14</xdr:row>
      <xdr:rowOff>200025</xdr:rowOff>
    </xdr:to>
    <mc:AlternateContent xmlns:mc="http://schemas.openxmlformats.org/markup-compatibility/2006" xmlns:a14="http://schemas.microsoft.com/office/drawing/2010/main">
      <mc:Choice Requires="a14">
        <xdr:graphicFrame macro="">
          <xdr:nvGraphicFramePr>
            <xdr:cNvPr id="1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067800"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26</xdr:col>
      <xdr:colOff>304800</xdr:colOff>
      <xdr:row>6</xdr:row>
      <xdr:rowOff>142875</xdr:rowOff>
    </xdr:from>
    <xdr:ext cx="65" cy="172227"/>
    <xdr:sp macro="" textlink="">
      <xdr:nvSpPr>
        <xdr:cNvPr id="4" name="TextBox 3"/>
        <xdr:cNvSpPr txBox="1"/>
      </xdr:nvSpPr>
      <xdr:spPr>
        <a:xfrm>
          <a:off x="25250775" y="1838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41</xdr:col>
      <xdr:colOff>885825</xdr:colOff>
      <xdr:row>11</xdr:row>
      <xdr:rowOff>76199</xdr:rowOff>
    </xdr:from>
    <xdr:to>
      <xdr:col>44</xdr:col>
      <xdr:colOff>120766</xdr:colOff>
      <xdr:row>17</xdr:row>
      <xdr:rowOff>14123</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44</xdr:col>
      <xdr:colOff>704850</xdr:colOff>
      <xdr:row>17</xdr:row>
      <xdr:rowOff>49148</xdr:rowOff>
    </xdr:from>
    <xdr:to>
      <xdr:col>46</xdr:col>
      <xdr:colOff>333375</xdr:colOff>
      <xdr:row>24</xdr:row>
      <xdr:rowOff>88162</xdr:rowOff>
    </xdr:to>
    <xdr:pic>
      <xdr:nvPicPr>
        <xdr:cNvPr id="22" name="Picture 21" descr="File:A large blank world &lt;strong&gt;map&lt;/strong&gt; with oceans marked in blue.PNG - Wikimedia ..."/>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6281975" y="4887848"/>
          <a:ext cx="2581275" cy="14868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258220</xdr:colOff>
      <xdr:row>0</xdr:row>
      <xdr:rowOff>82270</xdr:rowOff>
    </xdr:from>
    <xdr:to>
      <xdr:col>18</xdr:col>
      <xdr:colOff>404812</xdr:colOff>
      <xdr:row>2</xdr:row>
      <xdr:rowOff>0</xdr:rowOff>
    </xdr:to>
    <xdr:sp macro="" textlink="">
      <xdr:nvSpPr>
        <xdr:cNvPr id="10" name="Rounded Rectangle 9"/>
        <xdr:cNvSpPr/>
      </xdr:nvSpPr>
      <xdr:spPr>
        <a:xfrm>
          <a:off x="258220" y="82270"/>
          <a:ext cx="13433967" cy="322543"/>
        </a:xfrm>
        <a:prstGeom prst="round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xdr:col>
      <xdr:colOff>390525</xdr:colOff>
      <xdr:row>0</xdr:row>
      <xdr:rowOff>95249</xdr:rowOff>
    </xdr:from>
    <xdr:to>
      <xdr:col>12</xdr:col>
      <xdr:colOff>581025</xdr:colOff>
      <xdr:row>2</xdr:row>
      <xdr:rowOff>9524</xdr:rowOff>
    </xdr:to>
    <xdr:sp macro="" textlink="">
      <xdr:nvSpPr>
        <xdr:cNvPr id="13" name="Rectangle 12"/>
        <xdr:cNvSpPr/>
      </xdr:nvSpPr>
      <xdr:spPr>
        <a:xfrm>
          <a:off x="1609725" y="95249"/>
          <a:ext cx="5067300" cy="2952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endParaRPr lang="en-US" sz="1100">
            <a:solidFill>
              <a:schemeClr val="tx1"/>
            </a:solidFill>
          </a:endParaRPr>
        </a:p>
      </xdr:txBody>
    </xdr:sp>
    <xdr:clientData/>
  </xdr:twoCellAnchor>
  <xdr:twoCellAnchor>
    <xdr:from>
      <xdr:col>1</xdr:col>
      <xdr:colOff>0</xdr:colOff>
      <xdr:row>0</xdr:row>
      <xdr:rowOff>95249</xdr:rowOff>
    </xdr:from>
    <xdr:to>
      <xdr:col>10</xdr:col>
      <xdr:colOff>0</xdr:colOff>
      <xdr:row>2</xdr:row>
      <xdr:rowOff>0</xdr:rowOff>
    </xdr:to>
    <xdr:sp macro="" textlink="">
      <xdr:nvSpPr>
        <xdr:cNvPr id="15" name="Rectangle 14"/>
        <xdr:cNvSpPr/>
      </xdr:nvSpPr>
      <xdr:spPr>
        <a:xfrm>
          <a:off x="609600" y="95249"/>
          <a:ext cx="4267200" cy="285751"/>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100" b="0">
            <a:latin typeface="Arial" panose="020B0604020202020204" pitchFamily="34" charset="0"/>
            <a:cs typeface="Arial" panose="020B0604020202020204" pitchFamily="34" charset="0"/>
          </a:endParaRPr>
        </a:p>
      </xdr:txBody>
    </xdr:sp>
    <xdr:clientData/>
  </xdr:twoCellAnchor>
  <xdr:twoCellAnchor editAs="oneCell">
    <xdr:from>
      <xdr:col>0</xdr:col>
      <xdr:colOff>342900</xdr:colOff>
      <xdr:row>0</xdr:row>
      <xdr:rowOff>9526</xdr:rowOff>
    </xdr:from>
    <xdr:to>
      <xdr:col>0</xdr:col>
      <xdr:colOff>990600</xdr:colOff>
      <xdr:row>2</xdr:row>
      <xdr:rowOff>60984</xdr:rowOff>
    </xdr:to>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9526"/>
          <a:ext cx="647700" cy="464208"/>
        </a:xfrm>
        <a:prstGeom prst="rect">
          <a:avLst/>
        </a:prstGeom>
      </xdr:spPr>
    </xdr:pic>
    <xdr:clientData/>
  </xdr:twoCellAnchor>
  <xdr:twoCellAnchor>
    <xdr:from>
      <xdr:col>8</xdr:col>
      <xdr:colOff>359907</xdr:colOff>
      <xdr:row>0</xdr:row>
      <xdr:rowOff>101320</xdr:rowOff>
    </xdr:from>
    <xdr:to>
      <xdr:col>12</xdr:col>
      <xdr:colOff>359907</xdr:colOff>
      <xdr:row>1</xdr:row>
      <xdr:rowOff>101320</xdr:rowOff>
    </xdr:to>
    <xdr:sp macro="" textlink="">
      <xdr:nvSpPr>
        <xdr:cNvPr id="18" name="Rectangle 17"/>
        <xdr:cNvSpPr/>
      </xdr:nvSpPr>
      <xdr:spPr>
        <a:xfrm>
          <a:off x="4017507" y="101320"/>
          <a:ext cx="2438400" cy="1905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100" b="0">
            <a:latin typeface="Arial" panose="020B0604020202020204" pitchFamily="34" charset="0"/>
            <a:cs typeface="Arial" panose="020B0604020202020204" pitchFamily="34" charset="0"/>
          </a:endParaRPr>
        </a:p>
      </xdr:txBody>
    </xdr:sp>
    <xdr:clientData/>
  </xdr:twoCellAnchor>
  <xdr:twoCellAnchor>
    <xdr:from>
      <xdr:col>20</xdr:col>
      <xdr:colOff>0</xdr:colOff>
      <xdr:row>0</xdr:row>
      <xdr:rowOff>95249</xdr:rowOff>
    </xdr:from>
    <xdr:to>
      <xdr:col>22</xdr:col>
      <xdr:colOff>249693</xdr:colOff>
      <xdr:row>1</xdr:row>
      <xdr:rowOff>142875</xdr:rowOff>
    </xdr:to>
    <xdr:sp macro="" textlink="">
      <xdr:nvSpPr>
        <xdr:cNvPr id="21" name="Rectangle 20"/>
        <xdr:cNvSpPr/>
      </xdr:nvSpPr>
      <xdr:spPr>
        <a:xfrm>
          <a:off x="10972800" y="95249"/>
          <a:ext cx="1468893" cy="238126"/>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200">
            <a:latin typeface="Arial" panose="020B0604020202020204" pitchFamily="34" charset="0"/>
            <a:cs typeface="Arial" panose="020B0604020202020204" pitchFamily="34" charset="0"/>
          </a:endParaRPr>
        </a:p>
      </xdr:txBody>
    </xdr:sp>
    <xdr:clientData/>
  </xdr:twoCellAnchor>
  <xdr:twoCellAnchor>
    <xdr:from>
      <xdr:col>18</xdr:col>
      <xdr:colOff>45582</xdr:colOff>
      <xdr:row>0</xdr:row>
      <xdr:rowOff>101320</xdr:rowOff>
    </xdr:from>
    <xdr:to>
      <xdr:col>22</xdr:col>
      <xdr:colOff>266700</xdr:colOff>
      <xdr:row>1</xdr:row>
      <xdr:rowOff>142875</xdr:rowOff>
    </xdr:to>
    <xdr:sp macro="" textlink="">
      <xdr:nvSpPr>
        <xdr:cNvPr id="29" name="Rectangle 28"/>
        <xdr:cNvSpPr/>
      </xdr:nvSpPr>
      <xdr:spPr>
        <a:xfrm>
          <a:off x="13190082" y="101320"/>
          <a:ext cx="2780962" cy="23205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ctr"/>
          <a:endParaRPr lang="en-US" sz="1200" b="0">
            <a:solidFill>
              <a:schemeClr val="tx1"/>
            </a:solidFill>
            <a:latin typeface="+mn-lt"/>
            <a:cs typeface="Arial" panose="020B0604020202020204" pitchFamily="34" charset="0"/>
          </a:endParaRPr>
        </a:p>
      </xdr:txBody>
    </xdr:sp>
    <xdr:clientData/>
  </xdr:twoCellAnchor>
  <xdr:twoCellAnchor>
    <xdr:from>
      <xdr:col>0</xdr:col>
      <xdr:colOff>1138238</xdr:colOff>
      <xdr:row>2</xdr:row>
      <xdr:rowOff>161925</xdr:rowOff>
    </xdr:from>
    <xdr:to>
      <xdr:col>1</xdr:col>
      <xdr:colOff>404813</xdr:colOff>
      <xdr:row>4</xdr:row>
      <xdr:rowOff>173831</xdr:rowOff>
    </xdr:to>
    <xdr:sp macro="" textlink="">
      <xdr:nvSpPr>
        <xdr:cNvPr id="30" name="Rounded Rectangle 29"/>
        <xdr:cNvSpPr/>
      </xdr:nvSpPr>
      <xdr:spPr>
        <a:xfrm>
          <a:off x="1138238" y="566738"/>
          <a:ext cx="516731" cy="440531"/>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t>
          </a:r>
        </a:p>
      </xdr:txBody>
    </xdr:sp>
    <xdr:clientData/>
  </xdr:twoCellAnchor>
  <xdr:twoCellAnchor>
    <xdr:from>
      <xdr:col>5</xdr:col>
      <xdr:colOff>0</xdr:colOff>
      <xdr:row>8</xdr:row>
      <xdr:rowOff>66676</xdr:rowOff>
    </xdr:from>
    <xdr:to>
      <xdr:col>7</xdr:col>
      <xdr:colOff>0</xdr:colOff>
      <xdr:row>9</xdr:row>
      <xdr:rowOff>1</xdr:rowOff>
    </xdr:to>
    <xdr:sp macro="" textlink="">
      <xdr:nvSpPr>
        <xdr:cNvPr id="35" name="Rectangle 34"/>
        <xdr:cNvSpPr/>
      </xdr:nvSpPr>
      <xdr:spPr>
        <a:xfrm>
          <a:off x="3048000" y="1743076"/>
          <a:ext cx="1219200" cy="381000"/>
        </a:xfrm>
        <a:prstGeom prst="rect">
          <a:avLst/>
        </a:prstGeom>
        <a:solidFill>
          <a:schemeClr val="accent6">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chemeClr val="accent1"/>
            </a:solidFill>
          </a:endParaRPr>
        </a:p>
      </xdr:txBody>
    </xdr:sp>
    <xdr:clientData/>
  </xdr:twoCellAnchor>
  <xdr:twoCellAnchor>
    <xdr:from>
      <xdr:col>7</xdr:col>
      <xdr:colOff>610658</xdr:colOff>
      <xdr:row>8</xdr:row>
      <xdr:rowOff>66675</xdr:rowOff>
    </xdr:from>
    <xdr:to>
      <xdr:col>9</xdr:col>
      <xdr:colOff>610657</xdr:colOff>
      <xdr:row>9</xdr:row>
      <xdr:rowOff>0</xdr:rowOff>
    </xdr:to>
    <xdr:sp macro="" textlink="">
      <xdr:nvSpPr>
        <xdr:cNvPr id="42" name="Rectangle 41"/>
        <xdr:cNvSpPr/>
      </xdr:nvSpPr>
      <xdr:spPr>
        <a:xfrm>
          <a:off x="5542491" y="1611842"/>
          <a:ext cx="1227666" cy="197908"/>
        </a:xfrm>
        <a:prstGeom prst="rect">
          <a:avLst/>
        </a:prstGeom>
        <a:solidFill>
          <a:schemeClr val="accent4">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chemeClr val="accent1"/>
            </a:solidFill>
          </a:endParaRPr>
        </a:p>
      </xdr:txBody>
    </xdr:sp>
    <xdr:clientData/>
  </xdr:twoCellAnchor>
  <xdr:twoCellAnchor>
    <xdr:from>
      <xdr:col>4</xdr:col>
      <xdr:colOff>477382</xdr:colOff>
      <xdr:row>6</xdr:row>
      <xdr:rowOff>132292</xdr:rowOff>
    </xdr:from>
    <xdr:to>
      <xdr:col>7</xdr:col>
      <xdr:colOff>267832</xdr:colOff>
      <xdr:row>11</xdr:row>
      <xdr:rowOff>94192</xdr:rowOff>
    </xdr:to>
    <xdr:sp macro="" textlink="">
      <xdr:nvSpPr>
        <xdr:cNvPr id="37" name="Rectangle 36"/>
        <xdr:cNvSpPr/>
      </xdr:nvSpPr>
      <xdr:spPr>
        <a:xfrm>
          <a:off x="3567715" y="1275292"/>
          <a:ext cx="1631950" cy="1157817"/>
        </a:xfrm>
        <a:prstGeom prst="rect">
          <a:avLst/>
        </a:prstGeom>
        <a:solidFill>
          <a:schemeClr val="bg1">
            <a:alpha val="14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441325</xdr:colOff>
      <xdr:row>6</xdr:row>
      <xdr:rowOff>171450</xdr:rowOff>
    </xdr:from>
    <xdr:to>
      <xdr:col>10</xdr:col>
      <xdr:colOff>231775</xdr:colOff>
      <xdr:row>11</xdr:row>
      <xdr:rowOff>123826</xdr:rowOff>
    </xdr:to>
    <xdr:sp macro="" textlink="">
      <xdr:nvSpPr>
        <xdr:cNvPr id="45" name="Rectangle 44"/>
        <xdr:cNvSpPr/>
      </xdr:nvSpPr>
      <xdr:spPr>
        <a:xfrm>
          <a:off x="5373158" y="1314450"/>
          <a:ext cx="1631950" cy="1148293"/>
        </a:xfrm>
        <a:prstGeom prst="rect">
          <a:avLst/>
        </a:prstGeom>
        <a:solidFill>
          <a:schemeClr val="bg1">
            <a:alpha val="14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440194</xdr:colOff>
      <xdr:row>6</xdr:row>
      <xdr:rowOff>66676</xdr:rowOff>
    </xdr:from>
    <xdr:to>
      <xdr:col>15</xdr:col>
      <xdr:colOff>561975</xdr:colOff>
      <xdr:row>12</xdr:row>
      <xdr:rowOff>95250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160866</xdr:colOff>
      <xdr:row>8</xdr:row>
      <xdr:rowOff>31750</xdr:rowOff>
    </xdr:from>
    <xdr:to>
      <xdr:col>3</xdr:col>
      <xdr:colOff>603249</xdr:colOff>
      <xdr:row>8</xdr:row>
      <xdr:rowOff>31750</xdr:rowOff>
    </xdr:to>
    <xdr:cxnSp macro="">
      <xdr:nvCxnSpPr>
        <xdr:cNvPr id="40" name="Straight Connector 39"/>
        <xdr:cNvCxnSpPr/>
      </xdr:nvCxnSpPr>
      <xdr:spPr>
        <a:xfrm>
          <a:off x="160866" y="1608667"/>
          <a:ext cx="2918883"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488156</xdr:colOff>
      <xdr:row>8</xdr:row>
      <xdr:rowOff>250032</xdr:rowOff>
    </xdr:from>
    <xdr:to>
      <xdr:col>2</xdr:col>
      <xdr:colOff>783431</xdr:colOff>
      <xdr:row>9</xdr:row>
      <xdr:rowOff>250032</xdr:rowOff>
    </xdr:to>
    <xdr:sp macro="" textlink="">
      <xdr:nvSpPr>
        <xdr:cNvPr id="49" name="Rectangle 48"/>
        <xdr:cNvSpPr/>
      </xdr:nvSpPr>
      <xdr:spPr>
        <a:xfrm>
          <a:off x="2559844" y="1809751"/>
          <a:ext cx="295275" cy="261937"/>
        </a:xfrm>
        <a:prstGeom prst="rect">
          <a:avLst/>
        </a:prstGeom>
        <a:solidFill>
          <a:schemeClr val="bg1">
            <a:alpha val="14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452438</xdr:colOff>
      <xdr:row>10</xdr:row>
      <xdr:rowOff>23814</xdr:rowOff>
    </xdr:from>
    <xdr:to>
      <xdr:col>2</xdr:col>
      <xdr:colOff>747713</xdr:colOff>
      <xdr:row>11</xdr:row>
      <xdr:rowOff>33338</xdr:rowOff>
    </xdr:to>
    <xdr:sp macro="" textlink="">
      <xdr:nvSpPr>
        <xdr:cNvPr id="51" name="Rectangle 50"/>
        <xdr:cNvSpPr/>
      </xdr:nvSpPr>
      <xdr:spPr>
        <a:xfrm>
          <a:off x="2524126" y="2107408"/>
          <a:ext cx="295275" cy="247649"/>
        </a:xfrm>
        <a:prstGeom prst="rect">
          <a:avLst/>
        </a:prstGeom>
        <a:solidFill>
          <a:schemeClr val="bg1">
            <a:alpha val="14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171450</xdr:colOff>
      <xdr:row>13</xdr:row>
      <xdr:rowOff>0</xdr:rowOff>
    </xdr:from>
    <xdr:to>
      <xdr:col>4</xdr:col>
      <xdr:colOff>0</xdr:colOff>
      <xdr:row>13</xdr:row>
      <xdr:rowOff>0</xdr:rowOff>
    </xdr:to>
    <xdr:cxnSp macro="">
      <xdr:nvCxnSpPr>
        <xdr:cNvPr id="52" name="Straight Connector 51"/>
        <xdr:cNvCxnSpPr/>
      </xdr:nvCxnSpPr>
      <xdr:spPr>
        <a:xfrm>
          <a:off x="171450" y="2752725"/>
          <a:ext cx="2905125"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469793</xdr:colOff>
      <xdr:row>14</xdr:row>
      <xdr:rowOff>54769</xdr:rowOff>
    </xdr:from>
    <xdr:to>
      <xdr:col>15</xdr:col>
      <xdr:colOff>440531</xdr:colOff>
      <xdr:row>24</xdr:row>
      <xdr:rowOff>47624</xdr:rowOff>
    </xdr:to>
    <xdr:sp macro="" textlink="">
      <xdr:nvSpPr>
        <xdr:cNvPr id="44" name="Rectangle 43"/>
        <xdr:cNvSpPr/>
      </xdr:nvSpPr>
      <xdr:spPr>
        <a:xfrm>
          <a:off x="3541606" y="2947988"/>
          <a:ext cx="6650144" cy="1897855"/>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10</xdr:col>
      <xdr:colOff>387278</xdr:colOff>
      <xdr:row>5</xdr:row>
      <xdr:rowOff>19050</xdr:rowOff>
    </xdr:from>
    <xdr:to>
      <xdr:col>15</xdr:col>
      <xdr:colOff>442384</xdr:colOff>
      <xdr:row>13</xdr:row>
      <xdr:rowOff>115358</xdr:rowOff>
    </xdr:to>
    <xdr:sp macro="" textlink="">
      <xdr:nvSpPr>
        <xdr:cNvPr id="56" name="Rectangle 55"/>
        <xdr:cNvSpPr/>
      </xdr:nvSpPr>
      <xdr:spPr>
        <a:xfrm>
          <a:off x="7102403" y="1054894"/>
          <a:ext cx="3091200" cy="1763183"/>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7</xdr:row>
      <xdr:rowOff>19050</xdr:rowOff>
    </xdr:from>
    <xdr:to>
      <xdr:col>18</xdr:col>
      <xdr:colOff>234315</xdr:colOff>
      <xdr:row>7</xdr:row>
      <xdr:rowOff>19050</xdr:rowOff>
    </xdr:to>
    <xdr:cxnSp macro="">
      <xdr:nvCxnSpPr>
        <xdr:cNvPr id="60" name="Straight Connector 59"/>
        <xdr:cNvCxnSpPr/>
      </xdr:nvCxnSpPr>
      <xdr:spPr>
        <a:xfrm>
          <a:off x="10391775" y="1362075"/>
          <a:ext cx="2377440"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561975</xdr:colOff>
      <xdr:row>9</xdr:row>
      <xdr:rowOff>9527</xdr:rowOff>
    </xdr:from>
    <xdr:to>
      <xdr:col>18</xdr:col>
      <xdr:colOff>186690</xdr:colOff>
      <xdr:row>9</xdr:row>
      <xdr:rowOff>9527</xdr:rowOff>
    </xdr:to>
    <xdr:cxnSp macro="">
      <xdr:nvCxnSpPr>
        <xdr:cNvPr id="68" name="Straight Connector 67"/>
        <xdr:cNvCxnSpPr/>
      </xdr:nvCxnSpPr>
      <xdr:spPr>
        <a:xfrm>
          <a:off x="10344150" y="1809752"/>
          <a:ext cx="2377440"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561975</xdr:colOff>
      <xdr:row>11</xdr:row>
      <xdr:rowOff>19052</xdr:rowOff>
    </xdr:from>
    <xdr:to>
      <xdr:col>18</xdr:col>
      <xdr:colOff>186690</xdr:colOff>
      <xdr:row>11</xdr:row>
      <xdr:rowOff>19052</xdr:rowOff>
    </xdr:to>
    <xdr:cxnSp macro="">
      <xdr:nvCxnSpPr>
        <xdr:cNvPr id="69" name="Straight Connector 68"/>
        <xdr:cNvCxnSpPr/>
      </xdr:nvCxnSpPr>
      <xdr:spPr>
        <a:xfrm>
          <a:off x="10344150" y="2314577"/>
          <a:ext cx="2377440"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18</xdr:row>
      <xdr:rowOff>0</xdr:rowOff>
    </xdr:from>
    <xdr:to>
      <xdr:col>18</xdr:col>
      <xdr:colOff>234315</xdr:colOff>
      <xdr:row>18</xdr:row>
      <xdr:rowOff>0</xdr:rowOff>
    </xdr:to>
    <xdr:cxnSp macro="">
      <xdr:nvCxnSpPr>
        <xdr:cNvPr id="74" name="Straight Connector 73"/>
        <xdr:cNvCxnSpPr/>
      </xdr:nvCxnSpPr>
      <xdr:spPr>
        <a:xfrm>
          <a:off x="10456333" y="3481917"/>
          <a:ext cx="2382732"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20</xdr:row>
      <xdr:rowOff>0</xdr:rowOff>
    </xdr:from>
    <xdr:to>
      <xdr:col>18</xdr:col>
      <xdr:colOff>234315</xdr:colOff>
      <xdr:row>20</xdr:row>
      <xdr:rowOff>0</xdr:rowOff>
    </xdr:to>
    <xdr:cxnSp macro="">
      <xdr:nvCxnSpPr>
        <xdr:cNvPr id="75" name="Straight Connector 74"/>
        <xdr:cNvCxnSpPr/>
      </xdr:nvCxnSpPr>
      <xdr:spPr>
        <a:xfrm>
          <a:off x="10456333" y="3862917"/>
          <a:ext cx="2382732"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22</xdr:row>
      <xdr:rowOff>0</xdr:rowOff>
    </xdr:from>
    <xdr:to>
      <xdr:col>18</xdr:col>
      <xdr:colOff>234315</xdr:colOff>
      <xdr:row>22</xdr:row>
      <xdr:rowOff>0</xdr:rowOff>
    </xdr:to>
    <xdr:cxnSp macro="">
      <xdr:nvCxnSpPr>
        <xdr:cNvPr id="76" name="Straight Connector 75"/>
        <xdr:cNvCxnSpPr/>
      </xdr:nvCxnSpPr>
      <xdr:spPr>
        <a:xfrm>
          <a:off x="10456333" y="4243917"/>
          <a:ext cx="2382732"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541231</xdr:colOff>
      <xdr:row>15</xdr:row>
      <xdr:rowOff>136525</xdr:rowOff>
    </xdr:from>
    <xdr:to>
      <xdr:col>18</xdr:col>
      <xdr:colOff>493606</xdr:colOff>
      <xdr:row>24</xdr:row>
      <xdr:rowOff>0</xdr:rowOff>
    </xdr:to>
    <xdr:sp macro="" textlink="">
      <xdr:nvSpPr>
        <xdr:cNvPr id="77" name="Rectangle 76"/>
        <xdr:cNvSpPr/>
      </xdr:nvSpPr>
      <xdr:spPr>
        <a:xfrm>
          <a:off x="11078262" y="3232150"/>
          <a:ext cx="2559844" cy="1577975"/>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editAs="oneCell">
    <xdr:from>
      <xdr:col>4</xdr:col>
      <xdr:colOff>464343</xdr:colOff>
      <xdr:row>2</xdr:row>
      <xdr:rowOff>143828</xdr:rowOff>
    </xdr:from>
    <xdr:to>
      <xdr:col>14</xdr:col>
      <xdr:colOff>35718</xdr:colOff>
      <xdr:row>4</xdr:row>
      <xdr:rowOff>142874</xdr:rowOff>
    </xdr:to>
    <mc:AlternateContent xmlns:mc="http://schemas.openxmlformats.org/markup-compatibility/2006" xmlns:a14="http://schemas.microsoft.com/office/drawing/2010/main">
      <mc:Choice Requires="a14">
        <xdr:graphicFrame macro="">
          <xdr:nvGraphicFramePr>
            <xdr:cNvPr id="92" name="Month 1"/>
            <xdr:cNvGraphicFramePr>
              <a:graphicFrameLocks/>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321968" y="548641"/>
              <a:ext cx="5643563" cy="427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464344</xdr:colOff>
      <xdr:row>14</xdr:row>
      <xdr:rowOff>11906</xdr:rowOff>
    </xdr:from>
    <xdr:to>
      <xdr:col>15</xdr:col>
      <xdr:colOff>464344</xdr:colOff>
      <xdr:row>24</xdr:row>
      <xdr:rowOff>35718</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493605</xdr:colOff>
      <xdr:row>4</xdr:row>
      <xdr:rowOff>119061</xdr:rowOff>
    </xdr:from>
    <xdr:to>
      <xdr:col>18</xdr:col>
      <xdr:colOff>500061</xdr:colOff>
      <xdr:row>13</xdr:row>
      <xdr:rowOff>130968</xdr:rowOff>
    </xdr:to>
    <xdr:sp macro="" textlink="">
      <xdr:nvSpPr>
        <xdr:cNvPr id="83" name="Rectangle 82"/>
        <xdr:cNvSpPr/>
      </xdr:nvSpPr>
      <xdr:spPr>
        <a:xfrm>
          <a:off x="10244824" y="952499"/>
          <a:ext cx="2756800" cy="1881188"/>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2</xdr:col>
      <xdr:colOff>207852</xdr:colOff>
      <xdr:row>13</xdr:row>
      <xdr:rowOff>178591</xdr:rowOff>
    </xdr:from>
    <xdr:to>
      <xdr:col>2</xdr:col>
      <xdr:colOff>1030812</xdr:colOff>
      <xdr:row>15</xdr:row>
      <xdr:rowOff>60005</xdr:rowOff>
    </xdr:to>
    <xdr:sp macro="" textlink="">
      <xdr:nvSpPr>
        <xdr:cNvPr id="84" name="Rectangle 83"/>
        <xdr:cNvSpPr/>
      </xdr:nvSpPr>
      <xdr:spPr>
        <a:xfrm>
          <a:off x="2279540" y="2881310"/>
          <a:ext cx="822960" cy="274320"/>
        </a:xfrm>
        <a:prstGeom prst="rect">
          <a:avLst/>
        </a:prstGeom>
        <a:solidFill>
          <a:schemeClr val="accent1">
            <a:lumMod val="7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0</xdr:col>
      <xdr:colOff>178594</xdr:colOff>
      <xdr:row>24</xdr:row>
      <xdr:rowOff>95251</xdr:rowOff>
    </xdr:from>
    <xdr:to>
      <xdr:col>4</xdr:col>
      <xdr:colOff>7144</xdr:colOff>
      <xdr:row>24</xdr:row>
      <xdr:rowOff>95251</xdr:rowOff>
    </xdr:to>
    <xdr:cxnSp macro="">
      <xdr:nvCxnSpPr>
        <xdr:cNvPr id="86" name="Straight Connector 85"/>
        <xdr:cNvCxnSpPr/>
      </xdr:nvCxnSpPr>
      <xdr:spPr>
        <a:xfrm>
          <a:off x="178594" y="4905376"/>
          <a:ext cx="3686175"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182880</xdr:colOff>
      <xdr:row>27</xdr:row>
      <xdr:rowOff>92868</xdr:rowOff>
    </xdr:from>
    <xdr:to>
      <xdr:col>2</xdr:col>
      <xdr:colOff>35718</xdr:colOff>
      <xdr:row>34</xdr:row>
      <xdr:rowOff>95248</xdr:rowOff>
    </xdr:to>
    <mc:AlternateContent xmlns:mc="http://schemas.openxmlformats.org/markup-compatibility/2006" xmlns:a14="http://schemas.microsoft.com/office/drawing/2010/main">
      <mc:Choice Requires="a14">
        <xdr:graphicFrame macro="">
          <xdr:nvGraphicFramePr>
            <xdr:cNvPr id="87" name="Driver Name"/>
            <xdr:cNvGraphicFramePr>
              <a:graphicFrameLocks/>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182880" y="5534024"/>
              <a:ext cx="1924526" cy="1347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119061</xdr:colOff>
      <xdr:row>25</xdr:row>
      <xdr:rowOff>130970</xdr:rowOff>
    </xdr:from>
    <xdr:to>
      <xdr:col>5</xdr:col>
      <xdr:colOff>273842</xdr:colOff>
      <xdr:row>34</xdr:row>
      <xdr:rowOff>180812</xdr:rowOff>
    </xdr:to>
    <xdr:graphicFrame macro="">
      <xdr:nvGraphicFramePr>
        <xdr:cNvPr id="93" name="Chart 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47626</xdr:colOff>
      <xdr:row>26</xdr:row>
      <xdr:rowOff>11906</xdr:rowOff>
    </xdr:from>
    <xdr:to>
      <xdr:col>13</xdr:col>
      <xdr:colOff>500062</xdr:colOff>
      <xdr:row>37</xdr:row>
      <xdr:rowOff>95250</xdr:rowOff>
    </xdr:to>
    <xdr:sp macro="" textlink="">
      <xdr:nvSpPr>
        <xdr:cNvPr id="12" name="Rectangle 11"/>
        <xdr:cNvSpPr/>
      </xdr:nvSpPr>
      <xdr:spPr>
        <a:xfrm>
          <a:off x="4512470" y="5214937"/>
          <a:ext cx="5310186" cy="2190751"/>
        </a:xfrm>
        <a:prstGeom prst="rect">
          <a:avLst/>
        </a:prstGeom>
        <a:solidFill>
          <a:schemeClr val="accent5">
            <a:lumMod val="60000"/>
            <a:lumOff val="40000"/>
            <a:alpha val="47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5</xdr:col>
      <xdr:colOff>488157</xdr:colOff>
      <xdr:row>26</xdr:row>
      <xdr:rowOff>178594</xdr:rowOff>
    </xdr:from>
    <xdr:to>
      <xdr:col>10</xdr:col>
      <xdr:colOff>332429</xdr:colOff>
      <xdr:row>35</xdr:row>
      <xdr:rowOff>99372</xdr:rowOff>
    </xdr:to>
    <xdr:pic>
      <xdr:nvPicPr>
        <xdr:cNvPr id="94" name="Picture 93" descr="File:A large blank world &lt;strong&gt;map&lt;/strong&gt; with oceans marked in blue.PNG - Wikimedia ..."/>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953001" y="5417344"/>
          <a:ext cx="2880366" cy="1659091"/>
        </a:xfrm>
        <a:prstGeom prst="rect">
          <a:avLst/>
        </a:prstGeom>
        <a:solidFill>
          <a:schemeClr val="bg2">
            <a:lumMod val="75000"/>
          </a:schemeClr>
        </a:solidFill>
        <a:effectLst>
          <a:outerShdw dist="2540000" sx="1000" sy="1000" algn="ctr" rotWithShape="0">
            <a:srgbClr val="000000"/>
          </a:outerShdw>
        </a:effectLst>
      </xdr:spPr>
    </xdr:pic>
    <xdr:clientData/>
  </xdr:twoCellAnchor>
  <xdr:twoCellAnchor editAs="oneCell">
    <xdr:from>
      <xdr:col>10</xdr:col>
      <xdr:colOff>309562</xdr:colOff>
      <xdr:row>26</xdr:row>
      <xdr:rowOff>154781</xdr:rowOff>
    </xdr:from>
    <xdr:to>
      <xdr:col>14</xdr:col>
      <xdr:colOff>235744</xdr:colOff>
      <xdr:row>35</xdr:row>
      <xdr:rowOff>121443</xdr:rowOff>
    </xdr:to>
    <xdr:pic>
      <xdr:nvPicPr>
        <xdr:cNvPr id="54" name="Picture 5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0500" y="5393531"/>
          <a:ext cx="2355057"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500063</xdr:colOff>
      <xdr:row>35</xdr:row>
      <xdr:rowOff>166687</xdr:rowOff>
    </xdr:from>
    <xdr:to>
      <xdr:col>11</xdr:col>
      <xdr:colOff>473869</xdr:colOff>
      <xdr:row>37</xdr:row>
      <xdr:rowOff>23812</xdr:rowOff>
    </xdr:to>
    <xdr:pic>
      <xdr:nvPicPr>
        <xdr:cNvPr id="57" name="Picture 5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179344" y="7131843"/>
          <a:ext cx="2402681"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285749</xdr:colOff>
      <xdr:row>28</xdr:row>
      <xdr:rowOff>130968</xdr:rowOff>
    </xdr:from>
    <xdr:to>
      <xdr:col>20</xdr:col>
      <xdr:colOff>250031</xdr:colOff>
      <xdr:row>28</xdr:row>
      <xdr:rowOff>142874</xdr:rowOff>
    </xdr:to>
    <xdr:cxnSp macro="">
      <xdr:nvCxnSpPr>
        <xdr:cNvPr id="19" name="Straight Connector 18"/>
        <xdr:cNvCxnSpPr/>
      </xdr:nvCxnSpPr>
      <xdr:spPr>
        <a:xfrm>
          <a:off x="10215562" y="5774531"/>
          <a:ext cx="4524375" cy="11906"/>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297655</xdr:colOff>
      <xdr:row>30</xdr:row>
      <xdr:rowOff>154780</xdr:rowOff>
    </xdr:from>
    <xdr:to>
      <xdr:col>20</xdr:col>
      <xdr:colOff>261937</xdr:colOff>
      <xdr:row>30</xdr:row>
      <xdr:rowOff>166686</xdr:rowOff>
    </xdr:to>
    <xdr:cxnSp macro="">
      <xdr:nvCxnSpPr>
        <xdr:cNvPr id="88" name="Straight Connector 87"/>
        <xdr:cNvCxnSpPr/>
      </xdr:nvCxnSpPr>
      <xdr:spPr>
        <a:xfrm>
          <a:off x="10227468" y="6179343"/>
          <a:ext cx="4524375" cy="11906"/>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160230</xdr:colOff>
      <xdr:row>26</xdr:row>
      <xdr:rowOff>112713</xdr:rowOff>
    </xdr:from>
    <xdr:to>
      <xdr:col>21</xdr:col>
      <xdr:colOff>178593</xdr:colOff>
      <xdr:row>37</xdr:row>
      <xdr:rowOff>142875</xdr:rowOff>
    </xdr:to>
    <xdr:sp macro="" textlink="">
      <xdr:nvSpPr>
        <xdr:cNvPr id="89" name="Rectangle 88"/>
        <xdr:cNvSpPr/>
      </xdr:nvSpPr>
      <xdr:spPr>
        <a:xfrm>
          <a:off x="10090043" y="5351463"/>
          <a:ext cx="5185675" cy="2149475"/>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16</xdr:col>
      <xdr:colOff>869156</xdr:colOff>
      <xdr:row>0</xdr:row>
      <xdr:rowOff>95250</xdr:rowOff>
    </xdr:from>
    <xdr:to>
      <xdr:col>18</xdr:col>
      <xdr:colOff>357187</xdr:colOff>
      <xdr:row>2</xdr:row>
      <xdr:rowOff>11906</xdr:rowOff>
    </xdr:to>
    <xdr:sp macro="" textlink="">
      <xdr:nvSpPr>
        <xdr:cNvPr id="22" name="TextBox 21">
          <a:hlinkClick xmlns:r="http://schemas.openxmlformats.org/officeDocument/2006/relationships" r:id="rId8"/>
        </xdr:cNvPr>
        <xdr:cNvSpPr txBox="1"/>
      </xdr:nvSpPr>
      <xdr:spPr>
        <a:xfrm>
          <a:off x="12096750" y="95250"/>
          <a:ext cx="1404937"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www.aramex.com</a:t>
          </a:r>
          <a:endParaRPr lang="en-US" sz="1100" b="1"/>
        </a:p>
      </xdr:txBody>
    </xdr:sp>
    <xdr:clientData/>
  </xdr:twoCellAnchor>
  <xdr:twoCellAnchor>
    <xdr:from>
      <xdr:col>6</xdr:col>
      <xdr:colOff>108856</xdr:colOff>
      <xdr:row>0</xdr:row>
      <xdr:rowOff>98962</xdr:rowOff>
    </xdr:from>
    <xdr:to>
      <xdr:col>9</xdr:col>
      <xdr:colOff>286987</xdr:colOff>
      <xdr:row>1</xdr:row>
      <xdr:rowOff>178130</xdr:rowOff>
    </xdr:to>
    <xdr:sp macro="" textlink="">
      <xdr:nvSpPr>
        <xdr:cNvPr id="2" name="TextBox 1"/>
        <xdr:cNvSpPr txBox="1"/>
      </xdr:nvSpPr>
      <xdr:spPr>
        <a:xfrm>
          <a:off x="5304311" y="98962"/>
          <a:ext cx="2048494" cy="25729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solidFill>
                <a:sysClr val="windowText" lastClr="000000"/>
              </a:solidFill>
            </a:rPr>
            <a:t>Aramex Logistics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u city" refreshedDate="45153.819706018519" createdVersion="6" refreshedVersion="6" minRefreshableVersion="3" recordCount="61">
  <cacheSource type="worksheet">
    <worksheetSource name="Datatable"/>
  </cacheSource>
  <cacheFields count="32">
    <cacheField name="Month" numFmtId="165">
      <sharedItems count="12">
        <s v="Jan"/>
        <s v="Feb"/>
        <s v="Mar"/>
        <s v="Apr"/>
        <s v="May"/>
        <s v="Jun"/>
        <s v="Jul"/>
        <s v="Aug"/>
        <s v="Sep"/>
        <s v="Oct"/>
        <s v="Nov"/>
        <s v="Dec"/>
      </sharedItems>
    </cacheField>
    <cacheField name="Day" numFmtId="1">
      <sharedItems containsSemiMixedTypes="0" containsString="0" containsNumber="1" containsInteger="1" minValue="1" maxValue="29" count="29">
        <n v="1"/>
        <n v="3"/>
        <n v="13"/>
        <n v="4"/>
        <n v="5"/>
        <n v="6"/>
        <n v="14"/>
        <n v="2"/>
        <n v="7"/>
        <n v="8"/>
        <n v="9"/>
        <n v="12"/>
        <n v="16"/>
        <n v="22"/>
        <n v="15"/>
        <n v="17"/>
        <n v="18"/>
        <n v="24"/>
        <n v="19"/>
        <n v="20"/>
        <n v="21"/>
        <n v="25"/>
        <n v="23"/>
        <n v="26"/>
        <n v="27"/>
        <n v="10"/>
        <n v="11"/>
        <n v="28"/>
        <n v="29"/>
      </sharedItems>
    </cacheField>
    <cacheField name="Load" numFmtId="0">
      <sharedItems count="3">
        <s v="Wood"/>
        <s v="Sand"/>
        <s v="Iron"/>
      </sharedItems>
    </cacheField>
    <cacheField name="Tonnage" numFmtId="168">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6">
      <sharedItems containsSemiMixedTypes="0" containsString="0" containsNumber="1" containsInteger="1" minValue="3456" maxValue="8765"/>
    </cacheField>
    <cacheField name="Truck" numFmtId="0">
      <sharedItems/>
    </cacheField>
    <cacheField name="Insurance" numFmtId="166">
      <sharedItems containsSemiMixedTypes="0" containsString="0" containsNumber="1" containsInteger="1" minValue="132" maxValue="132"/>
    </cacheField>
    <cacheField name="Fuel" numFmtId="166">
      <sharedItems containsSemiMixedTypes="0" containsString="0" containsNumber="1" containsInteger="1" minValue="245" maxValue="453"/>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acheField>
    <cacheField name="Repairs" numFmtId="166">
      <sharedItems containsString="0" containsBlank="1" containsNumber="1" containsInteger="1" minValue="32" maxValue="65"/>
    </cacheField>
    <cacheField name="Tolls" numFmtId="166">
      <sharedItems containsSemiMixedTypes="0" containsString="0" containsNumber="1" containsInteger="1" minValue="51" maxValue="134"/>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acheField>
    <cacheField name="First condition type" numFmtId="166">
      <sharedItems containsSemiMixedTypes="0" containsString="0" containsNumber="1" minValue="449.28000000000003" maxValue="1139.45" count="12">
        <n v="722.28"/>
        <n v="593.71"/>
        <n v="449.54"/>
        <n v="836.29000000000008"/>
        <n v="1139.45"/>
        <n v="706.16"/>
        <n v="881.14"/>
        <n v="850.59"/>
        <n v="1122.29"/>
        <n v="449.28000000000003"/>
        <n v="621.66"/>
        <n v="687.31000000000006"/>
      </sharedItems>
    </cacheField>
    <cacheField name="Shipment cost sub-items" numFmtId="166">
      <sharedItems containsSemiMixedTypes="0" containsString="0" containsNumber="1" minValue="691.2" maxValue="1753"/>
    </cacheField>
    <cacheField name="ERE Stage" numFmtId="166">
      <sharedItems containsSemiMixedTypes="0" containsString="0" containsNumber="1" minValue="587.5200000000001" maxValue="1490.0500000000002"/>
    </cacheField>
    <cacheField name="Basic freight" numFmtId="166">
      <sharedItems containsSemiMixedTypes="0" containsString="0" containsNumber="1" minValue="864" maxValue="2191.25"/>
    </cacheField>
    <cacheField name="Final Amount" numFmtId="166">
      <sharedItems containsSemiMixedTypes="0" containsString="0" containsNumber="1" minValue="1036.8" maxValue="2629.5"/>
    </cacheField>
    <cacheField name="Balance" numFmtId="0" formula="Rate-'Total Expenses'" databaseField="0"/>
    <cacheField name="balance 2" numFmtId="0" formula="'Total Expenses'-Rate" databaseField="0"/>
    <cacheField name="Field1" numFmtId="0" formula="Rate/'Total Expens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x v="0"/>
    <x v="0"/>
    <x v="0"/>
    <n v="11"/>
    <x v="0"/>
    <x v="0"/>
    <n v="5556"/>
    <s v="Freightliner Sprinter"/>
    <n v="132"/>
    <n v="400"/>
    <n v="50"/>
    <n v="250"/>
    <n v="120"/>
    <n v="65"/>
    <n v="134"/>
    <n v="6"/>
    <x v="0"/>
    <n v="295.41000000000003"/>
    <n v="343"/>
    <n v="240.1"/>
    <n v="100"/>
    <n v="22"/>
    <n v="54"/>
    <n v="1573.1"/>
    <x v="0"/>
    <n v="1111.2"/>
    <n v="944.5200000000001"/>
    <n v="1389"/>
    <n v="1666.8"/>
  </r>
  <r>
    <x v="0"/>
    <x v="1"/>
    <x v="0"/>
    <n v="21.3"/>
    <x v="0"/>
    <x v="1"/>
    <n v="5556"/>
    <s v="Freightliner Sprinter"/>
    <n v="132"/>
    <n v="400"/>
    <n v="50"/>
    <n v="250"/>
    <n v="120"/>
    <n v="65"/>
    <n v="134"/>
    <n v="6"/>
    <x v="1"/>
    <n v="295.41000000000003"/>
    <n v="343"/>
    <n v="240.1"/>
    <n v="100"/>
    <n v="22"/>
    <n v="54"/>
    <n v="1573.1"/>
    <x v="0"/>
    <n v="1111.2"/>
    <n v="944.5200000000001"/>
    <n v="1389"/>
    <n v="1666.8"/>
  </r>
  <r>
    <x v="0"/>
    <x v="2"/>
    <x v="0"/>
    <n v="22"/>
    <x v="0"/>
    <x v="2"/>
    <n v="5556"/>
    <s v="Freightliner Sprinter"/>
    <n v="132"/>
    <n v="400"/>
    <n v="50"/>
    <n v="250"/>
    <n v="120"/>
    <n v="65"/>
    <n v="134"/>
    <n v="6"/>
    <x v="2"/>
    <n v="295.41000000000003"/>
    <n v="343"/>
    <n v="240.1"/>
    <n v="100"/>
    <n v="22"/>
    <n v="54"/>
    <n v="1573.1"/>
    <x v="0"/>
    <n v="1111.2"/>
    <n v="944.5200000000001"/>
    <n v="1389"/>
    <n v="1666.8"/>
  </r>
  <r>
    <x v="1"/>
    <x v="3"/>
    <x v="1"/>
    <n v="14.5"/>
    <x v="0"/>
    <x v="1"/>
    <n v="4567"/>
    <s v="Freightliner Sprinter"/>
    <n v="132"/>
    <n v="333"/>
    <n v="51"/>
    <n v="250"/>
    <n v="134"/>
    <n v="65"/>
    <n v="134"/>
    <n v="6"/>
    <x v="0"/>
    <n v="295.41000000000003"/>
    <n v="354"/>
    <n v="247.79999999999998"/>
    <n v="100"/>
    <n v="23"/>
    <n v="55"/>
    <n v="1530.8"/>
    <x v="1"/>
    <n v="913.40000000000009"/>
    <n v="776.3900000000001"/>
    <n v="1141.75"/>
    <n v="1370.1"/>
  </r>
  <r>
    <x v="1"/>
    <x v="4"/>
    <x v="1"/>
    <n v="18"/>
    <x v="0"/>
    <x v="2"/>
    <n v="4567"/>
    <s v="Freightliner Sprinter"/>
    <n v="132"/>
    <n v="333"/>
    <n v="52"/>
    <n v="250"/>
    <n v="134"/>
    <n v="65"/>
    <n v="134"/>
    <n v="6"/>
    <x v="1"/>
    <n v="295.41000000000003"/>
    <n v="354"/>
    <n v="247.79999999999998"/>
    <n v="100"/>
    <n v="23"/>
    <n v="55"/>
    <n v="1531.8"/>
    <x v="1"/>
    <n v="913.40000000000009"/>
    <n v="776.3900000000001"/>
    <n v="1141.75"/>
    <n v="1370.1"/>
  </r>
  <r>
    <x v="1"/>
    <x v="5"/>
    <x v="1"/>
    <n v="19"/>
    <x v="0"/>
    <x v="3"/>
    <n v="4567"/>
    <s v="Freightliner Sprinter"/>
    <n v="132"/>
    <n v="333"/>
    <n v="53"/>
    <n v="250"/>
    <n v="134"/>
    <n v="65"/>
    <n v="134"/>
    <n v="6"/>
    <x v="2"/>
    <n v="295.41000000000003"/>
    <n v="354"/>
    <n v="247.79999999999998"/>
    <n v="100"/>
    <n v="23"/>
    <n v="55"/>
    <n v="1532.8"/>
    <x v="1"/>
    <n v="913.40000000000009"/>
    <n v="776.3900000000001"/>
    <n v="1141.75"/>
    <n v="1370.1"/>
  </r>
  <r>
    <x v="1"/>
    <x v="6"/>
    <x v="1"/>
    <n v="20"/>
    <x v="0"/>
    <x v="4"/>
    <n v="4567"/>
    <s v="Freightliner Sprinter"/>
    <n v="132"/>
    <n v="333"/>
    <n v="54"/>
    <n v="250"/>
    <n v="134"/>
    <n v="65"/>
    <n v="134"/>
    <n v="6"/>
    <x v="3"/>
    <n v="295.41000000000003"/>
    <n v="354"/>
    <n v="247.79999999999998"/>
    <n v="100"/>
    <n v="23"/>
    <n v="55"/>
    <n v="1533.8"/>
    <x v="1"/>
    <n v="913.40000000000009"/>
    <n v="776.3900000000001"/>
    <n v="1141.75"/>
    <n v="1370.1"/>
  </r>
  <r>
    <x v="2"/>
    <x v="7"/>
    <x v="2"/>
    <n v="21"/>
    <x v="0"/>
    <x v="2"/>
    <n v="3458"/>
    <s v="Freightliner Sprinter"/>
    <n v="132"/>
    <n v="453"/>
    <n v="55"/>
    <n v="250"/>
    <n v="121"/>
    <n v="32"/>
    <n v="56"/>
    <n v="56"/>
    <x v="0"/>
    <n v="295.41000000000003"/>
    <n v="333"/>
    <n v="233.1"/>
    <n v="100"/>
    <n v="24"/>
    <n v="56"/>
    <n v="1568.1"/>
    <x v="2"/>
    <n v="691.6"/>
    <n v="587.86"/>
    <n v="864.5"/>
    <n v="1037.3999999999999"/>
  </r>
  <r>
    <x v="2"/>
    <x v="1"/>
    <x v="2"/>
    <n v="22"/>
    <x v="1"/>
    <x v="1"/>
    <n v="3458"/>
    <s v="Freightliner Sprinter"/>
    <n v="132"/>
    <n v="453"/>
    <n v="56"/>
    <n v="250"/>
    <n v="121"/>
    <n v="32"/>
    <n v="56"/>
    <n v="56"/>
    <x v="1"/>
    <n v="295.41000000000003"/>
    <n v="333"/>
    <n v="233.1"/>
    <n v="100"/>
    <n v="24"/>
    <n v="56"/>
    <n v="1569.1"/>
    <x v="2"/>
    <n v="691.6"/>
    <n v="587.86"/>
    <n v="864.5"/>
    <n v="1037.3999999999999"/>
  </r>
  <r>
    <x v="2"/>
    <x v="8"/>
    <x v="1"/>
    <n v="22.7"/>
    <x v="1"/>
    <x v="2"/>
    <n v="3458"/>
    <s v="Freightliner Sprinter"/>
    <n v="132"/>
    <n v="453"/>
    <n v="57"/>
    <n v="250"/>
    <n v="121"/>
    <n v="32"/>
    <n v="56"/>
    <n v="56"/>
    <x v="3"/>
    <n v="295.41000000000003"/>
    <n v="333"/>
    <n v="233.1"/>
    <n v="100"/>
    <n v="24"/>
    <n v="56"/>
    <n v="1570.1"/>
    <x v="2"/>
    <n v="691.6"/>
    <n v="587.86"/>
    <n v="864.5"/>
    <n v="1037.3999999999999"/>
  </r>
  <r>
    <x v="2"/>
    <x v="9"/>
    <x v="2"/>
    <n v="12"/>
    <x v="0"/>
    <x v="3"/>
    <n v="3458"/>
    <s v="Freightliner Sprinter"/>
    <n v="132"/>
    <n v="453"/>
    <n v="58"/>
    <n v="250"/>
    <n v="121"/>
    <n v="32"/>
    <n v="56"/>
    <n v="56"/>
    <x v="3"/>
    <n v="295.41000000000003"/>
    <n v="333"/>
    <n v="233.1"/>
    <n v="100"/>
    <n v="24"/>
    <n v="56"/>
    <n v="1571.1"/>
    <x v="2"/>
    <n v="691.6"/>
    <n v="587.86"/>
    <n v="864.5"/>
    <n v="1037.3999999999999"/>
  </r>
  <r>
    <x v="2"/>
    <x v="10"/>
    <x v="0"/>
    <n v="13"/>
    <x v="1"/>
    <x v="5"/>
    <n v="3458"/>
    <s v="Freightliner Sprinter"/>
    <n v="132"/>
    <n v="453"/>
    <n v="59"/>
    <n v="250"/>
    <n v="121"/>
    <m/>
    <n v="56"/>
    <n v="56"/>
    <x v="0"/>
    <n v="295.41000000000003"/>
    <n v="333"/>
    <n v="233.1"/>
    <n v="100"/>
    <n v="24"/>
    <n v="56"/>
    <n v="1540.1"/>
    <x v="2"/>
    <n v="691.6"/>
    <n v="587.86"/>
    <n v="864.5"/>
    <n v="1037.3999999999999"/>
  </r>
  <r>
    <x v="3"/>
    <x v="11"/>
    <x v="0"/>
    <n v="16"/>
    <x v="0"/>
    <x v="6"/>
    <n v="6433"/>
    <s v="Chevrolet Express"/>
    <n v="132"/>
    <n v="399"/>
    <n v="72"/>
    <n v="250"/>
    <n v="134"/>
    <m/>
    <n v="134"/>
    <n v="6"/>
    <x v="1"/>
    <n v="295.41000000000003"/>
    <n v="343"/>
    <n v="240.1"/>
    <n v="100"/>
    <n v="25"/>
    <n v="57"/>
    <n v="1549.1"/>
    <x v="3"/>
    <n v="1286.6000000000001"/>
    <n v="1093.6100000000001"/>
    <n v="1608.25"/>
    <n v="1929.8999999999999"/>
  </r>
  <r>
    <x v="3"/>
    <x v="12"/>
    <x v="1"/>
    <n v="17"/>
    <x v="1"/>
    <x v="7"/>
    <n v="6433"/>
    <s v="Chevrolet Express"/>
    <n v="132"/>
    <n v="399"/>
    <n v="73"/>
    <n v="250"/>
    <n v="134"/>
    <n v="65"/>
    <n v="134"/>
    <n v="6"/>
    <x v="2"/>
    <n v="295.41000000000003"/>
    <n v="343"/>
    <n v="240.1"/>
    <n v="100"/>
    <n v="25"/>
    <n v="57"/>
    <n v="1615.1"/>
    <x v="3"/>
    <n v="1286.6000000000001"/>
    <n v="1093.6100000000001"/>
    <n v="1608.25"/>
    <n v="1929.8999999999999"/>
  </r>
  <r>
    <x v="3"/>
    <x v="13"/>
    <x v="0"/>
    <n v="18"/>
    <x v="1"/>
    <x v="2"/>
    <n v="6433"/>
    <s v="Chevrolet Express"/>
    <n v="132"/>
    <n v="399"/>
    <n v="74"/>
    <n v="250"/>
    <n v="134"/>
    <n v="65"/>
    <n v="134"/>
    <n v="6"/>
    <x v="3"/>
    <n v="295.41000000000003"/>
    <n v="343"/>
    <n v="240.1"/>
    <n v="100"/>
    <n v="25"/>
    <n v="57"/>
    <n v="1616.1"/>
    <x v="3"/>
    <n v="1286.6000000000001"/>
    <n v="1093.6100000000001"/>
    <n v="1608.25"/>
    <n v="1929.8999999999999"/>
  </r>
  <r>
    <x v="4"/>
    <x v="4"/>
    <x v="1"/>
    <n v="11"/>
    <x v="0"/>
    <x v="4"/>
    <n v="8765"/>
    <s v="Chevrolet Express"/>
    <n v="132"/>
    <n v="387"/>
    <n v="50"/>
    <n v="250"/>
    <n v="128"/>
    <n v="34"/>
    <n v="128"/>
    <n v="46"/>
    <x v="0"/>
    <n v="333"/>
    <n v="343"/>
    <n v="240.1"/>
    <n v="100"/>
    <n v="26"/>
    <n v="58"/>
    <n v="1579.1"/>
    <x v="4"/>
    <n v="1753"/>
    <n v="1490.0500000000002"/>
    <n v="2191.25"/>
    <n v="2629.5"/>
  </r>
  <r>
    <x v="4"/>
    <x v="2"/>
    <x v="1"/>
    <n v="21"/>
    <x v="0"/>
    <x v="7"/>
    <n v="8765"/>
    <s v="Chevrolet Express"/>
    <n v="132"/>
    <n v="387"/>
    <n v="50"/>
    <n v="250"/>
    <n v="128"/>
    <n v="34"/>
    <n v="128"/>
    <n v="46"/>
    <x v="1"/>
    <n v="333"/>
    <n v="343"/>
    <n v="240.1"/>
    <n v="100"/>
    <n v="26"/>
    <n v="58"/>
    <n v="1579.1"/>
    <x v="4"/>
    <n v="1753"/>
    <n v="1490.0500000000002"/>
    <n v="2191.25"/>
    <n v="2629.5"/>
  </r>
  <r>
    <x v="4"/>
    <x v="6"/>
    <x v="1"/>
    <n v="22"/>
    <x v="0"/>
    <x v="3"/>
    <n v="8765"/>
    <s v="Chevrolet Express"/>
    <n v="132"/>
    <n v="387"/>
    <n v="50"/>
    <n v="250"/>
    <n v="128"/>
    <n v="34"/>
    <n v="128"/>
    <n v="46"/>
    <x v="2"/>
    <n v="333"/>
    <n v="343"/>
    <n v="240.1"/>
    <n v="100"/>
    <n v="26"/>
    <n v="58"/>
    <n v="1579.1"/>
    <x v="4"/>
    <n v="1753"/>
    <n v="1490.0500000000002"/>
    <n v="2191.25"/>
    <n v="2629.5"/>
  </r>
  <r>
    <x v="4"/>
    <x v="14"/>
    <x v="2"/>
    <n v="23"/>
    <x v="1"/>
    <x v="4"/>
    <n v="8765"/>
    <s v="Chevrolet Express"/>
    <n v="132"/>
    <n v="387"/>
    <n v="50"/>
    <n v="250"/>
    <n v="128"/>
    <n v="34"/>
    <n v="128"/>
    <n v="46"/>
    <x v="3"/>
    <n v="333"/>
    <n v="343"/>
    <n v="240.1"/>
    <n v="100"/>
    <n v="26"/>
    <n v="58"/>
    <n v="1579.1"/>
    <x v="4"/>
    <n v="1753"/>
    <n v="1490.0500000000002"/>
    <n v="2191.25"/>
    <n v="2629.5"/>
  </r>
  <r>
    <x v="5"/>
    <x v="15"/>
    <x v="2"/>
    <n v="12.9"/>
    <x v="0"/>
    <x v="2"/>
    <n v="5432"/>
    <s v="Chevrolet Express"/>
    <n v="132"/>
    <n v="245"/>
    <n v="50"/>
    <n v="250"/>
    <n v="120"/>
    <m/>
    <n v="120"/>
    <n v="66"/>
    <x v="0"/>
    <n v="295.41000000000003"/>
    <n v="343"/>
    <n v="240.1"/>
    <n v="100"/>
    <n v="27"/>
    <n v="59"/>
    <n v="1409.1"/>
    <x v="5"/>
    <n v="1086.4000000000001"/>
    <n v="923.44"/>
    <n v="1358"/>
    <n v="1629.6"/>
  </r>
  <r>
    <x v="5"/>
    <x v="16"/>
    <x v="2"/>
    <n v="12.9"/>
    <x v="0"/>
    <x v="3"/>
    <n v="5432"/>
    <s v="Chevrolet Express"/>
    <n v="132"/>
    <n v="245"/>
    <n v="50"/>
    <n v="250"/>
    <n v="120"/>
    <m/>
    <n v="120"/>
    <n v="66"/>
    <x v="1"/>
    <n v="295.41000000000003"/>
    <n v="343"/>
    <n v="240.1"/>
    <n v="100"/>
    <n v="27"/>
    <n v="59"/>
    <n v="1409.1"/>
    <x v="5"/>
    <n v="1086.4000000000001"/>
    <n v="923.44"/>
    <n v="1358"/>
    <n v="1629.6"/>
  </r>
  <r>
    <x v="5"/>
    <x v="16"/>
    <x v="2"/>
    <n v="21"/>
    <x v="0"/>
    <x v="7"/>
    <n v="5432"/>
    <s v="Chevrolet Express"/>
    <n v="132"/>
    <n v="245"/>
    <n v="50"/>
    <n v="250"/>
    <n v="120"/>
    <m/>
    <n v="120"/>
    <n v="66"/>
    <x v="2"/>
    <n v="295.41000000000003"/>
    <n v="343"/>
    <n v="240.1"/>
    <n v="100"/>
    <n v="27"/>
    <n v="59"/>
    <n v="1409.1"/>
    <x v="5"/>
    <n v="1086.4000000000001"/>
    <n v="923.44"/>
    <n v="1358"/>
    <n v="1629.6"/>
  </r>
  <r>
    <x v="5"/>
    <x v="17"/>
    <x v="2"/>
    <n v="22"/>
    <x v="1"/>
    <x v="7"/>
    <n v="5432"/>
    <s v="Chevrolet Express"/>
    <n v="132"/>
    <n v="245"/>
    <n v="50"/>
    <n v="250"/>
    <n v="120"/>
    <m/>
    <n v="120"/>
    <n v="66"/>
    <x v="3"/>
    <n v="295.41000000000003"/>
    <n v="343"/>
    <n v="240.1"/>
    <n v="100"/>
    <n v="27"/>
    <n v="59"/>
    <n v="1409.1"/>
    <x v="5"/>
    <n v="1086.4000000000001"/>
    <n v="923.44"/>
    <n v="1358"/>
    <n v="1629.6"/>
  </r>
  <r>
    <x v="6"/>
    <x v="8"/>
    <x v="0"/>
    <n v="23"/>
    <x v="1"/>
    <x v="1"/>
    <n v="6778"/>
    <s v="RAM ProMaster"/>
    <n v="132"/>
    <n v="400"/>
    <n v="50"/>
    <n v="250"/>
    <n v="134"/>
    <m/>
    <n v="134"/>
    <n v="6"/>
    <x v="0"/>
    <n v="295.41000000000003"/>
    <n v="377"/>
    <n v="263.89999999999998"/>
    <n v="100"/>
    <n v="28"/>
    <n v="60"/>
    <n v="1557.9"/>
    <x v="6"/>
    <n v="1355.6000000000001"/>
    <n v="1152.26"/>
    <n v="1694.5"/>
    <n v="2033.3999999999999"/>
  </r>
  <r>
    <x v="6"/>
    <x v="18"/>
    <x v="0"/>
    <n v="12"/>
    <x v="1"/>
    <x v="2"/>
    <n v="6778"/>
    <s v="RAM ProMaster"/>
    <n v="132"/>
    <n v="400"/>
    <n v="50"/>
    <n v="250"/>
    <n v="134"/>
    <n v="65"/>
    <n v="134"/>
    <n v="6"/>
    <x v="1"/>
    <n v="295.41000000000003"/>
    <n v="377"/>
    <n v="263.89999999999998"/>
    <n v="100"/>
    <n v="28"/>
    <n v="60"/>
    <n v="1622.9"/>
    <x v="6"/>
    <n v="1355.6000000000001"/>
    <n v="1152.26"/>
    <n v="1694.5"/>
    <n v="2033.3999999999999"/>
  </r>
  <r>
    <x v="6"/>
    <x v="18"/>
    <x v="0"/>
    <n v="13"/>
    <x v="0"/>
    <x v="3"/>
    <n v="6778"/>
    <s v="RAM ProMaster"/>
    <n v="132"/>
    <n v="400"/>
    <n v="50"/>
    <n v="250"/>
    <n v="134"/>
    <n v="65"/>
    <n v="134"/>
    <n v="6"/>
    <x v="2"/>
    <n v="295.41000000000003"/>
    <n v="377"/>
    <n v="263.89999999999998"/>
    <n v="100"/>
    <n v="28"/>
    <n v="60"/>
    <n v="1622.9"/>
    <x v="6"/>
    <n v="1355.6000000000001"/>
    <n v="1152.26"/>
    <n v="1694.5"/>
    <n v="2033.3999999999999"/>
  </r>
  <r>
    <x v="6"/>
    <x v="19"/>
    <x v="0"/>
    <n v="14"/>
    <x v="0"/>
    <x v="4"/>
    <n v="6778"/>
    <s v="RAM ProMaster"/>
    <n v="132"/>
    <n v="400"/>
    <n v="50"/>
    <n v="250"/>
    <n v="134"/>
    <n v="65"/>
    <n v="134"/>
    <n v="6"/>
    <x v="3"/>
    <n v="295.41000000000003"/>
    <n v="377"/>
    <n v="263.89999999999998"/>
    <n v="100"/>
    <n v="28"/>
    <n v="60"/>
    <n v="1622.9"/>
    <x v="6"/>
    <n v="1355.6000000000001"/>
    <n v="1152.26"/>
    <n v="1694.5"/>
    <n v="2033.3999999999999"/>
  </r>
  <r>
    <x v="6"/>
    <x v="20"/>
    <x v="0"/>
    <n v="15"/>
    <x v="0"/>
    <x v="5"/>
    <n v="6778"/>
    <s v="RAM ProMaster"/>
    <n v="132"/>
    <n v="400"/>
    <n v="50"/>
    <n v="250"/>
    <n v="134"/>
    <n v="65"/>
    <n v="134"/>
    <n v="6"/>
    <x v="0"/>
    <n v="295.41000000000003"/>
    <n v="377"/>
    <n v="263.89999999999998"/>
    <n v="100"/>
    <n v="28"/>
    <n v="60"/>
    <n v="1622.9"/>
    <x v="6"/>
    <n v="1355.6000000000001"/>
    <n v="1152.26"/>
    <n v="1694.5"/>
    <n v="2033.3999999999999"/>
  </r>
  <r>
    <x v="6"/>
    <x v="21"/>
    <x v="0"/>
    <n v="16"/>
    <x v="0"/>
    <x v="4"/>
    <n v="6778"/>
    <s v="RAM ProMaster"/>
    <n v="132"/>
    <n v="400"/>
    <n v="50"/>
    <n v="250"/>
    <n v="134"/>
    <n v="65"/>
    <n v="134"/>
    <n v="6"/>
    <x v="1"/>
    <n v="295.41000000000003"/>
    <n v="377"/>
    <n v="263.89999999999998"/>
    <n v="100"/>
    <n v="28"/>
    <n v="60"/>
    <n v="1622.9"/>
    <x v="6"/>
    <n v="1355.6000000000001"/>
    <n v="1152.26"/>
    <n v="1694.5"/>
    <n v="2033.3999999999999"/>
  </r>
  <r>
    <x v="6"/>
    <x v="8"/>
    <x v="0"/>
    <n v="23"/>
    <x v="1"/>
    <x v="1"/>
    <n v="6778"/>
    <s v="RAM ProMaster"/>
    <n v="132"/>
    <n v="400"/>
    <n v="50"/>
    <n v="250"/>
    <n v="134"/>
    <m/>
    <n v="134"/>
    <n v="6"/>
    <x v="2"/>
    <n v="295.41000000000003"/>
    <n v="377"/>
    <n v="263.89999999999998"/>
    <n v="100"/>
    <n v="28"/>
    <n v="60"/>
    <n v="1557.9"/>
    <x v="6"/>
    <n v="1355.6000000000001"/>
    <n v="1152.26"/>
    <n v="1694.5"/>
    <n v="2033.3999999999999"/>
  </r>
  <r>
    <x v="6"/>
    <x v="18"/>
    <x v="0"/>
    <n v="12"/>
    <x v="1"/>
    <x v="2"/>
    <n v="6778"/>
    <s v="RAM ProMaster"/>
    <n v="132"/>
    <n v="400"/>
    <n v="50"/>
    <n v="250"/>
    <n v="134"/>
    <n v="65"/>
    <n v="134"/>
    <n v="6"/>
    <x v="3"/>
    <n v="295.41000000000003"/>
    <n v="377"/>
    <n v="263.89999999999998"/>
    <n v="100"/>
    <n v="28"/>
    <n v="60"/>
    <n v="1622.9"/>
    <x v="6"/>
    <n v="1355.6000000000001"/>
    <n v="1152.26"/>
    <n v="1694.5"/>
    <n v="2033.3999999999999"/>
  </r>
  <r>
    <x v="6"/>
    <x v="18"/>
    <x v="0"/>
    <n v="13"/>
    <x v="0"/>
    <x v="3"/>
    <n v="6778"/>
    <s v="RAM ProMaster"/>
    <n v="132"/>
    <n v="400"/>
    <n v="50"/>
    <n v="250"/>
    <n v="134"/>
    <n v="65"/>
    <n v="134"/>
    <n v="6"/>
    <x v="0"/>
    <n v="295.41000000000003"/>
    <n v="377"/>
    <n v="263.89999999999998"/>
    <n v="100"/>
    <n v="28"/>
    <n v="60"/>
    <n v="1622.9"/>
    <x v="6"/>
    <n v="1355.6000000000001"/>
    <n v="1152.26"/>
    <n v="1694.5"/>
    <n v="2033.3999999999999"/>
  </r>
  <r>
    <x v="6"/>
    <x v="19"/>
    <x v="0"/>
    <n v="14"/>
    <x v="0"/>
    <x v="4"/>
    <n v="6778"/>
    <s v="RAM ProMaster"/>
    <n v="132"/>
    <n v="400"/>
    <n v="50"/>
    <n v="250"/>
    <n v="134"/>
    <n v="65"/>
    <n v="134"/>
    <n v="6"/>
    <x v="1"/>
    <n v="295.41000000000003"/>
    <n v="377"/>
    <n v="263.89999999999998"/>
    <n v="100"/>
    <n v="28"/>
    <n v="60"/>
    <n v="1622.9"/>
    <x v="6"/>
    <n v="1355.6000000000001"/>
    <n v="1152.26"/>
    <n v="1694.5"/>
    <n v="2033.3999999999999"/>
  </r>
  <r>
    <x v="6"/>
    <x v="20"/>
    <x v="0"/>
    <n v="15"/>
    <x v="0"/>
    <x v="5"/>
    <n v="6778"/>
    <s v="RAM ProMaster"/>
    <n v="132"/>
    <n v="400"/>
    <n v="50"/>
    <n v="250"/>
    <n v="134"/>
    <n v="65"/>
    <n v="134"/>
    <n v="6"/>
    <x v="2"/>
    <n v="295.41000000000003"/>
    <n v="377"/>
    <n v="263.89999999999998"/>
    <n v="100"/>
    <n v="28"/>
    <n v="60"/>
    <n v="1622.9"/>
    <x v="6"/>
    <n v="1355.6000000000001"/>
    <n v="1152.26"/>
    <n v="1694.5"/>
    <n v="2033.3999999999999"/>
  </r>
  <r>
    <x v="6"/>
    <x v="21"/>
    <x v="0"/>
    <n v="16"/>
    <x v="0"/>
    <x v="4"/>
    <n v="6778"/>
    <s v="RAM ProMaster"/>
    <n v="132"/>
    <n v="400"/>
    <n v="50"/>
    <n v="250"/>
    <n v="134"/>
    <n v="65"/>
    <n v="134"/>
    <n v="6"/>
    <x v="3"/>
    <n v="295.41000000000003"/>
    <n v="377"/>
    <n v="263.89999999999998"/>
    <n v="100"/>
    <n v="28"/>
    <n v="60"/>
    <n v="1622.9"/>
    <x v="6"/>
    <n v="1355.6000000000001"/>
    <n v="1152.26"/>
    <n v="1694.5"/>
    <n v="2033.3999999999999"/>
  </r>
  <r>
    <x v="7"/>
    <x v="9"/>
    <x v="1"/>
    <n v="17"/>
    <x v="0"/>
    <x v="7"/>
    <n v="6543"/>
    <s v="RAM ProMaster"/>
    <n v="132"/>
    <n v="400"/>
    <n v="50"/>
    <n v="250"/>
    <n v="121"/>
    <m/>
    <n v="51"/>
    <n v="51"/>
    <x v="0"/>
    <n v="295.41000000000003"/>
    <n v="389"/>
    <n v="272.29999999999995"/>
    <n v="100"/>
    <n v="29"/>
    <n v="61"/>
    <n v="1517.3"/>
    <x v="7"/>
    <n v="1308.6000000000001"/>
    <n v="1112.3100000000002"/>
    <n v="1635.75"/>
    <n v="1962.8999999999999"/>
  </r>
  <r>
    <x v="7"/>
    <x v="19"/>
    <x v="1"/>
    <n v="18"/>
    <x v="0"/>
    <x v="5"/>
    <n v="6543"/>
    <s v="RAM ProMaster"/>
    <n v="132"/>
    <n v="400"/>
    <n v="50"/>
    <n v="250"/>
    <n v="121"/>
    <m/>
    <n v="51"/>
    <n v="51"/>
    <x v="1"/>
    <n v="295.41000000000003"/>
    <n v="389"/>
    <n v="272.29999999999995"/>
    <n v="100"/>
    <n v="29"/>
    <n v="61"/>
    <n v="1517.3"/>
    <x v="7"/>
    <n v="1308.6000000000001"/>
    <n v="1112.3100000000002"/>
    <n v="1635.75"/>
    <n v="1962.8999999999999"/>
  </r>
  <r>
    <x v="7"/>
    <x v="13"/>
    <x v="1"/>
    <n v="12.9"/>
    <x v="0"/>
    <x v="1"/>
    <n v="6543"/>
    <s v="RAM ProMaster"/>
    <n v="132"/>
    <n v="400"/>
    <n v="50"/>
    <n v="250"/>
    <n v="121"/>
    <n v="33"/>
    <n v="51"/>
    <n v="51"/>
    <x v="2"/>
    <n v="295.41000000000003"/>
    <n v="389"/>
    <n v="272.29999999999995"/>
    <n v="100"/>
    <n v="29"/>
    <n v="61"/>
    <n v="1550.3"/>
    <x v="7"/>
    <n v="1308.6000000000001"/>
    <n v="1112.3100000000002"/>
    <n v="1635.75"/>
    <n v="1962.8999999999999"/>
  </r>
  <r>
    <x v="7"/>
    <x v="22"/>
    <x v="1"/>
    <n v="12.9"/>
    <x v="0"/>
    <x v="2"/>
    <n v="6543"/>
    <s v="RAM ProMaster"/>
    <n v="132"/>
    <n v="400"/>
    <n v="50"/>
    <n v="250"/>
    <n v="121"/>
    <n v="33"/>
    <n v="51"/>
    <n v="51"/>
    <x v="3"/>
    <n v="295.41000000000003"/>
    <n v="389"/>
    <n v="272.29999999999995"/>
    <n v="100"/>
    <n v="29"/>
    <n v="61"/>
    <n v="1550.3"/>
    <x v="7"/>
    <n v="1308.6000000000001"/>
    <n v="1112.3100000000002"/>
    <n v="1635.75"/>
    <n v="1962.8999999999999"/>
  </r>
  <r>
    <x v="8"/>
    <x v="21"/>
    <x v="0"/>
    <n v="12.9"/>
    <x v="0"/>
    <x v="2"/>
    <n v="8633"/>
    <s v="RAM ProMaster"/>
    <n v="132"/>
    <n v="400"/>
    <n v="50"/>
    <n v="250"/>
    <n v="134"/>
    <m/>
    <n v="134"/>
    <n v="6"/>
    <x v="2"/>
    <n v="295.41000000000003"/>
    <n v="234"/>
    <n v="163.79999999999998"/>
    <n v="100"/>
    <n v="23"/>
    <n v="55"/>
    <n v="1447.8"/>
    <x v="8"/>
    <n v="1726.6000000000001"/>
    <n v="1467.6100000000001"/>
    <n v="2158.25"/>
    <n v="2589.9"/>
  </r>
  <r>
    <x v="8"/>
    <x v="23"/>
    <x v="0"/>
    <n v="18"/>
    <x v="0"/>
    <x v="3"/>
    <n v="8633"/>
    <s v="RAM ProMaster"/>
    <n v="132"/>
    <n v="400"/>
    <n v="50"/>
    <n v="250"/>
    <n v="134"/>
    <m/>
    <n v="134"/>
    <n v="6"/>
    <x v="2"/>
    <n v="295.41000000000003"/>
    <n v="234"/>
    <n v="163.79999999999998"/>
    <n v="100"/>
    <n v="23"/>
    <n v="55"/>
    <n v="1447.8"/>
    <x v="8"/>
    <n v="1726.6000000000001"/>
    <n v="1467.6100000000001"/>
    <n v="2158.25"/>
    <n v="2589.9"/>
  </r>
  <r>
    <x v="8"/>
    <x v="24"/>
    <x v="0"/>
    <n v="19"/>
    <x v="0"/>
    <x v="4"/>
    <n v="8633"/>
    <s v="RAM ProMaster"/>
    <n v="132"/>
    <n v="400"/>
    <n v="50"/>
    <n v="250"/>
    <n v="134"/>
    <m/>
    <n v="134"/>
    <n v="6"/>
    <x v="2"/>
    <n v="295.41000000000003"/>
    <n v="234"/>
    <n v="163.79999999999998"/>
    <n v="100"/>
    <n v="23"/>
    <n v="55"/>
    <n v="1447.8"/>
    <x v="8"/>
    <n v="1726.6000000000001"/>
    <n v="1467.6100000000001"/>
    <n v="2158.25"/>
    <n v="2589.9"/>
  </r>
  <r>
    <x v="8"/>
    <x v="24"/>
    <x v="0"/>
    <n v="20"/>
    <x v="0"/>
    <x v="4"/>
    <n v="8633"/>
    <s v="RAM ProMaster"/>
    <n v="132"/>
    <n v="400"/>
    <n v="50"/>
    <n v="250"/>
    <n v="134"/>
    <m/>
    <n v="134"/>
    <n v="6"/>
    <x v="2"/>
    <n v="295.41000000000003"/>
    <n v="234"/>
    <n v="163.79999999999998"/>
    <n v="100"/>
    <n v="23"/>
    <n v="55"/>
    <n v="1447.8"/>
    <x v="8"/>
    <n v="1726.6000000000001"/>
    <n v="1467.6100000000001"/>
    <n v="2158.25"/>
    <n v="2589.9"/>
  </r>
  <r>
    <x v="9"/>
    <x v="0"/>
    <x v="0"/>
    <n v="21"/>
    <x v="0"/>
    <x v="4"/>
    <n v="5556"/>
    <s v="Freightliner Sprinter"/>
    <n v="132"/>
    <n v="400"/>
    <n v="50"/>
    <n v="250"/>
    <n v="120"/>
    <n v="65"/>
    <n v="134"/>
    <n v="6"/>
    <x v="0"/>
    <n v="295.41000000000003"/>
    <n v="343"/>
    <n v="240.1"/>
    <n v="100"/>
    <n v="22"/>
    <n v="54"/>
    <n v="1573.1"/>
    <x v="0"/>
    <n v="1111.2"/>
    <n v="944.5200000000001"/>
    <n v="1389"/>
    <n v="1666.8"/>
  </r>
  <r>
    <x v="9"/>
    <x v="7"/>
    <x v="0"/>
    <n v="22"/>
    <x v="0"/>
    <x v="4"/>
    <n v="5556"/>
    <s v="Freightliner Sprinter"/>
    <n v="132"/>
    <n v="400"/>
    <n v="50"/>
    <n v="250"/>
    <n v="120"/>
    <n v="65"/>
    <n v="134"/>
    <n v="6"/>
    <x v="0"/>
    <n v="295.41000000000003"/>
    <n v="343"/>
    <n v="240.1"/>
    <n v="100"/>
    <n v="22"/>
    <n v="54"/>
    <n v="1573.1"/>
    <x v="0"/>
    <n v="1111.2"/>
    <n v="944.5200000000001"/>
    <n v="1389"/>
    <n v="1666.8"/>
  </r>
  <r>
    <x v="9"/>
    <x v="25"/>
    <x v="0"/>
    <n v="23"/>
    <x v="0"/>
    <x v="4"/>
    <n v="6433"/>
    <s v="Chevrolet Express"/>
    <n v="132"/>
    <n v="399"/>
    <n v="50"/>
    <n v="250"/>
    <n v="134"/>
    <m/>
    <n v="134"/>
    <n v="6"/>
    <x v="1"/>
    <n v="295.41000000000003"/>
    <n v="343"/>
    <n v="240.1"/>
    <n v="100"/>
    <n v="25"/>
    <n v="57"/>
    <n v="1527.1"/>
    <x v="3"/>
    <n v="1286.6000000000001"/>
    <n v="1093.6100000000001"/>
    <n v="1608.25"/>
    <n v="1929.8999999999999"/>
  </r>
  <r>
    <x v="9"/>
    <x v="25"/>
    <x v="1"/>
    <n v="12.9"/>
    <x v="0"/>
    <x v="4"/>
    <n v="3456"/>
    <s v="Nissan NV2500"/>
    <n v="132"/>
    <n v="400"/>
    <n v="50"/>
    <n v="250"/>
    <n v="128"/>
    <n v="65"/>
    <n v="134"/>
    <n v="6"/>
    <x v="3"/>
    <n v="295.41000000000003"/>
    <n v="343"/>
    <n v="240.1"/>
    <n v="100"/>
    <n v="24"/>
    <n v="56"/>
    <n v="1585.1"/>
    <x v="9"/>
    <n v="691.2"/>
    <n v="587.5200000000001"/>
    <n v="864"/>
    <n v="1036.8"/>
  </r>
  <r>
    <x v="9"/>
    <x v="26"/>
    <x v="0"/>
    <n v="13"/>
    <x v="0"/>
    <x v="4"/>
    <n v="6433"/>
    <s v="Chevrolet Express"/>
    <n v="132"/>
    <n v="399"/>
    <n v="50"/>
    <n v="250"/>
    <n v="134"/>
    <m/>
    <n v="134"/>
    <n v="6"/>
    <x v="1"/>
    <n v="295.41000000000003"/>
    <n v="343"/>
    <n v="240.1"/>
    <n v="100"/>
    <n v="25"/>
    <n v="57"/>
    <n v="1527.1"/>
    <x v="3"/>
    <n v="1286.6000000000001"/>
    <n v="1093.6100000000001"/>
    <n v="1608.25"/>
    <n v="1929.8999999999999"/>
  </r>
  <r>
    <x v="9"/>
    <x v="27"/>
    <x v="1"/>
    <n v="14"/>
    <x v="0"/>
    <x v="4"/>
    <n v="3456"/>
    <s v="Nissan NV2500"/>
    <n v="132"/>
    <n v="400"/>
    <n v="50"/>
    <n v="250"/>
    <n v="128"/>
    <m/>
    <n v="134"/>
    <n v="6"/>
    <x v="3"/>
    <n v="295.41000000000003"/>
    <n v="343"/>
    <n v="240.1"/>
    <n v="100"/>
    <n v="24"/>
    <n v="56"/>
    <n v="1520.1"/>
    <x v="9"/>
    <n v="691.2"/>
    <n v="587.5200000000001"/>
    <n v="864"/>
    <n v="1036.8"/>
  </r>
  <r>
    <x v="9"/>
    <x v="27"/>
    <x v="1"/>
    <n v="15"/>
    <x v="0"/>
    <x v="4"/>
    <n v="3456"/>
    <s v="Nissan NV2500"/>
    <n v="132"/>
    <n v="400"/>
    <n v="50"/>
    <n v="250"/>
    <n v="128"/>
    <m/>
    <n v="134"/>
    <n v="6"/>
    <x v="3"/>
    <n v="295.41000000000003"/>
    <n v="343"/>
    <n v="240.1"/>
    <n v="100"/>
    <n v="24"/>
    <n v="56"/>
    <n v="1520.1"/>
    <x v="9"/>
    <n v="691.2"/>
    <n v="587.5200000000001"/>
    <n v="864"/>
    <n v="1036.8"/>
  </r>
  <r>
    <x v="9"/>
    <x v="28"/>
    <x v="1"/>
    <n v="16"/>
    <x v="0"/>
    <x v="4"/>
    <n v="3456"/>
    <s v="Nissan NV2500"/>
    <n v="132"/>
    <n v="400"/>
    <n v="50"/>
    <n v="250"/>
    <n v="128"/>
    <m/>
    <n v="134"/>
    <n v="6"/>
    <x v="3"/>
    <n v="295.41000000000003"/>
    <n v="343"/>
    <n v="240.1"/>
    <n v="100"/>
    <n v="24"/>
    <n v="56"/>
    <n v="1520.1"/>
    <x v="9"/>
    <n v="691.2"/>
    <n v="587.5200000000001"/>
    <n v="864"/>
    <n v="1036.8"/>
  </r>
  <r>
    <x v="9"/>
    <x v="0"/>
    <x v="0"/>
    <n v="21"/>
    <x v="0"/>
    <x v="4"/>
    <n v="5556"/>
    <s v="Freightliner Sprinter"/>
    <n v="132"/>
    <n v="400"/>
    <n v="50"/>
    <n v="250"/>
    <n v="120"/>
    <n v="65"/>
    <n v="134"/>
    <n v="6"/>
    <x v="0"/>
    <n v="295.41000000000003"/>
    <n v="343"/>
    <n v="240.1"/>
    <n v="100"/>
    <n v="22"/>
    <n v="54"/>
    <n v="1573.1"/>
    <x v="0"/>
    <n v="1111.2"/>
    <n v="944.5200000000001"/>
    <n v="1389"/>
    <n v="1666.8"/>
  </r>
  <r>
    <x v="9"/>
    <x v="7"/>
    <x v="0"/>
    <n v="22"/>
    <x v="0"/>
    <x v="4"/>
    <n v="5556"/>
    <s v="Freightliner Sprinter"/>
    <n v="132"/>
    <n v="400"/>
    <n v="50"/>
    <n v="250"/>
    <n v="120"/>
    <n v="65"/>
    <n v="134"/>
    <n v="6"/>
    <x v="0"/>
    <n v="295.41000000000003"/>
    <n v="343"/>
    <n v="240.1"/>
    <n v="100"/>
    <n v="22"/>
    <n v="54"/>
    <n v="1573.1"/>
    <x v="0"/>
    <n v="1111.2"/>
    <n v="944.5200000000001"/>
    <n v="1389"/>
    <n v="1666.8"/>
  </r>
  <r>
    <x v="10"/>
    <x v="28"/>
    <x v="2"/>
    <n v="18"/>
    <x v="0"/>
    <x v="4"/>
    <n v="4782"/>
    <s v="Nissan NV2500"/>
    <n v="132"/>
    <n v="400"/>
    <n v="50"/>
    <n v="250"/>
    <n v="120"/>
    <n v="65"/>
    <n v="134"/>
    <n v="6"/>
    <x v="3"/>
    <n v="295.41000000000003"/>
    <n v="399"/>
    <n v="279.29999999999995"/>
    <n v="100"/>
    <n v="25"/>
    <n v="57"/>
    <n v="1618.3"/>
    <x v="10"/>
    <n v="956.40000000000009"/>
    <n v="812.94"/>
    <n v="1195.5"/>
    <n v="1434.6"/>
  </r>
  <r>
    <x v="10"/>
    <x v="26"/>
    <x v="2"/>
    <n v="17"/>
    <x v="0"/>
    <x v="4"/>
    <n v="4782"/>
    <s v="Nissan NV2500"/>
    <n v="132"/>
    <n v="400"/>
    <n v="50"/>
    <n v="250"/>
    <n v="120"/>
    <n v="65"/>
    <n v="134"/>
    <n v="6"/>
    <x v="3"/>
    <n v="295.41000000000003"/>
    <n v="399"/>
    <n v="279.29999999999995"/>
    <n v="100"/>
    <n v="25"/>
    <n v="57"/>
    <n v="1618.3"/>
    <x v="10"/>
    <n v="956.40000000000009"/>
    <n v="812.94"/>
    <n v="1195.5"/>
    <n v="1434.6"/>
  </r>
  <r>
    <x v="10"/>
    <x v="22"/>
    <x v="2"/>
    <n v="18"/>
    <x v="0"/>
    <x v="4"/>
    <n v="4782"/>
    <s v="Nissan NV2500"/>
    <n v="132"/>
    <n v="400"/>
    <n v="50"/>
    <n v="250"/>
    <n v="120"/>
    <n v="65"/>
    <n v="134"/>
    <n v="6"/>
    <x v="3"/>
    <n v="295.41000000000003"/>
    <n v="399"/>
    <n v="279.29999999999995"/>
    <n v="100"/>
    <n v="25"/>
    <n v="57"/>
    <n v="1618.3"/>
    <x v="10"/>
    <n v="956.40000000000009"/>
    <n v="812.94"/>
    <n v="1195.5"/>
    <n v="1434.6"/>
  </r>
  <r>
    <x v="10"/>
    <x v="22"/>
    <x v="2"/>
    <n v="18"/>
    <x v="0"/>
    <x v="4"/>
    <n v="4782"/>
    <s v="Nissan NV2500"/>
    <n v="132"/>
    <n v="400"/>
    <n v="50"/>
    <n v="250"/>
    <n v="120"/>
    <n v="65"/>
    <n v="134"/>
    <n v="6"/>
    <x v="3"/>
    <n v="295.41000000000003"/>
    <n v="399"/>
    <n v="279.29999999999995"/>
    <n v="100"/>
    <n v="25"/>
    <n v="57"/>
    <n v="1618.3"/>
    <x v="10"/>
    <n v="956.40000000000009"/>
    <n v="812.94"/>
    <n v="1195.5"/>
    <n v="1434.6"/>
  </r>
  <r>
    <x v="10"/>
    <x v="28"/>
    <x v="2"/>
    <n v="18"/>
    <x v="0"/>
    <x v="4"/>
    <n v="4782"/>
    <s v="Nissan NV2500"/>
    <n v="132"/>
    <n v="400"/>
    <n v="50"/>
    <n v="250"/>
    <n v="120"/>
    <n v="65"/>
    <n v="134"/>
    <n v="6"/>
    <x v="3"/>
    <n v="295.41000000000003"/>
    <n v="399"/>
    <n v="279.29999999999995"/>
    <n v="100"/>
    <n v="25"/>
    <n v="57"/>
    <n v="1618.3"/>
    <x v="10"/>
    <n v="956.40000000000009"/>
    <n v="812.94"/>
    <n v="1195.5"/>
    <n v="1434.6"/>
  </r>
  <r>
    <x v="11"/>
    <x v="11"/>
    <x v="0"/>
    <n v="12.9"/>
    <x v="0"/>
    <x v="4"/>
    <n v="5287"/>
    <s v="Nissan NV2500"/>
    <n v="132"/>
    <n v="400"/>
    <n v="50"/>
    <n v="250"/>
    <n v="134"/>
    <m/>
    <n v="134"/>
    <n v="6"/>
    <x v="3"/>
    <n v="295.41000000000003"/>
    <n v="343"/>
    <n v="240.1"/>
    <n v="100"/>
    <n v="26"/>
    <n v="58"/>
    <n v="1530.1"/>
    <x v="11"/>
    <n v="1057.4000000000001"/>
    <n v="898.79000000000008"/>
    <n v="1321.75"/>
    <n v="1586.1"/>
  </r>
  <r>
    <x v="11"/>
    <x v="17"/>
    <x v="0"/>
    <n v="18"/>
    <x v="0"/>
    <x v="4"/>
    <n v="5287"/>
    <s v="Nissan NV2500"/>
    <n v="132"/>
    <n v="400"/>
    <n v="50"/>
    <n v="250"/>
    <n v="134"/>
    <m/>
    <n v="134"/>
    <n v="6"/>
    <x v="3"/>
    <n v="295.41000000000003"/>
    <n v="343"/>
    <n v="240.1"/>
    <n v="100"/>
    <n v="26"/>
    <n v="58"/>
    <n v="1530.1"/>
    <x v="11"/>
    <n v="1057.4000000000001"/>
    <n v="898.79000000000008"/>
    <n v="1321.75"/>
    <n v="1586.1"/>
  </r>
  <r>
    <x v="11"/>
    <x v="21"/>
    <x v="0"/>
    <n v="18"/>
    <x v="0"/>
    <x v="4"/>
    <n v="5287"/>
    <s v="Nissan NV2500"/>
    <n v="132"/>
    <n v="400"/>
    <n v="50"/>
    <n v="250"/>
    <n v="134"/>
    <m/>
    <n v="134"/>
    <n v="6"/>
    <x v="3"/>
    <n v="295.41000000000003"/>
    <n v="343"/>
    <n v="240.1"/>
    <n v="100"/>
    <n v="26"/>
    <n v="58"/>
    <n v="1530.1"/>
    <x v="11"/>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J4:K7" firstHeaderRow="1"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8" showAll="0"/>
    <pivotField axis="axisRow" dataField="1"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numFmtId="3"/>
  </dataFields>
  <formats count="14">
    <format dxfId="13">
      <pivotArea type="all" dataOnly="0" outline="0" fieldPosition="0"/>
    </format>
    <format dxfId="12">
      <pivotArea outline="0" collapsedLevelsAreSubtotals="1" fieldPosition="0"/>
    </format>
    <format dxfId="11">
      <pivotArea type="all" dataOnly="0"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type="all" dataOnly="0" outline="0" fieldPosition="0"/>
    </format>
    <format dxfId="4">
      <pivotArea outline="0" collapsedLevelsAreSubtotals="1" fieldPosition="0"/>
    </format>
    <format dxfId="3">
      <pivotArea type="all" dataOnly="0" outline="0"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AF5:AK6" firstHeaderRow="0" firstDataRow="1" firstDataCol="0"/>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dataField="1" numFmtId="1" showAll="0"/>
    <pivotField dataField="1" showAll="0"/>
    <pivotField dataField="1" numFmtId="166" showAll="0"/>
    <pivotField dataField="1" numFmtId="166" showAll="0"/>
    <pivotField dataField="1" numFmtId="166" showAll="0"/>
    <pivotField dataField="1"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0"/>
    <dataField name="Sum of Extra Pay" fld="21" baseField="0" baseItem="0"/>
    <dataField name="Sum of Extra Stops" fld="20" baseField="0" baseItem="0"/>
    <dataField name="Sum of Costs Driver Paid" fld="22" baseField="0" baseItem="0"/>
  </dataFields>
  <formats count="13">
    <format dxfId="173">
      <pivotArea type="all" dataOnly="0" outline="0" fieldPosition="0"/>
    </format>
    <format dxfId="172">
      <pivotArea outline="0" collapsedLevelsAreSubtotals="1" fieldPosition="0"/>
    </format>
    <format dxfId="171">
      <pivotArea type="all" dataOnly="0" outline="0" fieldPosition="0"/>
    </format>
    <format dxfId="170">
      <pivotArea outline="0" collapsedLevelsAreSubtotals="1" fieldPosition="0"/>
    </format>
    <format dxfId="169">
      <pivotArea type="all" dataOnly="0" outline="0" fieldPosition="0"/>
    </format>
    <format dxfId="168">
      <pivotArea outline="0" collapsedLevelsAreSubtotals="1" fieldPosition="0"/>
    </format>
    <format dxfId="167">
      <pivotArea outline="0" collapsedLevelsAreSubtotals="1" fieldPosition="0"/>
    </format>
    <format dxfId="166">
      <pivotArea outline="0" collapsedLevelsAreSubtotals="1" fieldPosition="0"/>
    </format>
    <format dxfId="165">
      <pivotArea type="all" dataOnly="0" outline="0" fieldPosition="0"/>
    </format>
    <format dxfId="164">
      <pivotArea outline="0" collapsedLevelsAreSubtotals="1" fieldPosition="0"/>
    </format>
    <format dxfId="163">
      <pivotArea type="all" dataOnly="0" outline="0" fieldPosition="0"/>
    </format>
    <format dxfId="162">
      <pivotArea outline="0" collapsedLevelsAreSubtotals="1" fieldPosition="0"/>
    </format>
    <format dxfId="161">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D11" firstHeaderRow="0" firstDataRow="1" firstDataCol="0"/>
  <pivotFields count="32">
    <pivotField showAll="0">
      <items count="13">
        <item x="0"/>
        <item x="1"/>
        <item x="2"/>
        <item x="3"/>
        <item x="4"/>
        <item x="5"/>
        <item x="6"/>
        <item x="7"/>
        <item x="8"/>
        <item x="9"/>
        <item x="10"/>
        <item x="11"/>
        <item t="default"/>
      </items>
    </pivotField>
    <pivotField numFmtId="1" showAll="0"/>
    <pivotField showAll="0"/>
    <pivotField numFmtId="168"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6"/>
  </dataFields>
  <formats count="32">
    <format dxfId="205">
      <pivotArea type="all" dataOnly="0" outline="0" fieldPosition="0"/>
    </format>
    <format dxfId="204">
      <pivotArea outline="0" collapsedLevelsAreSubtotals="1" fieldPosition="0"/>
    </format>
    <format dxfId="203">
      <pivotArea dataOnly="0" labelOnly="1" outline="0" fieldPosition="0">
        <references count="1">
          <reference field="4294967294" count="3">
            <x v="0"/>
            <x v="1"/>
            <x v="2"/>
          </reference>
        </references>
      </pivotArea>
    </format>
    <format dxfId="202">
      <pivotArea type="all" dataOnly="0" outline="0" fieldPosition="0"/>
    </format>
    <format dxfId="201">
      <pivotArea outline="0" collapsedLevelsAreSubtotals="1" fieldPosition="0"/>
    </format>
    <format dxfId="200">
      <pivotArea dataOnly="0" labelOnly="1" outline="0" fieldPosition="0">
        <references count="1">
          <reference field="4294967294" count="3">
            <x v="0"/>
            <x v="1"/>
            <x v="2"/>
          </reference>
        </references>
      </pivotArea>
    </format>
    <format dxfId="199">
      <pivotArea type="all" dataOnly="0" outline="0" fieldPosition="0"/>
    </format>
    <format dxfId="198">
      <pivotArea outline="0" collapsedLevelsAreSubtotals="1" fieldPosition="0"/>
    </format>
    <format dxfId="197">
      <pivotArea dataOnly="0" labelOnly="1" outline="0" fieldPosition="0">
        <references count="1">
          <reference field="4294967294" count="3">
            <x v="0"/>
            <x v="1"/>
            <x v="2"/>
          </reference>
        </references>
      </pivotArea>
    </format>
    <format dxfId="196">
      <pivotArea dataOnly="0" labelOnly="1" outline="0" fieldPosition="0">
        <references count="1">
          <reference field="4294967294" count="3">
            <x v="0"/>
            <x v="1"/>
            <x v="2"/>
          </reference>
        </references>
      </pivotArea>
    </format>
    <format dxfId="195">
      <pivotArea outline="0" collapsedLevelsAreSubtotals="1" fieldPosition="0"/>
    </format>
    <format dxfId="194">
      <pivotArea outline="0" collapsedLevelsAreSubtotals="1" fieldPosition="0"/>
    </format>
    <format dxfId="193">
      <pivotArea type="all" dataOnly="0" outline="0" fieldPosition="0"/>
    </format>
    <format dxfId="192">
      <pivotArea outline="0" collapsedLevelsAreSubtotals="1" fieldPosition="0"/>
    </format>
    <format dxfId="191">
      <pivotArea dataOnly="0" labelOnly="1" outline="0" fieldPosition="0">
        <references count="1">
          <reference field="4294967294" count="3">
            <x v="0"/>
            <x v="1"/>
            <x v="2"/>
          </reference>
        </references>
      </pivotArea>
    </format>
    <format dxfId="190">
      <pivotArea dataOnly="0" labelOnly="1" outline="0" fieldPosition="0">
        <references count="1">
          <reference field="4294967294" count="1">
            <x v="0"/>
          </reference>
        </references>
      </pivotArea>
    </format>
    <format dxfId="189">
      <pivotArea dataOnly="0" labelOnly="1" outline="0" fieldPosition="0">
        <references count="1">
          <reference field="4294967294" count="1">
            <x v="0"/>
          </reference>
        </references>
      </pivotArea>
    </format>
    <format dxfId="188">
      <pivotArea dataOnly="0" labelOnly="1" outline="0" fieldPosition="0">
        <references count="1">
          <reference field="4294967294" count="1">
            <x v="0"/>
          </reference>
        </references>
      </pivotArea>
    </format>
    <format dxfId="187">
      <pivotArea dataOnly="0" labelOnly="1" outline="0" fieldPosition="0">
        <references count="1">
          <reference field="4294967294" count="1">
            <x v="0"/>
          </reference>
        </references>
      </pivotArea>
    </format>
    <format dxfId="186">
      <pivotArea dataOnly="0" labelOnly="1" outline="0" fieldPosition="0">
        <references count="1">
          <reference field="4294967294" count="3">
            <x v="0"/>
            <x v="1"/>
            <x v="2"/>
          </reference>
        </references>
      </pivotArea>
    </format>
    <format dxfId="185">
      <pivotArea dataOnly="0" labelOnly="1" outline="0" fieldPosition="0">
        <references count="1">
          <reference field="4294967294" count="3">
            <x v="0"/>
            <x v="1"/>
            <x v="2"/>
          </reference>
        </references>
      </pivotArea>
    </format>
    <format dxfId="184">
      <pivotArea dataOnly="0" labelOnly="1" outline="0" fieldPosition="0">
        <references count="1">
          <reference field="4294967294" count="3">
            <x v="0"/>
            <x v="1"/>
            <x v="2"/>
          </reference>
        </references>
      </pivotArea>
    </format>
    <format dxfId="183">
      <pivotArea dataOnly="0" labelOnly="1" outline="0" fieldPosition="0">
        <references count="1">
          <reference field="4294967294" count="3">
            <x v="0"/>
            <x v="1"/>
            <x v="2"/>
          </reference>
        </references>
      </pivotArea>
    </format>
    <format dxfId="182">
      <pivotArea type="all" dataOnly="0" outline="0" fieldPosition="0"/>
    </format>
    <format dxfId="181">
      <pivotArea outline="0" collapsedLevelsAreSubtotals="1" fieldPosition="0"/>
    </format>
    <format dxfId="180">
      <pivotArea dataOnly="0" labelOnly="1" outline="0" fieldPosition="0">
        <references count="1">
          <reference field="4294967294" count="3">
            <x v="0"/>
            <x v="1"/>
            <x v="2"/>
          </reference>
        </references>
      </pivotArea>
    </format>
    <format dxfId="179">
      <pivotArea outline="0" collapsedLevelsAreSubtotals="1" fieldPosition="0"/>
    </format>
    <format dxfId="178">
      <pivotArea dataOnly="0" labelOnly="1" outline="0" fieldPosition="0">
        <references count="1">
          <reference field="4294967294" count="3">
            <x v="0"/>
            <x v="1"/>
            <x v="2"/>
          </reference>
        </references>
      </pivotArea>
    </format>
    <format dxfId="177">
      <pivotArea dataOnly="0" labelOnly="1" outline="0" fieldPosition="0">
        <references count="1">
          <reference field="4294967294" count="3">
            <x v="0"/>
            <x v="1"/>
            <x v="2"/>
          </reference>
        </references>
      </pivotArea>
    </format>
    <format dxfId="176">
      <pivotArea dataOnly="0" labelOnly="1" outline="0" fieldPosition="0">
        <references count="1">
          <reference field="4294967294" count="3">
            <x v="0"/>
            <x v="1"/>
            <x v="2"/>
          </reference>
        </references>
      </pivotArea>
    </format>
    <format dxfId="175">
      <pivotArea outline="0" collapsedLevelsAreSubtotals="1" fieldPosition="0"/>
    </format>
    <format dxfId="174">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20">
  <location ref="AT5:AU14" firstHeaderRow="1"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8" showAll="0"/>
    <pivotField showAll="0"/>
    <pivotField axis="axisRow" dataField="1" showAll="0">
      <items count="9">
        <item x="5"/>
        <item x="1"/>
        <item x="2"/>
        <item x="3"/>
        <item x="7"/>
        <item x="4"/>
        <item x="0"/>
        <item x="6"/>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5" baseItem="7"/>
  </dataFields>
  <formats count="15">
    <format dxfId="220">
      <pivotArea type="all" dataOnly="0" outline="0" fieldPosition="0"/>
    </format>
    <format dxfId="219">
      <pivotArea outline="0" collapsedLevelsAreSubtotals="1" fieldPosition="0"/>
    </format>
    <format dxfId="218">
      <pivotArea type="all" dataOnly="0" outline="0" fieldPosition="0"/>
    </format>
    <format dxfId="217">
      <pivotArea outline="0" collapsedLevelsAreSubtotals="1" fieldPosition="0"/>
    </format>
    <format dxfId="216">
      <pivotArea type="all" dataOnly="0" outline="0" fieldPosition="0"/>
    </format>
    <format dxfId="215">
      <pivotArea outline="0" collapsedLevelsAreSubtotals="1" fieldPosition="0"/>
    </format>
    <format dxfId="214">
      <pivotArea outline="0" collapsedLevelsAreSubtotals="1" fieldPosition="0"/>
    </format>
    <format dxfId="213">
      <pivotArea outline="0" collapsedLevelsAreSubtotals="1" fieldPosition="0"/>
    </format>
    <format dxfId="212">
      <pivotArea type="all" dataOnly="0" outline="0" fieldPosition="0"/>
    </format>
    <format dxfId="211">
      <pivotArea outline="0" collapsedLevelsAreSubtotals="1" fieldPosition="0"/>
    </format>
    <format dxfId="210">
      <pivotArea type="all" dataOnly="0" outline="0" fieldPosition="0"/>
    </format>
    <format dxfId="209">
      <pivotArea outline="0" collapsedLevelsAreSubtotals="1" fieldPosition="0"/>
    </format>
    <format dxfId="208">
      <pivotArea outline="0" collapsedLevelsAreSubtotals="1" fieldPosition="0"/>
    </format>
    <format dxfId="207">
      <pivotArea collapsedLevelsAreSubtotals="1" fieldPosition="0">
        <references count="1">
          <reference field="5" count="1">
            <x v="7"/>
          </reference>
        </references>
      </pivotArea>
    </format>
    <format dxfId="206">
      <pivotArea collapsedLevelsAreSubtotals="1" fieldPosition="0">
        <references count="1">
          <reference field="5" count="0"/>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4:V5" firstHeaderRow="0" firstDataRow="1" firstDataCol="0"/>
  <pivotFields count="32">
    <pivotField showAll="0">
      <items count="13">
        <item x="0"/>
        <item x="1"/>
        <item x="2"/>
        <item x="3"/>
        <item x="4"/>
        <item x="5"/>
        <item x="6"/>
        <item x="7"/>
        <item x="8"/>
        <item x="9"/>
        <item x="10"/>
        <item x="11"/>
        <item t="default"/>
      </items>
    </pivotField>
    <pivotField numFmtId="1" showAll="0"/>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dataField="1" numFmtId="166" showAll="0"/>
    <pivotField dataField="1" showAll="0"/>
    <pivotField dataField="1" numFmtId="166" showAll="0"/>
    <pivotField dataField="1"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Count of Repairs" fld="13" subtotal="count" baseField="0" baseItem="0"/>
    <dataField name="Sum of Tolls" fld="14" baseField="0" baseItem="0"/>
    <dataField name="Sum of Fundings" fld="15" baseField="0" baseItem="0"/>
  </dataFields>
  <formats count="16">
    <format dxfId="236">
      <pivotArea type="all" dataOnly="0" outline="0" fieldPosition="0"/>
    </format>
    <format dxfId="235">
      <pivotArea outline="0" collapsedLevelsAreSubtotals="1" fieldPosition="0"/>
    </format>
    <format dxfId="234">
      <pivotArea type="all" dataOnly="0" outline="0" fieldPosition="0"/>
    </format>
    <format dxfId="233">
      <pivotArea outline="0" collapsedLevelsAreSubtotals="1" fieldPosition="0"/>
    </format>
    <format dxfId="232">
      <pivotArea type="all" dataOnly="0" outline="0" fieldPosition="0"/>
    </format>
    <format dxfId="231">
      <pivotArea outline="0" collapsedLevelsAreSubtotals="1" fieldPosition="0"/>
    </format>
    <format dxfId="230">
      <pivotArea outline="0" collapsedLevelsAreSubtotals="1" fieldPosition="0"/>
    </format>
    <format dxfId="229">
      <pivotArea outline="0" collapsedLevelsAreSubtotals="1" fieldPosition="0"/>
    </format>
    <format dxfId="228">
      <pivotArea type="all" dataOnly="0" outline="0" fieldPosition="0"/>
    </format>
    <format dxfId="227">
      <pivotArea outline="0" collapsedLevelsAreSubtotals="1" fieldPosition="0"/>
    </format>
    <format dxfId="226">
      <pivotArea type="all" dataOnly="0" outline="0" fieldPosition="0"/>
    </format>
    <format dxfId="225">
      <pivotArea outline="0" collapsedLevelsAreSubtotals="1" fieldPosition="0"/>
    </format>
    <format dxfId="224">
      <pivotArea outline="0" collapsedLevelsAreSubtotals="1" fieldPosition="0"/>
    </format>
    <format dxfId="223">
      <pivotArea type="all" dataOnly="0" outline="0" fieldPosition="0"/>
    </format>
    <format dxfId="222">
      <pivotArea outline="0" collapsedLevelsAreSubtotals="1" fieldPosition="0"/>
    </format>
    <format dxfId="221">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AO5:AO10" firstHeaderRow="1"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axis="axisRow"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Fields count="1">
    <field x="16"/>
  </rowFields>
  <rowItems count="5">
    <i>
      <x/>
    </i>
    <i>
      <x v="1"/>
    </i>
    <i>
      <x v="2"/>
    </i>
    <i>
      <x v="3"/>
    </i>
    <i t="grand">
      <x/>
    </i>
  </rowItems>
  <colItems count="1">
    <i/>
  </colItems>
  <formats count="13">
    <format dxfId="26">
      <pivotArea type="all" dataOnly="0" outline="0" fieldPosition="0"/>
    </format>
    <format dxfId="25">
      <pivotArea outline="0" collapsedLevelsAreSubtotals="1" fieldPosition="0"/>
    </format>
    <format dxfId="24">
      <pivotArea type="all" dataOnly="0" outline="0"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type="all" dataOnly="0" outline="0" fieldPosition="0"/>
    </format>
    <format dxfId="17">
      <pivotArea outline="0" collapsedLevelsAreSubtotals="1" fieldPosition="0"/>
    </format>
    <format dxfId="16">
      <pivotArea type="all" dataOnly="0" outline="0" fieldPosition="0"/>
    </format>
    <format dxfId="15">
      <pivotArea outline="0" collapsedLevelsAreSubtotals="1" fieldPosition="0"/>
    </format>
    <format dxfId="14">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20">
  <location ref="BA4:BC8" firstHeaderRow="0"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axis="axisRow" dataField="1" showAll="0">
      <items count="4">
        <item x="2"/>
        <item x="1"/>
        <item x="0"/>
        <item t="default"/>
      </items>
    </pivotField>
    <pivotField dataField="1" numFmtId="168" showAll="0"/>
    <pivotField showAll="0"/>
    <pivotField showAll="0">
      <items count="9">
        <item x="5"/>
        <item x="1"/>
        <item x="2"/>
        <item x="3"/>
        <item x="7"/>
        <item x="4"/>
        <item x="0"/>
        <item x="6"/>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items count="13">
        <item x="9"/>
        <item x="2"/>
        <item x="1"/>
        <item x="10"/>
        <item x="11"/>
        <item x="5"/>
        <item x="0"/>
        <item x="3"/>
        <item x="7"/>
        <item x="6"/>
        <item x="8"/>
        <item x="4"/>
        <item t="default"/>
      </items>
    </pivotField>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dataFields>
  <formats count="14">
    <format dxfId="40">
      <pivotArea type="all" dataOnly="0" outline="0"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type="all" dataOnly="0" outline="0"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G5:H18" firstHeaderRow="1" firstDataRow="1" firstDataCol="1"/>
  <pivotFields count="32">
    <pivotField axis="axisRow"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6"/>
  </dataFields>
  <formats count="30">
    <format dxfId="70">
      <pivotArea type="all" dataOnly="0" outline="0" fieldPosition="0"/>
    </format>
    <format dxfId="69">
      <pivotArea outline="0" collapsedLevelsAreSubtotals="1" fieldPosition="0"/>
    </format>
    <format dxfId="68">
      <pivotArea dataOnly="0" labelOnly="1" outline="0" fieldPosition="0">
        <references count="1">
          <reference field="4294967294" count="1">
            <x v="0"/>
          </reference>
        </references>
      </pivotArea>
    </format>
    <format dxfId="67">
      <pivotArea type="all" dataOnly="0" outline="0" fieldPosition="0"/>
    </format>
    <format dxfId="66">
      <pivotArea outline="0" collapsedLevelsAreSubtotals="1" fieldPosition="0"/>
    </format>
    <format dxfId="65">
      <pivotArea dataOnly="0" labelOnly="1" outline="0" fieldPosition="0">
        <references count="1">
          <reference field="4294967294" count="1">
            <x v="0"/>
          </reference>
        </references>
      </pivotArea>
    </format>
    <format dxfId="64">
      <pivotArea type="all" dataOnly="0" outline="0" fieldPosition="0"/>
    </format>
    <format dxfId="63">
      <pivotArea outline="0" collapsedLevelsAreSubtotals="1" fieldPosition="0"/>
    </format>
    <format dxfId="62">
      <pivotArea dataOnly="0" labelOnly="1" outline="0" fieldPosition="0">
        <references count="1">
          <reference field="4294967294" count="1">
            <x v="0"/>
          </reference>
        </references>
      </pivotArea>
    </format>
    <format dxfId="61">
      <pivotArea dataOnly="0" labelOnly="1" outline="0" fieldPosition="0">
        <references count="1">
          <reference field="4294967294" count="1">
            <x v="0"/>
          </reference>
        </references>
      </pivotArea>
    </format>
    <format dxfId="60">
      <pivotArea outline="0" collapsedLevelsAreSubtotals="1"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dataOnly="0" labelOnly="1" outline="0" fieldPosition="0">
        <references count="1">
          <reference field="4294967294" count="1">
            <x v="0"/>
          </reference>
        </references>
      </pivotArea>
    </format>
    <format dxfId="55">
      <pivotArea dataOnly="0" labelOnly="1" outline="0" fieldPosition="0">
        <references count="1">
          <reference field="4294967294" count="1">
            <x v="0"/>
          </reference>
        </references>
      </pivotArea>
    </format>
    <format dxfId="54">
      <pivotArea dataOnly="0" labelOnly="1" outline="0" fieldPosition="0">
        <references count="1">
          <reference field="4294967294" count="1">
            <x v="0"/>
          </reference>
        </references>
      </pivotArea>
    </format>
    <format dxfId="53">
      <pivotArea dataOnly="0" labelOnly="1" outline="0" fieldPosition="0">
        <references count="1">
          <reference field="4294967294" count="1">
            <x v="0"/>
          </reference>
        </references>
      </pivotArea>
    </format>
    <format dxfId="52">
      <pivotArea dataOnly="0" labelOnly="1" outline="0" fieldPosition="0">
        <references count="1">
          <reference field="4294967294" count="1">
            <x v="0"/>
          </reference>
        </references>
      </pivotArea>
    </format>
    <format dxfId="51">
      <pivotArea type="all" dataOnly="0" outline="0" fieldPosition="0"/>
    </format>
    <format dxfId="50">
      <pivotArea outline="0" collapsedLevelsAreSubtotals="1" fieldPosition="0"/>
    </format>
    <format dxfId="49">
      <pivotArea dataOnly="0" labelOnly="1" outline="0" fieldPosition="0">
        <references count="1">
          <reference field="4294967294" count="1">
            <x v="0"/>
          </reference>
        </references>
      </pivotArea>
    </format>
    <format dxfId="48">
      <pivotArea outline="0" collapsedLevelsAreSubtotals="1" fieldPosition="0"/>
    </format>
    <format dxfId="47">
      <pivotArea dataOnly="0" labelOnly="1" outline="0" fieldPosition="0">
        <references count="1">
          <reference field="4294967294" count="1">
            <x v="0"/>
          </reference>
        </references>
      </pivotArea>
    </format>
    <format dxfId="46">
      <pivotArea dataOnly="0" labelOnly="1" outline="0" fieldPosition="0">
        <references count="1">
          <reference field="4294967294" count="1">
            <x v="0"/>
          </reference>
        </references>
      </pivotArea>
    </format>
    <format dxfId="45">
      <pivotArea dataOnly="0" labelOnly="1" outline="0" fieldPosition="0">
        <references count="1">
          <reference field="4294967294" count="1">
            <x v="0"/>
          </reference>
        </references>
      </pivotArea>
    </format>
    <format dxfId="44">
      <pivotArea collapsedLevelsAreSubtotals="1" fieldPosition="0">
        <references count="1">
          <reference field="0" count="4">
            <x v="5"/>
            <x v="6"/>
            <x v="7"/>
            <x v="8"/>
          </reference>
        </references>
      </pivotArea>
    </format>
    <format dxfId="43">
      <pivotArea dataOnly="0" labelOnly="1" fieldPosition="0">
        <references count="1">
          <reference field="0" count="4">
            <x v="5"/>
            <x v="6"/>
            <x v="7"/>
            <x v="8"/>
          </reference>
        </references>
      </pivotArea>
    </format>
    <format dxfId="42">
      <pivotArea collapsedLevelsAreSubtotals="1" fieldPosition="0">
        <references count="1">
          <reference field="0" count="4">
            <x v="5"/>
            <x v="6"/>
            <x v="7"/>
            <x v="8"/>
          </reference>
        </references>
      </pivotArea>
    </format>
    <format dxfId="41">
      <pivotArea dataOnly="0" labelOnly="1" fieldPosition="0">
        <references count="1">
          <reference field="0" count="4">
            <x v="5"/>
            <x v="6"/>
            <x v="7"/>
            <x v="8"/>
          </reference>
        </references>
      </pivotArea>
    </format>
  </formats>
  <chartFormats count="2">
    <chartFormat chart="8"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20">
  <location ref="AQ5:AR10" firstHeaderRow="1"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8"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axis="axisRow"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Fields count="1">
    <field x="16"/>
  </rowFields>
  <rowItems count="5">
    <i>
      <x/>
    </i>
    <i>
      <x v="1"/>
    </i>
    <i>
      <x v="2"/>
    </i>
    <i>
      <x v="3"/>
    </i>
    <i t="grand">
      <x/>
    </i>
  </rowItems>
  <colItems count="1">
    <i/>
  </colItems>
  <dataFields count="1">
    <dataField name="Sum of Rate" fld="6" baseField="0" baseItem="0"/>
  </dataFields>
  <formats count="13">
    <format dxfId="83">
      <pivotArea type="all" dataOnly="0" outline="0" fieldPosition="0"/>
    </format>
    <format dxfId="82">
      <pivotArea outline="0" collapsedLevelsAreSubtotals="1" fieldPosition="0"/>
    </format>
    <format dxfId="81">
      <pivotArea type="all" dataOnly="0" outline="0"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type="all" dataOnly="0" outline="0" fieldPosition="0"/>
    </format>
    <format dxfId="74">
      <pivotArea outline="0" collapsedLevelsAreSubtotals="1" fieldPosition="0"/>
    </format>
    <format dxfId="73">
      <pivotArea type="all" dataOnly="0" outline="0" fieldPosition="0"/>
    </format>
    <format dxfId="72">
      <pivotArea outline="0" collapsedLevelsAreSubtotals="1" fieldPosition="0"/>
    </format>
    <format dxfId="71">
      <pivotArea outline="0" collapsedLevelsAreSubtotals="1" fieldPosition="0"/>
    </format>
  </formats>
  <chartFormats count="14">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6" count="1" selected="0">
            <x v="2"/>
          </reference>
        </references>
      </pivotArea>
    </chartFormat>
    <chartFormat chart="9" format="4">
      <pivotArea type="data" outline="0" fieldPosition="0">
        <references count="2">
          <reference field="4294967294" count="1" selected="0">
            <x v="0"/>
          </reference>
          <reference field="16" count="1" selected="0">
            <x v="0"/>
          </reference>
        </references>
      </pivotArea>
    </chartFormat>
    <chartFormat chart="9" format="5">
      <pivotArea type="data" outline="0" fieldPosition="0">
        <references count="2">
          <reference field="4294967294" count="1" selected="0">
            <x v="0"/>
          </reference>
          <reference field="16" count="1" selected="0">
            <x v="3"/>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16" count="1" selected="0">
            <x v="0"/>
          </reference>
        </references>
      </pivotArea>
    </chartFormat>
    <chartFormat chart="15" format="8">
      <pivotArea type="data" outline="0" fieldPosition="0">
        <references count="2">
          <reference field="4294967294" count="1" selected="0">
            <x v="0"/>
          </reference>
          <reference field="16" count="1" selected="0">
            <x v="1"/>
          </reference>
        </references>
      </pivotArea>
    </chartFormat>
    <chartFormat chart="15" format="9">
      <pivotArea type="data" outline="0" fieldPosition="0">
        <references count="2">
          <reference field="4294967294" count="1" selected="0">
            <x v="0"/>
          </reference>
          <reference field="16" count="1" selected="0">
            <x v="2"/>
          </reference>
        </references>
      </pivotArea>
    </chartFormat>
    <chartFormat chart="15" format="10">
      <pivotArea type="data" outline="0" fieldPosition="0">
        <references count="2">
          <reference field="4294967294" count="1" selected="0">
            <x v="0"/>
          </reference>
          <reference field="16" count="1" selected="0">
            <x v="3"/>
          </reference>
        </references>
      </pivotArea>
    </chartFormat>
    <chartFormat chart="19" format="11" series="1">
      <pivotArea type="data" outline="0" fieldPosition="0">
        <references count="1">
          <reference field="4294967294" count="1" selected="0">
            <x v="0"/>
          </reference>
        </references>
      </pivotArea>
    </chartFormat>
    <chartFormat chart="19" format="12">
      <pivotArea type="data" outline="0" fieldPosition="0">
        <references count="2">
          <reference field="4294967294" count="1" selected="0">
            <x v="0"/>
          </reference>
          <reference field="16" count="1" selected="0">
            <x v="0"/>
          </reference>
        </references>
      </pivotArea>
    </chartFormat>
    <chartFormat chart="19" format="13">
      <pivotArea type="data" outline="0" fieldPosition="0">
        <references count="2">
          <reference field="4294967294" count="1" selected="0">
            <x v="0"/>
          </reference>
          <reference field="16" count="1" selected="0">
            <x v="1"/>
          </reference>
        </references>
      </pivotArea>
    </chartFormat>
    <chartFormat chart="19" format="14">
      <pivotArea type="data" outline="0" fieldPosition="0">
        <references count="2">
          <reference field="4294967294" count="1" selected="0">
            <x v="0"/>
          </reference>
          <reference field="16" count="1" selected="0">
            <x v="2"/>
          </reference>
        </references>
      </pivotArea>
    </chartFormat>
    <chartFormat chart="19" format="15">
      <pivotArea type="data" outline="0" fieldPosition="0">
        <references count="2">
          <reference field="4294967294" count="1" selected="0">
            <x v="0"/>
          </reference>
          <reference field="16" count="1" selected="0">
            <x v="3"/>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16">
  <location ref="AB5:AD18" firstHeaderRow="0" firstDataRow="1" firstDataCol="1"/>
  <pivotFields count="32">
    <pivotField axis="axisRow"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8"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17">
    <format dxfId="100">
      <pivotArea type="all" dataOnly="0" outline="0" fieldPosition="0"/>
    </format>
    <format dxfId="99">
      <pivotArea outline="0" collapsedLevelsAreSubtotals="1" fieldPosition="0"/>
    </format>
    <format dxfId="98">
      <pivotArea type="all" dataOnly="0" outline="0" fieldPosition="0"/>
    </format>
    <format dxfId="97">
      <pivotArea outline="0" collapsedLevelsAreSubtotals="1" fieldPosition="0"/>
    </format>
    <format dxfId="96">
      <pivotArea type="all" dataOnly="0" outline="0"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type="all" dataOnly="0" outline="0" fieldPosition="0"/>
    </format>
    <format dxfId="91">
      <pivotArea outline="0" collapsedLevelsAreSubtotals="1" fieldPosition="0"/>
    </format>
    <format dxfId="90">
      <pivotArea type="all" dataOnly="0" outline="0" fieldPosition="0"/>
    </format>
    <format dxfId="89">
      <pivotArea outline="0" collapsedLevelsAreSubtotals="1" fieldPosition="0"/>
    </format>
    <format dxfId="88">
      <pivotArea outline="0" collapsedLevelsAreSubtotals="1" fieldPosition="0"/>
    </format>
    <format dxfId="87">
      <pivotArea collapsedLevelsAreSubtotals="1" fieldPosition="0">
        <references count="1">
          <reference field="0" count="4">
            <x v="5"/>
            <x v="6"/>
            <x v="7"/>
            <x v="8"/>
          </reference>
        </references>
      </pivotArea>
    </format>
    <format dxfId="86">
      <pivotArea dataOnly="0" labelOnly="1" fieldPosition="0">
        <references count="1">
          <reference field="0" count="4">
            <x v="5"/>
            <x v="6"/>
            <x v="7"/>
            <x v="8"/>
          </reference>
        </references>
      </pivotArea>
    </format>
    <format dxfId="85">
      <pivotArea collapsedLevelsAreSubtotals="1" fieldPosition="0">
        <references count="1">
          <reference field="0" count="4">
            <x v="5"/>
            <x v="6"/>
            <x v="7"/>
            <x v="8"/>
          </reference>
        </references>
      </pivotArea>
    </format>
    <format dxfId="84">
      <pivotArea dataOnly="0" labelOnly="1" fieldPosition="0">
        <references count="1">
          <reference field="0" count="4">
            <x v="5"/>
            <x v="6"/>
            <x v="7"/>
            <x v="8"/>
          </reference>
        </references>
      </pivotArea>
    </format>
  </formats>
  <chartFormats count="2">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4:P5" firstHeaderRow="0" firstDataRow="1" firstDataCol="0"/>
  <pivotFields count="32">
    <pivotField showAll="0">
      <items count="13">
        <item x="0"/>
        <item x="1"/>
        <item x="2"/>
        <item x="3"/>
        <item x="4"/>
        <item x="5"/>
        <item x="6"/>
        <item x="7"/>
        <item x="8"/>
        <item x="9"/>
        <item x="10"/>
        <item x="11"/>
        <item t="default"/>
      </items>
    </pivotField>
    <pivotField numFmtId="1" showAll="0"/>
    <pivotField showAll="0"/>
    <pivotField numFmtId="168" showAll="0"/>
    <pivotField showAll="0"/>
    <pivotField showAll="0"/>
    <pivotField numFmtId="166" showAll="0"/>
    <pivotField showAll="0"/>
    <pivotField dataField="1" numFmtId="166" showAll="0"/>
    <pivotField dataField="1" numFmtId="166" showAll="0"/>
    <pivotField dataField="1" numFmtId="166" showAll="0"/>
    <pivotField dataField="1"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17">
    <format dxfId="117">
      <pivotArea type="all" dataOnly="0" outline="0" fieldPosition="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type="all" dataOnly="0" outline="0" fieldPosition="0"/>
    </format>
    <format dxfId="112">
      <pivotArea outline="0" collapsedLevelsAreSubtotals="1" fieldPosition="0"/>
    </format>
    <format dxfId="111">
      <pivotArea outline="0" collapsedLevelsAreSubtotals="1" fieldPosition="0"/>
    </format>
    <format dxfId="110">
      <pivotArea outline="0" collapsedLevelsAreSubtotals="1" fieldPosition="0"/>
    </format>
    <format dxfId="109">
      <pivotArea type="all" dataOnly="0" outline="0" fieldPosition="0"/>
    </format>
    <format dxfId="108">
      <pivotArea outline="0" collapsedLevelsAreSubtotals="1" fieldPosition="0"/>
    </format>
    <format dxfId="107">
      <pivotArea type="all" dataOnly="0" outline="0" fieldPosition="0"/>
    </format>
    <format dxfId="106">
      <pivotArea outline="0" collapsedLevelsAreSubtotals="1" fieldPosition="0"/>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dataOnly="0" labelOnly="1" outline="0" fieldPosition="0">
        <references count="1">
          <reference field="4294967294" count="4">
            <x v="0"/>
            <x v="1"/>
            <x v="2"/>
            <x v="3"/>
          </reference>
        </references>
      </pivotArea>
    </format>
    <format dxfId="101">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0:H53" firstHeaderRow="1" firstDataRow="1" firstDataCol="1"/>
  <pivotFields count="32">
    <pivotField axis="axisRow"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6"/>
  </dataFields>
  <formats count="26">
    <format dxfId="143">
      <pivotArea type="all" dataOnly="0" outline="0" fieldPosition="0"/>
    </format>
    <format dxfId="142">
      <pivotArea outline="0" collapsedLevelsAreSubtotals="1" fieldPosition="0"/>
    </format>
    <format dxfId="141">
      <pivotArea dataOnly="0" labelOnly="1" outline="0" fieldPosition="0">
        <references count="1">
          <reference field="4294967294" count="1">
            <x v="0"/>
          </reference>
        </references>
      </pivotArea>
    </format>
    <format dxfId="140">
      <pivotArea type="all" dataOnly="0" outline="0" fieldPosition="0"/>
    </format>
    <format dxfId="139">
      <pivotArea outline="0" collapsedLevelsAreSubtotals="1" fieldPosition="0"/>
    </format>
    <format dxfId="138">
      <pivotArea dataOnly="0" labelOnly="1" outline="0" fieldPosition="0">
        <references count="1">
          <reference field="4294967294" count="1">
            <x v="0"/>
          </reference>
        </references>
      </pivotArea>
    </format>
    <format dxfId="137">
      <pivotArea type="all" dataOnly="0" outline="0" fieldPosition="0"/>
    </format>
    <format dxfId="136">
      <pivotArea outline="0" collapsedLevelsAreSubtotals="1" fieldPosition="0"/>
    </format>
    <format dxfId="135">
      <pivotArea dataOnly="0" labelOnly="1" outline="0" fieldPosition="0">
        <references count="1">
          <reference field="4294967294" count="1">
            <x v="0"/>
          </reference>
        </references>
      </pivotArea>
    </format>
    <format dxfId="134">
      <pivotArea dataOnly="0" labelOnly="1" outline="0" fieldPosition="0">
        <references count="1">
          <reference field="4294967294" count="1">
            <x v="0"/>
          </reference>
        </references>
      </pivotArea>
    </format>
    <format dxfId="133">
      <pivotArea outline="0" collapsedLevelsAreSubtotals="1" fieldPosition="0"/>
    </format>
    <format dxfId="132">
      <pivotArea outline="0" collapsedLevelsAreSubtotals="1" fieldPosition="0"/>
    </format>
    <format dxfId="131">
      <pivotArea type="all" dataOnly="0" outline="0" fieldPosition="0"/>
    </format>
    <format dxfId="130">
      <pivotArea outline="0" collapsedLevelsAreSubtotals="1" fieldPosition="0"/>
    </format>
    <format dxfId="129">
      <pivotArea dataOnly="0" labelOnly="1" outline="0" fieldPosition="0">
        <references count="1">
          <reference field="4294967294" count="1">
            <x v="0"/>
          </reference>
        </references>
      </pivotArea>
    </format>
    <format dxfId="128">
      <pivotArea dataOnly="0" labelOnly="1" outline="0" fieldPosition="0">
        <references count="1">
          <reference field="4294967294" count="1">
            <x v="0"/>
          </reference>
        </references>
      </pivotArea>
    </format>
    <format dxfId="127">
      <pivotArea dataOnly="0" labelOnly="1" outline="0" fieldPosition="0">
        <references count="1">
          <reference field="4294967294" count="1">
            <x v="0"/>
          </reference>
        </references>
      </pivotArea>
    </format>
    <format dxfId="126">
      <pivotArea dataOnly="0" labelOnly="1" outline="0" fieldPosition="0">
        <references count="1">
          <reference field="4294967294" count="1">
            <x v="0"/>
          </reference>
        </references>
      </pivotArea>
    </format>
    <format dxfId="125">
      <pivotArea dataOnly="0" labelOnly="1" outline="0" fieldPosition="0">
        <references count="1">
          <reference field="4294967294" count="1">
            <x v="0"/>
          </reference>
        </references>
      </pivotArea>
    </format>
    <format dxfId="124">
      <pivotArea type="all" dataOnly="0" outline="0" fieldPosition="0"/>
    </format>
    <format dxfId="123">
      <pivotArea outline="0" collapsedLevelsAreSubtotals="1" fieldPosition="0"/>
    </format>
    <format dxfId="122">
      <pivotArea dataOnly="0" labelOnly="1" outline="0" fieldPosition="0">
        <references count="1">
          <reference field="4294967294" count="1">
            <x v="0"/>
          </reference>
        </references>
      </pivotArea>
    </format>
    <format dxfId="121">
      <pivotArea outline="0" collapsedLevelsAreSubtotals="1" fieldPosition="0"/>
    </format>
    <format dxfId="120">
      <pivotArea dataOnly="0" labelOnly="1" outline="0" fieldPosition="0">
        <references count="1">
          <reference field="4294967294" count="1">
            <x v="0"/>
          </reference>
        </references>
      </pivotArea>
    </format>
    <format dxfId="119">
      <pivotArea dataOnly="0" labelOnly="1" outline="0" fieldPosition="0">
        <references count="1">
          <reference field="4294967294" count="1">
            <x v="0"/>
          </reference>
        </references>
      </pivotArea>
    </format>
    <format dxfId="118">
      <pivotArea dataOnly="0" labelOnly="1" outline="0" fieldPosition="0">
        <references count="1">
          <reference field="4294967294" count="1">
            <x v="0"/>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X5:X18" firstHeaderRow="1" firstDataRow="1" firstDataCol="1"/>
  <pivotFields count="32">
    <pivotField axis="axisRow"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formats count="17">
    <format dxfId="160">
      <pivotArea type="all" dataOnly="0" outline="0" fieldPosition="0"/>
    </format>
    <format dxfId="159">
      <pivotArea outline="0" collapsedLevelsAreSubtotals="1" fieldPosition="0"/>
    </format>
    <format dxfId="158">
      <pivotArea type="all" dataOnly="0" outline="0" fieldPosition="0"/>
    </format>
    <format dxfId="157">
      <pivotArea outline="0" collapsedLevelsAreSubtotals="1" fieldPosition="0"/>
    </format>
    <format dxfId="156">
      <pivotArea type="all" dataOnly="0" outline="0" fieldPosition="0"/>
    </format>
    <format dxfId="155">
      <pivotArea outline="0" collapsedLevelsAreSubtotals="1" fieldPosition="0"/>
    </format>
    <format dxfId="154">
      <pivotArea outline="0" collapsedLevelsAreSubtotals="1" fieldPosition="0"/>
    </format>
    <format dxfId="153">
      <pivotArea outline="0" collapsedLevelsAreSubtotals="1" fieldPosition="0"/>
    </format>
    <format dxfId="152">
      <pivotArea type="all" dataOnly="0" outline="0" fieldPosition="0"/>
    </format>
    <format dxfId="151">
      <pivotArea outline="0" collapsedLevelsAreSubtotals="1" fieldPosition="0"/>
    </format>
    <format dxfId="150">
      <pivotArea type="all" dataOnly="0" outline="0" fieldPosition="0"/>
    </format>
    <format dxfId="149">
      <pivotArea outline="0" collapsedLevelsAreSubtotals="1" fieldPosition="0"/>
    </format>
    <format dxfId="148">
      <pivotArea outline="0" collapsedLevelsAreSubtotals="1" fieldPosition="0"/>
    </format>
    <format dxfId="147">
      <pivotArea collapsedLevelsAreSubtotals="1" fieldPosition="0">
        <references count="1">
          <reference field="0" count="4">
            <x v="5"/>
            <x v="6"/>
            <x v="7"/>
            <x v="8"/>
          </reference>
        </references>
      </pivotArea>
    </format>
    <format dxfId="146">
      <pivotArea dataOnly="0" labelOnly="1" fieldPosition="0">
        <references count="1">
          <reference field="0" count="4">
            <x v="5"/>
            <x v="6"/>
            <x v="7"/>
            <x v="8"/>
          </reference>
        </references>
      </pivotArea>
    </format>
    <format dxfId="145">
      <pivotArea collapsedLevelsAreSubtotals="1" fieldPosition="0">
        <references count="1">
          <reference field="0" count="4">
            <x v="5"/>
            <x v="6"/>
            <x v="7"/>
            <x v="8"/>
          </reference>
        </references>
      </pivotArea>
    </format>
    <format dxfId="144">
      <pivotArea dataOnly="0" labelOnly="1" fieldPosition="0">
        <references count="1">
          <reference field="0" count="4">
            <x v="5"/>
            <x v="6"/>
            <x v="7"/>
            <x v="8"/>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4"/>
    <pivotTable tabId="2" name="PivotTable1"/>
    <pivotTable tabId="2" name="PivotTable5"/>
    <pivotTable tabId="2" name="PivotTable6"/>
    <pivotTable tabId="2" name="PivotTable7"/>
    <pivotTable tabId="2" name="PivotTable3"/>
    <pivotTable tabId="2" name="PivotTable2"/>
    <pivotTable tabId="2" name="PivotTable8"/>
    <pivotTable tabId="2" name="PivotTable9"/>
    <pivotTable tabId="2" name="PivotTable10"/>
    <pivotTable tabId="2" name="PivotTable11"/>
    <pivotTable tabId="2" name="PivotTable12"/>
    <pivotTable tabId="2" name="PivotTable14"/>
  </pivotTables>
  <data>
    <tabular pivotCacheId="1">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river_Name" sourceName="Driver Nam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 tabId="2" name="PivotTable12"/>
    <pivotTable tabId="2" name="PivotTable14"/>
  </pivotTables>
  <data>
    <tabular pivotCacheId="1">
      <items count="4">
        <i x="0"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3 2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12" showCaption="0" style="SlicerStyleOther2" rowHeight="274320"/>
  <slicer name="Driver Name" cache="Slicer_Driver_Name" caption="Driver Name" showCaption="0" style="SlicerStyleLight5" rowHeight="274320"/>
</slicers>
</file>

<file path=xl/tables/table1.xml><?xml version="1.0" encoding="utf-8"?>
<table xmlns="http://schemas.openxmlformats.org/spreadsheetml/2006/main" id="1" name="Datatable" displayName="Datatable" ref="A1:AC62" totalsRowShown="0" headerRowDxfId="270" dataDxfId="268" headerRowBorderDxfId="269" tableBorderDxfId="267" totalsRowBorderDxfId="266">
  <autoFilter ref="A1:AC62"/>
  <sortState ref="A2:AC62">
    <sortCondition ref="A1:A62" customList="Jan,Feb,Mar,Apr,May,Jun,Jul,Aug,Sep,Oct,Nov,Dec"/>
  </sortState>
  <tableColumns count="29">
    <tableColumn id="1" name="Month" dataDxfId="265"/>
    <tableColumn id="118" name="Day" dataDxfId="264"/>
    <tableColumn id="17" name="Load" dataDxfId="263"/>
    <tableColumn id="4" name="Tonnage" dataDxfId="262"/>
    <tableColumn id="8" name="Customer Type" dataDxfId="261"/>
    <tableColumn id="13" name="Destination" dataDxfId="260"/>
    <tableColumn id="18" name="Rate" dataDxfId="259" dataCellStyle="Currency"/>
    <tableColumn id="2" name="Truck" dataDxfId="258" dataCellStyle="Currency"/>
    <tableColumn id="9" name="Insurance" dataDxfId="257"/>
    <tableColumn id="10" name="Fuel" dataDxfId="256"/>
    <tableColumn id="11" name="Diesel Exhaust Fluid" dataDxfId="255"/>
    <tableColumn id="12" name="Advance" dataDxfId="254"/>
    <tableColumn id="43" name="Warehouse" dataDxfId="253"/>
    <tableColumn id="44" name="Repairs" dataDxfId="252"/>
    <tableColumn id="46" name="Tolls" dataDxfId="251"/>
    <tableColumn id="47" name="Fundings" dataDxfId="250"/>
    <tableColumn id="3" name="Driver Name" dataDxfId="249"/>
    <tableColumn id="6" name="Odometer" dataDxfId="248"/>
    <tableColumn id="7" name="Miles" dataDxfId="247"/>
    <tableColumn id="15" name="Rate Per Miles" dataDxfId="246"/>
    <tableColumn id="19" name="Extra Stops" dataDxfId="245"/>
    <tableColumn id="20" name="Extra Pay" dataDxfId="244"/>
    <tableColumn id="22" name="Costs Driver Paid" dataDxfId="243"/>
    <tableColumn id="5" name="Total Expenses" dataDxfId="242"/>
    <tableColumn id="14" name="First condition type" dataDxfId="241"/>
    <tableColumn id="16" name="Shipment cost sub-items" dataDxfId="240"/>
    <tableColumn id="21" name="ERE Stage" dataDxfId="239"/>
    <tableColumn id="23" name="Basic freight" dataDxfId="238"/>
    <tableColumn id="24" name="Final Amount" dataDxfId="23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3BBC0"/>
  </sheetPr>
  <dimension ref="A1:AC62"/>
  <sheetViews>
    <sheetView showGridLines="0" zoomScaleNormal="100" workbookViewId="0"/>
  </sheetViews>
  <sheetFormatPr defaultColWidth="8.6640625" defaultRowHeight="17.25" customHeight="1" x14ac:dyDescent="0.25"/>
  <cols>
    <col min="1" max="1" width="7.44140625" style="1" bestFit="1" customWidth="1"/>
    <col min="2" max="2" width="4.6640625" style="1" bestFit="1" customWidth="1"/>
    <col min="3" max="3" width="7.33203125" style="1" bestFit="1" customWidth="1"/>
    <col min="4" max="4" width="10" style="1" bestFit="1" customWidth="1"/>
    <col min="5" max="5" width="21.33203125" style="2" bestFit="1" customWidth="1"/>
    <col min="6" max="6" width="18" style="2" bestFit="1" customWidth="1"/>
    <col min="7" max="7" width="14.44140625" style="1" customWidth="1"/>
    <col min="8" max="8" width="21.109375" style="1" bestFit="1" customWidth="1"/>
    <col min="9" max="9" width="15.109375" style="1" customWidth="1"/>
    <col min="10" max="10" width="9.88671875" style="1" customWidth="1"/>
    <col min="11" max="11" width="22.109375" style="1" bestFit="1" customWidth="1"/>
    <col min="12" max="12" width="9.6640625" style="1" customWidth="1"/>
    <col min="13" max="13" width="12.44140625" style="2" bestFit="1" customWidth="1"/>
    <col min="14" max="14" width="8.88671875" style="2" bestFit="1" customWidth="1"/>
    <col min="15" max="15" width="6.44140625" style="1" bestFit="1" customWidth="1"/>
    <col min="16" max="16" width="10.44140625" style="1" bestFit="1" customWidth="1"/>
    <col min="17" max="17" width="20" style="1" bestFit="1" customWidth="1"/>
    <col min="18" max="18" width="11.109375" style="2" bestFit="1" customWidth="1"/>
    <col min="19" max="19" width="6.44140625" style="2" bestFit="1" customWidth="1"/>
    <col min="20" max="20" width="16" style="2" bestFit="1" customWidth="1"/>
    <col min="21" max="21" width="12.6640625" style="2" bestFit="1" customWidth="1"/>
    <col min="22" max="22" width="10.44140625" style="2" bestFit="1" customWidth="1"/>
    <col min="23" max="23" width="19.109375" style="2" bestFit="1" customWidth="1"/>
    <col min="24" max="24" width="16.88671875" style="2" bestFit="1" customWidth="1"/>
    <col min="25" max="25" width="20.6640625" style="2" bestFit="1" customWidth="1"/>
    <col min="26" max="26" width="26.44140625" style="2" bestFit="1" customWidth="1"/>
    <col min="27" max="27" width="11.88671875" style="2" bestFit="1" customWidth="1"/>
    <col min="28" max="28" width="14" style="2" bestFit="1" customWidth="1"/>
    <col min="29" max="29" width="14.109375" style="2" bestFit="1" customWidth="1"/>
    <col min="30" max="16384" width="8.6640625" style="2"/>
  </cols>
  <sheetData>
    <row r="1" spans="1:29" s="24" customFormat="1" ht="17.25" customHeight="1" x14ac:dyDescent="0.25">
      <c r="A1" s="21" t="s">
        <v>0</v>
      </c>
      <c r="B1" s="22" t="s">
        <v>1</v>
      </c>
      <c r="C1" s="22" t="s">
        <v>2</v>
      </c>
      <c r="D1" s="22" t="s">
        <v>44</v>
      </c>
      <c r="E1" s="22" t="s">
        <v>45</v>
      </c>
      <c r="F1" s="22" t="s">
        <v>48</v>
      </c>
      <c r="G1" s="22" t="s">
        <v>3</v>
      </c>
      <c r="H1" s="22" t="s">
        <v>4</v>
      </c>
      <c r="I1" s="22" t="s">
        <v>5</v>
      </c>
      <c r="J1" s="22" t="s">
        <v>6</v>
      </c>
      <c r="K1" s="22" t="s">
        <v>7</v>
      </c>
      <c r="L1" s="22" t="s">
        <v>8</v>
      </c>
      <c r="M1" s="22" t="s">
        <v>9</v>
      </c>
      <c r="N1" s="22" t="s">
        <v>10</v>
      </c>
      <c r="O1" s="22" t="s">
        <v>11</v>
      </c>
      <c r="P1" s="22" t="s">
        <v>12</v>
      </c>
      <c r="Q1" s="22" t="s">
        <v>13</v>
      </c>
      <c r="R1" s="22" t="s">
        <v>14</v>
      </c>
      <c r="S1" s="22" t="s">
        <v>15</v>
      </c>
      <c r="T1" s="22" t="s">
        <v>16</v>
      </c>
      <c r="U1" s="22" t="s">
        <v>17</v>
      </c>
      <c r="V1" s="22" t="s">
        <v>18</v>
      </c>
      <c r="W1" s="22" t="s">
        <v>19</v>
      </c>
      <c r="X1" s="22" t="s">
        <v>20</v>
      </c>
      <c r="Y1" s="22" t="s">
        <v>56</v>
      </c>
      <c r="Z1" s="22" t="s">
        <v>57</v>
      </c>
      <c r="AA1" s="22" t="s">
        <v>60</v>
      </c>
      <c r="AB1" s="22" t="s">
        <v>58</v>
      </c>
      <c r="AC1" s="23" t="s">
        <v>59</v>
      </c>
    </row>
    <row r="2" spans="1:29" ht="17.25" customHeight="1" x14ac:dyDescent="0.25">
      <c r="A2" s="3" t="s">
        <v>21</v>
      </c>
      <c r="B2" s="4">
        <v>1</v>
      </c>
      <c r="C2" s="5" t="s">
        <v>22</v>
      </c>
      <c r="D2" s="6">
        <v>11</v>
      </c>
      <c r="E2" s="5" t="s">
        <v>46</v>
      </c>
      <c r="F2" s="5" t="s">
        <v>61</v>
      </c>
      <c r="G2" s="7">
        <v>5556</v>
      </c>
      <c r="H2" s="5" t="s">
        <v>27</v>
      </c>
      <c r="I2" s="8">
        <v>132</v>
      </c>
      <c r="J2" s="8">
        <v>400</v>
      </c>
      <c r="K2" s="8">
        <v>50</v>
      </c>
      <c r="L2" s="8">
        <v>250</v>
      </c>
      <c r="M2" s="8">
        <v>120</v>
      </c>
      <c r="N2" s="8">
        <v>65</v>
      </c>
      <c r="O2" s="8">
        <v>134</v>
      </c>
      <c r="P2" s="8">
        <v>6</v>
      </c>
      <c r="Q2" s="9" t="s">
        <v>40</v>
      </c>
      <c r="R2" s="4">
        <v>295.41000000000003</v>
      </c>
      <c r="S2" s="5">
        <v>343</v>
      </c>
      <c r="T2" s="8">
        <v>240.1</v>
      </c>
      <c r="U2" s="8">
        <v>100</v>
      </c>
      <c r="V2" s="8">
        <v>22</v>
      </c>
      <c r="W2" s="8">
        <v>54</v>
      </c>
      <c r="X2" s="10">
        <v>1573.1</v>
      </c>
      <c r="Y2" s="8">
        <v>722.28</v>
      </c>
      <c r="Z2" s="8">
        <v>1111.2</v>
      </c>
      <c r="AA2" s="8">
        <v>944.5200000000001</v>
      </c>
      <c r="AB2" s="8">
        <v>1389</v>
      </c>
      <c r="AC2" s="11">
        <v>1666.8</v>
      </c>
    </row>
    <row r="3" spans="1:29" ht="17.25" customHeight="1" x14ac:dyDescent="0.25">
      <c r="A3" s="3" t="s">
        <v>21</v>
      </c>
      <c r="B3" s="4">
        <v>3</v>
      </c>
      <c r="C3" s="9" t="s">
        <v>22</v>
      </c>
      <c r="D3" s="6">
        <v>21.3</v>
      </c>
      <c r="E3" s="5" t="s">
        <v>46</v>
      </c>
      <c r="F3" s="5" t="s">
        <v>50</v>
      </c>
      <c r="G3" s="7">
        <v>5556</v>
      </c>
      <c r="H3" s="5" t="s">
        <v>27</v>
      </c>
      <c r="I3" s="8">
        <v>132</v>
      </c>
      <c r="J3" s="8">
        <v>400</v>
      </c>
      <c r="K3" s="8">
        <v>50</v>
      </c>
      <c r="L3" s="8">
        <v>250</v>
      </c>
      <c r="M3" s="8">
        <v>120</v>
      </c>
      <c r="N3" s="8">
        <v>65</v>
      </c>
      <c r="O3" s="8">
        <v>134</v>
      </c>
      <c r="P3" s="8">
        <v>6</v>
      </c>
      <c r="Q3" s="9" t="s">
        <v>41</v>
      </c>
      <c r="R3" s="4">
        <v>295.41000000000003</v>
      </c>
      <c r="S3" s="5">
        <v>343</v>
      </c>
      <c r="T3" s="8">
        <v>240.1</v>
      </c>
      <c r="U3" s="8">
        <v>100</v>
      </c>
      <c r="V3" s="8">
        <v>22</v>
      </c>
      <c r="W3" s="8">
        <v>54</v>
      </c>
      <c r="X3" s="10">
        <v>1573.1</v>
      </c>
      <c r="Y3" s="8">
        <v>722.28</v>
      </c>
      <c r="Z3" s="8">
        <v>1111.2</v>
      </c>
      <c r="AA3" s="8">
        <v>944.5200000000001</v>
      </c>
      <c r="AB3" s="8">
        <v>1389</v>
      </c>
      <c r="AC3" s="11">
        <v>1666.8</v>
      </c>
    </row>
    <row r="4" spans="1:29" ht="17.25" customHeight="1" x14ac:dyDescent="0.25">
      <c r="A4" s="3" t="s">
        <v>21</v>
      </c>
      <c r="B4" s="4">
        <v>13</v>
      </c>
      <c r="C4" s="9" t="s">
        <v>22</v>
      </c>
      <c r="D4" s="6">
        <v>22</v>
      </c>
      <c r="E4" s="5" t="s">
        <v>46</v>
      </c>
      <c r="F4" s="5" t="s">
        <v>51</v>
      </c>
      <c r="G4" s="7">
        <v>5556</v>
      </c>
      <c r="H4" s="5" t="s">
        <v>27</v>
      </c>
      <c r="I4" s="8">
        <v>132</v>
      </c>
      <c r="J4" s="8">
        <v>400</v>
      </c>
      <c r="K4" s="8">
        <v>50</v>
      </c>
      <c r="L4" s="8">
        <v>250</v>
      </c>
      <c r="M4" s="8">
        <v>120</v>
      </c>
      <c r="N4" s="8">
        <v>65</v>
      </c>
      <c r="O4" s="8">
        <v>134</v>
      </c>
      <c r="P4" s="8">
        <v>6</v>
      </c>
      <c r="Q4" s="9" t="s">
        <v>42</v>
      </c>
      <c r="R4" s="4">
        <v>295.41000000000003</v>
      </c>
      <c r="S4" s="5">
        <v>343</v>
      </c>
      <c r="T4" s="8">
        <v>240.1</v>
      </c>
      <c r="U4" s="8">
        <v>100</v>
      </c>
      <c r="V4" s="8">
        <v>22</v>
      </c>
      <c r="W4" s="8">
        <v>54</v>
      </c>
      <c r="X4" s="10">
        <v>1573.1</v>
      </c>
      <c r="Y4" s="8">
        <v>722.28</v>
      </c>
      <c r="Z4" s="8">
        <v>1111.2</v>
      </c>
      <c r="AA4" s="8">
        <v>944.5200000000001</v>
      </c>
      <c r="AB4" s="8">
        <v>1389</v>
      </c>
      <c r="AC4" s="11">
        <v>1666.8</v>
      </c>
    </row>
    <row r="5" spans="1:29" ht="17.25" customHeight="1" x14ac:dyDescent="0.25">
      <c r="A5" s="3" t="s">
        <v>23</v>
      </c>
      <c r="B5" s="4">
        <v>4</v>
      </c>
      <c r="C5" s="9" t="s">
        <v>24</v>
      </c>
      <c r="D5" s="6">
        <v>14.5</v>
      </c>
      <c r="E5" s="5" t="s">
        <v>46</v>
      </c>
      <c r="F5" s="5" t="s">
        <v>50</v>
      </c>
      <c r="G5" s="7">
        <v>4567</v>
      </c>
      <c r="H5" s="5" t="s">
        <v>27</v>
      </c>
      <c r="I5" s="8">
        <v>132</v>
      </c>
      <c r="J5" s="8">
        <v>333</v>
      </c>
      <c r="K5" s="8">
        <v>51</v>
      </c>
      <c r="L5" s="8">
        <v>250</v>
      </c>
      <c r="M5" s="8">
        <v>134</v>
      </c>
      <c r="N5" s="8">
        <v>65</v>
      </c>
      <c r="O5" s="8">
        <v>134</v>
      </c>
      <c r="P5" s="8">
        <v>6</v>
      </c>
      <c r="Q5" s="9" t="s">
        <v>40</v>
      </c>
      <c r="R5" s="4">
        <v>295.41000000000003</v>
      </c>
      <c r="S5" s="5">
        <v>354</v>
      </c>
      <c r="T5" s="8">
        <v>247.79999999999998</v>
      </c>
      <c r="U5" s="8">
        <v>100</v>
      </c>
      <c r="V5" s="8">
        <v>23</v>
      </c>
      <c r="W5" s="8">
        <v>55</v>
      </c>
      <c r="X5" s="10">
        <v>1530.8</v>
      </c>
      <c r="Y5" s="8">
        <v>593.71</v>
      </c>
      <c r="Z5" s="8">
        <v>913.40000000000009</v>
      </c>
      <c r="AA5" s="8">
        <v>776.3900000000001</v>
      </c>
      <c r="AB5" s="8">
        <v>1141.75</v>
      </c>
      <c r="AC5" s="11">
        <v>1370.1</v>
      </c>
    </row>
    <row r="6" spans="1:29" ht="17.25" customHeight="1" x14ac:dyDescent="0.25">
      <c r="A6" s="3" t="s">
        <v>23</v>
      </c>
      <c r="B6" s="4">
        <v>5</v>
      </c>
      <c r="C6" s="9" t="s">
        <v>24</v>
      </c>
      <c r="D6" s="6">
        <v>18</v>
      </c>
      <c r="E6" s="5" t="s">
        <v>46</v>
      </c>
      <c r="F6" s="5" t="s">
        <v>51</v>
      </c>
      <c r="G6" s="7">
        <v>4567</v>
      </c>
      <c r="H6" s="5" t="s">
        <v>27</v>
      </c>
      <c r="I6" s="8">
        <v>132</v>
      </c>
      <c r="J6" s="8">
        <v>333</v>
      </c>
      <c r="K6" s="8">
        <v>52</v>
      </c>
      <c r="L6" s="8">
        <v>250</v>
      </c>
      <c r="M6" s="8">
        <v>134</v>
      </c>
      <c r="N6" s="8">
        <v>65</v>
      </c>
      <c r="O6" s="8">
        <v>134</v>
      </c>
      <c r="P6" s="8">
        <v>6</v>
      </c>
      <c r="Q6" s="9" t="s">
        <v>41</v>
      </c>
      <c r="R6" s="4">
        <v>295.41000000000003</v>
      </c>
      <c r="S6" s="5">
        <v>354</v>
      </c>
      <c r="T6" s="8">
        <v>247.79999999999998</v>
      </c>
      <c r="U6" s="8">
        <v>100</v>
      </c>
      <c r="V6" s="8">
        <v>23</v>
      </c>
      <c r="W6" s="8">
        <v>55</v>
      </c>
      <c r="X6" s="10">
        <v>1531.8</v>
      </c>
      <c r="Y6" s="8">
        <v>593.71</v>
      </c>
      <c r="Z6" s="8">
        <v>913.40000000000009</v>
      </c>
      <c r="AA6" s="8">
        <v>776.3900000000001</v>
      </c>
      <c r="AB6" s="8">
        <v>1141.75</v>
      </c>
      <c r="AC6" s="11">
        <v>1370.1</v>
      </c>
    </row>
    <row r="7" spans="1:29" ht="17.25" customHeight="1" x14ac:dyDescent="0.25">
      <c r="A7" s="3" t="s">
        <v>23</v>
      </c>
      <c r="B7" s="4">
        <v>6</v>
      </c>
      <c r="C7" s="9" t="s">
        <v>24</v>
      </c>
      <c r="D7" s="6">
        <v>19</v>
      </c>
      <c r="E7" s="5" t="s">
        <v>46</v>
      </c>
      <c r="F7" s="5" t="s">
        <v>52</v>
      </c>
      <c r="G7" s="7">
        <v>4567</v>
      </c>
      <c r="H7" s="5" t="s">
        <v>27</v>
      </c>
      <c r="I7" s="8">
        <v>132</v>
      </c>
      <c r="J7" s="8">
        <v>333</v>
      </c>
      <c r="K7" s="8">
        <v>53</v>
      </c>
      <c r="L7" s="8">
        <v>250</v>
      </c>
      <c r="M7" s="8">
        <v>134</v>
      </c>
      <c r="N7" s="8">
        <v>65</v>
      </c>
      <c r="O7" s="8">
        <v>134</v>
      </c>
      <c r="P7" s="8">
        <v>6</v>
      </c>
      <c r="Q7" s="9" t="s">
        <v>42</v>
      </c>
      <c r="R7" s="4">
        <v>295.41000000000003</v>
      </c>
      <c r="S7" s="5">
        <v>354</v>
      </c>
      <c r="T7" s="8">
        <v>247.79999999999998</v>
      </c>
      <c r="U7" s="8">
        <v>100</v>
      </c>
      <c r="V7" s="8">
        <v>23</v>
      </c>
      <c r="W7" s="8">
        <v>55</v>
      </c>
      <c r="X7" s="10">
        <v>1532.8</v>
      </c>
      <c r="Y7" s="8">
        <v>593.71</v>
      </c>
      <c r="Z7" s="8">
        <v>913.40000000000009</v>
      </c>
      <c r="AA7" s="8">
        <v>776.3900000000001</v>
      </c>
      <c r="AB7" s="8">
        <v>1141.75</v>
      </c>
      <c r="AC7" s="11">
        <v>1370.1</v>
      </c>
    </row>
    <row r="8" spans="1:29" ht="17.25" customHeight="1" x14ac:dyDescent="0.25">
      <c r="A8" s="3" t="s">
        <v>23</v>
      </c>
      <c r="B8" s="4">
        <v>14</v>
      </c>
      <c r="C8" s="9" t="s">
        <v>24</v>
      </c>
      <c r="D8" s="6">
        <v>20</v>
      </c>
      <c r="E8" s="5" t="s">
        <v>46</v>
      </c>
      <c r="F8" s="5" t="s">
        <v>54</v>
      </c>
      <c r="G8" s="7">
        <v>4567</v>
      </c>
      <c r="H8" s="5" t="s">
        <v>27</v>
      </c>
      <c r="I8" s="8">
        <v>132</v>
      </c>
      <c r="J8" s="8">
        <v>333</v>
      </c>
      <c r="K8" s="8">
        <v>54</v>
      </c>
      <c r="L8" s="8">
        <v>250</v>
      </c>
      <c r="M8" s="8">
        <v>134</v>
      </c>
      <c r="N8" s="8">
        <v>65</v>
      </c>
      <c r="O8" s="8">
        <v>134</v>
      </c>
      <c r="P8" s="8">
        <v>6</v>
      </c>
      <c r="Q8" s="9" t="s">
        <v>43</v>
      </c>
      <c r="R8" s="4">
        <v>295.41000000000003</v>
      </c>
      <c r="S8" s="5">
        <v>354</v>
      </c>
      <c r="T8" s="8">
        <v>247.79999999999998</v>
      </c>
      <c r="U8" s="8">
        <v>100</v>
      </c>
      <c r="V8" s="8">
        <v>23</v>
      </c>
      <c r="W8" s="8">
        <v>55</v>
      </c>
      <c r="X8" s="10">
        <v>1533.8</v>
      </c>
      <c r="Y8" s="8">
        <v>593.71</v>
      </c>
      <c r="Z8" s="8">
        <v>913.40000000000009</v>
      </c>
      <c r="AA8" s="8">
        <v>776.3900000000001</v>
      </c>
      <c r="AB8" s="8">
        <v>1141.75</v>
      </c>
      <c r="AC8" s="11">
        <v>1370.1</v>
      </c>
    </row>
    <row r="9" spans="1:29" ht="17.25" customHeight="1" x14ac:dyDescent="0.25">
      <c r="A9" s="3" t="s">
        <v>25</v>
      </c>
      <c r="B9" s="4">
        <v>2</v>
      </c>
      <c r="C9" s="9" t="s">
        <v>26</v>
      </c>
      <c r="D9" s="6">
        <v>21</v>
      </c>
      <c r="E9" s="5" t="s">
        <v>46</v>
      </c>
      <c r="F9" s="5" t="s">
        <v>51</v>
      </c>
      <c r="G9" s="7">
        <v>3458</v>
      </c>
      <c r="H9" s="5" t="s">
        <v>27</v>
      </c>
      <c r="I9" s="8">
        <v>132</v>
      </c>
      <c r="J9" s="8">
        <v>453</v>
      </c>
      <c r="K9" s="8">
        <v>55</v>
      </c>
      <c r="L9" s="8">
        <v>250</v>
      </c>
      <c r="M9" s="8">
        <v>121</v>
      </c>
      <c r="N9" s="8">
        <v>32</v>
      </c>
      <c r="O9" s="8">
        <v>56</v>
      </c>
      <c r="P9" s="8">
        <v>56</v>
      </c>
      <c r="Q9" s="9" t="s">
        <v>40</v>
      </c>
      <c r="R9" s="4">
        <v>295.41000000000003</v>
      </c>
      <c r="S9" s="5">
        <v>333</v>
      </c>
      <c r="T9" s="8">
        <v>233.1</v>
      </c>
      <c r="U9" s="8">
        <v>100</v>
      </c>
      <c r="V9" s="8">
        <v>24</v>
      </c>
      <c r="W9" s="8">
        <v>56</v>
      </c>
      <c r="X9" s="10">
        <v>1568.1</v>
      </c>
      <c r="Y9" s="8">
        <v>449.54</v>
      </c>
      <c r="Z9" s="8">
        <v>691.6</v>
      </c>
      <c r="AA9" s="8">
        <v>587.86</v>
      </c>
      <c r="AB9" s="8">
        <v>864.5</v>
      </c>
      <c r="AC9" s="11">
        <v>1037.3999999999999</v>
      </c>
    </row>
    <row r="10" spans="1:29" ht="17.25" customHeight="1" x14ac:dyDescent="0.25">
      <c r="A10" s="3" t="s">
        <v>25</v>
      </c>
      <c r="B10" s="4">
        <v>3</v>
      </c>
      <c r="C10" s="5" t="s">
        <v>26</v>
      </c>
      <c r="D10" s="6">
        <v>22</v>
      </c>
      <c r="E10" s="5" t="s">
        <v>47</v>
      </c>
      <c r="F10" s="5" t="s">
        <v>50</v>
      </c>
      <c r="G10" s="7">
        <v>3458</v>
      </c>
      <c r="H10" s="5" t="s">
        <v>27</v>
      </c>
      <c r="I10" s="8">
        <v>132</v>
      </c>
      <c r="J10" s="8">
        <v>453</v>
      </c>
      <c r="K10" s="8">
        <v>56</v>
      </c>
      <c r="L10" s="8">
        <v>250</v>
      </c>
      <c r="M10" s="8">
        <v>121</v>
      </c>
      <c r="N10" s="8">
        <v>32</v>
      </c>
      <c r="O10" s="8">
        <v>56</v>
      </c>
      <c r="P10" s="8">
        <v>56</v>
      </c>
      <c r="Q10" s="9" t="s">
        <v>41</v>
      </c>
      <c r="R10" s="4">
        <v>295.41000000000003</v>
      </c>
      <c r="S10" s="5">
        <v>333</v>
      </c>
      <c r="T10" s="8">
        <v>233.1</v>
      </c>
      <c r="U10" s="8">
        <v>100</v>
      </c>
      <c r="V10" s="8">
        <v>24</v>
      </c>
      <c r="W10" s="8">
        <v>56</v>
      </c>
      <c r="X10" s="10">
        <v>1569.1</v>
      </c>
      <c r="Y10" s="8">
        <v>449.54</v>
      </c>
      <c r="Z10" s="8">
        <v>691.6</v>
      </c>
      <c r="AA10" s="8">
        <v>587.86</v>
      </c>
      <c r="AB10" s="8">
        <v>864.5</v>
      </c>
      <c r="AC10" s="11">
        <v>1037.3999999999999</v>
      </c>
    </row>
    <row r="11" spans="1:29" ht="17.25" customHeight="1" x14ac:dyDescent="0.25">
      <c r="A11" s="3" t="s">
        <v>25</v>
      </c>
      <c r="B11" s="4">
        <v>7</v>
      </c>
      <c r="C11" s="9" t="s">
        <v>24</v>
      </c>
      <c r="D11" s="6">
        <v>22.7</v>
      </c>
      <c r="E11" s="5" t="s">
        <v>47</v>
      </c>
      <c r="F11" s="5" t="s">
        <v>51</v>
      </c>
      <c r="G11" s="7">
        <v>45</v>
      </c>
      <c r="H11" s="5" t="s">
        <v>27</v>
      </c>
      <c r="I11" s="8">
        <v>132</v>
      </c>
      <c r="J11" s="8">
        <v>453</v>
      </c>
      <c r="K11" s="8">
        <v>57</v>
      </c>
      <c r="L11" s="8">
        <v>250</v>
      </c>
      <c r="M11" s="8">
        <v>121</v>
      </c>
      <c r="N11" s="8">
        <v>32</v>
      </c>
      <c r="O11" s="8">
        <v>56</v>
      </c>
      <c r="P11" s="8">
        <v>56</v>
      </c>
      <c r="Q11" s="9" t="s">
        <v>43</v>
      </c>
      <c r="R11" s="4">
        <v>295.41000000000003</v>
      </c>
      <c r="S11" s="5">
        <v>333</v>
      </c>
      <c r="T11" s="8">
        <v>233.1</v>
      </c>
      <c r="U11" s="8">
        <v>100</v>
      </c>
      <c r="V11" s="8">
        <v>24</v>
      </c>
      <c r="W11" s="8">
        <v>56</v>
      </c>
      <c r="X11" s="10">
        <v>1570.1</v>
      </c>
      <c r="Y11" s="8">
        <v>449.54</v>
      </c>
      <c r="Z11" s="8">
        <v>691.6</v>
      </c>
      <c r="AA11" s="8">
        <v>587.86</v>
      </c>
      <c r="AB11" s="8">
        <v>864.5</v>
      </c>
      <c r="AC11" s="11">
        <v>1037.3999999999999</v>
      </c>
    </row>
    <row r="12" spans="1:29" ht="17.25" customHeight="1" x14ac:dyDescent="0.25">
      <c r="A12" s="3" t="s">
        <v>25</v>
      </c>
      <c r="B12" s="4">
        <v>8</v>
      </c>
      <c r="C12" s="9" t="s">
        <v>26</v>
      </c>
      <c r="D12" s="6">
        <v>12</v>
      </c>
      <c r="E12" s="5" t="s">
        <v>46</v>
      </c>
      <c r="F12" s="5" t="s">
        <v>52</v>
      </c>
      <c r="G12" s="7">
        <v>3458</v>
      </c>
      <c r="H12" s="5" t="s">
        <v>27</v>
      </c>
      <c r="I12" s="8">
        <v>132</v>
      </c>
      <c r="J12" s="8">
        <v>453</v>
      </c>
      <c r="K12" s="8">
        <v>58</v>
      </c>
      <c r="L12" s="8">
        <v>250</v>
      </c>
      <c r="M12" s="8">
        <v>121</v>
      </c>
      <c r="N12" s="8">
        <v>32</v>
      </c>
      <c r="O12" s="8">
        <v>56</v>
      </c>
      <c r="P12" s="8">
        <v>56</v>
      </c>
      <c r="Q12" s="9" t="s">
        <v>43</v>
      </c>
      <c r="R12" s="4">
        <v>295.41000000000003</v>
      </c>
      <c r="S12" s="5">
        <v>333</v>
      </c>
      <c r="T12" s="8">
        <v>233.1</v>
      </c>
      <c r="U12" s="8">
        <v>100</v>
      </c>
      <c r="V12" s="8">
        <v>24</v>
      </c>
      <c r="W12" s="8">
        <v>56</v>
      </c>
      <c r="X12" s="10">
        <v>1571.1</v>
      </c>
      <c r="Y12" s="8">
        <v>449.54</v>
      </c>
      <c r="Z12" s="8">
        <v>691.6</v>
      </c>
      <c r="AA12" s="8">
        <v>587.86</v>
      </c>
      <c r="AB12" s="8">
        <v>864.5</v>
      </c>
      <c r="AC12" s="11">
        <v>1037.3999999999999</v>
      </c>
    </row>
    <row r="13" spans="1:29" ht="17.25" customHeight="1" x14ac:dyDescent="0.25">
      <c r="A13" s="3" t="s">
        <v>25</v>
      </c>
      <c r="B13" s="4">
        <v>9</v>
      </c>
      <c r="C13" s="5" t="s">
        <v>22</v>
      </c>
      <c r="D13" s="6">
        <v>13</v>
      </c>
      <c r="E13" s="5" t="s">
        <v>47</v>
      </c>
      <c r="F13" s="5" t="s">
        <v>49</v>
      </c>
      <c r="G13" s="7">
        <v>3458</v>
      </c>
      <c r="H13" s="5" t="s">
        <v>27</v>
      </c>
      <c r="I13" s="8">
        <v>132</v>
      </c>
      <c r="J13" s="8">
        <v>453</v>
      </c>
      <c r="K13" s="8">
        <v>59</v>
      </c>
      <c r="L13" s="8">
        <v>250</v>
      </c>
      <c r="M13" s="8">
        <v>121</v>
      </c>
      <c r="N13" s="8"/>
      <c r="O13" s="8">
        <v>56</v>
      </c>
      <c r="P13" s="8">
        <v>56</v>
      </c>
      <c r="Q13" s="9" t="s">
        <v>40</v>
      </c>
      <c r="R13" s="4">
        <v>295.41000000000003</v>
      </c>
      <c r="S13" s="5">
        <v>333</v>
      </c>
      <c r="T13" s="8">
        <v>233.1</v>
      </c>
      <c r="U13" s="8">
        <v>100</v>
      </c>
      <c r="V13" s="8">
        <v>24</v>
      </c>
      <c r="W13" s="8">
        <v>56</v>
      </c>
      <c r="X13" s="10">
        <v>1540.1</v>
      </c>
      <c r="Y13" s="8">
        <v>449.54</v>
      </c>
      <c r="Z13" s="8">
        <v>691.6</v>
      </c>
      <c r="AA13" s="8">
        <v>587.86</v>
      </c>
      <c r="AB13" s="8">
        <v>864.5</v>
      </c>
      <c r="AC13" s="11">
        <v>1037.3999999999999</v>
      </c>
    </row>
    <row r="14" spans="1:29" ht="17.25" customHeight="1" x14ac:dyDescent="0.25">
      <c r="A14" s="3" t="s">
        <v>28</v>
      </c>
      <c r="B14" s="4">
        <v>12</v>
      </c>
      <c r="C14" s="9" t="s">
        <v>22</v>
      </c>
      <c r="D14" s="6">
        <v>16</v>
      </c>
      <c r="E14" s="5" t="s">
        <v>46</v>
      </c>
      <c r="F14" s="5" t="s">
        <v>55</v>
      </c>
      <c r="G14" s="7">
        <v>6433</v>
      </c>
      <c r="H14" s="5" t="s">
        <v>29</v>
      </c>
      <c r="I14" s="8">
        <v>132</v>
      </c>
      <c r="J14" s="8">
        <v>399</v>
      </c>
      <c r="K14" s="8">
        <v>72</v>
      </c>
      <c r="L14" s="8">
        <v>250</v>
      </c>
      <c r="M14" s="8">
        <v>134</v>
      </c>
      <c r="N14" s="8"/>
      <c r="O14" s="8">
        <v>134</v>
      </c>
      <c r="P14" s="8">
        <v>6</v>
      </c>
      <c r="Q14" s="9" t="s">
        <v>41</v>
      </c>
      <c r="R14" s="4">
        <v>295.41000000000003</v>
      </c>
      <c r="S14" s="5">
        <v>343</v>
      </c>
      <c r="T14" s="8">
        <v>240.1</v>
      </c>
      <c r="U14" s="8">
        <v>100</v>
      </c>
      <c r="V14" s="8">
        <v>25</v>
      </c>
      <c r="W14" s="8">
        <v>57</v>
      </c>
      <c r="X14" s="10">
        <v>1549.1</v>
      </c>
      <c r="Y14" s="8">
        <v>836.29000000000008</v>
      </c>
      <c r="Z14" s="8">
        <v>1286.6000000000001</v>
      </c>
      <c r="AA14" s="8">
        <v>1093.6100000000001</v>
      </c>
      <c r="AB14" s="8">
        <v>1608.25</v>
      </c>
      <c r="AC14" s="11">
        <v>1929.8999999999999</v>
      </c>
    </row>
    <row r="15" spans="1:29" ht="17.25" customHeight="1" x14ac:dyDescent="0.25">
      <c r="A15" s="3" t="s">
        <v>28</v>
      </c>
      <c r="B15" s="4">
        <v>16</v>
      </c>
      <c r="C15" s="9" t="s">
        <v>24</v>
      </c>
      <c r="D15" s="6">
        <v>17</v>
      </c>
      <c r="E15" s="5" t="s">
        <v>47</v>
      </c>
      <c r="F15" s="5" t="s">
        <v>53</v>
      </c>
      <c r="G15" s="7">
        <v>6433</v>
      </c>
      <c r="H15" s="5" t="s">
        <v>29</v>
      </c>
      <c r="I15" s="8">
        <v>132</v>
      </c>
      <c r="J15" s="8">
        <v>399</v>
      </c>
      <c r="K15" s="8">
        <v>73</v>
      </c>
      <c r="L15" s="8">
        <v>250</v>
      </c>
      <c r="M15" s="8">
        <v>134</v>
      </c>
      <c r="N15" s="8">
        <v>65</v>
      </c>
      <c r="O15" s="8">
        <v>134</v>
      </c>
      <c r="P15" s="8">
        <v>6</v>
      </c>
      <c r="Q15" s="9" t="s">
        <v>42</v>
      </c>
      <c r="R15" s="4">
        <v>295.41000000000003</v>
      </c>
      <c r="S15" s="5">
        <v>343</v>
      </c>
      <c r="T15" s="8">
        <v>240.1</v>
      </c>
      <c r="U15" s="8">
        <v>100</v>
      </c>
      <c r="V15" s="8">
        <v>25</v>
      </c>
      <c r="W15" s="8">
        <v>57</v>
      </c>
      <c r="X15" s="10">
        <v>1615.1</v>
      </c>
      <c r="Y15" s="8">
        <v>836.29000000000008</v>
      </c>
      <c r="Z15" s="8">
        <v>1286.6000000000001</v>
      </c>
      <c r="AA15" s="8">
        <v>1093.6100000000001</v>
      </c>
      <c r="AB15" s="8">
        <v>1608.25</v>
      </c>
      <c r="AC15" s="11">
        <v>1929.8999999999999</v>
      </c>
    </row>
    <row r="16" spans="1:29" ht="17.25" customHeight="1" x14ac:dyDescent="0.25">
      <c r="A16" s="3" t="s">
        <v>28</v>
      </c>
      <c r="B16" s="4">
        <v>22</v>
      </c>
      <c r="C16" s="9" t="s">
        <v>22</v>
      </c>
      <c r="D16" s="6">
        <v>18</v>
      </c>
      <c r="E16" s="5" t="s">
        <v>47</v>
      </c>
      <c r="F16" s="5" t="s">
        <v>51</v>
      </c>
      <c r="G16" s="7">
        <v>6433</v>
      </c>
      <c r="H16" s="5" t="s">
        <v>29</v>
      </c>
      <c r="I16" s="8">
        <v>132</v>
      </c>
      <c r="J16" s="8">
        <v>399</v>
      </c>
      <c r="K16" s="8">
        <v>74</v>
      </c>
      <c r="L16" s="8">
        <v>250</v>
      </c>
      <c r="M16" s="8">
        <v>134</v>
      </c>
      <c r="N16" s="8">
        <v>65</v>
      </c>
      <c r="O16" s="8">
        <v>134</v>
      </c>
      <c r="P16" s="8">
        <v>6</v>
      </c>
      <c r="Q16" s="9" t="s">
        <v>43</v>
      </c>
      <c r="R16" s="4">
        <v>295.41000000000003</v>
      </c>
      <c r="S16" s="5">
        <v>343</v>
      </c>
      <c r="T16" s="8">
        <v>240.1</v>
      </c>
      <c r="U16" s="8">
        <v>100</v>
      </c>
      <c r="V16" s="8">
        <v>25</v>
      </c>
      <c r="W16" s="8">
        <v>57</v>
      </c>
      <c r="X16" s="10">
        <v>1616.1</v>
      </c>
      <c r="Y16" s="8">
        <v>836.29000000000008</v>
      </c>
      <c r="Z16" s="8">
        <v>1286.6000000000001</v>
      </c>
      <c r="AA16" s="8">
        <v>1093.6100000000001</v>
      </c>
      <c r="AB16" s="8">
        <v>1608.25</v>
      </c>
      <c r="AC16" s="11">
        <v>1929.8999999999999</v>
      </c>
    </row>
    <row r="17" spans="1:29" ht="17.25" customHeight="1" x14ac:dyDescent="0.25">
      <c r="A17" s="3" t="s">
        <v>30</v>
      </c>
      <c r="B17" s="4">
        <v>5</v>
      </c>
      <c r="C17" s="5" t="s">
        <v>24</v>
      </c>
      <c r="D17" s="6">
        <v>11</v>
      </c>
      <c r="E17" s="5" t="s">
        <v>46</v>
      </c>
      <c r="F17" s="5" t="s">
        <v>54</v>
      </c>
      <c r="G17" s="7">
        <v>8765</v>
      </c>
      <c r="H17" s="5" t="s">
        <v>29</v>
      </c>
      <c r="I17" s="8">
        <v>132</v>
      </c>
      <c r="J17" s="8">
        <v>387</v>
      </c>
      <c r="K17" s="8">
        <v>50</v>
      </c>
      <c r="L17" s="8">
        <v>250</v>
      </c>
      <c r="M17" s="8">
        <v>128</v>
      </c>
      <c r="N17" s="8">
        <v>34</v>
      </c>
      <c r="O17" s="8">
        <v>128</v>
      </c>
      <c r="P17" s="8">
        <v>46</v>
      </c>
      <c r="Q17" s="9" t="s">
        <v>40</v>
      </c>
      <c r="R17" s="4">
        <v>333</v>
      </c>
      <c r="S17" s="5">
        <v>343</v>
      </c>
      <c r="T17" s="8">
        <v>240.1</v>
      </c>
      <c r="U17" s="8">
        <v>100</v>
      </c>
      <c r="V17" s="8">
        <v>26</v>
      </c>
      <c r="W17" s="8">
        <v>58</v>
      </c>
      <c r="X17" s="10">
        <v>1579.1</v>
      </c>
      <c r="Y17" s="8">
        <v>1139.45</v>
      </c>
      <c r="Z17" s="8">
        <v>1753</v>
      </c>
      <c r="AA17" s="8">
        <v>1490.0500000000002</v>
      </c>
      <c r="AB17" s="8">
        <v>2191.25</v>
      </c>
      <c r="AC17" s="11">
        <v>2629.5</v>
      </c>
    </row>
    <row r="18" spans="1:29" ht="17.25" customHeight="1" x14ac:dyDescent="0.25">
      <c r="A18" s="3" t="s">
        <v>30</v>
      </c>
      <c r="B18" s="4">
        <v>13</v>
      </c>
      <c r="C18" s="9" t="s">
        <v>24</v>
      </c>
      <c r="D18" s="6">
        <v>21</v>
      </c>
      <c r="E18" s="5" t="s">
        <v>46</v>
      </c>
      <c r="F18" s="5" t="s">
        <v>53</v>
      </c>
      <c r="G18" s="7">
        <v>8765</v>
      </c>
      <c r="H18" s="5" t="s">
        <v>29</v>
      </c>
      <c r="I18" s="8">
        <v>132</v>
      </c>
      <c r="J18" s="8">
        <v>387</v>
      </c>
      <c r="K18" s="8">
        <v>50</v>
      </c>
      <c r="L18" s="8">
        <v>250</v>
      </c>
      <c r="M18" s="8">
        <v>128</v>
      </c>
      <c r="N18" s="8">
        <v>34</v>
      </c>
      <c r="O18" s="8">
        <v>128</v>
      </c>
      <c r="P18" s="8">
        <v>46</v>
      </c>
      <c r="Q18" s="9" t="s">
        <v>41</v>
      </c>
      <c r="R18" s="4">
        <v>333</v>
      </c>
      <c r="S18" s="5">
        <v>343</v>
      </c>
      <c r="T18" s="8">
        <v>240.1</v>
      </c>
      <c r="U18" s="8">
        <v>100</v>
      </c>
      <c r="V18" s="8">
        <v>26</v>
      </c>
      <c r="W18" s="8">
        <v>58</v>
      </c>
      <c r="X18" s="10">
        <v>1579.1</v>
      </c>
      <c r="Y18" s="8">
        <v>1139.45</v>
      </c>
      <c r="Z18" s="8">
        <v>1753</v>
      </c>
      <c r="AA18" s="8">
        <v>1490.0500000000002</v>
      </c>
      <c r="AB18" s="8">
        <v>2191.25</v>
      </c>
      <c r="AC18" s="11">
        <v>2629.5</v>
      </c>
    </row>
    <row r="19" spans="1:29" ht="17.25" customHeight="1" x14ac:dyDescent="0.25">
      <c r="A19" s="3" t="s">
        <v>30</v>
      </c>
      <c r="B19" s="4">
        <v>14</v>
      </c>
      <c r="C19" s="9" t="s">
        <v>24</v>
      </c>
      <c r="D19" s="6">
        <v>22</v>
      </c>
      <c r="E19" s="5" t="s">
        <v>46</v>
      </c>
      <c r="F19" s="5" t="s">
        <v>52</v>
      </c>
      <c r="G19" s="7">
        <v>8765</v>
      </c>
      <c r="H19" s="5" t="s">
        <v>29</v>
      </c>
      <c r="I19" s="8">
        <v>132</v>
      </c>
      <c r="J19" s="8">
        <v>387</v>
      </c>
      <c r="K19" s="8">
        <v>50</v>
      </c>
      <c r="L19" s="8">
        <v>250</v>
      </c>
      <c r="M19" s="8">
        <v>128</v>
      </c>
      <c r="N19" s="8">
        <v>34</v>
      </c>
      <c r="O19" s="8">
        <v>128</v>
      </c>
      <c r="P19" s="8">
        <v>46</v>
      </c>
      <c r="Q19" s="9" t="s">
        <v>42</v>
      </c>
      <c r="R19" s="4">
        <v>333</v>
      </c>
      <c r="S19" s="5">
        <v>343</v>
      </c>
      <c r="T19" s="8">
        <v>240.1</v>
      </c>
      <c r="U19" s="8">
        <v>100</v>
      </c>
      <c r="V19" s="8">
        <v>26</v>
      </c>
      <c r="W19" s="8">
        <v>58</v>
      </c>
      <c r="X19" s="10">
        <v>1579.1</v>
      </c>
      <c r="Y19" s="8">
        <v>1139.45</v>
      </c>
      <c r="Z19" s="8">
        <v>1753</v>
      </c>
      <c r="AA19" s="8">
        <v>1490.0500000000002</v>
      </c>
      <c r="AB19" s="8">
        <v>2191.25</v>
      </c>
      <c r="AC19" s="11">
        <v>2629.5</v>
      </c>
    </row>
    <row r="20" spans="1:29" ht="17.25" customHeight="1" x14ac:dyDescent="0.25">
      <c r="A20" s="3" t="s">
        <v>30</v>
      </c>
      <c r="B20" s="4">
        <v>15</v>
      </c>
      <c r="C20" s="9" t="s">
        <v>26</v>
      </c>
      <c r="D20" s="6">
        <v>23</v>
      </c>
      <c r="E20" s="5" t="s">
        <v>47</v>
      </c>
      <c r="F20" s="5" t="s">
        <v>54</v>
      </c>
      <c r="G20" s="7">
        <v>8765</v>
      </c>
      <c r="H20" s="5" t="s">
        <v>29</v>
      </c>
      <c r="I20" s="8">
        <v>132</v>
      </c>
      <c r="J20" s="8">
        <v>387</v>
      </c>
      <c r="K20" s="8">
        <v>50</v>
      </c>
      <c r="L20" s="8">
        <v>250</v>
      </c>
      <c r="M20" s="8">
        <v>128</v>
      </c>
      <c r="N20" s="8">
        <v>34</v>
      </c>
      <c r="O20" s="8">
        <v>128</v>
      </c>
      <c r="P20" s="8">
        <v>46</v>
      </c>
      <c r="Q20" s="9" t="s">
        <v>43</v>
      </c>
      <c r="R20" s="4">
        <v>333</v>
      </c>
      <c r="S20" s="5">
        <v>343</v>
      </c>
      <c r="T20" s="8">
        <v>240.1</v>
      </c>
      <c r="U20" s="8">
        <v>100</v>
      </c>
      <c r="V20" s="8">
        <v>26</v>
      </c>
      <c r="W20" s="8">
        <v>58</v>
      </c>
      <c r="X20" s="10">
        <v>1579.1</v>
      </c>
      <c r="Y20" s="8">
        <v>1139.45</v>
      </c>
      <c r="Z20" s="8">
        <v>1753</v>
      </c>
      <c r="AA20" s="8">
        <v>1490.0500000000002</v>
      </c>
      <c r="AB20" s="8">
        <v>2191.25</v>
      </c>
      <c r="AC20" s="11">
        <v>2629.5</v>
      </c>
    </row>
    <row r="21" spans="1:29" ht="17.25" customHeight="1" x14ac:dyDescent="0.25">
      <c r="A21" s="3" t="s">
        <v>31</v>
      </c>
      <c r="B21" s="4">
        <v>17</v>
      </c>
      <c r="C21" s="9" t="s">
        <v>26</v>
      </c>
      <c r="D21" s="6">
        <v>12.9</v>
      </c>
      <c r="E21" s="5" t="s">
        <v>46</v>
      </c>
      <c r="F21" s="5" t="s">
        <v>51</v>
      </c>
      <c r="G21" s="7">
        <v>5432</v>
      </c>
      <c r="H21" s="5" t="s">
        <v>29</v>
      </c>
      <c r="I21" s="8">
        <v>132</v>
      </c>
      <c r="J21" s="8">
        <v>245</v>
      </c>
      <c r="K21" s="8">
        <v>50</v>
      </c>
      <c r="L21" s="8">
        <v>250</v>
      </c>
      <c r="M21" s="8">
        <v>120</v>
      </c>
      <c r="N21" s="8"/>
      <c r="O21" s="8">
        <v>120</v>
      </c>
      <c r="P21" s="8">
        <v>66</v>
      </c>
      <c r="Q21" s="9" t="s">
        <v>40</v>
      </c>
      <c r="R21" s="4">
        <v>295.41000000000003</v>
      </c>
      <c r="S21" s="5">
        <v>343</v>
      </c>
      <c r="T21" s="8">
        <v>240.1</v>
      </c>
      <c r="U21" s="8">
        <v>100</v>
      </c>
      <c r="V21" s="8">
        <v>27</v>
      </c>
      <c r="W21" s="8">
        <v>59</v>
      </c>
      <c r="X21" s="10">
        <v>1409.1</v>
      </c>
      <c r="Y21" s="8">
        <v>706.16</v>
      </c>
      <c r="Z21" s="8">
        <v>1086.4000000000001</v>
      </c>
      <c r="AA21" s="8">
        <v>923.44</v>
      </c>
      <c r="AB21" s="8">
        <v>1358</v>
      </c>
      <c r="AC21" s="11">
        <v>1629.6</v>
      </c>
    </row>
    <row r="22" spans="1:29" ht="17.25" customHeight="1" x14ac:dyDescent="0.25">
      <c r="A22" s="3" t="s">
        <v>31</v>
      </c>
      <c r="B22" s="4">
        <v>18</v>
      </c>
      <c r="C22" s="9" t="s">
        <v>26</v>
      </c>
      <c r="D22" s="6">
        <v>12.9</v>
      </c>
      <c r="E22" s="5" t="s">
        <v>46</v>
      </c>
      <c r="F22" s="5" t="s">
        <v>52</v>
      </c>
      <c r="G22" s="7">
        <v>5432</v>
      </c>
      <c r="H22" s="5" t="s">
        <v>29</v>
      </c>
      <c r="I22" s="8">
        <v>132</v>
      </c>
      <c r="J22" s="8">
        <v>245</v>
      </c>
      <c r="K22" s="8">
        <v>50</v>
      </c>
      <c r="L22" s="8">
        <v>250</v>
      </c>
      <c r="M22" s="8">
        <v>120</v>
      </c>
      <c r="N22" s="8"/>
      <c r="O22" s="8">
        <v>120</v>
      </c>
      <c r="P22" s="8">
        <v>66</v>
      </c>
      <c r="Q22" s="9" t="s">
        <v>41</v>
      </c>
      <c r="R22" s="4">
        <v>295.41000000000003</v>
      </c>
      <c r="S22" s="5">
        <v>343</v>
      </c>
      <c r="T22" s="8">
        <v>240.1</v>
      </c>
      <c r="U22" s="8">
        <v>100</v>
      </c>
      <c r="V22" s="8">
        <v>27</v>
      </c>
      <c r="W22" s="8">
        <v>59</v>
      </c>
      <c r="X22" s="10">
        <v>1409.1</v>
      </c>
      <c r="Y22" s="8">
        <v>706.16</v>
      </c>
      <c r="Z22" s="8">
        <v>1086.4000000000001</v>
      </c>
      <c r="AA22" s="8">
        <v>923.44</v>
      </c>
      <c r="AB22" s="8">
        <v>1358</v>
      </c>
      <c r="AC22" s="11">
        <v>1629.6</v>
      </c>
    </row>
    <row r="23" spans="1:29" ht="17.25" customHeight="1" x14ac:dyDescent="0.25">
      <c r="A23" s="3" t="s">
        <v>31</v>
      </c>
      <c r="B23" s="4">
        <v>18</v>
      </c>
      <c r="C23" s="9" t="s">
        <v>26</v>
      </c>
      <c r="D23" s="6">
        <v>21</v>
      </c>
      <c r="E23" s="5" t="s">
        <v>46</v>
      </c>
      <c r="F23" s="5" t="s">
        <v>53</v>
      </c>
      <c r="G23" s="7">
        <v>5432</v>
      </c>
      <c r="H23" s="5" t="s">
        <v>29</v>
      </c>
      <c r="I23" s="8">
        <v>132</v>
      </c>
      <c r="J23" s="8">
        <v>245</v>
      </c>
      <c r="K23" s="8">
        <v>50</v>
      </c>
      <c r="L23" s="8">
        <v>250</v>
      </c>
      <c r="M23" s="8">
        <v>120</v>
      </c>
      <c r="N23" s="8"/>
      <c r="O23" s="8">
        <v>120</v>
      </c>
      <c r="P23" s="8">
        <v>66</v>
      </c>
      <c r="Q23" s="9" t="s">
        <v>42</v>
      </c>
      <c r="R23" s="4">
        <v>295.41000000000003</v>
      </c>
      <c r="S23" s="5">
        <v>343</v>
      </c>
      <c r="T23" s="8">
        <v>240.1</v>
      </c>
      <c r="U23" s="8">
        <v>100</v>
      </c>
      <c r="V23" s="8">
        <v>27</v>
      </c>
      <c r="W23" s="8">
        <v>59</v>
      </c>
      <c r="X23" s="10">
        <v>1409.1</v>
      </c>
      <c r="Y23" s="8">
        <v>706.16</v>
      </c>
      <c r="Z23" s="8">
        <v>1086.4000000000001</v>
      </c>
      <c r="AA23" s="8">
        <v>923.44</v>
      </c>
      <c r="AB23" s="8">
        <v>1358</v>
      </c>
      <c r="AC23" s="11">
        <v>1629.6</v>
      </c>
    </row>
    <row r="24" spans="1:29" ht="17.25" customHeight="1" x14ac:dyDescent="0.25">
      <c r="A24" s="3" t="s">
        <v>31</v>
      </c>
      <c r="B24" s="4">
        <v>24</v>
      </c>
      <c r="C24" s="9" t="s">
        <v>26</v>
      </c>
      <c r="D24" s="6">
        <v>22</v>
      </c>
      <c r="E24" s="5" t="s">
        <v>47</v>
      </c>
      <c r="F24" s="5" t="s">
        <v>53</v>
      </c>
      <c r="G24" s="7">
        <v>5432</v>
      </c>
      <c r="H24" s="5" t="s">
        <v>29</v>
      </c>
      <c r="I24" s="8">
        <v>132</v>
      </c>
      <c r="J24" s="8">
        <v>245</v>
      </c>
      <c r="K24" s="8">
        <v>50</v>
      </c>
      <c r="L24" s="8">
        <v>250</v>
      </c>
      <c r="M24" s="8">
        <v>120</v>
      </c>
      <c r="N24" s="8"/>
      <c r="O24" s="8">
        <v>120</v>
      </c>
      <c r="P24" s="8">
        <v>66</v>
      </c>
      <c r="Q24" s="9" t="s">
        <v>43</v>
      </c>
      <c r="R24" s="4">
        <v>295.41000000000003</v>
      </c>
      <c r="S24" s="5">
        <v>343</v>
      </c>
      <c r="T24" s="8">
        <v>240.1</v>
      </c>
      <c r="U24" s="8">
        <v>100</v>
      </c>
      <c r="V24" s="8">
        <v>27</v>
      </c>
      <c r="W24" s="8">
        <v>59</v>
      </c>
      <c r="X24" s="10">
        <v>1409.1</v>
      </c>
      <c r="Y24" s="8">
        <v>706.16</v>
      </c>
      <c r="Z24" s="8">
        <v>1086.4000000000001</v>
      </c>
      <c r="AA24" s="8">
        <v>923.44</v>
      </c>
      <c r="AB24" s="8">
        <v>1358</v>
      </c>
      <c r="AC24" s="11">
        <v>1629.6</v>
      </c>
    </row>
    <row r="25" spans="1:29" ht="17.25" customHeight="1" x14ac:dyDescent="0.25">
      <c r="A25" s="3" t="s">
        <v>33</v>
      </c>
      <c r="B25" s="4">
        <v>7</v>
      </c>
      <c r="C25" s="5" t="s">
        <v>22</v>
      </c>
      <c r="D25" s="6">
        <v>23</v>
      </c>
      <c r="E25" s="5" t="s">
        <v>47</v>
      </c>
      <c r="F25" s="5" t="s">
        <v>50</v>
      </c>
      <c r="G25" s="7">
        <v>6778</v>
      </c>
      <c r="H25" s="5" t="s">
        <v>32</v>
      </c>
      <c r="I25" s="8">
        <v>132</v>
      </c>
      <c r="J25" s="8">
        <v>400</v>
      </c>
      <c r="K25" s="8">
        <v>50</v>
      </c>
      <c r="L25" s="8">
        <v>250</v>
      </c>
      <c r="M25" s="8">
        <v>134</v>
      </c>
      <c r="N25" s="8"/>
      <c r="O25" s="8">
        <v>134</v>
      </c>
      <c r="P25" s="8">
        <v>6</v>
      </c>
      <c r="Q25" s="9" t="s">
        <v>40</v>
      </c>
      <c r="R25" s="4">
        <v>295.41000000000003</v>
      </c>
      <c r="S25" s="5">
        <v>377</v>
      </c>
      <c r="T25" s="8">
        <v>263.89999999999998</v>
      </c>
      <c r="U25" s="8">
        <v>100</v>
      </c>
      <c r="V25" s="8">
        <v>28</v>
      </c>
      <c r="W25" s="8">
        <v>60</v>
      </c>
      <c r="X25" s="10">
        <v>1557.9</v>
      </c>
      <c r="Y25" s="8">
        <v>881.14</v>
      </c>
      <c r="Z25" s="8">
        <v>1355.6000000000001</v>
      </c>
      <c r="AA25" s="8">
        <v>1152.26</v>
      </c>
      <c r="AB25" s="8">
        <v>1694.5</v>
      </c>
      <c r="AC25" s="11">
        <v>2033.3999999999999</v>
      </c>
    </row>
    <row r="26" spans="1:29" ht="17.25" customHeight="1" x14ac:dyDescent="0.25">
      <c r="A26" s="3" t="s">
        <v>33</v>
      </c>
      <c r="B26" s="4">
        <v>19</v>
      </c>
      <c r="C26" s="9" t="s">
        <v>22</v>
      </c>
      <c r="D26" s="6">
        <v>12</v>
      </c>
      <c r="E26" s="5" t="s">
        <v>47</v>
      </c>
      <c r="F26" s="5" t="s">
        <v>51</v>
      </c>
      <c r="G26" s="7">
        <v>6778</v>
      </c>
      <c r="H26" s="5" t="s">
        <v>32</v>
      </c>
      <c r="I26" s="8">
        <v>132</v>
      </c>
      <c r="J26" s="8">
        <v>400</v>
      </c>
      <c r="K26" s="8">
        <v>50</v>
      </c>
      <c r="L26" s="8">
        <v>250</v>
      </c>
      <c r="M26" s="8">
        <v>134</v>
      </c>
      <c r="N26" s="8">
        <v>65</v>
      </c>
      <c r="O26" s="8">
        <v>134</v>
      </c>
      <c r="P26" s="8">
        <v>6</v>
      </c>
      <c r="Q26" s="9" t="s">
        <v>41</v>
      </c>
      <c r="R26" s="4">
        <v>295.41000000000003</v>
      </c>
      <c r="S26" s="5">
        <v>377</v>
      </c>
      <c r="T26" s="8">
        <v>263.89999999999998</v>
      </c>
      <c r="U26" s="8">
        <v>100</v>
      </c>
      <c r="V26" s="8">
        <v>28</v>
      </c>
      <c r="W26" s="8">
        <v>60</v>
      </c>
      <c r="X26" s="10">
        <v>1622.9</v>
      </c>
      <c r="Y26" s="8">
        <v>881.14</v>
      </c>
      <c r="Z26" s="8">
        <v>1355.6000000000001</v>
      </c>
      <c r="AA26" s="8">
        <v>1152.26</v>
      </c>
      <c r="AB26" s="8">
        <v>1694.5</v>
      </c>
      <c r="AC26" s="11">
        <v>2033.3999999999999</v>
      </c>
    </row>
    <row r="27" spans="1:29" ht="17.25" customHeight="1" x14ac:dyDescent="0.25">
      <c r="A27" s="3" t="s">
        <v>33</v>
      </c>
      <c r="B27" s="4">
        <v>19</v>
      </c>
      <c r="C27" s="9" t="s">
        <v>22</v>
      </c>
      <c r="D27" s="6">
        <v>13</v>
      </c>
      <c r="E27" s="5" t="s">
        <v>46</v>
      </c>
      <c r="F27" s="5" t="s">
        <v>52</v>
      </c>
      <c r="G27" s="7">
        <v>6778</v>
      </c>
      <c r="H27" s="5" t="s">
        <v>32</v>
      </c>
      <c r="I27" s="8">
        <v>132</v>
      </c>
      <c r="J27" s="8">
        <v>400</v>
      </c>
      <c r="K27" s="8">
        <v>50</v>
      </c>
      <c r="L27" s="8">
        <v>250</v>
      </c>
      <c r="M27" s="8">
        <v>134</v>
      </c>
      <c r="N27" s="8">
        <v>65</v>
      </c>
      <c r="O27" s="8">
        <v>134</v>
      </c>
      <c r="P27" s="8">
        <v>6</v>
      </c>
      <c r="Q27" s="9" t="s">
        <v>42</v>
      </c>
      <c r="R27" s="4">
        <v>295.41000000000003</v>
      </c>
      <c r="S27" s="5">
        <v>377</v>
      </c>
      <c r="T27" s="8">
        <v>263.89999999999998</v>
      </c>
      <c r="U27" s="8">
        <v>100</v>
      </c>
      <c r="V27" s="8">
        <v>28</v>
      </c>
      <c r="W27" s="8">
        <v>60</v>
      </c>
      <c r="X27" s="10">
        <v>1622.9</v>
      </c>
      <c r="Y27" s="8">
        <v>881.14</v>
      </c>
      <c r="Z27" s="8">
        <v>1355.6000000000001</v>
      </c>
      <c r="AA27" s="8">
        <v>1152.26</v>
      </c>
      <c r="AB27" s="8">
        <v>1694.5</v>
      </c>
      <c r="AC27" s="11">
        <v>2033.3999999999999</v>
      </c>
    </row>
    <row r="28" spans="1:29" ht="17.25" customHeight="1" x14ac:dyDescent="0.25">
      <c r="A28" s="3" t="s">
        <v>33</v>
      </c>
      <c r="B28" s="4">
        <v>20</v>
      </c>
      <c r="C28" s="9" t="s">
        <v>22</v>
      </c>
      <c r="D28" s="6">
        <v>14</v>
      </c>
      <c r="E28" s="5" t="s">
        <v>46</v>
      </c>
      <c r="F28" s="5" t="s">
        <v>54</v>
      </c>
      <c r="G28" s="7">
        <v>6778</v>
      </c>
      <c r="H28" s="5" t="s">
        <v>32</v>
      </c>
      <c r="I28" s="8">
        <v>132</v>
      </c>
      <c r="J28" s="8">
        <v>400</v>
      </c>
      <c r="K28" s="8">
        <v>50</v>
      </c>
      <c r="L28" s="8">
        <v>250</v>
      </c>
      <c r="M28" s="8">
        <v>134</v>
      </c>
      <c r="N28" s="8">
        <v>65</v>
      </c>
      <c r="O28" s="8">
        <v>134</v>
      </c>
      <c r="P28" s="8">
        <v>6</v>
      </c>
      <c r="Q28" s="9" t="s">
        <v>43</v>
      </c>
      <c r="R28" s="4">
        <v>295.41000000000003</v>
      </c>
      <c r="S28" s="5">
        <v>377</v>
      </c>
      <c r="T28" s="8">
        <v>263.89999999999998</v>
      </c>
      <c r="U28" s="8">
        <v>100</v>
      </c>
      <c r="V28" s="8">
        <v>28</v>
      </c>
      <c r="W28" s="8">
        <v>60</v>
      </c>
      <c r="X28" s="10">
        <v>1622.9</v>
      </c>
      <c r="Y28" s="8">
        <v>881.14</v>
      </c>
      <c r="Z28" s="8">
        <v>1355.6000000000001</v>
      </c>
      <c r="AA28" s="8">
        <v>1152.26</v>
      </c>
      <c r="AB28" s="8">
        <v>1694.5</v>
      </c>
      <c r="AC28" s="11">
        <v>2033.3999999999999</v>
      </c>
    </row>
    <row r="29" spans="1:29" ht="17.25" customHeight="1" x14ac:dyDescent="0.25">
      <c r="A29" s="3" t="s">
        <v>33</v>
      </c>
      <c r="B29" s="4">
        <v>21</v>
      </c>
      <c r="C29" s="9" t="s">
        <v>22</v>
      </c>
      <c r="D29" s="6">
        <v>15</v>
      </c>
      <c r="E29" s="5" t="s">
        <v>46</v>
      </c>
      <c r="F29" s="5" t="s">
        <v>49</v>
      </c>
      <c r="G29" s="7">
        <v>6778</v>
      </c>
      <c r="H29" s="5" t="s">
        <v>32</v>
      </c>
      <c r="I29" s="8">
        <v>132</v>
      </c>
      <c r="J29" s="8">
        <v>400</v>
      </c>
      <c r="K29" s="8">
        <v>50</v>
      </c>
      <c r="L29" s="8">
        <v>250</v>
      </c>
      <c r="M29" s="8">
        <v>134</v>
      </c>
      <c r="N29" s="8">
        <v>65</v>
      </c>
      <c r="O29" s="8">
        <v>134</v>
      </c>
      <c r="P29" s="8">
        <v>6</v>
      </c>
      <c r="Q29" s="9" t="s">
        <v>40</v>
      </c>
      <c r="R29" s="4">
        <v>295.41000000000003</v>
      </c>
      <c r="S29" s="5">
        <v>377</v>
      </c>
      <c r="T29" s="8">
        <v>263.89999999999998</v>
      </c>
      <c r="U29" s="8">
        <v>100</v>
      </c>
      <c r="V29" s="8">
        <v>28</v>
      </c>
      <c r="W29" s="8">
        <v>60</v>
      </c>
      <c r="X29" s="10">
        <v>1622.9</v>
      </c>
      <c r="Y29" s="8">
        <v>881.14</v>
      </c>
      <c r="Z29" s="8">
        <v>1355.6000000000001</v>
      </c>
      <c r="AA29" s="8">
        <v>1152.26</v>
      </c>
      <c r="AB29" s="8">
        <v>1694.5</v>
      </c>
      <c r="AC29" s="11">
        <v>2033.3999999999999</v>
      </c>
    </row>
    <row r="30" spans="1:29" ht="17.25" customHeight="1" x14ac:dyDescent="0.25">
      <c r="A30" s="3" t="s">
        <v>33</v>
      </c>
      <c r="B30" s="4">
        <v>25</v>
      </c>
      <c r="C30" s="9" t="s">
        <v>22</v>
      </c>
      <c r="D30" s="6">
        <v>16</v>
      </c>
      <c r="E30" s="5" t="s">
        <v>46</v>
      </c>
      <c r="F30" s="5" t="s">
        <v>54</v>
      </c>
      <c r="G30" s="7">
        <v>6778</v>
      </c>
      <c r="H30" s="5" t="s">
        <v>32</v>
      </c>
      <c r="I30" s="8">
        <v>132</v>
      </c>
      <c r="J30" s="8">
        <v>400</v>
      </c>
      <c r="K30" s="8">
        <v>50</v>
      </c>
      <c r="L30" s="8">
        <v>250</v>
      </c>
      <c r="M30" s="8">
        <v>134</v>
      </c>
      <c r="N30" s="8">
        <v>65</v>
      </c>
      <c r="O30" s="8">
        <v>134</v>
      </c>
      <c r="P30" s="8">
        <v>6</v>
      </c>
      <c r="Q30" s="9" t="s">
        <v>41</v>
      </c>
      <c r="R30" s="4">
        <v>295.41000000000003</v>
      </c>
      <c r="S30" s="5">
        <v>377</v>
      </c>
      <c r="T30" s="8">
        <v>263.89999999999998</v>
      </c>
      <c r="U30" s="8">
        <v>100</v>
      </c>
      <c r="V30" s="8">
        <v>28</v>
      </c>
      <c r="W30" s="8">
        <v>60</v>
      </c>
      <c r="X30" s="10">
        <v>1622.9</v>
      </c>
      <c r="Y30" s="8">
        <v>881.14</v>
      </c>
      <c r="Z30" s="8">
        <v>1355.6000000000001</v>
      </c>
      <c r="AA30" s="8">
        <v>1152.26</v>
      </c>
      <c r="AB30" s="8">
        <v>1694.5</v>
      </c>
      <c r="AC30" s="11">
        <v>2033.3999999999999</v>
      </c>
    </row>
    <row r="31" spans="1:29" ht="17.25" customHeight="1" x14ac:dyDescent="0.25">
      <c r="A31" s="3" t="s">
        <v>33</v>
      </c>
      <c r="B31" s="4">
        <v>7</v>
      </c>
      <c r="C31" s="5" t="s">
        <v>22</v>
      </c>
      <c r="D31" s="6">
        <v>23</v>
      </c>
      <c r="E31" s="5" t="s">
        <v>47</v>
      </c>
      <c r="F31" s="5" t="s">
        <v>50</v>
      </c>
      <c r="G31" s="7">
        <v>6778</v>
      </c>
      <c r="H31" s="5" t="s">
        <v>32</v>
      </c>
      <c r="I31" s="8">
        <v>132</v>
      </c>
      <c r="J31" s="8">
        <v>400</v>
      </c>
      <c r="K31" s="8">
        <v>50</v>
      </c>
      <c r="L31" s="8">
        <v>250</v>
      </c>
      <c r="M31" s="8">
        <v>134</v>
      </c>
      <c r="N31" s="8"/>
      <c r="O31" s="8">
        <v>134</v>
      </c>
      <c r="P31" s="8">
        <v>6</v>
      </c>
      <c r="Q31" s="9" t="s">
        <v>42</v>
      </c>
      <c r="R31" s="4">
        <v>295.41000000000003</v>
      </c>
      <c r="S31" s="5">
        <v>377</v>
      </c>
      <c r="T31" s="8">
        <v>263.89999999999998</v>
      </c>
      <c r="U31" s="8">
        <v>100</v>
      </c>
      <c r="V31" s="8">
        <v>28</v>
      </c>
      <c r="W31" s="8">
        <v>60</v>
      </c>
      <c r="X31" s="10">
        <v>1557.9</v>
      </c>
      <c r="Y31" s="8">
        <v>881.14</v>
      </c>
      <c r="Z31" s="8">
        <v>1355.6000000000001</v>
      </c>
      <c r="AA31" s="8">
        <v>1152.26</v>
      </c>
      <c r="AB31" s="8">
        <v>1694.5</v>
      </c>
      <c r="AC31" s="11">
        <v>2033.3999999999999</v>
      </c>
    </row>
    <row r="32" spans="1:29" ht="17.25" customHeight="1" x14ac:dyDescent="0.25">
      <c r="A32" s="3" t="s">
        <v>33</v>
      </c>
      <c r="B32" s="4">
        <v>19</v>
      </c>
      <c r="C32" s="9" t="s">
        <v>22</v>
      </c>
      <c r="D32" s="6">
        <v>12</v>
      </c>
      <c r="E32" s="5" t="s">
        <v>47</v>
      </c>
      <c r="F32" s="5" t="s">
        <v>51</v>
      </c>
      <c r="G32" s="7">
        <v>6778</v>
      </c>
      <c r="H32" s="5" t="s">
        <v>32</v>
      </c>
      <c r="I32" s="8">
        <v>132</v>
      </c>
      <c r="J32" s="8">
        <v>400</v>
      </c>
      <c r="K32" s="8">
        <v>50</v>
      </c>
      <c r="L32" s="8">
        <v>250</v>
      </c>
      <c r="M32" s="8">
        <v>134</v>
      </c>
      <c r="N32" s="8">
        <v>65</v>
      </c>
      <c r="O32" s="8">
        <v>134</v>
      </c>
      <c r="P32" s="8">
        <v>6</v>
      </c>
      <c r="Q32" s="9" t="s">
        <v>43</v>
      </c>
      <c r="R32" s="4">
        <v>295.41000000000003</v>
      </c>
      <c r="S32" s="5">
        <v>377</v>
      </c>
      <c r="T32" s="8">
        <v>263.89999999999998</v>
      </c>
      <c r="U32" s="8">
        <v>100</v>
      </c>
      <c r="V32" s="8">
        <v>28</v>
      </c>
      <c r="W32" s="8">
        <v>60</v>
      </c>
      <c r="X32" s="10">
        <v>1622.9</v>
      </c>
      <c r="Y32" s="8">
        <v>881.14</v>
      </c>
      <c r="Z32" s="8">
        <v>1355.6000000000001</v>
      </c>
      <c r="AA32" s="8">
        <v>1152.26</v>
      </c>
      <c r="AB32" s="8">
        <v>1694.5</v>
      </c>
      <c r="AC32" s="11">
        <v>2033.3999999999999</v>
      </c>
    </row>
    <row r="33" spans="1:29" ht="17.25" customHeight="1" x14ac:dyDescent="0.25">
      <c r="A33" s="3" t="s">
        <v>33</v>
      </c>
      <c r="B33" s="4">
        <v>19</v>
      </c>
      <c r="C33" s="9" t="s">
        <v>22</v>
      </c>
      <c r="D33" s="6">
        <v>13</v>
      </c>
      <c r="E33" s="5" t="s">
        <v>46</v>
      </c>
      <c r="F33" s="5" t="s">
        <v>52</v>
      </c>
      <c r="G33" s="7">
        <v>6778</v>
      </c>
      <c r="H33" s="5" t="s">
        <v>32</v>
      </c>
      <c r="I33" s="8">
        <v>132</v>
      </c>
      <c r="J33" s="8">
        <v>400</v>
      </c>
      <c r="K33" s="8">
        <v>50</v>
      </c>
      <c r="L33" s="8">
        <v>250</v>
      </c>
      <c r="M33" s="8">
        <v>134</v>
      </c>
      <c r="N33" s="8">
        <v>65</v>
      </c>
      <c r="O33" s="8">
        <v>134</v>
      </c>
      <c r="P33" s="8">
        <v>6</v>
      </c>
      <c r="Q33" s="9" t="s">
        <v>40</v>
      </c>
      <c r="R33" s="4">
        <v>295.41000000000003</v>
      </c>
      <c r="S33" s="5">
        <v>377</v>
      </c>
      <c r="T33" s="8">
        <v>263.89999999999998</v>
      </c>
      <c r="U33" s="8">
        <v>100</v>
      </c>
      <c r="V33" s="8">
        <v>28</v>
      </c>
      <c r="W33" s="8">
        <v>60</v>
      </c>
      <c r="X33" s="10">
        <v>1622.9</v>
      </c>
      <c r="Y33" s="8">
        <v>881.14</v>
      </c>
      <c r="Z33" s="8">
        <v>1355.6000000000001</v>
      </c>
      <c r="AA33" s="8">
        <v>1152.26</v>
      </c>
      <c r="AB33" s="8">
        <v>1694.5</v>
      </c>
      <c r="AC33" s="11">
        <v>2033.3999999999999</v>
      </c>
    </row>
    <row r="34" spans="1:29" ht="17.25" customHeight="1" x14ac:dyDescent="0.25">
      <c r="A34" s="3" t="s">
        <v>33</v>
      </c>
      <c r="B34" s="4">
        <v>20</v>
      </c>
      <c r="C34" s="9" t="s">
        <v>22</v>
      </c>
      <c r="D34" s="6">
        <v>14</v>
      </c>
      <c r="E34" s="5" t="s">
        <v>46</v>
      </c>
      <c r="F34" s="5" t="s">
        <v>54</v>
      </c>
      <c r="G34" s="7">
        <v>6778</v>
      </c>
      <c r="H34" s="5" t="s">
        <v>32</v>
      </c>
      <c r="I34" s="8">
        <v>132</v>
      </c>
      <c r="J34" s="8">
        <v>400</v>
      </c>
      <c r="K34" s="8">
        <v>50</v>
      </c>
      <c r="L34" s="8">
        <v>250</v>
      </c>
      <c r="M34" s="8">
        <v>134</v>
      </c>
      <c r="N34" s="8">
        <v>65</v>
      </c>
      <c r="O34" s="8">
        <v>134</v>
      </c>
      <c r="P34" s="8">
        <v>6</v>
      </c>
      <c r="Q34" s="9" t="s">
        <v>41</v>
      </c>
      <c r="R34" s="4">
        <v>295.41000000000003</v>
      </c>
      <c r="S34" s="5">
        <v>377</v>
      </c>
      <c r="T34" s="8">
        <v>263.89999999999998</v>
      </c>
      <c r="U34" s="8">
        <v>100</v>
      </c>
      <c r="V34" s="8">
        <v>28</v>
      </c>
      <c r="W34" s="8">
        <v>60</v>
      </c>
      <c r="X34" s="10">
        <v>1622.9</v>
      </c>
      <c r="Y34" s="8">
        <v>881.14</v>
      </c>
      <c r="Z34" s="8">
        <v>1355.6000000000001</v>
      </c>
      <c r="AA34" s="8">
        <v>1152.26</v>
      </c>
      <c r="AB34" s="8">
        <v>1694.5</v>
      </c>
      <c r="AC34" s="11">
        <v>2033.3999999999999</v>
      </c>
    </row>
    <row r="35" spans="1:29" ht="17.25" customHeight="1" x14ac:dyDescent="0.25">
      <c r="A35" s="3" t="s">
        <v>33</v>
      </c>
      <c r="B35" s="4">
        <v>21</v>
      </c>
      <c r="C35" s="9" t="s">
        <v>22</v>
      </c>
      <c r="D35" s="6">
        <v>15</v>
      </c>
      <c r="E35" s="5" t="s">
        <v>46</v>
      </c>
      <c r="F35" s="5" t="s">
        <v>49</v>
      </c>
      <c r="G35" s="7">
        <v>6778</v>
      </c>
      <c r="H35" s="5" t="s">
        <v>32</v>
      </c>
      <c r="I35" s="8">
        <v>132</v>
      </c>
      <c r="J35" s="8">
        <v>400</v>
      </c>
      <c r="K35" s="8">
        <v>50</v>
      </c>
      <c r="L35" s="8">
        <v>250</v>
      </c>
      <c r="M35" s="8">
        <v>134</v>
      </c>
      <c r="N35" s="8">
        <v>65</v>
      </c>
      <c r="O35" s="8">
        <v>134</v>
      </c>
      <c r="P35" s="8">
        <v>6</v>
      </c>
      <c r="Q35" s="9" t="s">
        <v>42</v>
      </c>
      <c r="R35" s="4">
        <v>295.41000000000003</v>
      </c>
      <c r="S35" s="5">
        <v>377</v>
      </c>
      <c r="T35" s="8">
        <v>263.89999999999998</v>
      </c>
      <c r="U35" s="8">
        <v>100</v>
      </c>
      <c r="V35" s="8">
        <v>28</v>
      </c>
      <c r="W35" s="8">
        <v>60</v>
      </c>
      <c r="X35" s="10">
        <v>1622.9</v>
      </c>
      <c r="Y35" s="8">
        <v>881.14</v>
      </c>
      <c r="Z35" s="8">
        <v>1355.6000000000001</v>
      </c>
      <c r="AA35" s="8">
        <v>1152.26</v>
      </c>
      <c r="AB35" s="8">
        <v>1694.5</v>
      </c>
      <c r="AC35" s="11">
        <v>2033.3999999999999</v>
      </c>
    </row>
    <row r="36" spans="1:29" ht="17.25" customHeight="1" x14ac:dyDescent="0.25">
      <c r="A36" s="3" t="s">
        <v>33</v>
      </c>
      <c r="B36" s="4">
        <v>25</v>
      </c>
      <c r="C36" s="9" t="s">
        <v>22</v>
      </c>
      <c r="D36" s="6">
        <v>16</v>
      </c>
      <c r="E36" s="5" t="s">
        <v>46</v>
      </c>
      <c r="F36" s="5" t="s">
        <v>54</v>
      </c>
      <c r="G36" s="7">
        <v>6778</v>
      </c>
      <c r="H36" s="5" t="s">
        <v>32</v>
      </c>
      <c r="I36" s="8">
        <v>132</v>
      </c>
      <c r="J36" s="8">
        <v>400</v>
      </c>
      <c r="K36" s="8">
        <v>50</v>
      </c>
      <c r="L36" s="8">
        <v>250</v>
      </c>
      <c r="M36" s="8">
        <v>134</v>
      </c>
      <c r="N36" s="8">
        <v>65</v>
      </c>
      <c r="O36" s="8">
        <v>134</v>
      </c>
      <c r="P36" s="8">
        <v>6</v>
      </c>
      <c r="Q36" s="9" t="s">
        <v>43</v>
      </c>
      <c r="R36" s="4">
        <v>295.41000000000003</v>
      </c>
      <c r="S36" s="5">
        <v>377</v>
      </c>
      <c r="T36" s="8">
        <v>263.89999999999998</v>
      </c>
      <c r="U36" s="8">
        <v>100</v>
      </c>
      <c r="V36" s="8">
        <v>28</v>
      </c>
      <c r="W36" s="8">
        <v>60</v>
      </c>
      <c r="X36" s="10">
        <v>1622.9</v>
      </c>
      <c r="Y36" s="8">
        <v>881.14</v>
      </c>
      <c r="Z36" s="8">
        <v>1355.6000000000001</v>
      </c>
      <c r="AA36" s="8">
        <v>1152.26</v>
      </c>
      <c r="AB36" s="8">
        <v>1694.5</v>
      </c>
      <c r="AC36" s="11">
        <v>2033.3999999999999</v>
      </c>
    </row>
    <row r="37" spans="1:29" ht="17.25" customHeight="1" x14ac:dyDescent="0.25">
      <c r="A37" s="3" t="s">
        <v>35</v>
      </c>
      <c r="B37" s="4">
        <v>8</v>
      </c>
      <c r="C37" s="5" t="s">
        <v>24</v>
      </c>
      <c r="D37" s="6">
        <v>17</v>
      </c>
      <c r="E37" s="5" t="s">
        <v>46</v>
      </c>
      <c r="F37" s="5" t="s">
        <v>53</v>
      </c>
      <c r="G37" s="7">
        <v>6543</v>
      </c>
      <c r="H37" s="5" t="s">
        <v>32</v>
      </c>
      <c r="I37" s="8">
        <v>132</v>
      </c>
      <c r="J37" s="8">
        <v>400</v>
      </c>
      <c r="K37" s="8">
        <v>50</v>
      </c>
      <c r="L37" s="8">
        <v>250</v>
      </c>
      <c r="M37" s="8">
        <v>121</v>
      </c>
      <c r="N37" s="8"/>
      <c r="O37" s="8">
        <v>51</v>
      </c>
      <c r="P37" s="8">
        <v>51</v>
      </c>
      <c r="Q37" s="9" t="s">
        <v>40</v>
      </c>
      <c r="R37" s="4">
        <v>295.41000000000003</v>
      </c>
      <c r="S37" s="5">
        <v>389</v>
      </c>
      <c r="T37" s="8">
        <v>272.29999999999995</v>
      </c>
      <c r="U37" s="8">
        <v>100</v>
      </c>
      <c r="V37" s="8">
        <v>29</v>
      </c>
      <c r="W37" s="8">
        <v>61</v>
      </c>
      <c r="X37" s="10">
        <v>1517.3</v>
      </c>
      <c r="Y37" s="8">
        <v>850.59</v>
      </c>
      <c r="Z37" s="8">
        <v>1308.6000000000001</v>
      </c>
      <c r="AA37" s="8">
        <v>1112.3100000000002</v>
      </c>
      <c r="AB37" s="8">
        <v>1635.75</v>
      </c>
      <c r="AC37" s="11">
        <v>1962.8999999999999</v>
      </c>
    </row>
    <row r="38" spans="1:29" ht="17.25" customHeight="1" x14ac:dyDescent="0.25">
      <c r="A38" s="3" t="s">
        <v>35</v>
      </c>
      <c r="B38" s="4">
        <v>20</v>
      </c>
      <c r="C38" s="9" t="s">
        <v>24</v>
      </c>
      <c r="D38" s="6">
        <v>18</v>
      </c>
      <c r="E38" s="5" t="s">
        <v>46</v>
      </c>
      <c r="F38" s="5" t="s">
        <v>49</v>
      </c>
      <c r="G38" s="7">
        <v>6543</v>
      </c>
      <c r="H38" s="5" t="s">
        <v>32</v>
      </c>
      <c r="I38" s="8">
        <v>132</v>
      </c>
      <c r="J38" s="8">
        <v>400</v>
      </c>
      <c r="K38" s="8">
        <v>50</v>
      </c>
      <c r="L38" s="8">
        <v>250</v>
      </c>
      <c r="M38" s="8">
        <v>121</v>
      </c>
      <c r="N38" s="8"/>
      <c r="O38" s="8">
        <v>51</v>
      </c>
      <c r="P38" s="8">
        <v>51</v>
      </c>
      <c r="Q38" s="9" t="s">
        <v>41</v>
      </c>
      <c r="R38" s="4">
        <v>295.41000000000003</v>
      </c>
      <c r="S38" s="5">
        <v>389</v>
      </c>
      <c r="T38" s="8">
        <v>272.29999999999995</v>
      </c>
      <c r="U38" s="8">
        <v>100</v>
      </c>
      <c r="V38" s="8">
        <v>29</v>
      </c>
      <c r="W38" s="8">
        <v>61</v>
      </c>
      <c r="X38" s="10">
        <v>1517.3</v>
      </c>
      <c r="Y38" s="8">
        <v>850.59</v>
      </c>
      <c r="Z38" s="8">
        <v>1308.6000000000001</v>
      </c>
      <c r="AA38" s="8">
        <v>1112.3100000000002</v>
      </c>
      <c r="AB38" s="8">
        <v>1635.75</v>
      </c>
      <c r="AC38" s="11">
        <v>1962.8999999999999</v>
      </c>
    </row>
    <row r="39" spans="1:29" ht="17.25" customHeight="1" x14ac:dyDescent="0.25">
      <c r="A39" s="3" t="s">
        <v>35</v>
      </c>
      <c r="B39" s="4">
        <v>22</v>
      </c>
      <c r="C39" s="9" t="s">
        <v>24</v>
      </c>
      <c r="D39" s="6">
        <v>12.9</v>
      </c>
      <c r="E39" s="5" t="s">
        <v>46</v>
      </c>
      <c r="F39" s="5" t="s">
        <v>50</v>
      </c>
      <c r="G39" s="7">
        <v>6543</v>
      </c>
      <c r="H39" s="5" t="s">
        <v>32</v>
      </c>
      <c r="I39" s="8">
        <v>132</v>
      </c>
      <c r="J39" s="8">
        <v>400</v>
      </c>
      <c r="K39" s="8">
        <v>50</v>
      </c>
      <c r="L39" s="8">
        <v>250</v>
      </c>
      <c r="M39" s="8">
        <v>121</v>
      </c>
      <c r="N39" s="8">
        <v>33</v>
      </c>
      <c r="O39" s="8">
        <v>51</v>
      </c>
      <c r="P39" s="8">
        <v>51</v>
      </c>
      <c r="Q39" s="9" t="s">
        <v>42</v>
      </c>
      <c r="R39" s="4">
        <v>295.41000000000003</v>
      </c>
      <c r="S39" s="5">
        <v>389</v>
      </c>
      <c r="T39" s="8">
        <v>272.29999999999995</v>
      </c>
      <c r="U39" s="8">
        <v>100</v>
      </c>
      <c r="V39" s="8">
        <v>29</v>
      </c>
      <c r="W39" s="8">
        <v>61</v>
      </c>
      <c r="X39" s="10">
        <v>1550.3</v>
      </c>
      <c r="Y39" s="8">
        <v>850.59</v>
      </c>
      <c r="Z39" s="8">
        <v>1308.6000000000001</v>
      </c>
      <c r="AA39" s="8">
        <v>1112.3100000000002</v>
      </c>
      <c r="AB39" s="8">
        <v>1635.75</v>
      </c>
      <c r="AC39" s="11">
        <v>1962.8999999999999</v>
      </c>
    </row>
    <row r="40" spans="1:29" ht="17.25" customHeight="1" x14ac:dyDescent="0.25">
      <c r="A40" s="3" t="s">
        <v>35</v>
      </c>
      <c r="B40" s="4">
        <v>23</v>
      </c>
      <c r="C40" s="9" t="s">
        <v>24</v>
      </c>
      <c r="D40" s="6">
        <v>12.9</v>
      </c>
      <c r="E40" s="5" t="s">
        <v>46</v>
      </c>
      <c r="F40" s="5" t="s">
        <v>51</v>
      </c>
      <c r="G40" s="7">
        <v>6543</v>
      </c>
      <c r="H40" s="5" t="s">
        <v>32</v>
      </c>
      <c r="I40" s="8">
        <v>132</v>
      </c>
      <c r="J40" s="8">
        <v>400</v>
      </c>
      <c r="K40" s="8">
        <v>50</v>
      </c>
      <c r="L40" s="8">
        <v>250</v>
      </c>
      <c r="M40" s="8">
        <v>121</v>
      </c>
      <c r="N40" s="8">
        <v>33</v>
      </c>
      <c r="O40" s="8">
        <v>51</v>
      </c>
      <c r="P40" s="8">
        <v>51</v>
      </c>
      <c r="Q40" s="9" t="s">
        <v>43</v>
      </c>
      <c r="R40" s="4">
        <v>295.41000000000003</v>
      </c>
      <c r="S40" s="5">
        <v>389</v>
      </c>
      <c r="T40" s="8">
        <v>272.29999999999995</v>
      </c>
      <c r="U40" s="8">
        <v>100</v>
      </c>
      <c r="V40" s="8">
        <v>29</v>
      </c>
      <c r="W40" s="8">
        <v>61</v>
      </c>
      <c r="X40" s="10">
        <v>1550.3</v>
      </c>
      <c r="Y40" s="8">
        <v>850.59</v>
      </c>
      <c r="Z40" s="8">
        <v>1308.6000000000001</v>
      </c>
      <c r="AA40" s="8">
        <v>1112.3100000000002</v>
      </c>
      <c r="AB40" s="8">
        <v>1635.75</v>
      </c>
      <c r="AC40" s="11">
        <v>1962.8999999999999</v>
      </c>
    </row>
    <row r="41" spans="1:29" ht="17.25" customHeight="1" x14ac:dyDescent="0.25">
      <c r="A41" s="3" t="s">
        <v>36</v>
      </c>
      <c r="B41" s="4">
        <v>25</v>
      </c>
      <c r="C41" s="9" t="s">
        <v>22</v>
      </c>
      <c r="D41" s="6">
        <v>12.9</v>
      </c>
      <c r="E41" s="5" t="s">
        <v>46</v>
      </c>
      <c r="F41" s="5" t="s">
        <v>51</v>
      </c>
      <c r="G41" s="7">
        <v>8633</v>
      </c>
      <c r="H41" s="5" t="s">
        <v>32</v>
      </c>
      <c r="I41" s="8">
        <v>132</v>
      </c>
      <c r="J41" s="8">
        <v>400</v>
      </c>
      <c r="K41" s="8">
        <v>50</v>
      </c>
      <c r="L41" s="8">
        <v>250</v>
      </c>
      <c r="M41" s="8">
        <v>134</v>
      </c>
      <c r="N41" s="8"/>
      <c r="O41" s="8">
        <v>134</v>
      </c>
      <c r="P41" s="8">
        <v>6</v>
      </c>
      <c r="Q41" s="9" t="s">
        <v>42</v>
      </c>
      <c r="R41" s="4">
        <v>295.41000000000003</v>
      </c>
      <c r="S41" s="5">
        <v>234</v>
      </c>
      <c r="T41" s="8">
        <v>163.79999999999998</v>
      </c>
      <c r="U41" s="8">
        <v>100</v>
      </c>
      <c r="V41" s="8">
        <v>23</v>
      </c>
      <c r="W41" s="8">
        <v>55</v>
      </c>
      <c r="X41" s="10">
        <v>1447.8</v>
      </c>
      <c r="Y41" s="8">
        <v>1122.29</v>
      </c>
      <c r="Z41" s="8">
        <v>1726.6000000000001</v>
      </c>
      <c r="AA41" s="8">
        <v>1467.6100000000001</v>
      </c>
      <c r="AB41" s="8">
        <v>2158.25</v>
      </c>
      <c r="AC41" s="11">
        <v>2589.9</v>
      </c>
    </row>
    <row r="42" spans="1:29" ht="17.25" customHeight="1" x14ac:dyDescent="0.25">
      <c r="A42" s="3" t="s">
        <v>36</v>
      </c>
      <c r="B42" s="4">
        <v>26</v>
      </c>
      <c r="C42" s="9" t="s">
        <v>22</v>
      </c>
      <c r="D42" s="6">
        <v>18</v>
      </c>
      <c r="E42" s="5" t="s">
        <v>46</v>
      </c>
      <c r="F42" s="5" t="s">
        <v>52</v>
      </c>
      <c r="G42" s="7">
        <v>8633</v>
      </c>
      <c r="H42" s="5" t="s">
        <v>32</v>
      </c>
      <c r="I42" s="8">
        <v>132</v>
      </c>
      <c r="J42" s="8">
        <v>400</v>
      </c>
      <c r="K42" s="8">
        <v>50</v>
      </c>
      <c r="L42" s="8">
        <v>250</v>
      </c>
      <c r="M42" s="8">
        <v>134</v>
      </c>
      <c r="N42" s="8"/>
      <c r="O42" s="8">
        <v>134</v>
      </c>
      <c r="P42" s="8">
        <v>6</v>
      </c>
      <c r="Q42" s="9" t="s">
        <v>42</v>
      </c>
      <c r="R42" s="4">
        <v>295.41000000000003</v>
      </c>
      <c r="S42" s="5">
        <v>234</v>
      </c>
      <c r="T42" s="8">
        <v>163.79999999999998</v>
      </c>
      <c r="U42" s="8">
        <v>100</v>
      </c>
      <c r="V42" s="8">
        <v>23</v>
      </c>
      <c r="W42" s="8">
        <v>55</v>
      </c>
      <c r="X42" s="10">
        <v>1447.8</v>
      </c>
      <c r="Y42" s="8">
        <v>1122.29</v>
      </c>
      <c r="Z42" s="8">
        <v>1726.6000000000001</v>
      </c>
      <c r="AA42" s="8">
        <v>1467.6100000000001</v>
      </c>
      <c r="AB42" s="8">
        <v>2158.25</v>
      </c>
      <c r="AC42" s="11">
        <v>2589.9</v>
      </c>
    </row>
    <row r="43" spans="1:29" ht="17.25" customHeight="1" x14ac:dyDescent="0.25">
      <c r="A43" s="3" t="s">
        <v>36</v>
      </c>
      <c r="B43" s="4">
        <v>27</v>
      </c>
      <c r="C43" s="9" t="s">
        <v>22</v>
      </c>
      <c r="D43" s="6">
        <v>19</v>
      </c>
      <c r="E43" s="5" t="s">
        <v>46</v>
      </c>
      <c r="F43" s="5" t="s">
        <v>54</v>
      </c>
      <c r="G43" s="7">
        <v>8633</v>
      </c>
      <c r="H43" s="5" t="s">
        <v>32</v>
      </c>
      <c r="I43" s="8">
        <v>132</v>
      </c>
      <c r="J43" s="8">
        <v>400</v>
      </c>
      <c r="K43" s="8">
        <v>50</v>
      </c>
      <c r="L43" s="8">
        <v>250</v>
      </c>
      <c r="M43" s="8">
        <v>134</v>
      </c>
      <c r="N43" s="8"/>
      <c r="O43" s="8">
        <v>134</v>
      </c>
      <c r="P43" s="8">
        <v>6</v>
      </c>
      <c r="Q43" s="9" t="s">
        <v>42</v>
      </c>
      <c r="R43" s="4">
        <v>295.41000000000003</v>
      </c>
      <c r="S43" s="5">
        <v>234</v>
      </c>
      <c r="T43" s="8">
        <v>163.79999999999998</v>
      </c>
      <c r="U43" s="8">
        <v>100</v>
      </c>
      <c r="V43" s="8">
        <v>23</v>
      </c>
      <c r="W43" s="8">
        <v>55</v>
      </c>
      <c r="X43" s="10">
        <v>1447.8</v>
      </c>
      <c r="Y43" s="8">
        <v>1122.29</v>
      </c>
      <c r="Z43" s="8">
        <v>1726.6000000000001</v>
      </c>
      <c r="AA43" s="8">
        <v>1467.6100000000001</v>
      </c>
      <c r="AB43" s="8">
        <v>2158.25</v>
      </c>
      <c r="AC43" s="11">
        <v>2589.9</v>
      </c>
    </row>
    <row r="44" spans="1:29" ht="17.25" customHeight="1" x14ac:dyDescent="0.25">
      <c r="A44" s="3" t="s">
        <v>36</v>
      </c>
      <c r="B44" s="4">
        <v>27</v>
      </c>
      <c r="C44" s="9" t="s">
        <v>22</v>
      </c>
      <c r="D44" s="6">
        <v>20</v>
      </c>
      <c r="E44" s="5" t="s">
        <v>46</v>
      </c>
      <c r="F44" s="5" t="s">
        <v>54</v>
      </c>
      <c r="G44" s="7">
        <v>8633</v>
      </c>
      <c r="H44" s="5" t="s">
        <v>32</v>
      </c>
      <c r="I44" s="8">
        <v>132</v>
      </c>
      <c r="J44" s="8">
        <v>400</v>
      </c>
      <c r="K44" s="8">
        <v>50</v>
      </c>
      <c r="L44" s="8">
        <v>250</v>
      </c>
      <c r="M44" s="8">
        <v>134</v>
      </c>
      <c r="N44" s="8"/>
      <c r="O44" s="8">
        <v>134</v>
      </c>
      <c r="P44" s="8">
        <v>6</v>
      </c>
      <c r="Q44" s="9" t="s">
        <v>42</v>
      </c>
      <c r="R44" s="4">
        <v>295.41000000000003</v>
      </c>
      <c r="S44" s="5">
        <v>234</v>
      </c>
      <c r="T44" s="8">
        <v>163.79999999999998</v>
      </c>
      <c r="U44" s="8">
        <v>100</v>
      </c>
      <c r="V44" s="8">
        <v>23</v>
      </c>
      <c r="W44" s="8">
        <v>55</v>
      </c>
      <c r="X44" s="10">
        <v>1447.8</v>
      </c>
      <c r="Y44" s="8">
        <v>1122.29</v>
      </c>
      <c r="Z44" s="8">
        <v>1726.6000000000001</v>
      </c>
      <c r="AA44" s="8">
        <v>1467.6100000000001</v>
      </c>
      <c r="AB44" s="8">
        <v>2158.25</v>
      </c>
      <c r="AC44" s="11">
        <v>2589.9</v>
      </c>
    </row>
    <row r="45" spans="1:29" ht="17.25" customHeight="1" x14ac:dyDescent="0.25">
      <c r="A45" s="3" t="s">
        <v>37</v>
      </c>
      <c r="B45" s="4">
        <v>1</v>
      </c>
      <c r="C45" s="9" t="s">
        <v>22</v>
      </c>
      <c r="D45" s="6">
        <v>21</v>
      </c>
      <c r="E45" s="5" t="s">
        <v>46</v>
      </c>
      <c r="F45" s="5" t="s">
        <v>54</v>
      </c>
      <c r="G45" s="7">
        <v>5556</v>
      </c>
      <c r="H45" s="5" t="s">
        <v>27</v>
      </c>
      <c r="I45" s="8">
        <v>132</v>
      </c>
      <c r="J45" s="8">
        <v>400</v>
      </c>
      <c r="K45" s="8">
        <v>50</v>
      </c>
      <c r="L45" s="8">
        <v>250</v>
      </c>
      <c r="M45" s="8">
        <v>120</v>
      </c>
      <c r="N45" s="8">
        <v>65</v>
      </c>
      <c r="O45" s="8">
        <v>134</v>
      </c>
      <c r="P45" s="8">
        <v>6</v>
      </c>
      <c r="Q45" s="9" t="s">
        <v>40</v>
      </c>
      <c r="R45" s="4">
        <v>295.41000000000003</v>
      </c>
      <c r="S45" s="5">
        <v>343</v>
      </c>
      <c r="T45" s="8">
        <v>240.1</v>
      </c>
      <c r="U45" s="8">
        <v>100</v>
      </c>
      <c r="V45" s="8">
        <v>22</v>
      </c>
      <c r="W45" s="8">
        <v>54</v>
      </c>
      <c r="X45" s="10">
        <v>1573.1</v>
      </c>
      <c r="Y45" s="8">
        <v>722.28</v>
      </c>
      <c r="Z45" s="8">
        <v>1111.2</v>
      </c>
      <c r="AA45" s="8">
        <v>944.5200000000001</v>
      </c>
      <c r="AB45" s="8">
        <v>1389</v>
      </c>
      <c r="AC45" s="11">
        <v>1666.8</v>
      </c>
    </row>
    <row r="46" spans="1:29" ht="17.25" customHeight="1" x14ac:dyDescent="0.25">
      <c r="A46" s="3" t="s">
        <v>37</v>
      </c>
      <c r="B46" s="4">
        <v>2</v>
      </c>
      <c r="C46" s="9" t="s">
        <v>22</v>
      </c>
      <c r="D46" s="6">
        <v>22</v>
      </c>
      <c r="E46" s="5" t="s">
        <v>46</v>
      </c>
      <c r="F46" s="5" t="s">
        <v>54</v>
      </c>
      <c r="G46" s="7">
        <v>5556</v>
      </c>
      <c r="H46" s="5" t="s">
        <v>27</v>
      </c>
      <c r="I46" s="8">
        <v>132</v>
      </c>
      <c r="J46" s="8">
        <v>400</v>
      </c>
      <c r="K46" s="8">
        <v>50</v>
      </c>
      <c r="L46" s="8">
        <v>250</v>
      </c>
      <c r="M46" s="8">
        <v>120</v>
      </c>
      <c r="N46" s="8">
        <v>65</v>
      </c>
      <c r="O46" s="8">
        <v>134</v>
      </c>
      <c r="P46" s="8">
        <v>6</v>
      </c>
      <c r="Q46" s="9" t="s">
        <v>40</v>
      </c>
      <c r="R46" s="4">
        <v>295.41000000000003</v>
      </c>
      <c r="S46" s="5">
        <v>343</v>
      </c>
      <c r="T46" s="8">
        <v>240.1</v>
      </c>
      <c r="U46" s="8">
        <v>100</v>
      </c>
      <c r="V46" s="8">
        <v>22</v>
      </c>
      <c r="W46" s="8">
        <v>54</v>
      </c>
      <c r="X46" s="10">
        <v>1573.1</v>
      </c>
      <c r="Y46" s="8">
        <v>722.28</v>
      </c>
      <c r="Z46" s="8">
        <v>1111.2</v>
      </c>
      <c r="AA46" s="8">
        <v>944.5200000000001</v>
      </c>
      <c r="AB46" s="8">
        <v>1389</v>
      </c>
      <c r="AC46" s="11">
        <v>1666.8</v>
      </c>
    </row>
    <row r="47" spans="1:29" ht="17.25" customHeight="1" x14ac:dyDescent="0.25">
      <c r="A47" s="3" t="s">
        <v>37</v>
      </c>
      <c r="B47" s="4">
        <v>10</v>
      </c>
      <c r="C47" s="9" t="s">
        <v>22</v>
      </c>
      <c r="D47" s="6">
        <v>23</v>
      </c>
      <c r="E47" s="5" t="s">
        <v>46</v>
      </c>
      <c r="F47" s="5" t="s">
        <v>54</v>
      </c>
      <c r="G47" s="7">
        <v>6433</v>
      </c>
      <c r="H47" s="5" t="s">
        <v>29</v>
      </c>
      <c r="I47" s="8">
        <v>132</v>
      </c>
      <c r="J47" s="8">
        <v>399</v>
      </c>
      <c r="K47" s="8">
        <v>50</v>
      </c>
      <c r="L47" s="8">
        <v>250</v>
      </c>
      <c r="M47" s="8">
        <v>134</v>
      </c>
      <c r="N47" s="8"/>
      <c r="O47" s="8">
        <v>134</v>
      </c>
      <c r="P47" s="8">
        <v>6</v>
      </c>
      <c r="Q47" s="9" t="s">
        <v>41</v>
      </c>
      <c r="R47" s="4">
        <v>295.41000000000003</v>
      </c>
      <c r="S47" s="5">
        <v>343</v>
      </c>
      <c r="T47" s="8">
        <v>240.1</v>
      </c>
      <c r="U47" s="8">
        <v>100</v>
      </c>
      <c r="V47" s="8">
        <v>25</v>
      </c>
      <c r="W47" s="8">
        <v>57</v>
      </c>
      <c r="X47" s="10">
        <v>1527.1</v>
      </c>
      <c r="Y47" s="8">
        <v>836.29000000000008</v>
      </c>
      <c r="Z47" s="8">
        <v>1286.6000000000001</v>
      </c>
      <c r="AA47" s="8">
        <v>1093.6100000000001</v>
      </c>
      <c r="AB47" s="8">
        <v>1608.25</v>
      </c>
      <c r="AC47" s="11">
        <v>1929.8999999999999</v>
      </c>
    </row>
    <row r="48" spans="1:29" ht="17.25" customHeight="1" x14ac:dyDescent="0.25">
      <c r="A48" s="3" t="s">
        <v>37</v>
      </c>
      <c r="B48" s="4">
        <v>10</v>
      </c>
      <c r="C48" s="5" t="s">
        <v>24</v>
      </c>
      <c r="D48" s="6">
        <v>12.9</v>
      </c>
      <c r="E48" s="5" t="s">
        <v>46</v>
      </c>
      <c r="F48" s="5" t="s">
        <v>54</v>
      </c>
      <c r="G48" s="7">
        <v>3456</v>
      </c>
      <c r="H48" s="5" t="s">
        <v>34</v>
      </c>
      <c r="I48" s="8">
        <v>132</v>
      </c>
      <c r="J48" s="8">
        <v>400</v>
      </c>
      <c r="K48" s="8">
        <v>50</v>
      </c>
      <c r="L48" s="8">
        <v>250</v>
      </c>
      <c r="M48" s="8">
        <v>128</v>
      </c>
      <c r="N48" s="8">
        <v>65</v>
      </c>
      <c r="O48" s="8">
        <v>134</v>
      </c>
      <c r="P48" s="8">
        <v>6</v>
      </c>
      <c r="Q48" s="9" t="s">
        <v>43</v>
      </c>
      <c r="R48" s="4">
        <v>295.41000000000003</v>
      </c>
      <c r="S48" s="5">
        <v>343</v>
      </c>
      <c r="T48" s="8">
        <v>240.1</v>
      </c>
      <c r="U48" s="8">
        <v>100</v>
      </c>
      <c r="V48" s="8">
        <v>24</v>
      </c>
      <c r="W48" s="8">
        <v>56</v>
      </c>
      <c r="X48" s="10">
        <v>1585.1</v>
      </c>
      <c r="Y48" s="8">
        <v>449.28000000000003</v>
      </c>
      <c r="Z48" s="8">
        <v>691.2</v>
      </c>
      <c r="AA48" s="8">
        <v>587.5200000000001</v>
      </c>
      <c r="AB48" s="8">
        <v>864</v>
      </c>
      <c r="AC48" s="11">
        <v>1036.8</v>
      </c>
    </row>
    <row r="49" spans="1:29" ht="17.25" customHeight="1" x14ac:dyDescent="0.25">
      <c r="A49" s="3" t="s">
        <v>37</v>
      </c>
      <c r="B49" s="4">
        <v>11</v>
      </c>
      <c r="C49" s="9" t="s">
        <v>22</v>
      </c>
      <c r="D49" s="6">
        <v>13</v>
      </c>
      <c r="E49" s="5" t="s">
        <v>46</v>
      </c>
      <c r="F49" s="5" t="s">
        <v>54</v>
      </c>
      <c r="G49" s="7">
        <v>6433</v>
      </c>
      <c r="H49" s="5" t="s">
        <v>29</v>
      </c>
      <c r="I49" s="8">
        <v>132</v>
      </c>
      <c r="J49" s="8">
        <v>399</v>
      </c>
      <c r="K49" s="8">
        <v>50</v>
      </c>
      <c r="L49" s="8">
        <v>250</v>
      </c>
      <c r="M49" s="8">
        <v>134</v>
      </c>
      <c r="N49" s="8"/>
      <c r="O49" s="8">
        <v>134</v>
      </c>
      <c r="P49" s="8">
        <v>6</v>
      </c>
      <c r="Q49" s="9" t="s">
        <v>41</v>
      </c>
      <c r="R49" s="4">
        <v>295.41000000000003</v>
      </c>
      <c r="S49" s="5">
        <v>343</v>
      </c>
      <c r="T49" s="8">
        <v>240.1</v>
      </c>
      <c r="U49" s="8">
        <v>100</v>
      </c>
      <c r="V49" s="8">
        <v>25</v>
      </c>
      <c r="W49" s="8">
        <v>57</v>
      </c>
      <c r="X49" s="10">
        <v>1527.1</v>
      </c>
      <c r="Y49" s="8">
        <v>836.29000000000008</v>
      </c>
      <c r="Z49" s="8">
        <v>1286.6000000000001</v>
      </c>
      <c r="AA49" s="8">
        <v>1093.6100000000001</v>
      </c>
      <c r="AB49" s="8">
        <v>1608.25</v>
      </c>
      <c r="AC49" s="11">
        <v>1929.8999999999999</v>
      </c>
    </row>
    <row r="50" spans="1:29" ht="17.25" customHeight="1" x14ac:dyDescent="0.25">
      <c r="A50" s="3" t="s">
        <v>37</v>
      </c>
      <c r="B50" s="4">
        <v>28</v>
      </c>
      <c r="C50" s="9" t="s">
        <v>24</v>
      </c>
      <c r="D50" s="6">
        <v>14</v>
      </c>
      <c r="E50" s="5" t="s">
        <v>46</v>
      </c>
      <c r="F50" s="5" t="s">
        <v>54</v>
      </c>
      <c r="G50" s="7">
        <v>3456</v>
      </c>
      <c r="H50" s="5" t="s">
        <v>34</v>
      </c>
      <c r="I50" s="8">
        <v>132</v>
      </c>
      <c r="J50" s="8">
        <v>400</v>
      </c>
      <c r="K50" s="8">
        <v>50</v>
      </c>
      <c r="L50" s="8">
        <v>250</v>
      </c>
      <c r="M50" s="8">
        <v>128</v>
      </c>
      <c r="N50" s="8"/>
      <c r="O50" s="8">
        <v>134</v>
      </c>
      <c r="P50" s="8">
        <v>6</v>
      </c>
      <c r="Q50" s="9" t="s">
        <v>43</v>
      </c>
      <c r="R50" s="4">
        <v>295.41000000000003</v>
      </c>
      <c r="S50" s="5">
        <v>343</v>
      </c>
      <c r="T50" s="8">
        <v>240.1</v>
      </c>
      <c r="U50" s="8">
        <v>100</v>
      </c>
      <c r="V50" s="8">
        <v>24</v>
      </c>
      <c r="W50" s="8">
        <v>56</v>
      </c>
      <c r="X50" s="10">
        <v>1520.1</v>
      </c>
      <c r="Y50" s="8">
        <v>449.28000000000003</v>
      </c>
      <c r="Z50" s="8">
        <v>691.2</v>
      </c>
      <c r="AA50" s="8">
        <v>587.5200000000001</v>
      </c>
      <c r="AB50" s="8">
        <v>864</v>
      </c>
      <c r="AC50" s="11">
        <v>1036.8</v>
      </c>
    </row>
    <row r="51" spans="1:29" ht="17.25" customHeight="1" x14ac:dyDescent="0.25">
      <c r="A51" s="3" t="s">
        <v>37</v>
      </c>
      <c r="B51" s="4">
        <v>28</v>
      </c>
      <c r="C51" s="9" t="s">
        <v>24</v>
      </c>
      <c r="D51" s="6">
        <v>15</v>
      </c>
      <c r="E51" s="5" t="s">
        <v>46</v>
      </c>
      <c r="F51" s="5" t="s">
        <v>54</v>
      </c>
      <c r="G51" s="7">
        <v>3456</v>
      </c>
      <c r="H51" s="5" t="s">
        <v>34</v>
      </c>
      <c r="I51" s="8">
        <v>132</v>
      </c>
      <c r="J51" s="8">
        <v>400</v>
      </c>
      <c r="K51" s="8">
        <v>50</v>
      </c>
      <c r="L51" s="8">
        <v>250</v>
      </c>
      <c r="M51" s="8">
        <v>128</v>
      </c>
      <c r="N51" s="8"/>
      <c r="O51" s="8">
        <v>134</v>
      </c>
      <c r="P51" s="8">
        <v>6</v>
      </c>
      <c r="Q51" s="9" t="s">
        <v>43</v>
      </c>
      <c r="R51" s="4">
        <v>295.41000000000003</v>
      </c>
      <c r="S51" s="5">
        <v>343</v>
      </c>
      <c r="T51" s="8">
        <v>240.1</v>
      </c>
      <c r="U51" s="8">
        <v>100</v>
      </c>
      <c r="V51" s="8">
        <v>24</v>
      </c>
      <c r="W51" s="8">
        <v>56</v>
      </c>
      <c r="X51" s="10">
        <v>1520.1</v>
      </c>
      <c r="Y51" s="8">
        <v>449.28000000000003</v>
      </c>
      <c r="Z51" s="8">
        <v>691.2</v>
      </c>
      <c r="AA51" s="8">
        <v>587.5200000000001</v>
      </c>
      <c r="AB51" s="8">
        <v>864</v>
      </c>
      <c r="AC51" s="11">
        <v>1036.8</v>
      </c>
    </row>
    <row r="52" spans="1:29" ht="17.25" customHeight="1" x14ac:dyDescent="0.25">
      <c r="A52" s="3" t="s">
        <v>37</v>
      </c>
      <c r="B52" s="4">
        <v>29</v>
      </c>
      <c r="C52" s="9" t="s">
        <v>24</v>
      </c>
      <c r="D52" s="6">
        <v>16</v>
      </c>
      <c r="E52" s="5" t="s">
        <v>46</v>
      </c>
      <c r="F52" s="5" t="s">
        <v>54</v>
      </c>
      <c r="G52" s="7">
        <v>3456</v>
      </c>
      <c r="H52" s="5" t="s">
        <v>34</v>
      </c>
      <c r="I52" s="8">
        <v>132</v>
      </c>
      <c r="J52" s="8">
        <v>400</v>
      </c>
      <c r="K52" s="8">
        <v>50</v>
      </c>
      <c r="L52" s="8">
        <v>250</v>
      </c>
      <c r="M52" s="8">
        <v>128</v>
      </c>
      <c r="N52" s="8"/>
      <c r="O52" s="8">
        <v>134</v>
      </c>
      <c r="P52" s="8">
        <v>6</v>
      </c>
      <c r="Q52" s="9" t="s">
        <v>43</v>
      </c>
      <c r="R52" s="4">
        <v>295.41000000000003</v>
      </c>
      <c r="S52" s="5">
        <v>343</v>
      </c>
      <c r="T52" s="8">
        <v>240.1</v>
      </c>
      <c r="U52" s="8">
        <v>100</v>
      </c>
      <c r="V52" s="8">
        <v>24</v>
      </c>
      <c r="W52" s="8">
        <v>56</v>
      </c>
      <c r="X52" s="10">
        <v>1520.1</v>
      </c>
      <c r="Y52" s="8">
        <v>449.28000000000003</v>
      </c>
      <c r="Z52" s="8">
        <v>691.2</v>
      </c>
      <c r="AA52" s="8">
        <v>587.5200000000001</v>
      </c>
      <c r="AB52" s="8">
        <v>864</v>
      </c>
      <c r="AC52" s="11">
        <v>1036.8</v>
      </c>
    </row>
    <row r="53" spans="1:29" ht="17.25" customHeight="1" x14ac:dyDescent="0.25">
      <c r="A53" s="3" t="s">
        <v>37</v>
      </c>
      <c r="B53" s="4">
        <v>1</v>
      </c>
      <c r="C53" s="9" t="s">
        <v>22</v>
      </c>
      <c r="D53" s="6">
        <v>21</v>
      </c>
      <c r="E53" s="5" t="s">
        <v>46</v>
      </c>
      <c r="F53" s="5" t="s">
        <v>54</v>
      </c>
      <c r="G53" s="7">
        <v>5556</v>
      </c>
      <c r="H53" s="5" t="s">
        <v>27</v>
      </c>
      <c r="I53" s="8">
        <v>132</v>
      </c>
      <c r="J53" s="8">
        <v>400</v>
      </c>
      <c r="K53" s="8">
        <v>50</v>
      </c>
      <c r="L53" s="8">
        <v>250</v>
      </c>
      <c r="M53" s="8">
        <v>120</v>
      </c>
      <c r="N53" s="8">
        <v>65</v>
      </c>
      <c r="O53" s="8">
        <v>134</v>
      </c>
      <c r="P53" s="8">
        <v>6</v>
      </c>
      <c r="Q53" s="9" t="s">
        <v>40</v>
      </c>
      <c r="R53" s="4">
        <v>295.41000000000003</v>
      </c>
      <c r="S53" s="5">
        <v>343</v>
      </c>
      <c r="T53" s="8">
        <v>240.1</v>
      </c>
      <c r="U53" s="8">
        <v>100</v>
      </c>
      <c r="V53" s="8">
        <v>22</v>
      </c>
      <c r="W53" s="8">
        <v>54</v>
      </c>
      <c r="X53" s="10">
        <v>1573.1</v>
      </c>
      <c r="Y53" s="8">
        <v>722.28</v>
      </c>
      <c r="Z53" s="8">
        <v>1111.2</v>
      </c>
      <c r="AA53" s="8">
        <v>944.5200000000001</v>
      </c>
      <c r="AB53" s="8">
        <v>1389</v>
      </c>
      <c r="AC53" s="11">
        <v>1666.8</v>
      </c>
    </row>
    <row r="54" spans="1:29" ht="17.25" customHeight="1" x14ac:dyDescent="0.25">
      <c r="A54" s="3" t="s">
        <v>37</v>
      </c>
      <c r="B54" s="4">
        <v>2</v>
      </c>
      <c r="C54" s="9" t="s">
        <v>22</v>
      </c>
      <c r="D54" s="6">
        <v>22</v>
      </c>
      <c r="E54" s="5" t="s">
        <v>46</v>
      </c>
      <c r="F54" s="5" t="s">
        <v>54</v>
      </c>
      <c r="G54" s="7">
        <v>5556</v>
      </c>
      <c r="H54" s="5" t="s">
        <v>27</v>
      </c>
      <c r="I54" s="8">
        <v>132</v>
      </c>
      <c r="J54" s="8">
        <v>400</v>
      </c>
      <c r="K54" s="8">
        <v>50</v>
      </c>
      <c r="L54" s="8">
        <v>250</v>
      </c>
      <c r="M54" s="8">
        <v>120</v>
      </c>
      <c r="N54" s="8">
        <v>65</v>
      </c>
      <c r="O54" s="8">
        <v>134</v>
      </c>
      <c r="P54" s="8">
        <v>6</v>
      </c>
      <c r="Q54" s="9" t="s">
        <v>40</v>
      </c>
      <c r="R54" s="4">
        <v>295.41000000000003</v>
      </c>
      <c r="S54" s="5">
        <v>343</v>
      </c>
      <c r="T54" s="8">
        <v>240.1</v>
      </c>
      <c r="U54" s="8">
        <v>100</v>
      </c>
      <c r="V54" s="8">
        <v>22</v>
      </c>
      <c r="W54" s="8">
        <v>54</v>
      </c>
      <c r="X54" s="10">
        <v>1573.1</v>
      </c>
      <c r="Y54" s="8">
        <v>722.28</v>
      </c>
      <c r="Z54" s="8">
        <v>1111.2</v>
      </c>
      <c r="AA54" s="8">
        <v>944.5200000000001</v>
      </c>
      <c r="AB54" s="8">
        <v>1389</v>
      </c>
      <c r="AC54" s="11">
        <v>1666.8</v>
      </c>
    </row>
    <row r="55" spans="1:29" ht="17.25" customHeight="1" x14ac:dyDescent="0.25">
      <c r="A55" s="3" t="s">
        <v>38</v>
      </c>
      <c r="B55" s="4">
        <v>29</v>
      </c>
      <c r="C55" s="5" t="s">
        <v>26</v>
      </c>
      <c r="D55" s="6">
        <v>18</v>
      </c>
      <c r="E55" s="5" t="s">
        <v>46</v>
      </c>
      <c r="F55" s="5" t="s">
        <v>54</v>
      </c>
      <c r="G55" s="7">
        <v>4782</v>
      </c>
      <c r="H55" s="5" t="s">
        <v>34</v>
      </c>
      <c r="I55" s="8">
        <v>132</v>
      </c>
      <c r="J55" s="8">
        <v>400</v>
      </c>
      <c r="K55" s="8">
        <v>50</v>
      </c>
      <c r="L55" s="8">
        <v>250</v>
      </c>
      <c r="M55" s="8">
        <v>120</v>
      </c>
      <c r="N55" s="8">
        <v>65</v>
      </c>
      <c r="O55" s="8">
        <v>134</v>
      </c>
      <c r="P55" s="8">
        <v>6</v>
      </c>
      <c r="Q55" s="9" t="s">
        <v>43</v>
      </c>
      <c r="R55" s="4">
        <v>295.41000000000003</v>
      </c>
      <c r="S55" s="5">
        <v>399</v>
      </c>
      <c r="T55" s="8">
        <v>279.29999999999995</v>
      </c>
      <c r="U55" s="8">
        <v>100</v>
      </c>
      <c r="V55" s="8">
        <v>25</v>
      </c>
      <c r="W55" s="8">
        <v>57</v>
      </c>
      <c r="X55" s="10">
        <v>1618.3</v>
      </c>
      <c r="Y55" s="8">
        <v>621.66</v>
      </c>
      <c r="Z55" s="8">
        <v>956.40000000000009</v>
      </c>
      <c r="AA55" s="8">
        <v>812.94</v>
      </c>
      <c r="AB55" s="8">
        <v>1195.5</v>
      </c>
      <c r="AC55" s="11">
        <v>1434.6</v>
      </c>
    </row>
    <row r="56" spans="1:29" ht="17.25" customHeight="1" x14ac:dyDescent="0.25">
      <c r="A56" s="3" t="s">
        <v>38</v>
      </c>
      <c r="B56" s="4">
        <v>11</v>
      </c>
      <c r="C56" s="9" t="s">
        <v>26</v>
      </c>
      <c r="D56" s="6">
        <v>17</v>
      </c>
      <c r="E56" s="5" t="s">
        <v>46</v>
      </c>
      <c r="F56" s="5" t="s">
        <v>54</v>
      </c>
      <c r="G56" s="7">
        <v>4782</v>
      </c>
      <c r="H56" s="5" t="s">
        <v>34</v>
      </c>
      <c r="I56" s="8">
        <v>132</v>
      </c>
      <c r="J56" s="8">
        <v>400</v>
      </c>
      <c r="K56" s="8">
        <v>50</v>
      </c>
      <c r="L56" s="8">
        <v>250</v>
      </c>
      <c r="M56" s="8">
        <v>120</v>
      </c>
      <c r="N56" s="8">
        <v>65</v>
      </c>
      <c r="O56" s="8">
        <v>134</v>
      </c>
      <c r="P56" s="8">
        <v>6</v>
      </c>
      <c r="Q56" s="9" t="s">
        <v>43</v>
      </c>
      <c r="R56" s="4">
        <v>295.41000000000003</v>
      </c>
      <c r="S56" s="5">
        <v>399</v>
      </c>
      <c r="T56" s="8">
        <v>279.29999999999995</v>
      </c>
      <c r="U56" s="8">
        <v>100</v>
      </c>
      <c r="V56" s="8">
        <v>25</v>
      </c>
      <c r="W56" s="8">
        <v>57</v>
      </c>
      <c r="X56" s="10">
        <v>1618.3</v>
      </c>
      <c r="Y56" s="8">
        <v>621.66</v>
      </c>
      <c r="Z56" s="8">
        <v>956.40000000000009</v>
      </c>
      <c r="AA56" s="8">
        <v>812.94</v>
      </c>
      <c r="AB56" s="8">
        <v>1195.5</v>
      </c>
      <c r="AC56" s="11">
        <v>1434.6</v>
      </c>
    </row>
    <row r="57" spans="1:29" ht="17.25" customHeight="1" x14ac:dyDescent="0.25">
      <c r="A57" s="3" t="s">
        <v>38</v>
      </c>
      <c r="B57" s="4">
        <v>23</v>
      </c>
      <c r="C57" s="9" t="s">
        <v>26</v>
      </c>
      <c r="D57" s="6">
        <v>18</v>
      </c>
      <c r="E57" s="5" t="s">
        <v>46</v>
      </c>
      <c r="F57" s="5" t="s">
        <v>54</v>
      </c>
      <c r="G57" s="7">
        <v>4782</v>
      </c>
      <c r="H57" s="5" t="s">
        <v>34</v>
      </c>
      <c r="I57" s="8">
        <v>132</v>
      </c>
      <c r="J57" s="8">
        <v>400</v>
      </c>
      <c r="K57" s="8">
        <v>50</v>
      </c>
      <c r="L57" s="8">
        <v>250</v>
      </c>
      <c r="M57" s="8">
        <v>120</v>
      </c>
      <c r="N57" s="8">
        <v>65</v>
      </c>
      <c r="O57" s="8">
        <v>134</v>
      </c>
      <c r="P57" s="8">
        <v>6</v>
      </c>
      <c r="Q57" s="9" t="s">
        <v>43</v>
      </c>
      <c r="R57" s="4">
        <v>295.41000000000003</v>
      </c>
      <c r="S57" s="5">
        <v>399</v>
      </c>
      <c r="T57" s="8">
        <v>279.29999999999995</v>
      </c>
      <c r="U57" s="8">
        <v>100</v>
      </c>
      <c r="V57" s="8">
        <v>25</v>
      </c>
      <c r="W57" s="8">
        <v>57</v>
      </c>
      <c r="X57" s="10">
        <v>1618.3</v>
      </c>
      <c r="Y57" s="8">
        <v>621.66</v>
      </c>
      <c r="Z57" s="8">
        <v>956.40000000000009</v>
      </c>
      <c r="AA57" s="8">
        <v>812.94</v>
      </c>
      <c r="AB57" s="8">
        <v>1195.5</v>
      </c>
      <c r="AC57" s="11">
        <v>1434.6</v>
      </c>
    </row>
    <row r="58" spans="1:29" ht="17.25" customHeight="1" x14ac:dyDescent="0.25">
      <c r="A58" s="3" t="s">
        <v>38</v>
      </c>
      <c r="B58" s="4">
        <v>23</v>
      </c>
      <c r="C58" s="9" t="s">
        <v>26</v>
      </c>
      <c r="D58" s="6">
        <v>18</v>
      </c>
      <c r="E58" s="5" t="s">
        <v>46</v>
      </c>
      <c r="F58" s="5" t="s">
        <v>54</v>
      </c>
      <c r="G58" s="7">
        <v>4782</v>
      </c>
      <c r="H58" s="5" t="s">
        <v>34</v>
      </c>
      <c r="I58" s="8">
        <v>132</v>
      </c>
      <c r="J58" s="8">
        <v>400</v>
      </c>
      <c r="K58" s="8">
        <v>50</v>
      </c>
      <c r="L58" s="8">
        <v>250</v>
      </c>
      <c r="M58" s="8">
        <v>120</v>
      </c>
      <c r="N58" s="8">
        <v>65</v>
      </c>
      <c r="O58" s="8">
        <v>134</v>
      </c>
      <c r="P58" s="8">
        <v>6</v>
      </c>
      <c r="Q58" s="9" t="s">
        <v>43</v>
      </c>
      <c r="R58" s="4">
        <v>295.41000000000003</v>
      </c>
      <c r="S58" s="5">
        <v>399</v>
      </c>
      <c r="T58" s="8">
        <v>279.29999999999995</v>
      </c>
      <c r="U58" s="8">
        <v>100</v>
      </c>
      <c r="V58" s="8">
        <v>25</v>
      </c>
      <c r="W58" s="8">
        <v>57</v>
      </c>
      <c r="X58" s="10">
        <v>1618.3</v>
      </c>
      <c r="Y58" s="8">
        <v>621.66</v>
      </c>
      <c r="Z58" s="8">
        <v>956.40000000000009</v>
      </c>
      <c r="AA58" s="8">
        <v>812.94</v>
      </c>
      <c r="AB58" s="8">
        <v>1195.5</v>
      </c>
      <c r="AC58" s="11">
        <v>1434.6</v>
      </c>
    </row>
    <row r="59" spans="1:29" ht="17.25" customHeight="1" x14ac:dyDescent="0.25">
      <c r="A59" s="3" t="s">
        <v>38</v>
      </c>
      <c r="B59" s="4">
        <v>29</v>
      </c>
      <c r="C59" s="5" t="s">
        <v>26</v>
      </c>
      <c r="D59" s="6">
        <v>18</v>
      </c>
      <c r="E59" s="5" t="s">
        <v>46</v>
      </c>
      <c r="F59" s="5" t="s">
        <v>54</v>
      </c>
      <c r="G59" s="7">
        <v>4782</v>
      </c>
      <c r="H59" s="5" t="s">
        <v>34</v>
      </c>
      <c r="I59" s="8">
        <v>132</v>
      </c>
      <c r="J59" s="8">
        <v>400</v>
      </c>
      <c r="K59" s="8">
        <v>50</v>
      </c>
      <c r="L59" s="8">
        <v>250</v>
      </c>
      <c r="M59" s="8">
        <v>120</v>
      </c>
      <c r="N59" s="8">
        <v>65</v>
      </c>
      <c r="O59" s="8">
        <v>134</v>
      </c>
      <c r="P59" s="8">
        <v>6</v>
      </c>
      <c r="Q59" s="9" t="s">
        <v>43</v>
      </c>
      <c r="R59" s="4">
        <v>295.41000000000003</v>
      </c>
      <c r="S59" s="5">
        <v>399</v>
      </c>
      <c r="T59" s="8">
        <v>279.29999999999995</v>
      </c>
      <c r="U59" s="8">
        <v>100</v>
      </c>
      <c r="V59" s="8">
        <v>25</v>
      </c>
      <c r="W59" s="8">
        <v>57</v>
      </c>
      <c r="X59" s="10">
        <v>1618.3</v>
      </c>
      <c r="Y59" s="8">
        <v>621.66</v>
      </c>
      <c r="Z59" s="8">
        <v>956.40000000000009</v>
      </c>
      <c r="AA59" s="8">
        <v>812.94</v>
      </c>
      <c r="AB59" s="8">
        <v>1195.5</v>
      </c>
      <c r="AC59" s="11">
        <v>1434.6</v>
      </c>
    </row>
    <row r="60" spans="1:29" ht="17.25" customHeight="1" x14ac:dyDescent="0.25">
      <c r="A60" s="3" t="s">
        <v>39</v>
      </c>
      <c r="B60" s="4">
        <v>12</v>
      </c>
      <c r="C60" s="9" t="s">
        <v>22</v>
      </c>
      <c r="D60" s="6">
        <v>12.9</v>
      </c>
      <c r="E60" s="5" t="s">
        <v>46</v>
      </c>
      <c r="F60" s="5" t="s">
        <v>54</v>
      </c>
      <c r="G60" s="7">
        <v>5287</v>
      </c>
      <c r="H60" s="5" t="s">
        <v>34</v>
      </c>
      <c r="I60" s="8">
        <v>132</v>
      </c>
      <c r="J60" s="8">
        <v>400</v>
      </c>
      <c r="K60" s="8">
        <v>50</v>
      </c>
      <c r="L60" s="8">
        <v>250</v>
      </c>
      <c r="M60" s="8">
        <v>134</v>
      </c>
      <c r="N60" s="8"/>
      <c r="O60" s="8">
        <v>134</v>
      </c>
      <c r="P60" s="8">
        <v>6</v>
      </c>
      <c r="Q60" s="9" t="s">
        <v>43</v>
      </c>
      <c r="R60" s="4">
        <v>295.41000000000003</v>
      </c>
      <c r="S60" s="5">
        <v>343</v>
      </c>
      <c r="T60" s="8">
        <v>240.1</v>
      </c>
      <c r="U60" s="8">
        <v>100</v>
      </c>
      <c r="V60" s="8">
        <v>26</v>
      </c>
      <c r="W60" s="8">
        <v>58</v>
      </c>
      <c r="X60" s="10">
        <v>1530.1</v>
      </c>
      <c r="Y60" s="8">
        <v>687.31000000000006</v>
      </c>
      <c r="Z60" s="8">
        <v>1057.4000000000001</v>
      </c>
      <c r="AA60" s="8">
        <v>898.79000000000008</v>
      </c>
      <c r="AB60" s="8">
        <v>1321.75</v>
      </c>
      <c r="AC60" s="11">
        <v>1586.1</v>
      </c>
    </row>
    <row r="61" spans="1:29" ht="17.25" customHeight="1" x14ac:dyDescent="0.25">
      <c r="A61" s="3" t="s">
        <v>39</v>
      </c>
      <c r="B61" s="4">
        <v>24</v>
      </c>
      <c r="C61" s="9" t="s">
        <v>22</v>
      </c>
      <c r="D61" s="6">
        <v>18</v>
      </c>
      <c r="E61" s="5" t="s">
        <v>46</v>
      </c>
      <c r="F61" s="5" t="s">
        <v>54</v>
      </c>
      <c r="G61" s="7">
        <v>5287</v>
      </c>
      <c r="H61" s="5" t="s">
        <v>34</v>
      </c>
      <c r="I61" s="8">
        <v>132</v>
      </c>
      <c r="J61" s="8">
        <v>400</v>
      </c>
      <c r="K61" s="8">
        <v>50</v>
      </c>
      <c r="L61" s="8">
        <v>250</v>
      </c>
      <c r="M61" s="8">
        <v>134</v>
      </c>
      <c r="N61" s="8"/>
      <c r="O61" s="8">
        <v>134</v>
      </c>
      <c r="P61" s="8">
        <v>6</v>
      </c>
      <c r="Q61" s="9" t="s">
        <v>43</v>
      </c>
      <c r="R61" s="4">
        <v>295.41000000000003</v>
      </c>
      <c r="S61" s="5">
        <v>343</v>
      </c>
      <c r="T61" s="8">
        <v>240.1</v>
      </c>
      <c r="U61" s="8">
        <v>100</v>
      </c>
      <c r="V61" s="8">
        <v>26</v>
      </c>
      <c r="W61" s="8">
        <v>58</v>
      </c>
      <c r="X61" s="10">
        <v>1530.1</v>
      </c>
      <c r="Y61" s="8">
        <v>687.31000000000006</v>
      </c>
      <c r="Z61" s="8">
        <v>1057.4000000000001</v>
      </c>
      <c r="AA61" s="8">
        <v>898.79000000000008</v>
      </c>
      <c r="AB61" s="8">
        <v>1321.75</v>
      </c>
      <c r="AC61" s="11">
        <v>1586.1</v>
      </c>
    </row>
    <row r="62" spans="1:29" ht="17.25" customHeight="1" x14ac:dyDescent="0.25">
      <c r="A62" s="12" t="s">
        <v>39</v>
      </c>
      <c r="B62" s="13">
        <v>25</v>
      </c>
      <c r="C62" s="14" t="s">
        <v>22</v>
      </c>
      <c r="D62" s="15">
        <v>18</v>
      </c>
      <c r="E62" s="16" t="s">
        <v>46</v>
      </c>
      <c r="F62" s="16" t="s">
        <v>54</v>
      </c>
      <c r="G62" s="17">
        <v>5287</v>
      </c>
      <c r="H62" s="16" t="s">
        <v>34</v>
      </c>
      <c r="I62" s="18">
        <v>132</v>
      </c>
      <c r="J62" s="18">
        <v>400</v>
      </c>
      <c r="K62" s="18">
        <v>50</v>
      </c>
      <c r="L62" s="18">
        <v>250</v>
      </c>
      <c r="M62" s="18">
        <v>134</v>
      </c>
      <c r="N62" s="18"/>
      <c r="O62" s="18">
        <v>134</v>
      </c>
      <c r="P62" s="18">
        <v>6</v>
      </c>
      <c r="Q62" s="14" t="s">
        <v>43</v>
      </c>
      <c r="R62" s="13">
        <v>295.41000000000003</v>
      </c>
      <c r="S62" s="16">
        <v>343</v>
      </c>
      <c r="T62" s="18">
        <v>240.1</v>
      </c>
      <c r="U62" s="18">
        <v>100</v>
      </c>
      <c r="V62" s="18">
        <v>26</v>
      </c>
      <c r="W62" s="18">
        <v>58</v>
      </c>
      <c r="X62" s="19">
        <v>1530.1</v>
      </c>
      <c r="Y62" s="18">
        <v>687.31000000000006</v>
      </c>
      <c r="Z62" s="18">
        <v>1057.4000000000001</v>
      </c>
      <c r="AA62" s="18">
        <v>898.79000000000008</v>
      </c>
      <c r="AB62" s="18">
        <v>1321.75</v>
      </c>
      <c r="AC62" s="20">
        <v>1586.1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2:BH53"/>
  <sheetViews>
    <sheetView showGridLines="0" topLeftCell="AY1" workbookViewId="0">
      <selection activeCell="BA7" sqref="BA7"/>
    </sheetView>
  </sheetViews>
  <sheetFormatPr defaultColWidth="13.33203125" defaultRowHeight="18" customHeight="1" x14ac:dyDescent="0.3"/>
  <cols>
    <col min="2" max="2" width="11.5546875" bestFit="1" customWidth="1"/>
    <col min="3" max="3" width="21" bestFit="1" customWidth="1"/>
    <col min="4" max="4" width="14.5546875" bestFit="1" customWidth="1"/>
    <col min="5" max="5" width="14.88671875" customWidth="1"/>
    <col min="7" max="7" width="17.33203125" customWidth="1"/>
    <col min="8" max="8" width="16.88671875" bestFit="1" customWidth="1"/>
    <col min="10" max="10" width="19.88671875" customWidth="1"/>
    <col min="11" max="11" width="26.33203125" bestFit="1" customWidth="1"/>
    <col min="13" max="13" width="11" customWidth="1"/>
    <col min="14" max="14" width="8" customWidth="1"/>
    <col min="15" max="15" width="15.109375" customWidth="1"/>
    <col min="16" max="16" width="9.6640625" customWidth="1"/>
    <col min="19" max="19" width="12.44140625" customWidth="1"/>
    <col min="20" max="20" width="9.6640625" customWidth="1"/>
    <col min="21" max="21" width="8" customWidth="1"/>
    <col min="22" max="22" width="10.44140625" customWidth="1"/>
    <col min="24" max="24" width="17.33203125" bestFit="1" customWidth="1"/>
    <col min="25" max="25" width="23.88671875" customWidth="1"/>
    <col min="28" max="28" width="17.33203125" bestFit="1" customWidth="1"/>
    <col min="29" max="29" width="13.44140625" bestFit="1" customWidth="1"/>
    <col min="30" max="30" width="24.6640625" bestFit="1" customWidth="1"/>
    <col min="32" max="32" width="19" bestFit="1" customWidth="1"/>
    <col min="33" max="33" width="14.109375" customWidth="1"/>
    <col min="34" max="34" width="23.88671875" bestFit="1" customWidth="1"/>
    <col min="35" max="35" width="18.33203125" customWidth="1"/>
    <col min="36" max="36" width="20.5546875" bestFit="1" customWidth="1"/>
    <col min="37" max="37" width="27" bestFit="1" customWidth="1"/>
    <col min="41" max="41" width="18.5546875" customWidth="1"/>
    <col min="42" max="42" width="14.109375" bestFit="1" customWidth="1"/>
    <col min="43" max="43" width="18.5546875" customWidth="1"/>
    <col min="44" max="44" width="13.44140625" customWidth="1"/>
    <col min="45" max="45" width="27" bestFit="1" customWidth="1"/>
    <col min="46" max="46" width="17.33203125" customWidth="1"/>
    <col min="47" max="47" width="22.33203125" bestFit="1" customWidth="1"/>
    <col min="49" max="49" width="15.6640625" bestFit="1" customWidth="1"/>
    <col min="50" max="50" width="19.5546875" bestFit="1" customWidth="1"/>
    <col min="53" max="53" width="17.33203125" customWidth="1"/>
    <col min="54" max="54" width="15.44140625" customWidth="1"/>
    <col min="55" max="55" width="17.88671875" customWidth="1"/>
    <col min="56" max="57" width="22" customWidth="1"/>
  </cols>
  <sheetData>
    <row r="2" spans="1:60" s="26" customFormat="1" ht="18" customHeight="1" x14ac:dyDescent="0.3">
      <c r="A2" s="83" t="s">
        <v>67</v>
      </c>
      <c r="B2" s="83"/>
      <c r="C2" s="83"/>
      <c r="D2" s="83"/>
      <c r="E2" s="83"/>
      <c r="F2" s="38"/>
      <c r="G2" s="83" t="s">
        <v>68</v>
      </c>
      <c r="H2" s="83"/>
      <c r="I2" s="83"/>
      <c r="J2" s="39"/>
      <c r="K2" s="39"/>
    </row>
    <row r="3" spans="1:60" ht="18" customHeight="1" x14ac:dyDescent="0.3">
      <c r="E3" s="34"/>
      <c r="F3" s="35"/>
      <c r="G3">
        <f>GETPIVOTDATA("Balance",$G$5)</f>
        <v>264192.89999999991</v>
      </c>
      <c r="AV3">
        <v>8</v>
      </c>
      <c r="AW3" s="26" t="s">
        <v>48</v>
      </c>
      <c r="AX3">
        <v>61</v>
      </c>
      <c r="AY3" t="s">
        <v>98</v>
      </c>
    </row>
    <row r="4" spans="1:60" ht="27.6" x14ac:dyDescent="0.3">
      <c r="B4" s="32" t="s">
        <v>3</v>
      </c>
      <c r="C4" s="32" t="s">
        <v>65</v>
      </c>
      <c r="D4" s="32" t="s">
        <v>66</v>
      </c>
      <c r="E4" s="34"/>
      <c r="F4" s="35"/>
      <c r="J4" s="37" t="s">
        <v>70</v>
      </c>
      <c r="K4" s="36" t="s">
        <v>73</v>
      </c>
      <c r="M4" s="28" t="s">
        <v>75</v>
      </c>
      <c r="N4" s="28" t="s">
        <v>76</v>
      </c>
      <c r="O4" s="28" t="s">
        <v>77</v>
      </c>
      <c r="P4" s="28" t="s">
        <v>78</v>
      </c>
      <c r="S4" s="28" t="s">
        <v>80</v>
      </c>
      <c r="T4" s="28" t="s">
        <v>81</v>
      </c>
      <c r="U4" s="28" t="s">
        <v>82</v>
      </c>
      <c r="V4" s="28" t="s">
        <v>83</v>
      </c>
      <c r="BA4" s="37" t="s">
        <v>70</v>
      </c>
      <c r="BB4" s="36" t="s">
        <v>101</v>
      </c>
      <c r="BC4" s="36" t="s">
        <v>102</v>
      </c>
    </row>
    <row r="5" spans="1:60" ht="33" x14ac:dyDescent="0.55000000000000004">
      <c r="B5" s="30">
        <f>GETPIVOTDATA("Sum of Rate",$B$10)</f>
        <v>359038</v>
      </c>
      <c r="C5" s="30">
        <f>GETPIVOTDATA("Sum of Total Expenses",$B$10)</f>
        <v>94845.100000000108</v>
      </c>
      <c r="D5" s="31">
        <f>GETPIVOTDATA("Sum of Balance",$B$10)</f>
        <v>264192.89999999991</v>
      </c>
      <c r="E5" s="34"/>
      <c r="F5" s="35"/>
      <c r="G5" s="37" t="s">
        <v>70</v>
      </c>
      <c r="H5" s="36" t="s">
        <v>64</v>
      </c>
      <c r="J5" s="36" t="s">
        <v>47</v>
      </c>
      <c r="K5" s="40">
        <v>11</v>
      </c>
      <c r="M5" s="41">
        <v>8052</v>
      </c>
      <c r="N5" s="41">
        <v>23720</v>
      </c>
      <c r="O5" s="41">
        <v>3164</v>
      </c>
      <c r="P5" s="41">
        <v>15250</v>
      </c>
      <c r="S5" s="41">
        <v>7785</v>
      </c>
      <c r="T5" s="41">
        <v>39</v>
      </c>
      <c r="U5" s="41">
        <v>7372</v>
      </c>
      <c r="V5" s="41">
        <v>1196</v>
      </c>
      <c r="X5" s="37" t="s">
        <v>70</v>
      </c>
      <c r="Z5" s="53"/>
      <c r="AA5" s="52"/>
      <c r="AB5" s="37" t="s">
        <v>70</v>
      </c>
      <c r="AC5" s="36" t="s">
        <v>62</v>
      </c>
      <c r="AD5" s="36" t="s">
        <v>63</v>
      </c>
      <c r="AF5" s="36" t="s">
        <v>87</v>
      </c>
      <c r="AG5" s="36" t="s">
        <v>88</v>
      </c>
      <c r="AH5" s="36" t="s">
        <v>89</v>
      </c>
      <c r="AI5" s="36" t="s">
        <v>91</v>
      </c>
      <c r="AJ5" s="36" t="s">
        <v>90</v>
      </c>
      <c r="AK5" s="36" t="s">
        <v>92</v>
      </c>
      <c r="AO5" s="37" t="s">
        <v>70</v>
      </c>
      <c r="AQ5" s="37" t="s">
        <v>70</v>
      </c>
      <c r="AR5" s="36" t="s">
        <v>62</v>
      </c>
      <c r="AT5" s="37" t="s">
        <v>70</v>
      </c>
      <c r="AU5" s="36" t="s">
        <v>97</v>
      </c>
      <c r="AW5" s="26" t="s">
        <v>70</v>
      </c>
      <c r="AX5" s="26" t="s">
        <v>97</v>
      </c>
      <c r="BA5" s="36" t="s">
        <v>26</v>
      </c>
      <c r="BB5" s="40">
        <v>13</v>
      </c>
      <c r="BC5" s="40">
        <v>235.8</v>
      </c>
      <c r="BE5">
        <v>61</v>
      </c>
      <c r="BF5" t="s">
        <v>98</v>
      </c>
      <c r="BG5">
        <v>1047.7999999999997</v>
      </c>
      <c r="BH5" t="s">
        <v>103</v>
      </c>
    </row>
    <row r="6" spans="1:60" ht="21.6" thickBot="1" x14ac:dyDescent="0.45">
      <c r="B6" s="33">
        <f>B5/SUM(B5:C5)</f>
        <v>0.79103628224976852</v>
      </c>
      <c r="C6" s="33">
        <f>C5/SUM(B5:C5)</f>
        <v>0.20896371775023148</v>
      </c>
      <c r="E6" s="34"/>
      <c r="F6" s="35"/>
      <c r="G6" s="36" t="s">
        <v>21</v>
      </c>
      <c r="H6" s="29">
        <v>11948.7</v>
      </c>
      <c r="J6" s="36" t="s">
        <v>46</v>
      </c>
      <c r="K6" s="40">
        <v>50</v>
      </c>
      <c r="X6" s="36" t="s">
        <v>21</v>
      </c>
      <c r="Y6" s="49" t="s">
        <v>21</v>
      </c>
      <c r="Z6" s="55" t="str">
        <f>IF(COUNTIF(X6:X17,Y6:Y17),".","")</f>
        <v>.</v>
      </c>
      <c r="AB6" s="36" t="s">
        <v>21</v>
      </c>
      <c r="AC6" s="29">
        <v>16668</v>
      </c>
      <c r="AD6" s="29">
        <v>4719.2999999999993</v>
      </c>
      <c r="AF6" s="29">
        <v>18170.369999999995</v>
      </c>
      <c r="AG6" s="29">
        <v>21353</v>
      </c>
      <c r="AH6" s="29">
        <v>14947.099999999993</v>
      </c>
      <c r="AI6" s="29">
        <v>1546</v>
      </c>
      <c r="AJ6" s="29">
        <v>6100</v>
      </c>
      <c r="AK6" s="29">
        <v>3498</v>
      </c>
      <c r="AM6" s="48">
        <f>SUM(AH6:AK6)</f>
        <v>26091.099999999991</v>
      </c>
      <c r="AO6" s="36" t="s">
        <v>40</v>
      </c>
      <c r="AQ6" s="36" t="s">
        <v>40</v>
      </c>
      <c r="AR6" s="29">
        <v>80337</v>
      </c>
      <c r="AT6" s="36" t="s">
        <v>49</v>
      </c>
      <c r="AU6" s="40">
        <v>4</v>
      </c>
      <c r="AW6" s="74" t="s">
        <v>49</v>
      </c>
      <c r="AX6" s="72">
        <v>6</v>
      </c>
      <c r="BA6" s="36" t="s">
        <v>24</v>
      </c>
      <c r="BB6" s="40">
        <v>17</v>
      </c>
      <c r="BC6" s="40">
        <v>283.89999999999998</v>
      </c>
    </row>
    <row r="7" spans="1:60" ht="26.4" thickBot="1" x14ac:dyDescent="0.55000000000000004">
      <c r="E7" s="34"/>
      <c r="F7" s="35"/>
      <c r="G7" s="36" t="s">
        <v>23</v>
      </c>
      <c r="H7" s="29">
        <v>12138.8</v>
      </c>
      <c r="J7" s="36" t="s">
        <v>71</v>
      </c>
      <c r="K7" s="40">
        <v>61</v>
      </c>
      <c r="M7" t="s">
        <v>5</v>
      </c>
      <c r="N7" t="s">
        <v>6</v>
      </c>
      <c r="O7" t="s">
        <v>7</v>
      </c>
      <c r="P7" t="s">
        <v>8</v>
      </c>
      <c r="S7" s="47" t="s">
        <v>9</v>
      </c>
      <c r="T7" s="47" t="s">
        <v>10</v>
      </c>
      <c r="U7" s="47" t="s">
        <v>11</v>
      </c>
      <c r="V7" s="47" t="s">
        <v>12</v>
      </c>
      <c r="X7" s="36" t="s">
        <v>23</v>
      </c>
      <c r="Y7" s="49" t="s">
        <v>23</v>
      </c>
      <c r="Z7" s="55" t="str">
        <f t="shared" ref="Z7:Z17" si="0">IF(COUNTIF(X7:X18,Y7:Y18),".","")</f>
        <v>.</v>
      </c>
      <c r="AA7" s="54" t="s">
        <v>85</v>
      </c>
      <c r="AB7" s="36" t="s">
        <v>23</v>
      </c>
      <c r="AC7" s="29">
        <v>18268</v>
      </c>
      <c r="AD7" s="29">
        <v>6129.2</v>
      </c>
      <c r="AO7" s="36" t="s">
        <v>41</v>
      </c>
      <c r="AQ7" s="36" t="s">
        <v>41</v>
      </c>
      <c r="AR7" s="29">
        <v>73954</v>
      </c>
      <c r="AT7" s="36" t="s">
        <v>50</v>
      </c>
      <c r="AU7" s="40">
        <v>6</v>
      </c>
      <c r="AW7" s="74" t="s">
        <v>50</v>
      </c>
      <c r="AX7" s="72">
        <v>6</v>
      </c>
      <c r="BA7" s="36" t="s">
        <v>22</v>
      </c>
      <c r="BB7" s="40">
        <v>31</v>
      </c>
      <c r="BC7" s="40">
        <v>528.09999999999991</v>
      </c>
    </row>
    <row r="8" spans="1:60" ht="21.6" thickBot="1" x14ac:dyDescent="0.45">
      <c r="E8" s="34"/>
      <c r="F8" s="35"/>
      <c r="G8" s="36" t="s">
        <v>25</v>
      </c>
      <c r="H8" s="29">
        <v>9471.5</v>
      </c>
      <c r="M8" s="42">
        <f>GETPIVOTDATA("Sum of Insurance",$M$4)</f>
        <v>8052</v>
      </c>
      <c r="N8" s="42">
        <f>GETPIVOTDATA("Sum of Fuel",$M$4)</f>
        <v>23720</v>
      </c>
      <c r="O8" s="42">
        <f>GETPIVOTDATA("Sum of Diesel Exhaust Fluid",$M$4)</f>
        <v>3164</v>
      </c>
      <c r="P8" s="42">
        <f>GETPIVOTDATA("Sum of Advance",$M$4)</f>
        <v>15250</v>
      </c>
      <c r="S8" s="47">
        <f>GETPIVOTDATA("Sum of Warehouse",$S$4)</f>
        <v>7785</v>
      </c>
      <c r="T8" s="47">
        <f>GETPIVOTDATA("Count of Repairs",$S$4)</f>
        <v>39</v>
      </c>
      <c r="U8" s="47">
        <f>GETPIVOTDATA("Sum of Tolls",$S$4)</f>
        <v>7372</v>
      </c>
      <c r="V8" s="47">
        <f>GETPIVOTDATA("Sum of Fundings",$S$4)</f>
        <v>1196</v>
      </c>
      <c r="X8" s="36" t="s">
        <v>25</v>
      </c>
      <c r="Y8" s="49" t="s">
        <v>25</v>
      </c>
      <c r="Z8" s="55" t="str">
        <f t="shared" si="0"/>
        <v>.</v>
      </c>
      <c r="AB8" s="36" t="s">
        <v>25</v>
      </c>
      <c r="AC8" s="29">
        <v>17290</v>
      </c>
      <c r="AD8" s="29">
        <v>7818.5</v>
      </c>
      <c r="AF8" s="26" t="s">
        <v>14</v>
      </c>
      <c r="AG8" s="26" t="s">
        <v>15</v>
      </c>
      <c r="AH8" s="26" t="s">
        <v>16</v>
      </c>
      <c r="AI8" s="26" t="s">
        <v>18</v>
      </c>
      <c r="AJ8" s="26" t="s">
        <v>93</v>
      </c>
      <c r="AK8" s="26" t="s">
        <v>19</v>
      </c>
      <c r="AO8" s="36" t="s">
        <v>43</v>
      </c>
      <c r="AQ8" s="36" t="s">
        <v>43</v>
      </c>
      <c r="AR8" s="29">
        <v>112585</v>
      </c>
      <c r="AT8" s="36" t="s">
        <v>51</v>
      </c>
      <c r="AU8" s="40">
        <v>10</v>
      </c>
      <c r="AW8" s="74" t="s">
        <v>51</v>
      </c>
      <c r="AX8" s="72">
        <v>10</v>
      </c>
      <c r="BA8" s="36" t="s">
        <v>71</v>
      </c>
      <c r="BB8" s="40">
        <v>61</v>
      </c>
      <c r="BC8" s="40">
        <v>1047.7999999999997</v>
      </c>
    </row>
    <row r="9" spans="1:60" ht="21" x14ac:dyDescent="0.4">
      <c r="E9" s="34"/>
      <c r="F9" s="35"/>
      <c r="G9" s="36" t="s">
        <v>28</v>
      </c>
      <c r="H9" s="29">
        <v>14518.7</v>
      </c>
      <c r="X9" s="36" t="s">
        <v>28</v>
      </c>
      <c r="Y9" s="49" t="s">
        <v>28</v>
      </c>
      <c r="Z9" s="55" t="str">
        <f t="shared" si="0"/>
        <v>.</v>
      </c>
      <c r="AB9" s="36" t="s">
        <v>28</v>
      </c>
      <c r="AC9" s="29">
        <v>19299</v>
      </c>
      <c r="AD9" s="29">
        <v>4780.2999999999993</v>
      </c>
      <c r="AO9" s="36" t="s">
        <v>42</v>
      </c>
      <c r="AQ9" s="36" t="s">
        <v>42</v>
      </c>
      <c r="AR9" s="29">
        <v>92162</v>
      </c>
      <c r="AT9" s="36" t="s">
        <v>52</v>
      </c>
      <c r="AU9" s="40">
        <v>7</v>
      </c>
      <c r="AW9" s="74" t="s">
        <v>52</v>
      </c>
      <c r="AX9" s="72">
        <v>7</v>
      </c>
    </row>
    <row r="10" spans="1:60" ht="27.6" x14ac:dyDescent="0.4">
      <c r="B10" s="27" t="s">
        <v>62</v>
      </c>
      <c r="C10" s="27" t="s">
        <v>63</v>
      </c>
      <c r="D10" s="27" t="s">
        <v>64</v>
      </c>
      <c r="F10" s="35"/>
      <c r="G10" s="36" t="s">
        <v>30</v>
      </c>
      <c r="H10" s="29">
        <v>28743.599999999999</v>
      </c>
      <c r="X10" s="36" t="s">
        <v>30</v>
      </c>
      <c r="Y10" s="49" t="s">
        <v>30</v>
      </c>
      <c r="Z10" s="55" t="str">
        <f t="shared" si="0"/>
        <v>.</v>
      </c>
      <c r="AB10" s="36" t="s">
        <v>30</v>
      </c>
      <c r="AC10" s="29">
        <v>35060</v>
      </c>
      <c r="AD10" s="29">
        <v>6316.4</v>
      </c>
      <c r="AO10" s="36" t="s">
        <v>71</v>
      </c>
      <c r="AQ10" s="36" t="s">
        <v>71</v>
      </c>
      <c r="AR10" s="29">
        <v>359038</v>
      </c>
      <c r="AT10" s="36" t="s">
        <v>53</v>
      </c>
      <c r="AU10" s="40">
        <v>5</v>
      </c>
      <c r="AW10" s="74" t="s">
        <v>53</v>
      </c>
      <c r="AX10" s="72">
        <v>5</v>
      </c>
      <c r="BA10" s="36" t="s">
        <v>26</v>
      </c>
      <c r="BB10" s="36" t="s">
        <v>24</v>
      </c>
      <c r="BC10" s="36" t="s">
        <v>22</v>
      </c>
      <c r="BE10" s="36" t="s">
        <v>98</v>
      </c>
      <c r="BF10" s="28" t="s">
        <v>103</v>
      </c>
    </row>
    <row r="11" spans="1:60" s="25" customFormat="1" ht="21" x14ac:dyDescent="0.4">
      <c r="B11" s="45">
        <v>359038</v>
      </c>
      <c r="C11" s="45">
        <v>94845.100000000108</v>
      </c>
      <c r="D11" s="45">
        <v>264192.89999999991</v>
      </c>
      <c r="F11" s="43"/>
      <c r="G11" s="46" t="s">
        <v>31</v>
      </c>
      <c r="H11" s="45">
        <v>16091.6</v>
      </c>
      <c r="M11" s="26"/>
      <c r="N11" s="42"/>
      <c r="S11"/>
      <c r="T11"/>
      <c r="U11"/>
      <c r="X11" s="46" t="s">
        <v>31</v>
      </c>
      <c r="Y11" s="50" t="s">
        <v>31</v>
      </c>
      <c r="Z11" s="55" t="str">
        <f t="shared" si="0"/>
        <v>.</v>
      </c>
      <c r="AB11" s="46" t="s">
        <v>31</v>
      </c>
      <c r="AC11" s="45">
        <v>21728</v>
      </c>
      <c r="AD11" s="45">
        <v>5636.4</v>
      </c>
      <c r="AF11"/>
      <c r="AG11"/>
      <c r="AH11"/>
      <c r="AO11"/>
      <c r="AP11"/>
      <c r="AQ11"/>
      <c r="AT11" s="36" t="s">
        <v>54</v>
      </c>
      <c r="AU11" s="40">
        <v>27</v>
      </c>
      <c r="AW11" s="74" t="s">
        <v>54</v>
      </c>
      <c r="AX11" s="72">
        <v>27</v>
      </c>
      <c r="BA11" s="42">
        <f>GETPIVOTDATA("Count of Load",$BA$4,"Load","Iron")</f>
        <v>13</v>
      </c>
      <c r="BB11" s="42">
        <f>GETPIVOTDATA("Count of Load",$BA$4,"Load","Sand")</f>
        <v>17</v>
      </c>
      <c r="BC11" s="42">
        <f>GETPIVOTDATA("Count of Load",$BA$4,"Load","Wood")</f>
        <v>31</v>
      </c>
      <c r="BE11" s="25">
        <f>GETPIVOTDATA("Count of Load",$BA$4)</f>
        <v>61</v>
      </c>
      <c r="BF11" s="78">
        <f>GETPIVOTDATA("Sum of Tonnage",$BA$4)</f>
        <v>1047.7999999999997</v>
      </c>
    </row>
    <row r="12" spans="1:60" s="25" customFormat="1" ht="21.6" thickBot="1" x14ac:dyDescent="0.45">
      <c r="E12" s="44"/>
      <c r="F12" s="43"/>
      <c r="G12" s="46" t="s">
        <v>33</v>
      </c>
      <c r="H12" s="45">
        <v>61991.199999999997</v>
      </c>
      <c r="M12" s="26"/>
      <c r="N12" s="42"/>
      <c r="S12"/>
      <c r="T12"/>
      <c r="U12"/>
      <c r="X12" s="46" t="s">
        <v>33</v>
      </c>
      <c r="Y12" s="50" t="s">
        <v>33</v>
      </c>
      <c r="Z12" s="55" t="str">
        <f t="shared" si="0"/>
        <v>.</v>
      </c>
      <c r="AB12" s="46" t="s">
        <v>33</v>
      </c>
      <c r="AC12" s="45">
        <v>81336</v>
      </c>
      <c r="AD12" s="45">
        <v>19344.8</v>
      </c>
      <c r="AF12"/>
      <c r="AG12"/>
      <c r="AH12"/>
      <c r="AO12"/>
      <c r="AP12"/>
      <c r="AQ12"/>
      <c r="AT12" s="36" t="s">
        <v>61</v>
      </c>
      <c r="AU12" s="40">
        <v>1</v>
      </c>
      <c r="AW12" s="73" t="s">
        <v>61</v>
      </c>
      <c r="AX12" s="26">
        <v>1</v>
      </c>
      <c r="BA12" s="42">
        <f>GETPIVOTDATA("Sum of Tonnage",$BA$4,"Load","Iron")</f>
        <v>235.8</v>
      </c>
      <c r="BB12" s="42">
        <f>GETPIVOTDATA("Sum of Tonnage",$BA$4,"Load","Sand")</f>
        <v>283.89999999999998</v>
      </c>
      <c r="BC12" s="42">
        <f>GETPIVOTDATA("Sum of Tonnage",$BA$4,"Load","Wood")</f>
        <v>528.09999999999991</v>
      </c>
    </row>
    <row r="13" spans="1:60" s="25" customFormat="1" ht="21.6" thickBot="1" x14ac:dyDescent="0.45">
      <c r="E13" s="44"/>
      <c r="F13" s="43"/>
      <c r="G13" s="46" t="s">
        <v>35</v>
      </c>
      <c r="H13" s="45">
        <v>20036.8</v>
      </c>
      <c r="M13" s="26"/>
      <c r="N13" s="42"/>
      <c r="S13" s="47" t="s">
        <v>9</v>
      </c>
      <c r="T13"/>
      <c r="U13"/>
      <c r="X13" s="46" t="s">
        <v>35</v>
      </c>
      <c r="Y13" s="50" t="s">
        <v>35</v>
      </c>
      <c r="Z13" s="55" t="str">
        <f t="shared" si="0"/>
        <v>.</v>
      </c>
      <c r="AB13" s="46" t="s">
        <v>35</v>
      </c>
      <c r="AC13" s="45">
        <v>26172</v>
      </c>
      <c r="AD13" s="45">
        <v>6135.2</v>
      </c>
      <c r="AF13"/>
      <c r="AG13"/>
      <c r="AH13"/>
      <c r="AO13"/>
      <c r="AP13"/>
      <c r="AQ13"/>
      <c r="AT13" s="36" t="s">
        <v>55</v>
      </c>
      <c r="AU13" s="40">
        <v>1</v>
      </c>
      <c r="AW13" s="26" t="s">
        <v>55</v>
      </c>
      <c r="AX13" s="26">
        <v>1</v>
      </c>
      <c r="BA13"/>
      <c r="BB13"/>
      <c r="BC13"/>
    </row>
    <row r="14" spans="1:60" s="25" customFormat="1" ht="21.6" thickBot="1" x14ac:dyDescent="0.45">
      <c r="G14" s="46" t="s">
        <v>36</v>
      </c>
      <c r="H14" s="45">
        <v>28740.799999999999</v>
      </c>
      <c r="M14" s="26"/>
      <c r="N14" s="42"/>
      <c r="S14" s="47" t="s">
        <v>10</v>
      </c>
      <c r="T14"/>
      <c r="U14"/>
      <c r="X14" s="46" t="s">
        <v>36</v>
      </c>
      <c r="Y14" s="50" t="s">
        <v>36</v>
      </c>
      <c r="Z14" s="55" t="str">
        <f t="shared" si="0"/>
        <v>.</v>
      </c>
      <c r="AB14" s="46" t="s">
        <v>36</v>
      </c>
      <c r="AC14" s="45">
        <v>34532</v>
      </c>
      <c r="AD14" s="45">
        <v>5791.2</v>
      </c>
      <c r="AF14"/>
      <c r="AG14"/>
      <c r="AH14"/>
      <c r="AO14"/>
      <c r="AP14"/>
      <c r="AQ14"/>
      <c r="AT14" s="36" t="s">
        <v>71</v>
      </c>
      <c r="AU14" s="29">
        <v>61</v>
      </c>
      <c r="AW14" s="26"/>
      <c r="AX14" s="26"/>
      <c r="BA14"/>
      <c r="BB14"/>
      <c r="BC14"/>
    </row>
    <row r="15" spans="1:60" ht="21.6" thickBot="1" x14ac:dyDescent="0.45">
      <c r="G15" s="36" t="s">
        <v>37</v>
      </c>
      <c r="H15" s="29">
        <v>33422</v>
      </c>
      <c r="S15" s="47" t="s">
        <v>11</v>
      </c>
      <c r="X15" s="36" t="s">
        <v>37</v>
      </c>
      <c r="Y15" s="49" t="s">
        <v>37</v>
      </c>
      <c r="Z15" s="55" t="str">
        <f t="shared" si="0"/>
        <v>.</v>
      </c>
      <c r="AB15" s="36" t="s">
        <v>37</v>
      </c>
      <c r="AC15" s="29">
        <v>48914</v>
      </c>
      <c r="AD15" s="29">
        <v>15492.000000000002</v>
      </c>
    </row>
    <row r="16" spans="1:60" ht="21.6" thickBot="1" x14ac:dyDescent="0.45">
      <c r="G16" s="36" t="s">
        <v>38</v>
      </c>
      <c r="H16" s="29">
        <v>15818.5</v>
      </c>
      <c r="S16" s="47" t="s">
        <v>12</v>
      </c>
      <c r="X16" s="36" t="s">
        <v>38</v>
      </c>
      <c r="Y16" s="49" t="s">
        <v>38</v>
      </c>
      <c r="Z16" s="55" t="str">
        <f t="shared" si="0"/>
        <v>.</v>
      </c>
      <c r="AB16" s="36" t="s">
        <v>38</v>
      </c>
      <c r="AC16" s="29">
        <v>23910</v>
      </c>
      <c r="AD16" s="29">
        <v>8091.5</v>
      </c>
    </row>
    <row r="17" spans="7:58" ht="21" x14ac:dyDescent="0.4">
      <c r="G17" s="36" t="s">
        <v>39</v>
      </c>
      <c r="H17" s="29">
        <v>11270.7</v>
      </c>
      <c r="X17" s="36" t="s">
        <v>39</v>
      </c>
      <c r="Y17" s="49" t="s">
        <v>39</v>
      </c>
      <c r="Z17" s="55" t="str">
        <f t="shared" si="0"/>
        <v>.</v>
      </c>
      <c r="AB17" s="36" t="s">
        <v>39</v>
      </c>
      <c r="AC17" s="29">
        <v>15861</v>
      </c>
      <c r="AD17" s="29">
        <v>4590.2999999999993</v>
      </c>
    </row>
    <row r="18" spans="7:58" ht="14.4" x14ac:dyDescent="0.3">
      <c r="G18" s="36" t="s">
        <v>71</v>
      </c>
      <c r="H18" s="29">
        <v>264192.89999999991</v>
      </c>
      <c r="X18" s="36" t="s">
        <v>71</v>
      </c>
      <c r="Z18" s="51"/>
      <c r="AB18" s="36" t="s">
        <v>71</v>
      </c>
      <c r="AC18" s="29">
        <v>359038</v>
      </c>
      <c r="AD18" s="29">
        <v>94845.099999999991</v>
      </c>
    </row>
    <row r="19" spans="7:58" ht="14.4" x14ac:dyDescent="0.3">
      <c r="G19" s="36"/>
      <c r="H19" s="29"/>
    </row>
    <row r="20" spans="7:58" ht="14.4" x14ac:dyDescent="0.3">
      <c r="G20" s="36"/>
      <c r="H20" s="29"/>
    </row>
    <row r="21" spans="7:58" ht="14.4" x14ac:dyDescent="0.3">
      <c r="G21" s="36"/>
      <c r="H21" s="29"/>
    </row>
    <row r="22" spans="7:58" ht="18" customHeight="1" x14ac:dyDescent="0.3">
      <c r="G22" s="36"/>
      <c r="H22" s="29"/>
    </row>
    <row r="23" spans="7:58" ht="18" customHeight="1" x14ac:dyDescent="0.3">
      <c r="G23" s="36"/>
      <c r="H23" s="29"/>
    </row>
    <row r="26" spans="7:58" ht="18" customHeight="1" x14ac:dyDescent="0.3">
      <c r="BA26" s="75">
        <v>61</v>
      </c>
      <c r="BB26" s="75" t="s">
        <v>98</v>
      </c>
      <c r="BC26" s="76" t="s">
        <v>100</v>
      </c>
      <c r="BD26" s="77">
        <v>8</v>
      </c>
      <c r="BE26" s="77" t="s">
        <v>48</v>
      </c>
      <c r="BF26" s="26"/>
    </row>
    <row r="36" spans="7:51" ht="18" customHeight="1" x14ac:dyDescent="0.3">
      <c r="AV36" s="26">
        <v>8</v>
      </c>
      <c r="AW36" s="26" t="s">
        <v>48</v>
      </c>
      <c r="AX36" s="26">
        <v>61</v>
      </c>
      <c r="AY36" s="26" t="s">
        <v>98</v>
      </c>
    </row>
    <row r="40" spans="7:51" ht="14.4" x14ac:dyDescent="0.3">
      <c r="G40" s="37" t="s">
        <v>70</v>
      </c>
      <c r="H40" s="36" t="s">
        <v>64</v>
      </c>
    </row>
    <row r="41" spans="7:51" ht="14.4" x14ac:dyDescent="0.3">
      <c r="G41" s="36" t="s">
        <v>21</v>
      </c>
      <c r="H41" s="29">
        <v>11948.7</v>
      </c>
    </row>
    <row r="42" spans="7:51" ht="14.4" x14ac:dyDescent="0.3">
      <c r="G42" s="36" t="s">
        <v>23</v>
      </c>
      <c r="H42" s="29">
        <v>12138.8</v>
      </c>
    </row>
    <row r="43" spans="7:51" ht="14.4" x14ac:dyDescent="0.3">
      <c r="G43" s="36" t="s">
        <v>25</v>
      </c>
      <c r="H43" s="29">
        <v>9471.5</v>
      </c>
    </row>
    <row r="44" spans="7:51" ht="14.4" x14ac:dyDescent="0.3">
      <c r="G44" s="36" t="s">
        <v>28</v>
      </c>
      <c r="H44" s="29">
        <v>14518.7</v>
      </c>
    </row>
    <row r="45" spans="7:51" ht="14.4" x14ac:dyDescent="0.3">
      <c r="G45" s="36" t="s">
        <v>30</v>
      </c>
      <c r="H45" s="29">
        <v>28743.599999999999</v>
      </c>
    </row>
    <row r="46" spans="7:51" ht="14.4" x14ac:dyDescent="0.3">
      <c r="G46" s="36" t="s">
        <v>31</v>
      </c>
      <c r="H46" s="29">
        <v>16091.6</v>
      </c>
    </row>
    <row r="47" spans="7:51" ht="14.4" x14ac:dyDescent="0.3">
      <c r="G47" s="36" t="s">
        <v>33</v>
      </c>
      <c r="H47" s="29">
        <v>61991.199999999997</v>
      </c>
    </row>
    <row r="48" spans="7:51" ht="14.4" x14ac:dyDescent="0.3">
      <c r="G48" s="36" t="s">
        <v>35</v>
      </c>
      <c r="H48" s="29">
        <v>20036.8</v>
      </c>
    </row>
    <row r="49" spans="7:8" ht="14.4" x14ac:dyDescent="0.3">
      <c r="G49" s="36" t="s">
        <v>36</v>
      </c>
      <c r="H49" s="29">
        <v>28740.799999999999</v>
      </c>
    </row>
    <row r="50" spans="7:8" ht="14.4" x14ac:dyDescent="0.3">
      <c r="G50" s="36" t="s">
        <v>37</v>
      </c>
      <c r="H50" s="29">
        <v>33422</v>
      </c>
    </row>
    <row r="51" spans="7:8" ht="14.4" x14ac:dyDescent="0.3">
      <c r="G51" s="36" t="s">
        <v>38</v>
      </c>
      <c r="H51" s="29">
        <v>15818.5</v>
      </c>
    </row>
    <row r="52" spans="7:8" ht="14.4" x14ac:dyDescent="0.3">
      <c r="G52" s="36" t="s">
        <v>39</v>
      </c>
      <c r="H52" s="29">
        <v>11270.7</v>
      </c>
    </row>
    <row r="53" spans="7:8" ht="14.4" x14ac:dyDescent="0.3">
      <c r="G53" s="36" t="s">
        <v>71</v>
      </c>
      <c r="H53" s="29">
        <v>264192.89999999991</v>
      </c>
    </row>
  </sheetData>
  <mergeCells count="2">
    <mergeCell ref="A2:E2"/>
    <mergeCell ref="G2:I2"/>
  </mergeCells>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T37"/>
  <sheetViews>
    <sheetView showGridLines="0" showRowColHeaders="0" tabSelected="1" zoomScale="77" zoomScaleNormal="77" workbookViewId="0">
      <selection activeCell="U7" sqref="U7"/>
    </sheetView>
  </sheetViews>
  <sheetFormatPr defaultColWidth="9.109375" defaultRowHeight="14.4" x14ac:dyDescent="0.3"/>
  <cols>
    <col min="1" max="1" width="18.6640625" style="56" bestFit="1" customWidth="1"/>
    <col min="2" max="2" width="12.33203125" style="56" bestFit="1" customWidth="1"/>
    <col min="3" max="3" width="17.6640625" style="56" bestFit="1" customWidth="1"/>
    <col min="4" max="15" width="9.109375" style="56"/>
    <col min="16" max="16" width="10.33203125" style="56" customWidth="1"/>
    <col min="17" max="17" width="21.5546875" style="56" bestFit="1" customWidth="1"/>
    <col min="18" max="18" width="7.109375" style="56" bestFit="1" customWidth="1"/>
    <col min="19" max="19" width="11.109375" style="56" customWidth="1"/>
    <col min="20" max="16384" width="9.109375" style="56"/>
  </cols>
  <sheetData>
    <row r="2" spans="1:19" ht="17.25" customHeight="1" x14ac:dyDescent="0.3"/>
    <row r="4" spans="1:19" ht="18.75" customHeight="1" x14ac:dyDescent="0.3">
      <c r="B4" s="89">
        <f>'PVT '!D5</f>
        <v>264192.89999999991</v>
      </c>
      <c r="C4" s="89"/>
      <c r="Q4" s="57" t="s">
        <v>79</v>
      </c>
      <c r="R4" s="57"/>
      <c r="S4" s="57"/>
    </row>
    <row r="5" spans="1:19" ht="15.75" customHeight="1" x14ac:dyDescent="0.3">
      <c r="B5" s="88" t="s">
        <v>68</v>
      </c>
      <c r="C5" s="88"/>
    </row>
    <row r="6" spans="1:19" ht="7.5" customHeight="1" x14ac:dyDescent="0.3">
      <c r="Q6" s="93" t="s">
        <v>5</v>
      </c>
    </row>
    <row r="7" spans="1:19" ht="18.75" customHeight="1" x14ac:dyDescent="0.3">
      <c r="A7" s="90" t="s">
        <v>69</v>
      </c>
      <c r="B7" s="90"/>
      <c r="C7" s="58">
        <f>'PVT '!G3</f>
        <v>264192.89999999991</v>
      </c>
      <c r="D7" s="59"/>
      <c r="Q7" s="93"/>
      <c r="R7" s="60">
        <f>'PVT '!M8</f>
        <v>8052</v>
      </c>
      <c r="S7" s="61"/>
    </row>
    <row r="8" spans="1:19" x14ac:dyDescent="0.3">
      <c r="A8" s="62"/>
      <c r="B8" s="62"/>
      <c r="C8" s="58"/>
      <c r="D8" s="59"/>
      <c r="Q8" s="93" t="s">
        <v>6</v>
      </c>
      <c r="R8" s="94">
        <f>'PVT '!N8</f>
        <v>23720</v>
      </c>
      <c r="S8" s="61"/>
    </row>
    <row r="9" spans="1:19" s="63" customFormat="1" ht="21" x14ac:dyDescent="0.3">
      <c r="E9" s="92" t="s">
        <v>72</v>
      </c>
      <c r="F9" s="92"/>
      <c r="G9" s="92"/>
      <c r="H9" s="92"/>
      <c r="I9" s="95" t="s">
        <v>65</v>
      </c>
      <c r="J9" s="95"/>
      <c r="Q9" s="93"/>
      <c r="R9" s="94"/>
      <c r="S9" s="61"/>
    </row>
    <row r="10" spans="1:19" ht="20.25" customHeight="1" x14ac:dyDescent="0.3">
      <c r="A10" s="91" t="s">
        <v>96</v>
      </c>
      <c r="B10" s="91"/>
      <c r="C10" s="64">
        <f>GETPIVOTDATA("Customer Type",'PVT '!$J$4,"Customer Type","New Customer")</f>
        <v>11</v>
      </c>
      <c r="E10" s="94">
        <f>'PVT '!B5</f>
        <v>359038</v>
      </c>
      <c r="F10" s="94"/>
      <c r="G10" s="94"/>
      <c r="H10" s="94"/>
      <c r="I10" s="94">
        <f>'PVT '!C5</f>
        <v>94845.100000000108</v>
      </c>
      <c r="J10" s="94"/>
      <c r="Q10" s="93" t="s">
        <v>7</v>
      </c>
      <c r="R10" s="94">
        <f>'PVT '!O8</f>
        <v>3164</v>
      </c>
      <c r="S10" s="61"/>
    </row>
    <row r="11" spans="1:19" ht="18.75" customHeight="1" x14ac:dyDescent="0.3">
      <c r="A11" s="88" t="s">
        <v>74</v>
      </c>
      <c r="B11" s="88"/>
      <c r="C11" s="64">
        <f>GETPIVOTDATA("Customer Type",'PVT '!$J$4,"Customer Type","Retaining Customer")</f>
        <v>50</v>
      </c>
      <c r="E11" s="96">
        <f>'PVT '!B6</f>
        <v>0.79103628224976852</v>
      </c>
      <c r="F11" s="96"/>
      <c r="G11" s="96"/>
      <c r="H11" s="96"/>
      <c r="I11" s="96">
        <f>'PVT '!C6</f>
        <v>0.20896371775023148</v>
      </c>
      <c r="J11" s="96"/>
      <c r="Q11" s="93"/>
      <c r="R11" s="94"/>
    </row>
    <row r="12" spans="1:19" x14ac:dyDescent="0.3">
      <c r="A12" s="63"/>
      <c r="Q12" s="93" t="s">
        <v>8</v>
      </c>
      <c r="R12" s="94">
        <f>'PVT '!P8</f>
        <v>15250</v>
      </c>
    </row>
    <row r="13" spans="1:19" x14ac:dyDescent="0.3">
      <c r="Q13" s="93"/>
      <c r="R13" s="94"/>
    </row>
    <row r="14" spans="1:19" x14ac:dyDescent="0.3">
      <c r="E14" s="87" t="s">
        <v>86</v>
      </c>
      <c r="F14" s="87"/>
      <c r="G14" s="87"/>
      <c r="H14" s="87"/>
    </row>
    <row r="15" spans="1:19" ht="15.6" x14ac:dyDescent="0.3">
      <c r="A15" s="84" t="s">
        <v>94</v>
      </c>
      <c r="B15" s="84"/>
      <c r="C15" s="65">
        <f>'PVT '!AM6</f>
        <v>26091.099999999991</v>
      </c>
      <c r="Q15" s="57" t="s">
        <v>84</v>
      </c>
    </row>
    <row r="16" spans="1:19" x14ac:dyDescent="0.3">
      <c r="A16" s="66"/>
      <c r="Q16" s="57"/>
    </row>
    <row r="17" spans="1:20" x14ac:dyDescent="0.3">
      <c r="A17" s="67">
        <f>GETPIVOTDATA("Sum of Odometer",'PVT '!$AF$5)</f>
        <v>18170.369999999995</v>
      </c>
      <c r="B17" s="67">
        <f>GETPIVOTDATA("Sum of Miles",'PVT '!$AF$5)</f>
        <v>21353</v>
      </c>
      <c r="C17" s="67">
        <f>GETPIVOTDATA("Sum of Rate Per Miles",'PVT '!$AF$5)</f>
        <v>14947.099999999993</v>
      </c>
      <c r="Q17" s="98" t="s">
        <v>9</v>
      </c>
      <c r="R17" s="97">
        <f>'PVT '!S8</f>
        <v>7785</v>
      </c>
    </row>
    <row r="18" spans="1:20" x14ac:dyDescent="0.3">
      <c r="A18" s="86" t="s">
        <v>14</v>
      </c>
      <c r="B18" s="86" t="s">
        <v>15</v>
      </c>
      <c r="C18" s="86" t="s">
        <v>16</v>
      </c>
      <c r="Q18" s="98"/>
      <c r="R18" s="97"/>
    </row>
    <row r="19" spans="1:20" x14ac:dyDescent="0.3">
      <c r="A19" s="86"/>
      <c r="B19" s="86"/>
      <c r="C19" s="86"/>
      <c r="Q19" s="98" t="s">
        <v>10</v>
      </c>
      <c r="R19" s="97">
        <f>'PVT '!T8</f>
        <v>39</v>
      </c>
    </row>
    <row r="20" spans="1:20" x14ac:dyDescent="0.3">
      <c r="A20" s="68"/>
      <c r="B20" s="69"/>
      <c r="C20" s="69"/>
      <c r="Q20" s="98"/>
      <c r="R20" s="97"/>
    </row>
    <row r="21" spans="1:20" x14ac:dyDescent="0.3">
      <c r="A21" s="67">
        <f>GETPIVOTDATA("Sum of Extra Pay",'PVT '!$AF$5)</f>
        <v>1546</v>
      </c>
      <c r="B21" s="70">
        <f>GETPIVOTDATA("Sum of Extra Stops",'PVT '!$AF$5)</f>
        <v>6100</v>
      </c>
      <c r="C21" s="70">
        <f>GETPIVOTDATA("Sum of Costs Driver Paid",'PVT '!$AF$5)</f>
        <v>3498</v>
      </c>
      <c r="Q21" s="98" t="s">
        <v>11</v>
      </c>
      <c r="R21" s="97">
        <f>'PVT '!U8</f>
        <v>7372</v>
      </c>
    </row>
    <row r="22" spans="1:20" x14ac:dyDescent="0.3">
      <c r="A22" s="86" t="s">
        <v>18</v>
      </c>
      <c r="B22" s="86" t="s">
        <v>93</v>
      </c>
      <c r="C22" s="86" t="s">
        <v>19</v>
      </c>
      <c r="Q22" s="98"/>
      <c r="R22" s="97"/>
    </row>
    <row r="23" spans="1:20" x14ac:dyDescent="0.3">
      <c r="A23" s="86"/>
      <c r="B23" s="86"/>
      <c r="C23" s="86"/>
      <c r="Q23" s="98" t="s">
        <v>12</v>
      </c>
      <c r="R23" s="97">
        <f>'PVT '!V8</f>
        <v>1196</v>
      </c>
    </row>
    <row r="24" spans="1:20" x14ac:dyDescent="0.3">
      <c r="Q24" s="98"/>
      <c r="R24" s="97"/>
    </row>
    <row r="25" spans="1:20" x14ac:dyDescent="0.3">
      <c r="A25" s="63"/>
    </row>
    <row r="26" spans="1:20" ht="18.75" customHeight="1" x14ac:dyDescent="0.3">
      <c r="F26" s="85" t="s">
        <v>99</v>
      </c>
      <c r="G26" s="85"/>
      <c r="O26" s="100" t="s">
        <v>2</v>
      </c>
      <c r="P26" s="100"/>
    </row>
    <row r="27" spans="1:20" ht="15.6" x14ac:dyDescent="0.3">
      <c r="A27" s="84" t="s">
        <v>95</v>
      </c>
      <c r="B27" s="84"/>
      <c r="O27" s="79"/>
      <c r="P27" s="82"/>
      <c r="Q27" s="81"/>
      <c r="R27" s="80"/>
    </row>
    <row r="28" spans="1:20" ht="15.75" customHeight="1" x14ac:dyDescent="0.3">
      <c r="A28" s="71"/>
      <c r="B28" s="71"/>
      <c r="C28" s="71"/>
      <c r="O28" s="79"/>
      <c r="P28" s="99" t="s">
        <v>26</v>
      </c>
      <c r="Q28" s="102">
        <f>GETPIVOTDATA("Count of Load",'PVT '!$BA$4,"Load","Iron")</f>
        <v>13</v>
      </c>
      <c r="R28" s="101" t="s">
        <v>105</v>
      </c>
      <c r="S28" s="102">
        <f>GETPIVOTDATA("Sum of Tonnage",'PVT '!$BA$4,"Load","Iron")</f>
        <v>235.8</v>
      </c>
      <c r="T28" s="101" t="s">
        <v>104</v>
      </c>
    </row>
    <row r="29" spans="1:20" ht="15" customHeight="1" x14ac:dyDescent="0.3">
      <c r="A29" s="71"/>
      <c r="B29" s="71"/>
      <c r="C29" s="71"/>
      <c r="P29" s="99"/>
      <c r="Q29" s="102"/>
      <c r="R29" s="101"/>
      <c r="S29" s="102"/>
      <c r="T29" s="101"/>
    </row>
    <row r="30" spans="1:20" x14ac:dyDescent="0.3">
      <c r="A30" s="71"/>
      <c r="B30" s="71"/>
      <c r="C30" s="71"/>
      <c r="P30" s="99" t="s">
        <v>24</v>
      </c>
      <c r="Q30" s="102">
        <f>GETPIVOTDATA("Count of Load",'PVT '!$BA$4,"Load","Sand")</f>
        <v>17</v>
      </c>
      <c r="R30" s="101" t="s">
        <v>105</v>
      </c>
      <c r="S30" s="102">
        <f>GETPIVOTDATA("Sum of Tonnage",'PVT '!$BA$4,"Load","Sand")</f>
        <v>283.89999999999998</v>
      </c>
      <c r="T30" s="101" t="s">
        <v>104</v>
      </c>
    </row>
    <row r="31" spans="1:20" x14ac:dyDescent="0.3">
      <c r="A31" s="71"/>
      <c r="B31" s="71"/>
      <c r="C31" s="71"/>
      <c r="P31" s="99"/>
      <c r="Q31" s="102"/>
      <c r="R31" s="101"/>
      <c r="S31" s="102"/>
      <c r="T31" s="101"/>
    </row>
    <row r="32" spans="1:20" x14ac:dyDescent="0.3">
      <c r="A32" s="71"/>
      <c r="B32" s="71"/>
      <c r="C32" s="71"/>
      <c r="P32" s="99" t="s">
        <v>22</v>
      </c>
      <c r="Q32" s="102">
        <f>GETPIVOTDATA("Count of Load",'PVT '!$BA$4,"Load","Wood")</f>
        <v>31</v>
      </c>
      <c r="R32" s="101" t="s">
        <v>105</v>
      </c>
      <c r="S32" s="102">
        <f>GETPIVOTDATA("Sum of Tonnage",'PVT '!$BA$4,"Load","Wood")</f>
        <v>528.09999999999991</v>
      </c>
      <c r="T32" s="101" t="s">
        <v>104</v>
      </c>
    </row>
    <row r="33" spans="1:20" x14ac:dyDescent="0.3">
      <c r="A33" s="71"/>
      <c r="B33" s="71"/>
      <c r="C33" s="71"/>
      <c r="P33" s="99"/>
      <c r="Q33" s="102"/>
      <c r="R33" s="101"/>
      <c r="S33" s="102"/>
      <c r="T33" s="101"/>
    </row>
    <row r="34" spans="1:20" ht="15" customHeight="1" x14ac:dyDescent="0.3">
      <c r="A34" s="71"/>
      <c r="B34" s="71"/>
      <c r="C34" s="71"/>
    </row>
    <row r="35" spans="1:20" ht="15" customHeight="1" x14ac:dyDescent="0.3">
      <c r="A35" s="71"/>
      <c r="B35" s="71"/>
      <c r="C35" s="71"/>
      <c r="P35" s="103">
        <f>GETPIVOTDATA("Sum of Tonnage",'PVT '!$BA$4)</f>
        <v>1047.7999999999997</v>
      </c>
      <c r="Q35" s="105" t="s">
        <v>105</v>
      </c>
      <c r="R35" s="104" t="s">
        <v>107</v>
      </c>
      <c r="S35" s="103">
        <f>GETPIVOTDATA("Count of Load",'PVT '!$BA$4)</f>
        <v>61</v>
      </c>
      <c r="T35" s="105" t="s">
        <v>106</v>
      </c>
    </row>
    <row r="36" spans="1:20" ht="15" customHeight="1" x14ac:dyDescent="0.3">
      <c r="A36" s="71"/>
      <c r="B36" s="71"/>
      <c r="C36" s="71"/>
      <c r="P36" s="103"/>
      <c r="Q36" s="105"/>
      <c r="R36" s="104"/>
      <c r="S36" s="103"/>
      <c r="T36" s="105"/>
    </row>
    <row r="37" spans="1:20" x14ac:dyDescent="0.3">
      <c r="A37" s="71"/>
      <c r="B37" s="71"/>
      <c r="C37" s="71"/>
    </row>
  </sheetData>
  <mergeCells count="57">
    <mergeCell ref="P35:P36"/>
    <mergeCell ref="R35:R36"/>
    <mergeCell ref="S35:S36"/>
    <mergeCell ref="Q35:Q36"/>
    <mergeCell ref="T35:T36"/>
    <mergeCell ref="T28:T29"/>
    <mergeCell ref="T30:T31"/>
    <mergeCell ref="T32:T33"/>
    <mergeCell ref="Q28:Q29"/>
    <mergeCell ref="Q30:Q31"/>
    <mergeCell ref="Q32:Q33"/>
    <mergeCell ref="R28:R29"/>
    <mergeCell ref="S28:S29"/>
    <mergeCell ref="R30:R31"/>
    <mergeCell ref="S30:S31"/>
    <mergeCell ref="R32:R33"/>
    <mergeCell ref="S32:S33"/>
    <mergeCell ref="P28:P29"/>
    <mergeCell ref="P30:P31"/>
    <mergeCell ref="P32:P33"/>
    <mergeCell ref="O26:P26"/>
    <mergeCell ref="Q23:Q24"/>
    <mergeCell ref="R23:R24"/>
    <mergeCell ref="Q17:Q18"/>
    <mergeCell ref="R17:R18"/>
    <mergeCell ref="Q19:Q20"/>
    <mergeCell ref="R19:R20"/>
    <mergeCell ref="Q21:Q22"/>
    <mergeCell ref="R21:R22"/>
    <mergeCell ref="I9:J9"/>
    <mergeCell ref="E10:H10"/>
    <mergeCell ref="E11:H11"/>
    <mergeCell ref="I10:J10"/>
    <mergeCell ref="I11:J11"/>
    <mergeCell ref="Q6:Q7"/>
    <mergeCell ref="Q10:Q11"/>
    <mergeCell ref="R8:R9"/>
    <mergeCell ref="R10:R11"/>
    <mergeCell ref="R12:R13"/>
    <mergeCell ref="Q8:Q9"/>
    <mergeCell ref="Q12:Q13"/>
    <mergeCell ref="E14:H14"/>
    <mergeCell ref="A15:B15"/>
    <mergeCell ref="B5:C5"/>
    <mergeCell ref="B4:C4"/>
    <mergeCell ref="A7:B7"/>
    <mergeCell ref="A10:B10"/>
    <mergeCell ref="A11:B11"/>
    <mergeCell ref="E9:H9"/>
    <mergeCell ref="A27:B27"/>
    <mergeCell ref="F26:G26"/>
    <mergeCell ref="A18:A19"/>
    <mergeCell ref="B18:B19"/>
    <mergeCell ref="C18:C19"/>
    <mergeCell ref="A22:A23"/>
    <mergeCell ref="B22:B23"/>
    <mergeCell ref="C22:C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PVT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creator>contact@other-levels.com</dc:creator>
  <cp:lastModifiedBy>chammemi yahia</cp:lastModifiedBy>
  <dcterms:created xsi:type="dcterms:W3CDTF">2022-10-16T10:32:46Z</dcterms:created>
  <dcterms:modified xsi:type="dcterms:W3CDTF">2023-08-23T16:38:16Z</dcterms:modified>
</cp:coreProperties>
</file>