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ftware\TU\23FL\Adv_Thermo\"/>
    </mc:Choice>
  </mc:AlternateContent>
  <xr:revisionPtr revIDLastSave="0" documentId="13_ncr:1_{8B33582B-E12A-4B45-B3FC-FD8D53ABA1FE}" xr6:coauthVersionLast="47" xr6:coauthVersionMax="47" xr10:uidLastSave="{00000000-0000-0000-0000-000000000000}"/>
  <bookViews>
    <workbookView xWindow="-96" yWindow="-96" windowWidth="23232" windowHeight="12432" activeTab="1" xr2:uid="{A119D443-8E70-4654-A837-C867184A83E7}"/>
  </bookViews>
  <sheets>
    <sheet name="Hand Solve" sheetId="1" r:id="rId1"/>
    <sheet name="Parametric Analysis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3" l="1"/>
  <c r="M47" i="3"/>
  <c r="F47" i="3"/>
  <c r="Z25" i="3"/>
  <c r="Z29" i="3"/>
  <c r="AC25" i="3"/>
  <c r="Y25" i="3"/>
  <c r="AA25" i="3"/>
  <c r="AG26" i="3"/>
  <c r="AF26" i="3"/>
  <c r="AD26" i="3"/>
  <c r="AF27" i="3"/>
  <c r="AI26" i="3"/>
  <c r="AJ26" i="3"/>
  <c r="AJ27" i="3"/>
  <c r="AJ28" i="3"/>
  <c r="S27" i="3"/>
  <c r="AE25" i="3"/>
  <c r="Z27" i="3"/>
  <c r="AC27" i="3"/>
  <c r="P27" i="3"/>
  <c r="Z26" i="3"/>
  <c r="AC26" i="3"/>
  <c r="AI27" i="3"/>
  <c r="P25" i="3"/>
  <c r="I25" i="3"/>
  <c r="S25" i="3"/>
  <c r="R25" i="3"/>
  <c r="T25" i="3" s="1"/>
  <c r="W25" i="3" s="1"/>
  <c r="Q25" i="3"/>
  <c r="J25" i="3"/>
  <c r="D25" i="3"/>
  <c r="B18" i="3"/>
  <c r="B19" i="3"/>
  <c r="B20" i="3"/>
  <c r="B21" i="3"/>
  <c r="B26" i="3"/>
  <c r="B27" i="3"/>
  <c r="B28" i="3"/>
  <c r="B29" i="3"/>
  <c r="C17" i="3"/>
  <c r="C18" i="3" s="1"/>
  <c r="C19" i="3" s="1"/>
  <c r="C20" i="3" s="1"/>
  <c r="C21" i="3" s="1"/>
  <c r="C29" i="3"/>
  <c r="H29" i="3" s="1"/>
  <c r="C28" i="3"/>
  <c r="H28" i="3" s="1"/>
  <c r="C27" i="3"/>
  <c r="H27" i="3" s="1"/>
  <c r="H26" i="3"/>
  <c r="G25" i="3"/>
  <c r="F25" i="3"/>
  <c r="K25" i="3" s="1"/>
  <c r="E25" i="3"/>
  <c r="C25" i="3"/>
  <c r="H25" i="3" s="1"/>
  <c r="B25" i="3"/>
  <c r="A25" i="3"/>
  <c r="A21" i="3"/>
  <c r="Q21" i="3" s="1"/>
  <c r="A20" i="3"/>
  <c r="Q20" i="3" s="1"/>
  <c r="A19" i="3"/>
  <c r="Q19" i="3" s="1"/>
  <c r="A18" i="3"/>
  <c r="Q18" i="3" s="1"/>
  <c r="S17" i="3"/>
  <c r="AE17" i="3" s="1"/>
  <c r="R17" i="3"/>
  <c r="U17" i="3" s="1"/>
  <c r="P17" i="3"/>
  <c r="I17" i="3"/>
  <c r="Z17" i="3" s="1"/>
  <c r="G17" i="3"/>
  <c r="F17" i="3"/>
  <c r="K17" i="3" s="1"/>
  <c r="E17" i="3"/>
  <c r="B17" i="3"/>
  <c r="D17" i="3" s="1"/>
  <c r="A17" i="3"/>
  <c r="Q17" i="3" s="1"/>
  <c r="G6" i="3"/>
  <c r="F6" i="3"/>
  <c r="E6" i="3"/>
  <c r="I29" i="3" s="1"/>
  <c r="S9" i="3"/>
  <c r="AE9" i="3" s="1"/>
  <c r="A12" i="3"/>
  <c r="Q12" i="3" s="1"/>
  <c r="A13" i="3"/>
  <c r="Q13" i="3" s="1"/>
  <c r="A10" i="3"/>
  <c r="Q10" i="3" s="1"/>
  <c r="R9" i="3"/>
  <c r="U9" i="3" s="1"/>
  <c r="P9" i="3"/>
  <c r="H10" i="3"/>
  <c r="I9" i="3"/>
  <c r="J9" i="3" s="1"/>
  <c r="G9" i="3"/>
  <c r="F9" i="3"/>
  <c r="K9" i="3" s="1"/>
  <c r="M9" i="3" s="1"/>
  <c r="D6" i="3"/>
  <c r="E9" i="3"/>
  <c r="C6" i="3"/>
  <c r="B9" i="3"/>
  <c r="D9" i="3" s="1"/>
  <c r="C11" i="3"/>
  <c r="H11" i="3" s="1"/>
  <c r="C12" i="3"/>
  <c r="H12" i="3" s="1"/>
  <c r="C13" i="3"/>
  <c r="H13" i="3" s="1"/>
  <c r="A11" i="3"/>
  <c r="Q11" i="3" s="1"/>
  <c r="C9" i="3"/>
  <c r="H9" i="3" s="1"/>
  <c r="A9" i="3"/>
  <c r="Q9" i="3" s="1"/>
  <c r="R2" i="1"/>
  <c r="M25" i="3" l="1"/>
  <c r="N25" i="3" s="1"/>
  <c r="O25" i="3" s="1"/>
  <c r="L25" i="3"/>
  <c r="R27" i="3"/>
  <c r="U25" i="3"/>
  <c r="V25" i="3" s="1"/>
  <c r="H17" i="3"/>
  <c r="I27" i="3"/>
  <c r="J27" i="3" s="1"/>
  <c r="I26" i="3"/>
  <c r="V17" i="3"/>
  <c r="P26" i="3"/>
  <c r="B10" i="3"/>
  <c r="B11" i="3" s="1"/>
  <c r="B12" i="3" s="1"/>
  <c r="B13" i="3" s="1"/>
  <c r="S18" i="3"/>
  <c r="AE18" i="3" s="1"/>
  <c r="T17" i="3"/>
  <c r="W17" i="3" s="1"/>
  <c r="L9" i="3"/>
  <c r="N9" i="3" s="1"/>
  <c r="O9" i="3" s="1"/>
  <c r="Z9" i="3"/>
  <c r="A26" i="3"/>
  <c r="A27" i="3" s="1"/>
  <c r="Q27" i="3" s="1"/>
  <c r="H18" i="3"/>
  <c r="D26" i="3"/>
  <c r="P28" i="3"/>
  <c r="I28" i="3"/>
  <c r="J29" i="3"/>
  <c r="J26" i="3"/>
  <c r="P29" i="3"/>
  <c r="S20" i="3"/>
  <c r="AE20" i="3" s="1"/>
  <c r="R20" i="3"/>
  <c r="D19" i="3"/>
  <c r="S21" i="3"/>
  <c r="AE21" i="3" s="1"/>
  <c r="R21" i="3"/>
  <c r="S19" i="3"/>
  <c r="AE19" i="3" s="1"/>
  <c r="R19" i="3"/>
  <c r="M17" i="3"/>
  <c r="L17" i="3"/>
  <c r="R18" i="3"/>
  <c r="D18" i="3"/>
  <c r="J17" i="3"/>
  <c r="V9" i="3"/>
  <c r="S13" i="3"/>
  <c r="AE13" i="3" s="1"/>
  <c r="S11" i="3"/>
  <c r="AE11" i="3" s="1"/>
  <c r="S10" i="3"/>
  <c r="AE10" i="3" s="1"/>
  <c r="S12" i="3"/>
  <c r="AE12" i="3" s="1"/>
  <c r="T9" i="3"/>
  <c r="W9" i="3" s="1"/>
  <c r="P10" i="3"/>
  <c r="R11" i="3"/>
  <c r="R10" i="3"/>
  <c r="R13" i="3"/>
  <c r="R12" i="3"/>
  <c r="P11" i="3"/>
  <c r="P13" i="3"/>
  <c r="P12" i="3"/>
  <c r="I12" i="3"/>
  <c r="Z12" i="3" s="1"/>
  <c r="I10" i="3"/>
  <c r="Z10" i="3" s="1"/>
  <c r="I11" i="3"/>
  <c r="Z11" i="3" s="1"/>
  <c r="I13" i="3"/>
  <c r="Z13" i="3" s="1"/>
  <c r="AE27" i="3" l="1"/>
  <c r="X25" i="3"/>
  <c r="X17" i="3"/>
  <c r="N17" i="3"/>
  <c r="O17" i="3" s="1"/>
  <c r="Q26" i="3"/>
  <c r="A28" i="3"/>
  <c r="Q28" i="3" s="1"/>
  <c r="T27" i="3"/>
  <c r="W27" i="3" s="1"/>
  <c r="A29" i="3"/>
  <c r="Q29" i="3" s="1"/>
  <c r="H19" i="3"/>
  <c r="P18" i="3"/>
  <c r="I18" i="3"/>
  <c r="Z28" i="3"/>
  <c r="J28" i="3"/>
  <c r="G26" i="3"/>
  <c r="F26" i="3"/>
  <c r="K26" i="3" s="1"/>
  <c r="E26" i="3"/>
  <c r="D27" i="3"/>
  <c r="G19" i="3"/>
  <c r="F19" i="3"/>
  <c r="K19" i="3" s="1"/>
  <c r="E19" i="3"/>
  <c r="U20" i="3"/>
  <c r="T20" i="3"/>
  <c r="T19" i="3"/>
  <c r="U19" i="3"/>
  <c r="U18" i="3"/>
  <c r="T18" i="3"/>
  <c r="W18" i="3" s="1"/>
  <c r="D21" i="3"/>
  <c r="D20" i="3"/>
  <c r="G18" i="3"/>
  <c r="F18" i="3"/>
  <c r="K18" i="3" s="1"/>
  <c r="E18" i="3"/>
  <c r="T21" i="3"/>
  <c r="U21" i="3"/>
  <c r="X9" i="3"/>
  <c r="Y9" i="3" s="1"/>
  <c r="J11" i="3"/>
  <c r="J13" i="3"/>
  <c r="J10" i="3"/>
  <c r="J12" i="3"/>
  <c r="T12" i="3"/>
  <c r="W12" i="3" s="1"/>
  <c r="U12" i="3"/>
  <c r="T13" i="3"/>
  <c r="W13" i="3" s="1"/>
  <c r="U13" i="3"/>
  <c r="T11" i="3"/>
  <c r="W11" i="3" s="1"/>
  <c r="U11" i="3"/>
  <c r="T10" i="3"/>
  <c r="W10" i="3" s="1"/>
  <c r="U10" i="3"/>
  <c r="D10" i="3"/>
  <c r="G10" i="3" s="1"/>
  <c r="S26" i="3" l="1"/>
  <c r="R26" i="3"/>
  <c r="R29" i="3"/>
  <c r="S29" i="3"/>
  <c r="AE29" i="3" s="1"/>
  <c r="R28" i="3"/>
  <c r="S28" i="3"/>
  <c r="AE28" i="3" s="1"/>
  <c r="AB25" i="3"/>
  <c r="AD25" i="3" s="1"/>
  <c r="AF25" i="3" s="1"/>
  <c r="Y17" i="3"/>
  <c r="V18" i="3"/>
  <c r="U27" i="3"/>
  <c r="V19" i="3"/>
  <c r="AE26" i="3"/>
  <c r="AB9" i="3"/>
  <c r="AA9" i="3"/>
  <c r="Z18" i="3"/>
  <c r="J18" i="3"/>
  <c r="I19" i="3"/>
  <c r="P19" i="3"/>
  <c r="W19" i="3"/>
  <c r="H20" i="3"/>
  <c r="H21" i="3"/>
  <c r="M26" i="3"/>
  <c r="L26" i="3"/>
  <c r="F27" i="3"/>
  <c r="K27" i="3" s="1"/>
  <c r="E27" i="3"/>
  <c r="V27" i="3" s="1"/>
  <c r="G27" i="3"/>
  <c r="D29" i="3"/>
  <c r="D28" i="3"/>
  <c r="G20" i="3"/>
  <c r="F20" i="3"/>
  <c r="K20" i="3" s="1"/>
  <c r="E20" i="3"/>
  <c r="V20" i="3" s="1"/>
  <c r="X18" i="3"/>
  <c r="L19" i="3"/>
  <c r="M19" i="3"/>
  <c r="M18" i="3"/>
  <c r="L18" i="3"/>
  <c r="G21" i="3"/>
  <c r="F21" i="3"/>
  <c r="K21" i="3" s="1"/>
  <c r="E21" i="3"/>
  <c r="V21" i="3" s="1"/>
  <c r="F10" i="3"/>
  <c r="K10" i="3" s="1"/>
  <c r="E10" i="3"/>
  <c r="V10" i="3" s="1"/>
  <c r="D11" i="3"/>
  <c r="AG25" i="3" l="1"/>
  <c r="AH25" i="3" s="1"/>
  <c r="AI25" i="3" s="1"/>
  <c r="AJ25" i="3" s="1"/>
  <c r="AC9" i="3"/>
  <c r="AD9" i="3" s="1"/>
  <c r="AF9" i="3" s="1"/>
  <c r="AA17" i="3"/>
  <c r="AB17" i="3"/>
  <c r="AC17" i="3" s="1"/>
  <c r="AD17" i="3" s="1"/>
  <c r="X19" i="3"/>
  <c r="U26" i="3"/>
  <c r="V26" i="3" s="1"/>
  <c r="T26" i="3"/>
  <c r="W26" i="3" s="1"/>
  <c r="U28" i="3"/>
  <c r="T28" i="3"/>
  <c r="W28" i="3" s="1"/>
  <c r="U29" i="3"/>
  <c r="T29" i="3"/>
  <c r="W29" i="3" s="1"/>
  <c r="I21" i="3"/>
  <c r="P21" i="3"/>
  <c r="W21" i="3" s="1"/>
  <c r="X21" i="3" s="1"/>
  <c r="J19" i="3"/>
  <c r="N19" i="3" s="1"/>
  <c r="O19" i="3" s="1"/>
  <c r="Z19" i="3"/>
  <c r="I20" i="3"/>
  <c r="P20" i="3"/>
  <c r="W20" i="3" s="1"/>
  <c r="X20" i="3" s="1"/>
  <c r="N18" i="3"/>
  <c r="O18" i="3" s="1"/>
  <c r="Y18" i="3" s="1"/>
  <c r="AA18" i="3" s="1"/>
  <c r="X27" i="3"/>
  <c r="L27" i="3"/>
  <c r="M27" i="3"/>
  <c r="F29" i="3"/>
  <c r="K29" i="3" s="1"/>
  <c r="E29" i="3"/>
  <c r="G29" i="3"/>
  <c r="G28" i="3"/>
  <c r="F28" i="3"/>
  <c r="K28" i="3" s="1"/>
  <c r="E28" i="3"/>
  <c r="N26" i="3"/>
  <c r="O26" i="3" s="1"/>
  <c r="L21" i="3"/>
  <c r="M21" i="3"/>
  <c r="M20" i="3"/>
  <c r="L20" i="3"/>
  <c r="X10" i="3"/>
  <c r="F11" i="3"/>
  <c r="K11" i="3" s="1"/>
  <c r="G11" i="3"/>
  <c r="M10" i="3"/>
  <c r="L10" i="3"/>
  <c r="E11" i="3"/>
  <c r="V11" i="3" s="1"/>
  <c r="D13" i="3"/>
  <c r="D12" i="3"/>
  <c r="V29" i="3" l="1"/>
  <c r="AG9" i="3"/>
  <c r="AH9" i="3" s="1"/>
  <c r="AI9" i="3" s="1"/>
  <c r="AJ9" i="3" s="1"/>
  <c r="AG17" i="3"/>
  <c r="AF17" i="3"/>
  <c r="X26" i="3"/>
  <c r="Y26" i="3" s="1"/>
  <c r="V28" i="3"/>
  <c r="N27" i="3"/>
  <c r="O27" i="3" s="1"/>
  <c r="AB18" i="3"/>
  <c r="AC18" i="3" s="1"/>
  <c r="AD18" i="3" s="1"/>
  <c r="AF18" i="3" s="1"/>
  <c r="Z20" i="3"/>
  <c r="J20" i="3"/>
  <c r="N20" i="3" s="1"/>
  <c r="O20" i="3" s="1"/>
  <c r="J21" i="3"/>
  <c r="N21" i="3" s="1"/>
  <c r="O21" i="3" s="1"/>
  <c r="Y21" i="3" s="1"/>
  <c r="Z21" i="3"/>
  <c r="L29" i="3"/>
  <c r="M29" i="3"/>
  <c r="N29" i="3" s="1"/>
  <c r="O29" i="3" s="1"/>
  <c r="M28" i="3"/>
  <c r="L28" i="3"/>
  <c r="Y19" i="3"/>
  <c r="X11" i="3"/>
  <c r="N10" i="3"/>
  <c r="O10" i="3" s="1"/>
  <c r="G12" i="3"/>
  <c r="F12" i="3"/>
  <c r="K12" i="3" s="1"/>
  <c r="F13" i="3"/>
  <c r="K13" i="3" s="1"/>
  <c r="G13" i="3"/>
  <c r="M11" i="3"/>
  <c r="L11" i="3"/>
  <c r="E12" i="3"/>
  <c r="V12" i="3" s="1"/>
  <c r="E13" i="3"/>
  <c r="V13" i="3" s="1"/>
  <c r="X28" i="3" l="1"/>
  <c r="Y27" i="3"/>
  <c r="AA27" i="3" s="1"/>
  <c r="X29" i="3"/>
  <c r="Y29" i="3" s="1"/>
  <c r="AB29" i="3" s="1"/>
  <c r="AH17" i="3"/>
  <c r="AI17" i="3" s="1"/>
  <c r="AJ17" i="3" s="1"/>
  <c r="AG18" i="3"/>
  <c r="AH18" i="3" s="1"/>
  <c r="AI18" i="3" s="1"/>
  <c r="AJ18" i="3" s="1"/>
  <c r="N28" i="3"/>
  <c r="O28" i="3" s="1"/>
  <c r="AB26" i="3"/>
  <c r="AA26" i="3"/>
  <c r="Y20" i="3"/>
  <c r="AB21" i="3"/>
  <c r="AA21" i="3"/>
  <c r="AB19" i="3"/>
  <c r="AA19" i="3"/>
  <c r="Y10" i="3"/>
  <c r="X13" i="3"/>
  <c r="X12" i="3"/>
  <c r="N11" i="3"/>
  <c r="O11" i="3" s="1"/>
  <c r="L13" i="3"/>
  <c r="M13" i="3"/>
  <c r="L12" i="3"/>
  <c r="M12" i="3"/>
  <c r="AB27" i="3" l="1"/>
  <c r="AD27" i="3" s="1"/>
  <c r="AA29" i="3"/>
  <c r="AC29" i="3" s="1"/>
  <c r="AD29" i="3" s="1"/>
  <c r="AG27" i="3"/>
  <c r="AH27" i="3" s="1"/>
  <c r="AA10" i="3"/>
  <c r="AB10" i="3"/>
  <c r="AC10" i="3" s="1"/>
  <c r="AD10" i="3" s="1"/>
  <c r="Y28" i="3"/>
  <c r="AC19" i="3"/>
  <c r="AD19" i="3" s="1"/>
  <c r="AA20" i="3"/>
  <c r="AB20" i="3"/>
  <c r="AC21" i="3"/>
  <c r="AD21" i="3" s="1"/>
  <c r="Y11" i="3"/>
  <c r="N12" i="3"/>
  <c r="O12" i="3" s="1"/>
  <c r="N13" i="3"/>
  <c r="O13" i="3" s="1"/>
  <c r="AB11" i="3" l="1"/>
  <c r="AA11" i="3"/>
  <c r="AF10" i="3"/>
  <c r="AG10" i="3"/>
  <c r="AH10" i="3" s="1"/>
  <c r="AI10" i="3" s="1"/>
  <c r="AJ10" i="3" s="1"/>
  <c r="AB28" i="3"/>
  <c r="AA28" i="3"/>
  <c r="AG29" i="3"/>
  <c r="AF29" i="3"/>
  <c r="AG19" i="3"/>
  <c r="AF19" i="3"/>
  <c r="AG21" i="3"/>
  <c r="AF21" i="3"/>
  <c r="AC20" i="3"/>
  <c r="AD20" i="3" s="1"/>
  <c r="Y13" i="3"/>
  <c r="Y12" i="3"/>
  <c r="AH26" i="3" l="1"/>
  <c r="AH19" i="3"/>
  <c r="AI19" i="3" s="1"/>
  <c r="AJ19" i="3" s="1"/>
  <c r="AB12" i="3"/>
  <c r="AA12" i="3"/>
  <c r="AC11" i="3"/>
  <c r="AD11" i="3" s="1"/>
  <c r="AB13" i="3"/>
  <c r="AA13" i="3"/>
  <c r="AH29" i="3"/>
  <c r="AI29" i="3" s="1"/>
  <c r="AJ29" i="3" s="1"/>
  <c r="AC28" i="3"/>
  <c r="AD28" i="3" s="1"/>
  <c r="AF20" i="3"/>
  <c r="AG20" i="3"/>
  <c r="AH21" i="3"/>
  <c r="AI21" i="3" s="1"/>
  <c r="AJ21" i="3" s="1"/>
  <c r="AH20" i="3" l="1"/>
  <c r="AI20" i="3" s="1"/>
  <c r="AJ20" i="3" s="1"/>
  <c r="AC12" i="3"/>
  <c r="AD12" i="3" s="1"/>
  <c r="AF12" i="3" s="1"/>
  <c r="AC13" i="3"/>
  <c r="AD13" i="3" s="1"/>
  <c r="AF11" i="3"/>
  <c r="AG11" i="3"/>
  <c r="AF28" i="3"/>
  <c r="AG28" i="3"/>
  <c r="AH28" i="3" l="1"/>
  <c r="AI28" i="3" s="1"/>
  <c r="AH11" i="3"/>
  <c r="AI11" i="3" s="1"/>
  <c r="AJ11" i="3" s="1"/>
  <c r="AG12" i="3"/>
  <c r="AH12" i="3" s="1"/>
  <c r="AI12" i="3" s="1"/>
  <c r="AJ12" i="3" s="1"/>
  <c r="AG13" i="3"/>
  <c r="AF13" i="3"/>
  <c r="AH13" i="3" l="1"/>
  <c r="AI13" i="3" s="1"/>
  <c r="AJ13" i="3" s="1"/>
</calcChain>
</file>

<file path=xl/sharedStrings.xml><?xml version="1.0" encoding="utf-8"?>
<sst xmlns="http://schemas.openxmlformats.org/spreadsheetml/2006/main" count="168" uniqueCount="67">
  <si>
    <t>T_inf (°C)</t>
  </si>
  <si>
    <t>T_F (°C)</t>
  </si>
  <si>
    <t>T_R (°C)</t>
  </si>
  <si>
    <t>State</t>
  </si>
  <si>
    <t>T (°C)</t>
  </si>
  <si>
    <t>P (Bar)</t>
  </si>
  <si>
    <t>s (KJ/Kg*K)</t>
  </si>
  <si>
    <t>h (KJ/Kg)</t>
  </si>
  <si>
    <t>Condition</t>
  </si>
  <si>
    <t>Saturated Vapor</t>
  </si>
  <si>
    <t>2s</t>
  </si>
  <si>
    <t>Superheated</t>
  </si>
  <si>
    <t>Saturated Liquid</t>
  </si>
  <si>
    <t>4s</t>
  </si>
  <si>
    <t>Saturated Mixture</t>
  </si>
  <si>
    <t>-</t>
  </si>
  <si>
    <t>m_F</t>
  </si>
  <si>
    <t>m_R (kg/min)</t>
  </si>
  <si>
    <t>m_F (kg/min)</t>
  </si>
  <si>
    <t>m_tot (kg/min)</t>
  </si>
  <si>
    <t>CoP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</si>
  <si>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1"/>
        <charset val="2"/>
      </rPr>
      <t xml:space="preserve"> (°C)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</si>
  <si>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_C</t>
    </r>
  </si>
  <si>
    <t>Q_F (ton)</t>
  </si>
  <si>
    <t>Q_R (ton)</t>
  </si>
  <si>
    <t>T_1</t>
  </si>
  <si>
    <t>h_1</t>
  </si>
  <si>
    <t>h_2s</t>
  </si>
  <si>
    <t>h_2</t>
  </si>
  <si>
    <t>h_3</t>
  </si>
  <si>
    <t>h_4</t>
  </si>
  <si>
    <t>h_6</t>
  </si>
  <si>
    <t>h_8</t>
  </si>
  <si>
    <t>s_3</t>
  </si>
  <si>
    <t>m_tot</t>
  </si>
  <si>
    <t>h_4s</t>
  </si>
  <si>
    <t>Max</t>
  </si>
  <si>
    <t>Min</t>
  </si>
  <si>
    <t>T_F vs CoP</t>
  </si>
  <si>
    <t>T_R vs CoP</t>
  </si>
  <si>
    <t>T_inf vs CoP</t>
  </si>
  <si>
    <t>h_5</t>
  </si>
  <si>
    <t>Interp factors</t>
  </si>
  <si>
    <t>s_1</t>
  </si>
  <si>
    <t>h_g</t>
  </si>
  <si>
    <t>s_g</t>
  </si>
  <si>
    <t>s_2s</t>
  </si>
  <si>
    <t>h_7</t>
  </si>
  <si>
    <t>p_1</t>
  </si>
  <si>
    <t>p_5</t>
  </si>
  <si>
    <t>p_2</t>
  </si>
  <si>
    <t>T_8</t>
  </si>
  <si>
    <t>p_8</t>
  </si>
  <si>
    <t>T_5</t>
  </si>
  <si>
    <t>h_2 2.4 bar</t>
  </si>
  <si>
    <t>h_2 2.8 bar</t>
  </si>
  <si>
    <t>h_f</t>
  </si>
  <si>
    <t>p vs T</t>
  </si>
  <si>
    <t>p vs s</t>
  </si>
  <si>
    <t>m_R</t>
  </si>
  <si>
    <t>p_3</t>
  </si>
  <si>
    <t>s_3 2.4 bar</t>
  </si>
  <si>
    <t>s_3 2.8 bar</t>
  </si>
  <si>
    <t>p_4</t>
  </si>
  <si>
    <t>h_4 8 bar</t>
  </si>
  <si>
    <t>h_4 9 bar</t>
  </si>
  <si>
    <t>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</si>
</sst>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Freezer Temperatur</a:t>
            </a:r>
            <a:r>
              <a:rPr lang="en-US" baseline="0"/>
              <a:t>e Effect on CoP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'Parametric Analysis'!$AJ$8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'Parametric Analysis'!$B$9:$B$13</c:f>
              <c:numCache>
                <c:formatCode>General</c:formatCode>
                <c:ptCount val="5"/>
                <c:pt idx="0">
                  <c:v>-24</c:v>
                </c:pt>
                <c:pt idx="1">
                  <c:v>-22.5</c:v>
                </c:pt>
                <c:pt idx="2">
                  <c:v>-21</c:v>
                </c:pt>
                <c:pt idx="3">
                  <c:v>-19.5</c:v>
                </c:pt>
                <c:pt idx="4">
                  <c:v>-18</c:v>
                </c:pt>
              </c:numCache>
            </c:numRef>
          </c:cat>
          <c:val>
            <c:numRef>
              <c:f>'Parametric Analysis'!$AJ$9:$AJ$13</c:f>
              <c:numCache>
                <c:formatCode>0.00</c:formatCode>
                <c:ptCount val="5"/>
                <c:pt idx="0">
                  <c:v>2.8501263606594214</c:v>
                </c:pt>
                <c:pt idx="1">
                  <c:v>2.8798677416741989</c:v>
                </c:pt>
                <c:pt idx="2">
                  <c:v>2.9097964429526737</c:v>
                </c:pt>
                <c:pt idx="3">
                  <c:v>2.9399142397855038</c:v>
                </c:pt>
                <c:pt idx="4">
                  <c:v>2.9702229299677212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4-4D96-B080-8B8D4754C73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27192"/>
        <c:axId val="683127896"/>
      </c:lineChart>
      <c:catAx>
        <c:axId val="683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Freezer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896"/>
        <c:crosses val="autoZero"/>
        <c:auto val="1"/>
        <c:lblAlgn val="ctr"/>
        <c:lblOffset val="100"/>
        <c:tickMarkSkip val="1"/>
        <c:noMultiLvlLbl val="0"/>
      </c:catAx>
      <c:valAx>
        <c:axId val="683127896"/>
        <c:scaling>
          <c:orientation val="minMax"/>
          <c:max val="5"/>
          <c:min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1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Refrigerator Temperatur</a:t>
            </a:r>
            <a:r>
              <a:rPr lang="en-US" baseline="0"/>
              <a:t>e Effect on CoP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'Parametric Analysis'!$AJ$16</c:f>
              <c:strCache>
                <c:ptCount val="1"/>
                <c:pt idx="0">
                  <c:v>CoP</c:v>
                </c:pt>
              </c:strCache>
            </c:strRef>
          </c:tx>
          <c:marker>
            <c:symbol val="none"/>
          </c:marker>
          <c:cat>
            <c:numRef>
              <c:f>'Parametric Analysis'!$C$17:$C$21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'Parametric Analysis'!$AJ$17:$AJ$21</c:f>
              <c:numCache>
                <c:formatCode>0.00</c:formatCode>
                <c:ptCount val="5"/>
                <c:pt idx="0">
                  <c:v>2.8501263606594214</c:v>
                </c:pt>
                <c:pt idx="1">
                  <c:v>2.9585294202346013</c:v>
                </c:pt>
                <c:pt idx="2">
                  <c:v>3.0709311032456008</c:v>
                </c:pt>
                <c:pt idx="3">
                  <c:v>3.1872843648264957</c:v>
                </c:pt>
                <c:pt idx="4">
                  <c:v>3.3074966966624961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A-4FE4-A004-57535F98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27192"/>
        <c:axId val="683127896"/>
      </c:lineChart>
      <c:catAx>
        <c:axId val="683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Refridgerator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896"/>
        <c:crosses val="autoZero"/>
        <c:auto val="1"/>
        <c:lblAlgn val="ctr"/>
        <c:lblOffset val="100"/>
        <c:tickMarkSkip val="1"/>
        <c:noMultiLvlLbl val="0"/>
      </c:catAx>
      <c:valAx>
        <c:axId val="683127896"/>
        <c:scaling>
          <c:orientation val="minMax"/>
          <c:max val="5"/>
          <c:min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192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 Temperatur</a:t>
            </a:r>
            <a:r>
              <a:rPr lang="en-US" baseline="0"/>
              <a:t>e Effect on CoP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'Parametric Analysis'!$AJ$24</c:f>
              <c:strCache>
                <c:ptCount val="1"/>
                <c:pt idx="0">
                  <c:v>CoP</c:v>
                </c:pt>
              </c:strCache>
            </c:strRef>
          </c:tx>
          <c:marker>
            <c:symbol val="none"/>
          </c:marker>
          <c:cat>
            <c:numRef>
              <c:f>'Parametric Analysis'!$A$25:$A$29</c:f>
              <c:numCache>
                <c:formatCode>General</c:formatCode>
                <c:ptCount val="5"/>
                <c:pt idx="0">
                  <c:v>25</c:v>
                </c:pt>
                <c:pt idx="1">
                  <c:v>26.25</c:v>
                </c:pt>
                <c:pt idx="2">
                  <c:v>27.5</c:v>
                </c:pt>
                <c:pt idx="3">
                  <c:v>28.75</c:v>
                </c:pt>
                <c:pt idx="4">
                  <c:v>30</c:v>
                </c:pt>
              </c:numCache>
            </c:numRef>
          </c:cat>
          <c:val>
            <c:numRef>
              <c:f>'Parametric Analysis'!$AJ$25:$AJ$29</c:f>
              <c:numCache>
                <c:formatCode>0.00</c:formatCode>
                <c:ptCount val="5"/>
                <c:pt idx="0">
                  <c:v>2.8501263606594214</c:v>
                </c:pt>
                <c:pt idx="1">
                  <c:v>3.1692853815286997</c:v>
                </c:pt>
                <c:pt idx="2">
                  <c:v>3.5813033376959456</c:v>
                </c:pt>
                <c:pt idx="3">
                  <c:v>4.1336080862232274</c:v>
                </c:pt>
                <c:pt idx="4">
                  <c:v>4.9125533140326887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043-83F3-2797E73C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27192"/>
        <c:axId val="683127896"/>
      </c:lineChart>
      <c:catAx>
        <c:axId val="683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Ambient Air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896"/>
        <c:crosses val="autoZero"/>
        <c:auto val="1"/>
        <c:lblAlgn val="ctr"/>
        <c:lblOffset val="100"/>
        <c:tickMarkSkip val="1"/>
        <c:noMultiLvlLbl val="0"/>
      </c:catAx>
      <c:valAx>
        <c:axId val="683127896"/>
        <c:scaling>
          <c:orientation val="minMax"/>
          <c:max val="5"/>
          <c:min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192"/>
        <c:crosses val="autoZero"/>
        <c:crossBetween val="between"/>
        <c:majorUnit val="0.25"/>
        <c:min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69273</xdr:colOff>
      <xdr:row>30</xdr:row>
      <xdr:rowOff>164339</xdr:rowOff>
    </xdr:from>
    <xdr:to>
      <xdr:col>37</xdr:col>
      <xdr:colOff>339437</xdr:colOff>
      <xdr:row>77</xdr:row>
      <xdr:rowOff>32986</xdr:rowOff>
    </xdr:to>
    <xdr:pic>
      <xdr:nvPicPr>
        <xdr:cNvPr id="2" name="Picture 1" descr="A diagram of a heat exchanger&#10;&#10;Description automatically generated">
          <a:extLst>
            <a:ext uri="{FF2B5EF4-FFF2-40B4-BE49-F238E27FC236}">
              <a16:creationId xmlns:a16="http://schemas.microsoft.com/office/drawing/2014/main" id="{55FBBA0C-9C01-9DDC-87BF-2701EF144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2509" y="5616103"/>
          <a:ext cx="8776855" cy="833377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3871</xdr:colOff>
      <xdr:row>30</xdr:row>
      <xdr:rowOff>7130</xdr:rowOff>
    </xdr:from>
    <xdr:to>
      <xdr:col>9</xdr:col>
      <xdr:colOff>114707</xdr:colOff>
      <xdr:row>45</xdr:row>
      <xdr:rowOff>48694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07A5C-1B5D-93C0-0915-4D233895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147917</xdr:colOff>
      <xdr:row>30</xdr:row>
      <xdr:rowOff>4482</xdr:rowOff>
    </xdr:from>
    <xdr:to>
      <xdr:col>16</xdr:col>
      <xdr:colOff>58412</xdr:colOff>
      <xdr:row>45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04F45-3E08-4384-BDA2-771B04366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98612</xdr:colOff>
      <xdr:row>30</xdr:row>
      <xdr:rowOff>4482</xdr:rowOff>
    </xdr:from>
    <xdr:to>
      <xdr:col>23</xdr:col>
      <xdr:colOff>206331</xdr:colOff>
      <xdr:row>45</xdr:row>
      <xdr:rowOff>46046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A0E9A-CE2B-4005-8EA0-9C675C2B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059E-B9D0-4872-A2C6-B6BBA2F045C7}">
  <dimension ref="A1:T11"/>
  <sheetViews>
    <sheetView workbookViewId="0">
      <selection activeCell="J11" sqref="J11"/>
    </sheetView>
  </sheetViews>
  <sheetFormatPr defaultRowHeight="14.4"/>
  <cols>
    <col min="14" max="14" width="19.41796875" customWidth="1"/>
    <col min="16" max="18" width="13.83984375" customWidth="1"/>
    <col min="20" max="20" width="15.05078125" customWidth="1"/>
  </cols>
  <sheetData>
    <row r="1" spans="1:20" ht="14.7">
      <c r="A1" s="4" t="s">
        <v>0</v>
      </c>
      <c r="B1" s="4" t="s">
        <v>1</v>
      </c>
      <c r="C1" s="4" t="s">
        <v>2</v>
      </c>
      <c r="D1" s="6" t="s">
        <v>21</v>
      </c>
      <c r="E1" s="7" t="s">
        <v>22</v>
      </c>
      <c r="F1" s="4" t="s">
        <v>23</v>
      </c>
      <c r="G1" s="4" t="s">
        <v>24</v>
      </c>
      <c r="H1" s="1"/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P1" s="4" t="s">
        <v>18</v>
      </c>
      <c r="Q1" s="4" t="s">
        <v>17</v>
      </c>
      <c r="R1" s="4" t="s">
        <v>19</v>
      </c>
      <c r="T1" s="4" t="s">
        <v>20</v>
      </c>
    </row>
    <row r="2" spans="1:20">
      <c r="A2" s="2">
        <v>25</v>
      </c>
      <c r="B2" s="2">
        <v>-18</v>
      </c>
      <c r="C2" s="2">
        <v>4</v>
      </c>
      <c r="D2" s="2">
        <v>10</v>
      </c>
      <c r="E2" s="2">
        <v>0.8</v>
      </c>
      <c r="F2" s="2">
        <v>20</v>
      </c>
      <c r="G2" s="2">
        <v>40</v>
      </c>
      <c r="H2" s="1"/>
      <c r="I2" s="2">
        <v>1</v>
      </c>
      <c r="J2" s="2">
        <v>-28</v>
      </c>
      <c r="K2" s="3">
        <v>0.93049999999999999</v>
      </c>
      <c r="L2" s="2">
        <v>0.94110000000000005</v>
      </c>
      <c r="M2" s="2">
        <v>230.38</v>
      </c>
      <c r="N2" s="2" t="s">
        <v>9</v>
      </c>
      <c r="P2" s="8">
        <v>32.07</v>
      </c>
      <c r="Q2" s="8">
        <v>58.23</v>
      </c>
      <c r="R2" s="8">
        <f>SUM(P2:Q2)</f>
        <v>90.3</v>
      </c>
      <c r="T2" s="2">
        <v>3.15</v>
      </c>
    </row>
    <row r="3" spans="1:20">
      <c r="A3" s="1"/>
      <c r="B3" s="1"/>
      <c r="C3" s="1"/>
      <c r="D3" s="1"/>
      <c r="E3" s="1"/>
      <c r="F3" s="1"/>
      <c r="G3" s="1"/>
      <c r="H3" s="1"/>
      <c r="I3" s="2" t="s">
        <v>10</v>
      </c>
      <c r="J3" s="2" t="s">
        <v>15</v>
      </c>
      <c r="K3" s="3">
        <v>2.7349000000000001</v>
      </c>
      <c r="L3" s="2">
        <v>0.94110000000000005</v>
      </c>
      <c r="M3" s="2">
        <v>256.61</v>
      </c>
      <c r="N3" s="2" t="s">
        <v>11</v>
      </c>
    </row>
    <row r="4" spans="1:20">
      <c r="A4" s="1"/>
      <c r="B4" s="1"/>
      <c r="C4" s="1"/>
      <c r="D4" s="1"/>
      <c r="E4" s="1"/>
      <c r="F4" s="1"/>
      <c r="G4" s="1"/>
      <c r="H4" s="1"/>
      <c r="I4" s="2">
        <v>2</v>
      </c>
      <c r="J4" s="2">
        <v>-6</v>
      </c>
      <c r="K4" s="3">
        <v>2.7349000000000001</v>
      </c>
      <c r="L4" s="2" t="s">
        <v>15</v>
      </c>
      <c r="M4" s="2">
        <v>263.16000000000003</v>
      </c>
      <c r="N4" s="2" t="s">
        <v>11</v>
      </c>
    </row>
    <row r="5" spans="1:20">
      <c r="A5" s="1"/>
      <c r="B5" s="1"/>
      <c r="C5" s="1"/>
      <c r="D5" s="1"/>
      <c r="E5" s="1"/>
      <c r="F5" s="1"/>
      <c r="G5" s="1"/>
      <c r="H5" s="1"/>
      <c r="I5" s="2">
        <v>3</v>
      </c>
      <c r="J5" s="2" t="s">
        <v>15</v>
      </c>
      <c r="K5" s="3">
        <v>2.7349000000000001</v>
      </c>
      <c r="L5" s="2">
        <v>0.96260000000000001</v>
      </c>
      <c r="M5" s="2">
        <v>250.62</v>
      </c>
      <c r="N5" s="2" t="s">
        <v>12</v>
      </c>
    </row>
    <row r="6" spans="1:20">
      <c r="A6" s="1"/>
      <c r="B6" s="1"/>
      <c r="C6" s="1"/>
      <c r="D6" s="1"/>
      <c r="E6" s="1"/>
      <c r="F6" s="1"/>
      <c r="G6" s="1"/>
      <c r="H6" s="1"/>
      <c r="I6" s="2" t="s">
        <v>13</v>
      </c>
      <c r="J6" s="2" t="s">
        <v>15</v>
      </c>
      <c r="K6" s="3">
        <v>8.8710000000000004</v>
      </c>
      <c r="L6" s="2">
        <v>0.96260000000000001</v>
      </c>
      <c r="M6" s="2">
        <v>276.89</v>
      </c>
      <c r="N6" s="2" t="s">
        <v>11</v>
      </c>
    </row>
    <row r="7" spans="1:20">
      <c r="A7" s="1"/>
      <c r="B7" s="1"/>
      <c r="C7" s="1"/>
      <c r="D7" s="1"/>
      <c r="E7" s="1"/>
      <c r="F7" s="1"/>
      <c r="G7" s="1"/>
      <c r="H7" s="1"/>
      <c r="I7" s="2">
        <v>4</v>
      </c>
      <c r="J7" s="2" t="s">
        <v>15</v>
      </c>
      <c r="K7" s="3">
        <v>8.8710000000000004</v>
      </c>
      <c r="L7" s="2" t="s">
        <v>15</v>
      </c>
      <c r="M7" s="2">
        <v>283.45999999999998</v>
      </c>
      <c r="N7" s="2" t="s">
        <v>11</v>
      </c>
    </row>
    <row r="8" spans="1:20">
      <c r="A8" s="1"/>
      <c r="B8" s="1"/>
      <c r="C8" s="1"/>
      <c r="D8" s="1"/>
      <c r="E8" s="1"/>
      <c r="F8" s="1"/>
      <c r="G8" s="1"/>
      <c r="H8" s="1"/>
      <c r="I8" s="2">
        <v>5</v>
      </c>
      <c r="J8" s="2">
        <v>35</v>
      </c>
      <c r="K8" s="3">
        <v>8.8710000000000004</v>
      </c>
      <c r="L8" s="2" t="s">
        <v>15</v>
      </c>
      <c r="M8" s="2">
        <v>98.78</v>
      </c>
      <c r="N8" s="2" t="s">
        <v>12</v>
      </c>
    </row>
    <row r="9" spans="1:20">
      <c r="A9" s="1"/>
      <c r="B9" s="1"/>
      <c r="C9" s="1"/>
      <c r="D9" s="1"/>
      <c r="E9" s="1"/>
      <c r="F9" s="1"/>
      <c r="G9" s="1"/>
      <c r="H9" s="1"/>
      <c r="I9" s="2">
        <v>6</v>
      </c>
      <c r="J9" s="2"/>
      <c r="K9" s="3">
        <v>2.7349000000000001</v>
      </c>
      <c r="L9" s="2" t="s">
        <v>15</v>
      </c>
      <c r="M9" s="2">
        <v>98.78</v>
      </c>
      <c r="N9" s="2" t="s">
        <v>14</v>
      </c>
    </row>
    <row r="10" spans="1:20">
      <c r="A10" s="1"/>
      <c r="B10" s="1"/>
      <c r="C10" s="1"/>
      <c r="D10" s="1"/>
      <c r="E10" s="1"/>
      <c r="F10" s="1"/>
      <c r="G10" s="1"/>
      <c r="H10" s="1"/>
      <c r="I10" s="2">
        <v>7</v>
      </c>
      <c r="J10" s="2">
        <v>-28</v>
      </c>
      <c r="K10" s="3">
        <v>0.93049999999999999</v>
      </c>
      <c r="L10" s="2" t="s">
        <v>15</v>
      </c>
      <c r="M10" s="2">
        <v>98.78</v>
      </c>
      <c r="N10" s="2" t="s">
        <v>14</v>
      </c>
    </row>
    <row r="11" spans="1:20">
      <c r="A11" s="1"/>
      <c r="B11" s="1"/>
      <c r="C11" s="1"/>
      <c r="D11" s="1"/>
      <c r="E11" s="1"/>
      <c r="F11" s="1"/>
      <c r="G11" s="1"/>
      <c r="H11" s="1"/>
      <c r="I11" s="2">
        <v>8</v>
      </c>
      <c r="J11" s="2">
        <v>-6</v>
      </c>
      <c r="K11" s="3">
        <v>2.7349000000000001</v>
      </c>
      <c r="L11" s="2" t="s">
        <v>15</v>
      </c>
      <c r="M11" s="2">
        <v>243.72</v>
      </c>
      <c r="N11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57C8-C68C-4B3F-97FD-50D2107D3636}">
  <dimension ref="A1:AK47"/>
  <sheetViews>
    <sheetView tabSelected="1" zoomScale="55" zoomScaleNormal="55" workbookViewId="0">
      <selection activeCell="W53" sqref="W53"/>
    </sheetView>
  </sheetViews>
  <sheetFormatPr defaultRowHeight="14.4"/>
  <cols>
    <col min="12" max="13" width="10.20703125" customWidth="1"/>
    <col min="27" max="28" width="10.3125" customWidth="1"/>
  </cols>
  <sheetData>
    <row r="1" spans="1:37" ht="14.7">
      <c r="B1" s="9" t="s">
        <v>0</v>
      </c>
      <c r="C1" s="9" t="s">
        <v>1</v>
      </c>
      <c r="D1" s="9" t="s">
        <v>2</v>
      </c>
      <c r="E1" s="10" t="s">
        <v>21</v>
      </c>
      <c r="F1" s="11" t="s">
        <v>22</v>
      </c>
      <c r="G1" s="9" t="s">
        <v>23</v>
      </c>
      <c r="H1" s="9" t="s">
        <v>24</v>
      </c>
      <c r="I1" s="1"/>
      <c r="J1" s="12" t="s">
        <v>38</v>
      </c>
      <c r="L1" s="1"/>
      <c r="M1" s="1"/>
      <c r="N1" s="1"/>
    </row>
    <row r="2" spans="1:37">
      <c r="A2" s="4" t="s">
        <v>36</v>
      </c>
      <c r="B2" s="2">
        <v>30</v>
      </c>
      <c r="C2" s="2">
        <v>-18</v>
      </c>
      <c r="D2" s="2">
        <v>7</v>
      </c>
      <c r="E2" s="2">
        <v>10</v>
      </c>
      <c r="F2" s="2">
        <v>0.8</v>
      </c>
      <c r="G2" s="2">
        <v>20</v>
      </c>
      <c r="H2" s="2">
        <v>40</v>
      </c>
      <c r="I2" s="1"/>
      <c r="J2" s="12" t="s">
        <v>39</v>
      </c>
      <c r="L2" s="1"/>
      <c r="M2" s="1"/>
      <c r="N2" s="1"/>
    </row>
    <row r="3" spans="1:37">
      <c r="A3" s="4" t="s">
        <v>37</v>
      </c>
      <c r="B3" s="2">
        <v>25</v>
      </c>
      <c r="C3" s="2">
        <v>-24</v>
      </c>
      <c r="D3" s="2">
        <v>3</v>
      </c>
      <c r="E3" s="2">
        <v>10</v>
      </c>
      <c r="F3" s="2">
        <v>0.8</v>
      </c>
      <c r="G3" s="2">
        <v>20</v>
      </c>
      <c r="H3" s="2">
        <v>40</v>
      </c>
      <c r="I3" s="1"/>
      <c r="J3" s="12" t="s">
        <v>40</v>
      </c>
      <c r="L3" s="1"/>
      <c r="M3" s="1"/>
      <c r="N3" s="1"/>
    </row>
    <row r="4" spans="1:3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T4" s="12"/>
    </row>
    <row r="5" spans="1:37">
      <c r="B5" s="13" t="s">
        <v>42</v>
      </c>
      <c r="C5" s="1" t="s">
        <v>44</v>
      </c>
      <c r="D5" s="1" t="s">
        <v>45</v>
      </c>
      <c r="E5" s="1" t="s">
        <v>58</v>
      </c>
      <c r="F5" s="1" t="s">
        <v>56</v>
      </c>
      <c r="G5" s="1" t="s">
        <v>57</v>
      </c>
      <c r="H5" s="1"/>
      <c r="I5" s="1"/>
      <c r="J5" s="1"/>
      <c r="K5" s="1"/>
      <c r="L5" s="1"/>
      <c r="M5" s="1"/>
      <c r="N5" s="1"/>
      <c r="T5" s="12"/>
    </row>
    <row r="6" spans="1:37">
      <c r="C6" s="1">
        <f>(231.62-230.38)/(-26--28)</f>
        <v>0.62000000000000455</v>
      </c>
      <c r="D6" s="1">
        <f>(0.9456-0.9506)/(-32--36)</f>
        <v>-1.2500000000000011E-3</v>
      </c>
      <c r="E6" s="1">
        <f>(0.9305-0.6332)/(-28--36)</f>
        <v>3.7162500000000001E-2</v>
      </c>
      <c r="F6" s="5">
        <f>(106.19-97.31)/(40-34)</f>
        <v>1.4799999999999993</v>
      </c>
      <c r="G6">
        <f>(10.164-9.1168)/(40-36)</f>
        <v>0.26180000000000003</v>
      </c>
    </row>
    <row r="7" spans="1:37" ht="14.7" thickBot="1">
      <c r="A7" s="28" t="s">
        <v>38</v>
      </c>
    </row>
    <row r="8" spans="1:37">
      <c r="A8" s="15" t="s">
        <v>0</v>
      </c>
      <c r="B8" s="16" t="s">
        <v>1</v>
      </c>
      <c r="C8" s="30" t="s">
        <v>2</v>
      </c>
      <c r="D8" s="29" t="s">
        <v>25</v>
      </c>
      <c r="E8" s="17" t="s">
        <v>26</v>
      </c>
      <c r="F8" s="16" t="s">
        <v>43</v>
      </c>
      <c r="G8" s="16" t="s">
        <v>48</v>
      </c>
      <c r="H8" s="16" t="s">
        <v>51</v>
      </c>
      <c r="I8" s="16" t="s">
        <v>52</v>
      </c>
      <c r="J8" s="16" t="s">
        <v>50</v>
      </c>
      <c r="K8" s="16" t="s">
        <v>46</v>
      </c>
      <c r="L8" s="16" t="s">
        <v>54</v>
      </c>
      <c r="M8" s="16" t="s">
        <v>55</v>
      </c>
      <c r="N8" s="16" t="s">
        <v>27</v>
      </c>
      <c r="O8" s="17" t="s">
        <v>28</v>
      </c>
      <c r="P8" s="17" t="s">
        <v>32</v>
      </c>
      <c r="Q8" s="16" t="s">
        <v>53</v>
      </c>
      <c r="R8" s="17" t="s">
        <v>41</v>
      </c>
      <c r="S8" s="16" t="s">
        <v>49</v>
      </c>
      <c r="T8" s="17" t="s">
        <v>31</v>
      </c>
      <c r="U8" s="17" t="s">
        <v>47</v>
      </c>
      <c r="V8" s="18" t="s">
        <v>16</v>
      </c>
      <c r="W8" s="18" t="s">
        <v>59</v>
      </c>
      <c r="X8" s="18" t="s">
        <v>34</v>
      </c>
      <c r="Y8" s="17" t="s">
        <v>29</v>
      </c>
      <c r="Z8" s="18" t="s">
        <v>60</v>
      </c>
      <c r="AA8" s="16" t="s">
        <v>61</v>
      </c>
      <c r="AB8" s="16" t="s">
        <v>62</v>
      </c>
      <c r="AC8" s="16" t="s">
        <v>33</v>
      </c>
      <c r="AD8" s="16" t="s">
        <v>66</v>
      </c>
      <c r="AE8" s="16" t="s">
        <v>63</v>
      </c>
      <c r="AF8" s="16" t="s">
        <v>64</v>
      </c>
      <c r="AG8" s="16" t="s">
        <v>65</v>
      </c>
      <c r="AH8" s="16" t="s">
        <v>35</v>
      </c>
      <c r="AI8" s="19" t="s">
        <v>30</v>
      </c>
      <c r="AJ8" s="14" t="s">
        <v>20</v>
      </c>
    </row>
    <row r="9" spans="1:37">
      <c r="A9" s="20">
        <f>B$3</f>
        <v>25</v>
      </c>
      <c r="B9" s="31">
        <f>C$3</f>
        <v>-24</v>
      </c>
      <c r="C9" s="32">
        <f>D$3</f>
        <v>3</v>
      </c>
      <c r="D9" s="1">
        <f>B9-$E$2</f>
        <v>-34</v>
      </c>
      <c r="E9" s="1">
        <f>AVERAGE(227.9,225.4)</f>
        <v>226.65</v>
      </c>
      <c r="F9" s="1">
        <f>AVERAGE(0.9506,0.9456)</f>
        <v>0.94809999999999994</v>
      </c>
      <c r="G9" s="1">
        <f>AVERAGE(0.7704,0.6332)</f>
        <v>0.70179999999999998</v>
      </c>
      <c r="H9" s="1">
        <f>C9-$E$2</f>
        <v>-7</v>
      </c>
      <c r="I9" s="21">
        <f>(-4--7)/(-4--8)*(2.5274-2.1704)+2.1704</f>
        <v>2.4381500000000003</v>
      </c>
      <c r="J9" s="21">
        <f>I9</f>
        <v>2.4381500000000003</v>
      </c>
      <c r="K9" s="22">
        <f>F9</f>
        <v>0.94809999999999994</v>
      </c>
      <c r="L9" s="5">
        <f>(0.9721-$K9)/(0.9721-0.9399)*(257.84-248.89)+248.89</f>
        <v>255.56080745341615</v>
      </c>
      <c r="M9" s="5">
        <f>(0.9566-$K9)/(0.9566-0.9238)*(256.76-247.64)+247.64</f>
        <v>250.00341463414634</v>
      </c>
      <c r="N9" s="5">
        <f>(2.8-J9)/(2.8-2.4)*(M9-L9)+L9</f>
        <v>250.53345097428419</v>
      </c>
      <c r="O9" s="5">
        <f>(N9-E9)/$F$2+E9</f>
        <v>256.50431371785521</v>
      </c>
      <c r="P9" s="5">
        <f>(-4--7)/(-4--8)*(244.9-242.54)+242.54</f>
        <v>244.31</v>
      </c>
      <c r="Q9" s="5">
        <f>A9+$E$2</f>
        <v>35</v>
      </c>
      <c r="R9" s="21">
        <f>AVERAGE(97.31,100.25)</f>
        <v>98.78</v>
      </c>
      <c r="S9" s="5">
        <f>AVERAGE(8.6247,9.1168)</f>
        <v>8.870750000000001</v>
      </c>
      <c r="T9" s="21">
        <f t="shared" ref="T9:U13" si="0">$R9</f>
        <v>98.78</v>
      </c>
      <c r="U9" s="21">
        <f t="shared" si="0"/>
        <v>98.78</v>
      </c>
      <c r="V9" s="21">
        <f>$G$2*211/(E9-U9)</f>
        <v>33.002267928364745</v>
      </c>
      <c r="W9" s="21">
        <f>$H$2*211/(P9-T9)</f>
        <v>57.994915137772281</v>
      </c>
      <c r="X9" s="5">
        <f>V9+W9</f>
        <v>90.997183066137026</v>
      </c>
      <c r="Y9" s="5">
        <f>(V9*O9+W9*P9)/X9</f>
        <v>248.73255457761474</v>
      </c>
      <c r="Z9" s="5">
        <f>I9</f>
        <v>2.4381500000000003</v>
      </c>
      <c r="AA9" s="22">
        <f>(257.84-Y9)/(257.84-248.89)*(0.9721-0.9399)+0.9399</f>
        <v>0.97266645168724075</v>
      </c>
      <c r="AB9" s="22">
        <f>(256.76-Y9)/(253.76+247.64)*(0.9566-0.9238)+0.9238</f>
        <v>0.92432513005555283</v>
      </c>
      <c r="AC9" s="22">
        <f>(2.8-Z9)/(2.8-2.4)*($AB9-$AA9)+$AA9</f>
        <v>0.92893568360617507</v>
      </c>
      <c r="AD9" s="22">
        <f>AC9</f>
        <v>0.92893568360617507</v>
      </c>
      <c r="AE9" s="5">
        <f>S9</f>
        <v>8.870750000000001</v>
      </c>
      <c r="AF9" s="5">
        <f>(0.9711-AD9)/(0.9711-0.9066)*(284.39-264.15)+264.15</f>
        <v>277.38109711334909</v>
      </c>
      <c r="AG9" s="5">
        <f>(0.9897-AD9)/(0.98979-0.9217)*(293.21-271.25)+271.25</f>
        <v>290.84736213846958</v>
      </c>
      <c r="AH9" s="22">
        <f>(9-AE9)/(9-8)*($AG9-$AF9)+$AF9</f>
        <v>279.1216118678459</v>
      </c>
      <c r="AI9" s="1">
        <f>(AH9-Y9)/$F$2+Y9</f>
        <v>286.71887619040371</v>
      </c>
      <c r="AJ9" s="34">
        <f>(V9*(E9-U9)+W9*(P9-T9))/(V9*(O9-E9)+X9*(AI9-Y9))</f>
        <v>2.8501263606594214</v>
      </c>
      <c r="AK9" s="1"/>
    </row>
    <row r="10" spans="1:37">
      <c r="A10" s="20">
        <f>B$3</f>
        <v>25</v>
      </c>
      <c r="B10" s="31">
        <f>B9+(C$2-C$3)/4</f>
        <v>-22.5</v>
      </c>
      <c r="C10" s="32">
        <v>3</v>
      </c>
      <c r="D10" s="1">
        <f>B10-$E$2</f>
        <v>-32.5</v>
      </c>
      <c r="E10" s="1">
        <f>$C$6*(D10-$D$9)+$E$9</f>
        <v>227.58</v>
      </c>
      <c r="F10" s="22">
        <f>D$6*($D10-$D$9)+F$9</f>
        <v>0.94622499999999998</v>
      </c>
      <c r="G10" s="22">
        <f>E$6*($D10-$D$9)+G$9</f>
        <v>0.75754374999999996</v>
      </c>
      <c r="H10" s="1">
        <f>C10-$E$2</f>
        <v>-7</v>
      </c>
      <c r="I10" s="21">
        <f>E$6*($H10-$H$9)+I$9</f>
        <v>2.4381500000000003</v>
      </c>
      <c r="J10" s="21">
        <f t="shared" ref="J10:J13" si="1">I10</f>
        <v>2.4381500000000003</v>
      </c>
      <c r="K10" s="22">
        <f t="shared" ref="K10:K13" si="2">F10</f>
        <v>0.94622499999999998</v>
      </c>
      <c r="L10" s="5">
        <f>(0.9721-$K10)/(0.9721-0.9399)*(257.84-248.89)+248.89</f>
        <v>256.08196428571426</v>
      </c>
      <c r="M10" s="5">
        <f>(0.9566-$K10)/(0.9566-0.9238)*(256.76-247.64)+247.64</f>
        <v>250.52475609756095</v>
      </c>
      <c r="N10" s="5">
        <f t="shared" ref="N10:N13" si="3">(2.8-J10)/(2.8-2.4)*(M10-L10)+L10</f>
        <v>251.05477482850608</v>
      </c>
      <c r="O10" s="5">
        <f>(N10-E10)/$F$2+E10</f>
        <v>256.92346853563259</v>
      </c>
      <c r="P10" s="5">
        <f>E$6*($H10-$H$9)+P$9</f>
        <v>244.31</v>
      </c>
      <c r="Q10" s="5">
        <f>A10+$E$2</f>
        <v>35</v>
      </c>
      <c r="R10" s="21">
        <f>$F$6*($Q10-$Q$9)+R$9</f>
        <v>98.78</v>
      </c>
      <c r="S10" s="5">
        <f>$G$6*($Q10-$Q$9)+S$9</f>
        <v>8.870750000000001</v>
      </c>
      <c r="T10" s="21">
        <f t="shared" si="0"/>
        <v>98.78</v>
      </c>
      <c r="U10" s="21">
        <f t="shared" si="0"/>
        <v>98.78</v>
      </c>
      <c r="V10" s="21">
        <f>$G$2*211/(E10-U10)</f>
        <v>32.763975155279503</v>
      </c>
      <c r="W10" s="21">
        <f>$H$2*211/(P10-T10)</f>
        <v>57.994915137772281</v>
      </c>
      <c r="X10" s="5">
        <f t="shared" ref="X10:X13" si="4">V10+W10</f>
        <v>90.758890293051792</v>
      </c>
      <c r="Y10" s="5">
        <f t="shared" ref="Y10:Y13" si="5">(V10*O10+W10*P10)/X10</f>
        <v>248.86346433158189</v>
      </c>
      <c r="Z10" s="5">
        <f t="shared" ref="Z10:Z13" si="6">I10</f>
        <v>2.4381500000000003</v>
      </c>
      <c r="AA10" s="22">
        <f t="shared" ref="AA10:AA13" si="7">(257.84-Y10)/(257.84-248.89)*(0.9721-0.9399)+0.9399</f>
        <v>0.97219546910872201</v>
      </c>
      <c r="AB10" s="22">
        <f t="shared" ref="AB10:AB13" si="8">(256.76-Y10)/(253.76+247.64)*(0.9566-0.9238)+0.9238</f>
        <v>0.92431656635405679</v>
      </c>
      <c r="AC10" s="22">
        <f t="shared" ref="AC10:AC13" si="9">(2.8-Z10)/(2.8-2.4)*($AB10-$AA10)+$AA10</f>
        <v>0.92888301670428297</v>
      </c>
      <c r="AD10" s="22">
        <f t="shared" ref="AD10:AD13" si="10">AC10</f>
        <v>0.92888301670428297</v>
      </c>
      <c r="AE10" s="5">
        <f>S10</f>
        <v>8.870750000000001</v>
      </c>
      <c r="AF10" s="5">
        <f t="shared" ref="AF10:AF13" si="11">(0.9711-AD10)/(0.9711-0.9066)*(284.39-264.15)+264.15</f>
        <v>277.39762390550868</v>
      </c>
      <c r="AG10" s="5">
        <f t="shared" ref="AG10:AG13" si="12">(0.9897-AD10)/(0.98979-0.9217)*(293.21-271.25)+271.25</f>
        <v>290.86434796848209</v>
      </c>
      <c r="AH10" s="22">
        <f t="shared" ref="AH10:AH13" si="13">(9-AE10)/(9-8)*($AG10-$AF10)+$AF10</f>
        <v>279.138197990648</v>
      </c>
      <c r="AI10" s="1">
        <f>(AH10-Y10)/$F$2+Y10</f>
        <v>286.70688140541449</v>
      </c>
      <c r="AJ10" s="34">
        <f t="shared" ref="AJ10:AJ13" si="14">(V10*(E10-U10)+W10*(P10-T10))/(V10*(O10-E10)+X10*(AI10-Y10))</f>
        <v>2.8798677416741989</v>
      </c>
      <c r="AK10" s="1"/>
    </row>
    <row r="11" spans="1:37">
      <c r="A11" s="20">
        <f>B$3</f>
        <v>25</v>
      </c>
      <c r="B11" s="31">
        <f t="shared" ref="B11:B13" si="15">B10+(C$2-C$3)/4</f>
        <v>-21</v>
      </c>
      <c r="C11" s="32">
        <f>D$3</f>
        <v>3</v>
      </c>
      <c r="D11" s="1">
        <f>B11-$E$2</f>
        <v>-31</v>
      </c>
      <c r="E11" s="1">
        <f>$C$6*(D11-$D$9)+$E$9</f>
        <v>228.51000000000002</v>
      </c>
      <c r="F11" s="22">
        <f>D$6*($D11-$D$9)+F$9</f>
        <v>0.94434999999999991</v>
      </c>
      <c r="G11" s="22">
        <f>E$6*($D11-$D$9)+G$9</f>
        <v>0.81328749999999994</v>
      </c>
      <c r="H11" s="1">
        <f>C11-$E$2</f>
        <v>-7</v>
      </c>
      <c r="I11" s="21">
        <f>E$6*($H11-$H$9)+I$9</f>
        <v>2.4381500000000003</v>
      </c>
      <c r="J11" s="21">
        <f t="shared" si="1"/>
        <v>2.4381500000000003</v>
      </c>
      <c r="K11" s="22">
        <f t="shared" si="2"/>
        <v>0.94434999999999991</v>
      </c>
      <c r="L11" s="5">
        <f>(0.9721-$K11)/(0.9721-0.9399)*(257.84-248.89)+248.89</f>
        <v>256.60312111801244</v>
      </c>
      <c r="M11" s="5">
        <f>(0.9566-$K11)/(0.9566-0.9238)*(256.76-247.64)+247.64</f>
        <v>251.04609756097562</v>
      </c>
      <c r="N11" s="5">
        <f t="shared" si="3"/>
        <v>251.576098682728</v>
      </c>
      <c r="O11" s="5">
        <f>(N11-E11)/$F$2+E11</f>
        <v>257.34262335340998</v>
      </c>
      <c r="P11" s="5">
        <f>E$6*($H11-$H$9)+P$9</f>
        <v>244.31</v>
      </c>
      <c r="Q11" s="5">
        <f>A11+$E$2</f>
        <v>35</v>
      </c>
      <c r="R11" s="21">
        <f>$F$6*($Q11-$Q$9)+R$9</f>
        <v>98.78</v>
      </c>
      <c r="S11" s="5">
        <f>$G$6*($Q11-$Q$9)+S$9</f>
        <v>8.870750000000001</v>
      </c>
      <c r="T11" s="21">
        <f t="shared" si="0"/>
        <v>98.78</v>
      </c>
      <c r="U11" s="21">
        <f t="shared" si="0"/>
        <v>98.78</v>
      </c>
      <c r="V11" s="21">
        <f>$G$2*211/(E11-U11)</f>
        <v>32.529098897710625</v>
      </c>
      <c r="W11" s="21">
        <f>$H$2*211/(P11-T11)</f>
        <v>57.994915137772281</v>
      </c>
      <c r="X11" s="5">
        <f t="shared" si="4"/>
        <v>90.524014035482907</v>
      </c>
      <c r="Y11" s="5">
        <f t="shared" si="5"/>
        <v>248.99317162552592</v>
      </c>
      <c r="Z11" s="5">
        <f t="shared" si="6"/>
        <v>2.4381500000000003</v>
      </c>
      <c r="AA11" s="22">
        <f t="shared" si="7"/>
        <v>0.97172881269922506</v>
      </c>
      <c r="AB11" s="22">
        <f t="shared" si="8"/>
        <v>0.92430808131368714</v>
      </c>
      <c r="AC11" s="22">
        <f t="shared" si="9"/>
        <v>0.92883083356958285</v>
      </c>
      <c r="AD11" s="22">
        <f t="shared" si="10"/>
        <v>0.92883083356958285</v>
      </c>
      <c r="AE11" s="5">
        <f>S11</f>
        <v>8.870750000000001</v>
      </c>
      <c r="AF11" s="5">
        <f t="shared" si="11"/>
        <v>277.41399889227353</v>
      </c>
      <c r="AG11" s="5">
        <f t="shared" si="12"/>
        <v>290.88117777664797</v>
      </c>
      <c r="AH11" s="22">
        <f t="shared" si="13"/>
        <v>279.1546317630789</v>
      </c>
      <c r="AI11" s="1">
        <f>(AH11-Y11)/$F$2+Y11</f>
        <v>286.69499679746713</v>
      </c>
      <c r="AJ11" s="34">
        <f t="shared" si="14"/>
        <v>2.9097964429526737</v>
      </c>
      <c r="AK11" s="1"/>
    </row>
    <row r="12" spans="1:37">
      <c r="A12" s="20">
        <f>B$3</f>
        <v>25</v>
      </c>
      <c r="B12" s="31">
        <f t="shared" si="15"/>
        <v>-19.5</v>
      </c>
      <c r="C12" s="32">
        <f>D$3</f>
        <v>3</v>
      </c>
      <c r="D12" s="1">
        <f>B12-$E$2</f>
        <v>-29.5</v>
      </c>
      <c r="E12" s="1">
        <f>$C$6*(D12-$D$9)+$E$9</f>
        <v>229.44000000000003</v>
      </c>
      <c r="F12" s="22">
        <f>D$6*($D12-$D$9)+F$9</f>
        <v>0.94247499999999995</v>
      </c>
      <c r="G12" s="22">
        <f>E$6*($D12-$D$9)+G$9</f>
        <v>0.86903124999999992</v>
      </c>
      <c r="H12" s="1">
        <f>C12-$E$2</f>
        <v>-7</v>
      </c>
      <c r="I12" s="21">
        <f>E$6*($H12-$H$9)+I$9</f>
        <v>2.4381500000000003</v>
      </c>
      <c r="J12" s="21">
        <f t="shared" si="1"/>
        <v>2.4381500000000003</v>
      </c>
      <c r="K12" s="22">
        <f t="shared" si="2"/>
        <v>0.94247499999999995</v>
      </c>
      <c r="L12" s="5">
        <f>(0.9721-$K12)/(0.9721-0.9399)*(257.84-248.89)+248.89</f>
        <v>257.12427795031056</v>
      </c>
      <c r="M12" s="5">
        <f>(0.9566-$K12)/(0.9566-0.9238)*(256.76-247.64)+247.64</f>
        <v>251.56743902439024</v>
      </c>
      <c r="N12" s="5">
        <f t="shared" si="3"/>
        <v>252.09742253694989</v>
      </c>
      <c r="O12" s="5">
        <f>(N12-E12)/$F$2+E12</f>
        <v>257.76177817118736</v>
      </c>
      <c r="P12" s="5">
        <f>E$6*($H12-$H$9)+P$9</f>
        <v>244.31</v>
      </c>
      <c r="Q12" s="5">
        <f>A12+$E$2</f>
        <v>35</v>
      </c>
      <c r="R12" s="21">
        <f>$F$6*($Q12-$Q$9)+R$9</f>
        <v>98.78</v>
      </c>
      <c r="S12" s="5">
        <f>$G$6*($Q12-$Q$9)+S$9</f>
        <v>8.870750000000001</v>
      </c>
      <c r="T12" s="21">
        <f t="shared" si="0"/>
        <v>98.78</v>
      </c>
      <c r="U12" s="21">
        <f t="shared" si="0"/>
        <v>98.78</v>
      </c>
      <c r="V12" s="21">
        <f>$G$2*211/(E12-U12)</f>
        <v>32.29756620235726</v>
      </c>
      <c r="W12" s="21">
        <f>$H$2*211/(P12-T12)</f>
        <v>57.994915137772281</v>
      </c>
      <c r="X12" s="5">
        <f t="shared" si="4"/>
        <v>90.292481340129541</v>
      </c>
      <c r="Y12" s="5">
        <f t="shared" si="5"/>
        <v>249.12169295134052</v>
      </c>
      <c r="Z12" s="5">
        <f t="shared" si="6"/>
        <v>2.4381500000000003</v>
      </c>
      <c r="AA12" s="22">
        <f t="shared" si="7"/>
        <v>0.97126642312478595</v>
      </c>
      <c r="AB12" s="22">
        <f t="shared" si="8"/>
        <v>0.9242996738555963</v>
      </c>
      <c r="AC12" s="22">
        <f t="shared" si="9"/>
        <v>0.92877912756714531</v>
      </c>
      <c r="AD12" s="22">
        <f t="shared" si="10"/>
        <v>0.92877912756714531</v>
      </c>
      <c r="AE12" s="5">
        <f>S12</f>
        <v>8.870750000000001</v>
      </c>
      <c r="AF12" s="5">
        <f t="shared" si="11"/>
        <v>277.43022415567407</v>
      </c>
      <c r="AG12" s="5">
        <f t="shared" si="12"/>
        <v>290.89785370282698</v>
      </c>
      <c r="AH12" s="22">
        <f t="shared" si="13"/>
        <v>279.17091527464356</v>
      </c>
      <c r="AI12" s="1">
        <f>(AH12-Y12)/$F$2+Y12</f>
        <v>286.6832208554693</v>
      </c>
      <c r="AJ12" s="34">
        <f t="shared" si="14"/>
        <v>2.9399142397855038</v>
      </c>
      <c r="AK12" s="1"/>
    </row>
    <row r="13" spans="1:37" ht="14.7" thickBot="1">
      <c r="A13" s="23">
        <f>B$3</f>
        <v>25</v>
      </c>
      <c r="B13" s="24">
        <f t="shared" si="15"/>
        <v>-18</v>
      </c>
      <c r="C13" s="33">
        <f>D$3</f>
        <v>3</v>
      </c>
      <c r="D13" s="24">
        <f>B13-$E$2</f>
        <v>-28</v>
      </c>
      <c r="E13" s="24">
        <f>$C$6*(D13-$D$9)+$E$9</f>
        <v>230.37000000000003</v>
      </c>
      <c r="F13" s="25">
        <f>D$6*($D13-$D$9)+F$9</f>
        <v>0.94059999999999988</v>
      </c>
      <c r="G13" s="25">
        <f>E$6*($D13-$D$9)+G$9</f>
        <v>0.92477500000000001</v>
      </c>
      <c r="H13" s="24">
        <f>C13-$E$2</f>
        <v>-7</v>
      </c>
      <c r="I13" s="26">
        <f>E$6*($H13-$H$9)+I$9</f>
        <v>2.4381500000000003</v>
      </c>
      <c r="J13" s="26">
        <f t="shared" si="1"/>
        <v>2.4381500000000003</v>
      </c>
      <c r="K13" s="25">
        <f t="shared" si="2"/>
        <v>0.94059999999999988</v>
      </c>
      <c r="L13" s="27">
        <f>(0.9721-$K13)/(0.9721-0.9399)*(257.84-248.89)+248.89</f>
        <v>257.64543478260867</v>
      </c>
      <c r="M13" s="27">
        <f>(0.9566-$K13)/(0.9566-0.9238)*(256.76-247.64)+247.64</f>
        <v>252.08878048780488</v>
      </c>
      <c r="N13" s="27">
        <f t="shared" si="3"/>
        <v>252.61874639117181</v>
      </c>
      <c r="O13" s="27">
        <f>(N13-E13)/$F$2+E13</f>
        <v>258.18093298896474</v>
      </c>
      <c r="P13" s="27">
        <f>E$6*($H13-$H$9)+P$9</f>
        <v>244.31</v>
      </c>
      <c r="Q13" s="27">
        <f>A13+$E$2</f>
        <v>35</v>
      </c>
      <c r="R13" s="26">
        <f>$F$6*($Q13-$Q$9)+R$9</f>
        <v>98.78</v>
      </c>
      <c r="S13" s="27">
        <f>$G$6*($Q13-$Q$9)+S$9</f>
        <v>8.870750000000001</v>
      </c>
      <c r="T13" s="26">
        <f t="shared" si="0"/>
        <v>98.78</v>
      </c>
      <c r="U13" s="26">
        <f t="shared" si="0"/>
        <v>98.78</v>
      </c>
      <c r="V13" s="26">
        <f>$G$2*211/(E13-U13)</f>
        <v>32.069306178281018</v>
      </c>
      <c r="W13" s="26">
        <f>$H$2*211/(P13-T13)</f>
        <v>57.994915137772281</v>
      </c>
      <c r="X13" s="27">
        <f t="shared" si="4"/>
        <v>90.064221316053306</v>
      </c>
      <c r="Y13" s="27">
        <f t="shared" si="5"/>
        <v>249.24904450070721</v>
      </c>
      <c r="Z13" s="27">
        <f t="shared" si="6"/>
        <v>2.4381500000000003</v>
      </c>
      <c r="AA13" s="25">
        <f t="shared" si="7"/>
        <v>0.97080824213153372</v>
      </c>
      <c r="AB13" s="25">
        <f t="shared" si="8"/>
        <v>0.92429134292057591</v>
      </c>
      <c r="AC13" s="25">
        <f t="shared" si="9"/>
        <v>0.92872789218282104</v>
      </c>
      <c r="AD13" s="25">
        <f t="shared" si="10"/>
        <v>0.92872789218282104</v>
      </c>
      <c r="AE13" s="27">
        <f>S13</f>
        <v>8.870750000000001</v>
      </c>
      <c r="AF13" s="27">
        <f t="shared" si="11"/>
        <v>277.44630173984029</v>
      </c>
      <c r="AG13" s="27">
        <f t="shared" si="12"/>
        <v>290.91437784792555</v>
      </c>
      <c r="AH13" s="25">
        <f t="shared" si="13"/>
        <v>279.18705057681029</v>
      </c>
      <c r="AI13" s="24">
        <f>(AH13-Y13)/$F$2+Y13</f>
        <v>286.67155209583609</v>
      </c>
      <c r="AJ13" s="35">
        <f t="shared" si="14"/>
        <v>2.9702229299677212</v>
      </c>
      <c r="AK13" s="1"/>
    </row>
    <row r="15" spans="1:37" ht="14.7" thickBot="1">
      <c r="A15" s="28" t="s">
        <v>39</v>
      </c>
    </row>
    <row r="16" spans="1:37">
      <c r="A16" s="15" t="s">
        <v>0</v>
      </c>
      <c r="B16" s="16" t="s">
        <v>1</v>
      </c>
      <c r="C16" s="30" t="s">
        <v>2</v>
      </c>
      <c r="D16" s="29" t="s">
        <v>25</v>
      </c>
      <c r="E16" s="17" t="s">
        <v>26</v>
      </c>
      <c r="F16" s="16" t="s">
        <v>43</v>
      </c>
      <c r="G16" s="16" t="s">
        <v>48</v>
      </c>
      <c r="H16" s="16" t="s">
        <v>51</v>
      </c>
      <c r="I16" s="16" t="s">
        <v>52</v>
      </c>
      <c r="J16" s="16" t="s">
        <v>50</v>
      </c>
      <c r="K16" s="16" t="s">
        <v>46</v>
      </c>
      <c r="L16" s="16" t="s">
        <v>54</v>
      </c>
      <c r="M16" s="16" t="s">
        <v>55</v>
      </c>
      <c r="N16" s="16" t="s">
        <v>27</v>
      </c>
      <c r="O16" s="17" t="s">
        <v>28</v>
      </c>
      <c r="P16" s="17" t="s">
        <v>32</v>
      </c>
      <c r="Q16" s="16" t="s">
        <v>53</v>
      </c>
      <c r="R16" s="17" t="s">
        <v>41</v>
      </c>
      <c r="S16" s="16" t="s">
        <v>49</v>
      </c>
      <c r="T16" s="17" t="s">
        <v>31</v>
      </c>
      <c r="U16" s="17" t="s">
        <v>47</v>
      </c>
      <c r="V16" s="18" t="s">
        <v>16</v>
      </c>
      <c r="W16" s="18" t="s">
        <v>59</v>
      </c>
      <c r="X16" s="18" t="s">
        <v>34</v>
      </c>
      <c r="Y16" s="17" t="s">
        <v>29</v>
      </c>
      <c r="Z16" s="18" t="s">
        <v>60</v>
      </c>
      <c r="AA16" s="16" t="s">
        <v>61</v>
      </c>
      <c r="AB16" s="16" t="s">
        <v>62</v>
      </c>
      <c r="AC16" s="16" t="s">
        <v>33</v>
      </c>
      <c r="AD16" s="16" t="s">
        <v>66</v>
      </c>
      <c r="AE16" s="16" t="s">
        <v>63</v>
      </c>
      <c r="AF16" s="16" t="s">
        <v>64</v>
      </c>
      <c r="AG16" s="16" t="s">
        <v>65</v>
      </c>
      <c r="AH16" s="16" t="s">
        <v>35</v>
      </c>
      <c r="AI16" s="19" t="s">
        <v>30</v>
      </c>
      <c r="AJ16" s="14" t="s">
        <v>20</v>
      </c>
    </row>
    <row r="17" spans="1:36">
      <c r="A17" s="20">
        <f>B$3</f>
        <v>25</v>
      </c>
      <c r="B17" s="31">
        <f>C$3</f>
        <v>-24</v>
      </c>
      <c r="C17" s="32">
        <f>D$3</f>
        <v>3</v>
      </c>
      <c r="D17" s="1">
        <f>B17-$E$2</f>
        <v>-34</v>
      </c>
      <c r="E17" s="1">
        <f>AVERAGE(227.9,225.4)</f>
        <v>226.65</v>
      </c>
      <c r="F17" s="1">
        <f>AVERAGE(0.9506,0.9456)</f>
        <v>0.94809999999999994</v>
      </c>
      <c r="G17" s="1">
        <f>AVERAGE(0.7704,0.6332)</f>
        <v>0.70179999999999998</v>
      </c>
      <c r="H17" s="1">
        <f>C17-$E$2</f>
        <v>-7</v>
      </c>
      <c r="I17" s="21">
        <f>(-4--7)/(-4--8)*(2.5274-2.1704)+2.1704</f>
        <v>2.4381500000000003</v>
      </c>
      <c r="J17" s="21">
        <f>I17</f>
        <v>2.4381500000000003</v>
      </c>
      <c r="K17" s="22">
        <f>F17</f>
        <v>0.94809999999999994</v>
      </c>
      <c r="L17" s="5">
        <f>(0.9721-$K17)/(0.9721-0.9399)*(257.84-248.89)+248.89</f>
        <v>255.56080745341615</v>
      </c>
      <c r="M17" s="5">
        <f>(0.9566-$K17)/(0.9566-0.9238)*(256.76-247.64)+247.64</f>
        <v>250.00341463414634</v>
      </c>
      <c r="N17" s="5">
        <f>(2.8-J17)/(2.8-2.4)*(M17-L17)+L17</f>
        <v>250.53345097428419</v>
      </c>
      <c r="O17" s="5">
        <f>(N17-E17)/$F$2+E17</f>
        <v>256.50431371785521</v>
      </c>
      <c r="P17" s="5">
        <f>(-4--7)/(-4--8)*(244.9-242.54)+242.54</f>
        <v>244.31</v>
      </c>
      <c r="Q17" s="5">
        <f>A17+$E$2</f>
        <v>35</v>
      </c>
      <c r="R17" s="21">
        <f>AVERAGE(97.31,100.25)</f>
        <v>98.78</v>
      </c>
      <c r="S17" s="5">
        <f>AVERAGE(8.6247,9.1168)</f>
        <v>8.870750000000001</v>
      </c>
      <c r="T17" s="21">
        <f t="shared" ref="T17:U21" si="16">$R17</f>
        <v>98.78</v>
      </c>
      <c r="U17" s="21">
        <f t="shared" si="16"/>
        <v>98.78</v>
      </c>
      <c r="V17" s="21">
        <f>$G$2*211/(E17-U17)</f>
        <v>33.002267928364745</v>
      </c>
      <c r="W17" s="21">
        <f>$H$2*211/(P17-T17)</f>
        <v>57.994915137772281</v>
      </c>
      <c r="X17" s="5">
        <f>V17+W17</f>
        <v>90.997183066137026</v>
      </c>
      <c r="Y17" s="5">
        <f>(V17*O17+W17*P17)/X17</f>
        <v>248.73255457761474</v>
      </c>
      <c r="Z17" s="5">
        <f>I17</f>
        <v>2.4381500000000003</v>
      </c>
      <c r="AA17" s="22">
        <f>(257.84-Y17)/(257.84-248.89)*(0.9721-0.9399)+0.9399</f>
        <v>0.97266645168724075</v>
      </c>
      <c r="AB17" s="22">
        <f>(256.76-Y17)/(253.76+247.64)*(0.9566-0.9238)+0.9238</f>
        <v>0.92432513005555283</v>
      </c>
      <c r="AC17" s="22">
        <f>(2.8-Z17)/(2.8-2.4)*($AB17-$AA17)+$AA17</f>
        <v>0.92893568360617507</v>
      </c>
      <c r="AD17" s="22">
        <f>AC17</f>
        <v>0.92893568360617507</v>
      </c>
      <c r="AE17" s="5">
        <f>S17</f>
        <v>8.870750000000001</v>
      </c>
      <c r="AF17" s="5">
        <f>(0.9711-AD17)/(0.9711-0.9066)*(284.39-264.15)+264.15</f>
        <v>277.38109711334909</v>
      </c>
      <c r="AG17" s="5">
        <f>(0.9897-AD17)/(0.98979-0.9217)*(293.21-271.25)+271.25</f>
        <v>290.84736213846958</v>
      </c>
      <c r="AH17" s="22">
        <f>(9-AE17)/(9-8)*($AG17-$AF17)+$AF17</f>
        <v>279.1216118678459</v>
      </c>
      <c r="AI17" s="1">
        <f>(AH17-Y17)/$F$2+Y17</f>
        <v>286.71887619040371</v>
      </c>
      <c r="AJ17" s="34">
        <f>(V17*(E17-U17)+W17*(P17-T17))/(V17*(O17-E17)+X17*(AI17-Y17))</f>
        <v>2.8501263606594214</v>
      </c>
    </row>
    <row r="18" spans="1:36">
      <c r="A18" s="20">
        <f>B$3</f>
        <v>25</v>
      </c>
      <c r="B18" s="31">
        <f t="shared" ref="B18:B21" si="17">C$3</f>
        <v>-24</v>
      </c>
      <c r="C18" s="32">
        <f>C17+(D$2-D$3)/4</f>
        <v>4</v>
      </c>
      <c r="D18" s="1">
        <f>B18-$E$2</f>
        <v>-34</v>
      </c>
      <c r="E18" s="1">
        <f>$C$6*(D18-$D$9)+$E$9</f>
        <v>226.65</v>
      </c>
      <c r="F18" s="22">
        <f>D$6*($D18-$D$9)+F$9</f>
        <v>0.94809999999999994</v>
      </c>
      <c r="G18" s="22">
        <f>E$6*($D18-$D$9)+G$9</f>
        <v>0.70179999999999998</v>
      </c>
      <c r="H18" s="1">
        <f>C18-$E$2</f>
        <v>-6</v>
      </c>
      <c r="I18" s="21">
        <f>E$6*($H18-$H$9)+I$9</f>
        <v>2.4753125000000002</v>
      </c>
      <c r="J18" s="21">
        <f t="shared" ref="J18:J21" si="18">I18</f>
        <v>2.4753125000000002</v>
      </c>
      <c r="K18" s="22">
        <f t="shared" ref="K18:K21" si="19">F18</f>
        <v>0.94809999999999994</v>
      </c>
      <c r="L18" s="5">
        <f>(0.9721-$K18)/(0.9721-0.9399)*(257.84-248.89)+248.89</f>
        <v>255.56080745341615</v>
      </c>
      <c r="M18" s="5">
        <f>(0.9566-$K18)/(0.9566-0.9238)*(256.76-247.64)+247.64</f>
        <v>250.00341463414634</v>
      </c>
      <c r="N18" s="5">
        <f t="shared" ref="N18:N21" si="20">(2.8-J18)/(2.8-2.4)*(M18-L18)+L18</f>
        <v>251.04976750089949</v>
      </c>
      <c r="O18" s="5">
        <f>(N18-E18)/$F$2+E18</f>
        <v>257.14970937612435</v>
      </c>
      <c r="P18" s="5">
        <f>E$6*($H18-$H$9)+P$9</f>
        <v>244.3471625</v>
      </c>
      <c r="Q18" s="5">
        <f>A18+$E$2</f>
        <v>35</v>
      </c>
      <c r="R18" s="21">
        <f>$F$6*($Q18-$Q$9)+R$9</f>
        <v>98.78</v>
      </c>
      <c r="S18" s="5">
        <f>$G$6*($Q18-$Q$9)+S$9</f>
        <v>8.870750000000001</v>
      </c>
      <c r="T18" s="21">
        <f t="shared" si="16"/>
        <v>98.78</v>
      </c>
      <c r="U18" s="21">
        <f t="shared" si="16"/>
        <v>98.78</v>
      </c>
      <c r="V18" s="21">
        <f>$G$2*211/(E18-U18)</f>
        <v>33.002267928364745</v>
      </c>
      <c r="W18" s="21">
        <f>$H$2*211/(P18-T18)</f>
        <v>57.980109353302815</v>
      </c>
      <c r="X18" s="5">
        <f t="shared" ref="X18:X21" si="21">V18+W18</f>
        <v>90.982377281667567</v>
      </c>
      <c r="Y18" s="5">
        <f t="shared" ref="Y18:Y21" si="22">(V18*O18+W18*P18)/X18</f>
        <v>248.99106272326264</v>
      </c>
      <c r="Z18" s="5">
        <f t="shared" ref="Z18:Z21" si="23">I18</f>
        <v>2.4753125000000002</v>
      </c>
      <c r="AA18" s="22">
        <f t="shared" ref="AA18:AA21" si="24">(257.84-Y18)/(257.84-248.89)*(0.9721-0.9399)+0.9399</f>
        <v>0.97173640003474215</v>
      </c>
      <c r="AB18" s="22">
        <f t="shared" ref="AB18:AB21" si="25">(256.76-Y18)/(253.76+247.64)*(0.9566-0.9238)+0.9238</f>
        <v>0.92430821927139406</v>
      </c>
      <c r="AC18" s="22">
        <f t="shared" ref="AC18:AC21" si="26">(2.8-Z18)/(2.8-2.4)*($AB18-$AA18)+$AA18</f>
        <v>0.9332380564307432</v>
      </c>
      <c r="AD18" s="22">
        <f t="shared" ref="AD18:AD21" si="27">AC18</f>
        <v>0.9332380564307432</v>
      </c>
      <c r="AE18" s="5">
        <f>S18</f>
        <v>8.870750000000001</v>
      </c>
      <c r="AF18" s="5">
        <f t="shared" ref="AF18:AF21" si="28">(0.9711-AD18)/(0.9711-0.9066)*(284.39-264.15)+264.15</f>
        <v>276.03101919134502</v>
      </c>
      <c r="AG18" s="5">
        <f t="shared" ref="AG18:AG21" si="29">(0.9897-AD18)/(0.98979-0.9217)*(293.21-271.25)+271.25</f>
        <v>289.45978529565105</v>
      </c>
      <c r="AH18" s="22">
        <f t="shared" ref="AH18:AH21" si="30">(9-AE18)/(9-8)*($AG18-$AF18)+$AF18</f>
        <v>277.76668721032655</v>
      </c>
      <c r="AI18" s="1">
        <f>(AH18-Y18)/$F$2+Y18</f>
        <v>284.96059333209251</v>
      </c>
      <c r="AJ18" s="34">
        <f t="shared" ref="AJ18:AJ21" si="31">(V18*(E18-U18)+W18*(P18-T18))/(V18*(O18-E18)+X18*(AI18-Y18))</f>
        <v>2.9585294202346013</v>
      </c>
    </row>
    <row r="19" spans="1:36">
      <c r="A19" s="20">
        <f>B$3</f>
        <v>25</v>
      </c>
      <c r="B19" s="31">
        <f t="shared" si="17"/>
        <v>-24</v>
      </c>
      <c r="C19" s="32">
        <f t="shared" ref="C19:C21" si="32">C18+(D$2-D$3)/4</f>
        <v>5</v>
      </c>
      <c r="D19" s="1">
        <f>B19-$E$2</f>
        <v>-34</v>
      </c>
      <c r="E19" s="1">
        <f>$C$6*(D19-$D$9)+$E$9</f>
        <v>226.65</v>
      </c>
      <c r="F19" s="22">
        <f>D$6*($D19-$D$9)+F$9</f>
        <v>0.94809999999999994</v>
      </c>
      <c r="G19" s="22">
        <f>E$6*($D19-$D$9)+G$9</f>
        <v>0.70179999999999998</v>
      </c>
      <c r="H19" s="1">
        <f>C19-$E$2</f>
        <v>-5</v>
      </c>
      <c r="I19" s="21">
        <f>E$6*($H19-$H$9)+I$9</f>
        <v>2.5124750000000002</v>
      </c>
      <c r="J19" s="21">
        <f t="shared" si="18"/>
        <v>2.5124750000000002</v>
      </c>
      <c r="K19" s="22">
        <f t="shared" si="19"/>
        <v>0.94809999999999994</v>
      </c>
      <c r="L19" s="5">
        <f>(0.9721-$K19)/(0.9721-0.9399)*(257.84-248.89)+248.89</f>
        <v>255.56080745341615</v>
      </c>
      <c r="M19" s="5">
        <f>(0.9566-$K19)/(0.9566-0.9238)*(256.76-247.64)+247.64</f>
        <v>250.00341463414634</v>
      </c>
      <c r="N19" s="5">
        <f t="shared" si="20"/>
        <v>251.56608402751476</v>
      </c>
      <c r="O19" s="5">
        <f>(N19-E19)/$F$2+E19</f>
        <v>257.79510503439343</v>
      </c>
      <c r="P19" s="5">
        <f>E$6*($H19-$H$9)+P$9</f>
        <v>244.38432499999999</v>
      </c>
      <c r="Q19" s="5">
        <f>A19+$E$2</f>
        <v>35</v>
      </c>
      <c r="R19" s="21">
        <f>$F$6*($Q19-$Q$9)+R$9</f>
        <v>98.78</v>
      </c>
      <c r="S19" s="5">
        <f>$G$6*($Q19-$Q$9)+S$9</f>
        <v>8.870750000000001</v>
      </c>
      <c r="T19" s="21">
        <f t="shared" si="16"/>
        <v>98.78</v>
      </c>
      <c r="U19" s="21">
        <f t="shared" si="16"/>
        <v>98.78</v>
      </c>
      <c r="V19" s="21">
        <f>$G$2*211/(E19-U19)</f>
        <v>33.002267928364745</v>
      </c>
      <c r="W19" s="21">
        <f>$H$2*211/(P19-T19)</f>
        <v>57.965311126575401</v>
      </c>
      <c r="X19" s="5">
        <f t="shared" si="21"/>
        <v>90.967579054940146</v>
      </c>
      <c r="Y19" s="5">
        <f t="shared" si="22"/>
        <v>249.24964251665187</v>
      </c>
      <c r="Z19" s="5">
        <f t="shared" si="23"/>
        <v>2.5124750000000002</v>
      </c>
      <c r="AA19" s="22">
        <f t="shared" si="24"/>
        <v>0.9708060906104814</v>
      </c>
      <c r="AB19" s="22">
        <f t="shared" si="25"/>
        <v>0.92429130380026681</v>
      </c>
      <c r="AC19" s="22">
        <f t="shared" si="26"/>
        <v>0.9373706804164641</v>
      </c>
      <c r="AD19" s="22">
        <f t="shared" si="27"/>
        <v>0.9373706804164641</v>
      </c>
      <c r="AE19" s="5">
        <f>S19</f>
        <v>8.870750000000001</v>
      </c>
      <c r="AF19" s="5">
        <f t="shared" si="28"/>
        <v>274.73420819179478</v>
      </c>
      <c r="AG19" s="5">
        <f t="shared" si="29"/>
        <v>288.12695488404239</v>
      </c>
      <c r="AH19" s="22">
        <f t="shared" si="30"/>
        <v>276.46522070176775</v>
      </c>
      <c r="AI19" s="1">
        <f>(AH19-Y19)/$F$2+Y19</f>
        <v>283.26911524804672</v>
      </c>
      <c r="AJ19" s="34">
        <f t="shared" si="31"/>
        <v>3.0709311032456008</v>
      </c>
    </row>
    <row r="20" spans="1:36">
      <c r="A20" s="20">
        <f>B$3</f>
        <v>25</v>
      </c>
      <c r="B20" s="31">
        <f t="shared" si="17"/>
        <v>-24</v>
      </c>
      <c r="C20" s="32">
        <f t="shared" si="32"/>
        <v>6</v>
      </c>
      <c r="D20" s="1">
        <f>B20-$E$2</f>
        <v>-34</v>
      </c>
      <c r="E20" s="1">
        <f>$C$6*(D20-$D$9)+$E$9</f>
        <v>226.65</v>
      </c>
      <c r="F20" s="22">
        <f>D$6*($D20-$D$9)+F$9</f>
        <v>0.94809999999999994</v>
      </c>
      <c r="G20" s="22">
        <f>E$6*($D20-$D$9)+G$9</f>
        <v>0.70179999999999998</v>
      </c>
      <c r="H20" s="1">
        <f>C20-$E$2</f>
        <v>-4</v>
      </c>
      <c r="I20" s="21">
        <f>E$6*($H20-$H$9)+I$9</f>
        <v>2.5496375000000002</v>
      </c>
      <c r="J20" s="21">
        <f t="shared" si="18"/>
        <v>2.5496375000000002</v>
      </c>
      <c r="K20" s="22">
        <f t="shared" si="19"/>
        <v>0.94809999999999994</v>
      </c>
      <c r="L20" s="5">
        <f>(0.9721-$K20)/(0.9721-0.9399)*(257.84-248.89)+248.89</f>
        <v>255.56080745341615</v>
      </c>
      <c r="M20" s="5">
        <f>(0.9566-$K20)/(0.9566-0.9238)*(256.76-247.64)+247.64</f>
        <v>250.00341463414634</v>
      </c>
      <c r="N20" s="5">
        <f t="shared" si="20"/>
        <v>252.08240055413006</v>
      </c>
      <c r="O20" s="5">
        <f>(N20-E20)/$F$2+E20</f>
        <v>258.44050069266257</v>
      </c>
      <c r="P20" s="5">
        <f>E$6*($H20-$H$9)+P$9</f>
        <v>244.42148750000001</v>
      </c>
      <c r="Q20" s="5">
        <f>A20+$E$2</f>
        <v>35</v>
      </c>
      <c r="R20" s="21">
        <f>$F$6*($Q20-$Q$9)+R$9</f>
        <v>98.78</v>
      </c>
      <c r="S20" s="5">
        <f>$G$6*($Q20-$Q$9)+S$9</f>
        <v>8.870750000000001</v>
      </c>
      <c r="T20" s="21">
        <f t="shared" si="16"/>
        <v>98.78</v>
      </c>
      <c r="U20" s="21">
        <f t="shared" si="16"/>
        <v>98.78</v>
      </c>
      <c r="V20" s="21">
        <f>$G$2*211/(E20-U20)</f>
        <v>33.002267928364745</v>
      </c>
      <c r="W20" s="21">
        <f>$H$2*211/(P20-T20)</f>
        <v>57.950520451804636</v>
      </c>
      <c r="X20" s="5">
        <f t="shared" si="21"/>
        <v>90.95278838016938</v>
      </c>
      <c r="Y20" s="5">
        <f t="shared" si="22"/>
        <v>249.50829393788163</v>
      </c>
      <c r="Z20" s="5">
        <f t="shared" si="23"/>
        <v>2.5496375000000002</v>
      </c>
      <c r="AA20" s="22">
        <f t="shared" si="24"/>
        <v>0.9698755234860571</v>
      </c>
      <c r="AB20" s="22">
        <f t="shared" si="25"/>
        <v>0.92427438364347314</v>
      </c>
      <c r="AC20" s="22">
        <f t="shared" si="26"/>
        <v>0.94133348505145986</v>
      </c>
      <c r="AD20" s="22">
        <f t="shared" si="27"/>
        <v>0.94133348505145986</v>
      </c>
      <c r="AE20" s="5">
        <f>S20</f>
        <v>8.870750000000001</v>
      </c>
      <c r="AF20" s="5">
        <f t="shared" si="28"/>
        <v>273.49068624121628</v>
      </c>
      <c r="AG20" s="5">
        <f t="shared" si="29"/>
        <v>286.84889364473406</v>
      </c>
      <c r="AH20" s="22">
        <f t="shared" si="30"/>
        <v>275.21723454812093</v>
      </c>
      <c r="AI20" s="1">
        <f>(AH20-Y20)/$F$2+Y20</f>
        <v>281.64446970068076</v>
      </c>
      <c r="AJ20" s="34">
        <f t="shared" si="31"/>
        <v>3.1872843648264957</v>
      </c>
    </row>
    <row r="21" spans="1:36" ht="14.7" thickBot="1">
      <c r="A21" s="23">
        <f>B$3</f>
        <v>25</v>
      </c>
      <c r="B21" s="24">
        <f t="shared" si="17"/>
        <v>-24</v>
      </c>
      <c r="C21" s="33">
        <f t="shared" si="32"/>
        <v>7</v>
      </c>
      <c r="D21" s="24">
        <f>B21-$E$2</f>
        <v>-34</v>
      </c>
      <c r="E21" s="24">
        <f>$C$6*(D21-$D$9)+$E$9</f>
        <v>226.65</v>
      </c>
      <c r="F21" s="25">
        <f>D$6*($D21-$D$9)+F$9</f>
        <v>0.94809999999999994</v>
      </c>
      <c r="G21" s="25">
        <f>E$6*($D21-$D$9)+G$9</f>
        <v>0.70179999999999998</v>
      </c>
      <c r="H21" s="24">
        <f>C21-$E$2</f>
        <v>-3</v>
      </c>
      <c r="I21" s="26">
        <f>E$6*($H21-$H$9)+I$9</f>
        <v>2.5868000000000002</v>
      </c>
      <c r="J21" s="26">
        <f t="shared" si="18"/>
        <v>2.5868000000000002</v>
      </c>
      <c r="K21" s="25">
        <f t="shared" si="19"/>
        <v>0.94809999999999994</v>
      </c>
      <c r="L21" s="27">
        <f>(0.9721-$K21)/(0.9721-0.9399)*(257.84-248.89)+248.89</f>
        <v>255.56080745341615</v>
      </c>
      <c r="M21" s="27">
        <f>(0.9566-$K21)/(0.9566-0.9238)*(256.76-247.64)+247.64</f>
        <v>250.00341463414634</v>
      </c>
      <c r="N21" s="27">
        <f t="shared" si="20"/>
        <v>252.59871708074533</v>
      </c>
      <c r="O21" s="27">
        <f>(N21-E21)/$F$2+E21</f>
        <v>259.08589635093165</v>
      </c>
      <c r="P21" s="27">
        <f>E$6*($H21-$H$9)+P$9</f>
        <v>244.45865000000001</v>
      </c>
      <c r="Q21" s="27">
        <f>A21+$E$2</f>
        <v>35</v>
      </c>
      <c r="R21" s="26">
        <f>$F$6*($Q21-$Q$9)+R$9</f>
        <v>98.78</v>
      </c>
      <c r="S21" s="27">
        <f>$G$6*($Q21-$Q$9)+S$9</f>
        <v>8.870750000000001</v>
      </c>
      <c r="T21" s="26">
        <f t="shared" si="16"/>
        <v>98.78</v>
      </c>
      <c r="U21" s="26">
        <f t="shared" si="16"/>
        <v>98.78</v>
      </c>
      <c r="V21" s="26">
        <f>$G$2*211/(E21-U21)</f>
        <v>33.002267928364745</v>
      </c>
      <c r="W21" s="26">
        <f>$H$2*211/(P21-T21)</f>
        <v>57.93573732321105</v>
      </c>
      <c r="X21" s="27">
        <f t="shared" si="21"/>
        <v>90.938005251575788</v>
      </c>
      <c r="Y21" s="27">
        <f t="shared" si="22"/>
        <v>249.76701696705831</v>
      </c>
      <c r="Z21" s="27">
        <f t="shared" si="23"/>
        <v>2.5868000000000002</v>
      </c>
      <c r="AA21" s="25">
        <f t="shared" si="24"/>
        <v>0.96894469873304157</v>
      </c>
      <c r="AB21" s="25">
        <f t="shared" si="25"/>
        <v>0.92425745880231447</v>
      </c>
      <c r="AC21" s="25">
        <f t="shared" si="26"/>
        <v>0.94512639984996405</v>
      </c>
      <c r="AD21" s="25">
        <f t="shared" si="27"/>
        <v>0.94512639984996405</v>
      </c>
      <c r="AE21" s="27">
        <f>S21</f>
        <v>8.870750000000001</v>
      </c>
      <c r="AF21" s="27">
        <f t="shared" si="28"/>
        <v>272.30047545793371</v>
      </c>
      <c r="AG21" s="27">
        <f t="shared" si="29"/>
        <v>285.62562431039493</v>
      </c>
      <c r="AH21" s="25">
        <f t="shared" si="30"/>
        <v>274.02275094711433</v>
      </c>
      <c r="AI21" s="24">
        <f>(AH21-Y21)/$F$2+Y21</f>
        <v>280.08668444212833</v>
      </c>
      <c r="AJ21" s="35">
        <f t="shared" si="31"/>
        <v>3.3074966966624961</v>
      </c>
    </row>
    <row r="23" spans="1:36" ht="14.7" thickBot="1">
      <c r="A23" s="28" t="s">
        <v>40</v>
      </c>
    </row>
    <row r="24" spans="1:36">
      <c r="A24" s="15" t="s">
        <v>0</v>
      </c>
      <c r="B24" s="16" t="s">
        <v>1</v>
      </c>
      <c r="C24" s="30" t="s">
        <v>2</v>
      </c>
      <c r="D24" s="15" t="s">
        <v>25</v>
      </c>
      <c r="E24" s="17" t="s">
        <v>26</v>
      </c>
      <c r="F24" s="16" t="s">
        <v>43</v>
      </c>
      <c r="G24" s="16" t="s">
        <v>48</v>
      </c>
      <c r="H24" s="16" t="s">
        <v>51</v>
      </c>
      <c r="I24" s="16" t="s">
        <v>52</v>
      </c>
      <c r="J24" s="16" t="s">
        <v>50</v>
      </c>
      <c r="K24" s="16" t="s">
        <v>46</v>
      </c>
      <c r="L24" s="16" t="s">
        <v>54</v>
      </c>
      <c r="M24" s="16" t="s">
        <v>55</v>
      </c>
      <c r="N24" s="16" t="s">
        <v>27</v>
      </c>
      <c r="O24" s="17" t="s">
        <v>28</v>
      </c>
      <c r="P24" s="17" t="s">
        <v>32</v>
      </c>
      <c r="Q24" s="16" t="s">
        <v>53</v>
      </c>
      <c r="R24" s="17" t="s">
        <v>41</v>
      </c>
      <c r="S24" s="16" t="s">
        <v>49</v>
      </c>
      <c r="T24" s="17" t="s">
        <v>31</v>
      </c>
      <c r="U24" s="17" t="s">
        <v>47</v>
      </c>
      <c r="V24" s="18" t="s">
        <v>16</v>
      </c>
      <c r="W24" s="18" t="s">
        <v>59</v>
      </c>
      <c r="X24" s="18" t="s">
        <v>34</v>
      </c>
      <c r="Y24" s="17" t="s">
        <v>29</v>
      </c>
      <c r="Z24" s="18" t="s">
        <v>60</v>
      </c>
      <c r="AA24" s="16" t="s">
        <v>61</v>
      </c>
      <c r="AB24" s="16" t="s">
        <v>62</v>
      </c>
      <c r="AC24" s="16" t="s">
        <v>33</v>
      </c>
      <c r="AD24" s="16" t="s">
        <v>66</v>
      </c>
      <c r="AE24" s="16" t="s">
        <v>63</v>
      </c>
      <c r="AF24" s="16" t="s">
        <v>64</v>
      </c>
      <c r="AG24" s="16" t="s">
        <v>65</v>
      </c>
      <c r="AH24" s="16" t="s">
        <v>35</v>
      </c>
      <c r="AI24" s="36" t="s">
        <v>30</v>
      </c>
      <c r="AJ24" s="14" t="s">
        <v>20</v>
      </c>
    </row>
    <row r="25" spans="1:36">
      <c r="A25" s="20">
        <f>B$3</f>
        <v>25</v>
      </c>
      <c r="B25" s="31">
        <f>C$3</f>
        <v>-24</v>
      </c>
      <c r="C25" s="32">
        <f>D$3</f>
        <v>3</v>
      </c>
      <c r="D25" s="20">
        <f>B25-$E$2</f>
        <v>-34</v>
      </c>
      <c r="E25" s="31">
        <f>AVERAGE(227.9,225.4)</f>
        <v>226.65</v>
      </c>
      <c r="F25" s="31">
        <f>AVERAGE(0.9506,0.9456)</f>
        <v>0.94809999999999994</v>
      </c>
      <c r="G25" s="31">
        <f>AVERAGE(0.7704,0.6332)</f>
        <v>0.70179999999999998</v>
      </c>
      <c r="H25" s="31">
        <f>C25-$E$2</f>
        <v>-7</v>
      </c>
      <c r="I25" s="37">
        <f>(-4--7)/(-4--8)*(2.5274-2.1704)+2.1704</f>
        <v>2.4381500000000003</v>
      </c>
      <c r="J25" s="37">
        <f>I25</f>
        <v>2.4381500000000003</v>
      </c>
      <c r="K25" s="38">
        <f>F25</f>
        <v>0.94809999999999994</v>
      </c>
      <c r="L25" s="39">
        <f>(0.9721-$K25)/(0.9721-0.9399)*(257.84-248.89)+248.89</f>
        <v>255.56080745341615</v>
      </c>
      <c r="M25" s="39">
        <f>(0.9566-$K25)/(0.9566-0.9238)*(256.76-247.64)+247.64</f>
        <v>250.00341463414634</v>
      </c>
      <c r="N25" s="39">
        <f>(2.8-J25)/(2.8-2.4)*(M25-L25)+L25</f>
        <v>250.53345097428419</v>
      </c>
      <c r="O25" s="39">
        <f>(N25-E25)/$F$2+E25</f>
        <v>256.50431371785521</v>
      </c>
      <c r="P25" s="39">
        <f>(-4--7)/(-4--8)*(244.9-242.54)+242.54</f>
        <v>244.31</v>
      </c>
      <c r="Q25" s="39">
        <f>A25+$E$2</f>
        <v>35</v>
      </c>
      <c r="R25" s="37">
        <f>AVERAGE(97.31,100.25)</f>
        <v>98.78</v>
      </c>
      <c r="S25" s="39">
        <f>AVERAGE(8.6247,9.1168)</f>
        <v>8.870750000000001</v>
      </c>
      <c r="T25" s="37">
        <f t="shared" ref="T25:U29" si="33">$R25</f>
        <v>98.78</v>
      </c>
      <c r="U25" s="37">
        <f t="shared" si="33"/>
        <v>98.78</v>
      </c>
      <c r="V25" s="37">
        <f>$G$2*211/(E25-U25)</f>
        <v>33.002267928364745</v>
      </c>
      <c r="W25" s="37">
        <f>$H$2*211/(P25-T25)</f>
        <v>57.994915137772281</v>
      </c>
      <c r="X25" s="39">
        <f>V25+W25</f>
        <v>90.997183066137026</v>
      </c>
      <c r="Y25" s="39">
        <f>(V25*O25+W25*P25)/X25</f>
        <v>248.73255457761474</v>
      </c>
      <c r="Z25" s="39">
        <f>I25</f>
        <v>2.4381500000000003</v>
      </c>
      <c r="AA25" s="38">
        <f>(257.84-Y25)/(257.84-248.89)*(0.9721-0.9399)+0.9399</f>
        <v>0.97266645168724075</v>
      </c>
      <c r="AB25" s="38">
        <f>(256.76-Y25)/(253.76+247.64)*(0.9566-0.9238)+0.9238</f>
        <v>0.92432513005555283</v>
      </c>
      <c r="AC25" s="38">
        <f>(2.8-Z25)/(2.8-2.4)*($AB25-$AA25)+$AA25</f>
        <v>0.92893568360617507</v>
      </c>
      <c r="AD25" s="38">
        <f>AC25</f>
        <v>0.92893568360617507</v>
      </c>
      <c r="AE25" s="39">
        <f>S25</f>
        <v>8.870750000000001</v>
      </c>
      <c r="AF25" s="39">
        <f>(0.9711-AD25)/(0.9711-0.9066)*(284.39-264.15)+264.15</f>
        <v>277.38109711334909</v>
      </c>
      <c r="AG25" s="39">
        <f>(0.9897-AD25)/(0.98979-0.9217)*(293.21-271.25)+271.25</f>
        <v>290.84736213846958</v>
      </c>
      <c r="AH25" s="38">
        <f>(9-AE25)/(9-8)*($AG25-$AF25)+$AF25</f>
        <v>279.1216118678459</v>
      </c>
      <c r="AI25" s="32">
        <f>(AH25-Y25)/$F$2+Y25</f>
        <v>286.71887619040371</v>
      </c>
      <c r="AJ25" s="34">
        <f>(V25*(E25-U25)+W25*(P25-T25))/(V25*(O25-E25)+X25*(AI25-Y25))</f>
        <v>2.8501263606594214</v>
      </c>
    </row>
    <row r="26" spans="1:36">
      <c r="A26" s="20">
        <f>A25+(B$2-B$3)/4</f>
        <v>26.25</v>
      </c>
      <c r="B26" s="31">
        <f t="shared" ref="B26:B29" si="34">C$3</f>
        <v>-24</v>
      </c>
      <c r="C26" s="32">
        <v>3</v>
      </c>
      <c r="D26" s="20">
        <f>B26-$E$2</f>
        <v>-34</v>
      </c>
      <c r="E26" s="31">
        <f>$C$6*(D26-$D$9)+$E$9</f>
        <v>226.65</v>
      </c>
      <c r="F26" s="38">
        <f>D$6*($D26-$D$9)+F$9</f>
        <v>0.94809999999999994</v>
      </c>
      <c r="G26" s="38">
        <f>E$6*($D26-$D$9)+G$9</f>
        <v>0.70179999999999998</v>
      </c>
      <c r="H26" s="31">
        <f>C26-$E$2</f>
        <v>-7</v>
      </c>
      <c r="I26" s="37">
        <f>E$6*($H26-$H$9)+I$9</f>
        <v>2.4381500000000003</v>
      </c>
      <c r="J26" s="37">
        <f t="shared" ref="J26:J29" si="35">I26</f>
        <v>2.4381500000000003</v>
      </c>
      <c r="K26" s="38">
        <f t="shared" ref="K26:K29" si="36">F26</f>
        <v>0.94809999999999994</v>
      </c>
      <c r="L26" s="39">
        <f>(0.9721-$K26)/(0.9721-0.9399)*(257.84-248.89)+248.89</f>
        <v>255.56080745341615</v>
      </c>
      <c r="M26" s="39">
        <f>(0.9566-$K26)/(0.9566-0.9238)*(256.76-247.64)+247.64</f>
        <v>250.00341463414634</v>
      </c>
      <c r="N26" s="39">
        <f t="shared" ref="N26:N29" si="37">(2.8-J26)/(2.8-2.4)*(M26-L26)+L26</f>
        <v>250.53345097428419</v>
      </c>
      <c r="O26" s="39">
        <f>(N26-E26)/$F$2+E26</f>
        <v>256.50431371785521</v>
      </c>
      <c r="P26" s="39">
        <f>E$6*($H26-$H$9)+P$9</f>
        <v>244.31</v>
      </c>
      <c r="Q26" s="39">
        <f>A26+$E$2</f>
        <v>36.25</v>
      </c>
      <c r="R26" s="37">
        <f>$F$6*($Q26-$Q$25)+R$25</f>
        <v>100.63</v>
      </c>
      <c r="S26" s="39">
        <f>$G$6*($Q26-$Q$25)+S$25</f>
        <v>9.1980000000000004</v>
      </c>
      <c r="T26" s="37">
        <f t="shared" si="33"/>
        <v>100.63</v>
      </c>
      <c r="U26" s="37">
        <f t="shared" si="33"/>
        <v>100.63</v>
      </c>
      <c r="V26" s="37">
        <f>$G$2*211/(E26-U26)</f>
        <v>33.486748135216629</v>
      </c>
      <c r="W26" s="37">
        <f>$H$2*211/(P26-T26)</f>
        <v>58.741648106904229</v>
      </c>
      <c r="X26" s="39">
        <f t="shared" ref="X26:X29" si="38">V26+W26</f>
        <v>92.228396242120851</v>
      </c>
      <c r="Y26" s="39">
        <f t="shared" ref="Y26:Y29" si="39">(V26*O26+W26*P26)/X26</f>
        <v>248.73757251334644</v>
      </c>
      <c r="Z26" s="39">
        <f>I26</f>
        <v>2.4381500000000003</v>
      </c>
      <c r="AA26" s="38">
        <f t="shared" ref="AA26:AA29" si="40">(257.84-Y26)/(257.84-248.89)*(0.9721-0.9399)+0.9399</f>
        <v>0.97264839833187089</v>
      </c>
      <c r="AB26" s="38">
        <f t="shared" ref="AB26:AB29" si="41">(256.76-Y26)/(253.76+247.64)*(0.9566-0.9238)+0.9238</f>
        <v>0.92432480179808973</v>
      </c>
      <c r="AC26" s="38">
        <f>(2.8-Z26)/(2.8-2.4)*($AB26-$AA26)+$AA26</f>
        <v>0.92893366481749917</v>
      </c>
      <c r="AD26" s="38">
        <f>AC26</f>
        <v>0.92893366481749917</v>
      </c>
      <c r="AE26" s="39">
        <f>S26</f>
        <v>9.1980000000000004</v>
      </c>
      <c r="AF26" s="39">
        <f>(0.9711-AD26)/(0.9711-0.9066)*(284.39-264.15)+264.15</f>
        <v>277.38173060610563</v>
      </c>
      <c r="AG26" s="39">
        <f>(0.9897-AD26)/(0.98979-0.9217)*(293.21-271.25)+271.25</f>
        <v>290.84801322672519</v>
      </c>
      <c r="AH26" s="38">
        <f t="shared" ref="AH26:AH29" si="42">(9-AE26)/(9-8)*($AG26-$AF26)+$AF26</f>
        <v>274.71540664722295</v>
      </c>
      <c r="AI26" s="32">
        <f>(AH26-Y26)/$F$2+Y26</f>
        <v>281.20986518069208</v>
      </c>
      <c r="AJ26" s="34">
        <f t="shared" ref="AJ26:AJ29" si="43">(V26*(E26-U26)+W26*(P26-T26))/(V26*(O26-E26)+X26*(AI26-Y26))</f>
        <v>3.1692853815286997</v>
      </c>
    </row>
    <row r="27" spans="1:36">
      <c r="A27" s="20">
        <f t="shared" ref="A27:A29" si="44">A26+(B$2-B$3)/4</f>
        <v>27.5</v>
      </c>
      <c r="B27" s="31">
        <f t="shared" si="34"/>
        <v>-24</v>
      </c>
      <c r="C27" s="32">
        <f>D$3</f>
        <v>3</v>
      </c>
      <c r="D27" s="20">
        <f>B27-$E$2</f>
        <v>-34</v>
      </c>
      <c r="E27" s="31">
        <f>$C$6*(D27-$D$9)+$E$9</f>
        <v>226.65</v>
      </c>
      <c r="F27" s="38">
        <f>D$6*($D27-$D$9)+F$9</f>
        <v>0.94809999999999994</v>
      </c>
      <c r="G27" s="38">
        <f>E$6*($D27-$D$9)+G$9</f>
        <v>0.70179999999999998</v>
      </c>
      <c r="H27" s="31">
        <f>C27-$E$2</f>
        <v>-7</v>
      </c>
      <c r="I27" s="37">
        <f>E$6*($H27-$H$9)+I$9</f>
        <v>2.4381500000000003</v>
      </c>
      <c r="J27" s="37">
        <f t="shared" si="35"/>
        <v>2.4381500000000003</v>
      </c>
      <c r="K27" s="38">
        <f t="shared" si="36"/>
        <v>0.94809999999999994</v>
      </c>
      <c r="L27" s="39">
        <f>(0.9721-$K27)/(0.9721-0.9399)*(257.84-248.89)+248.89</f>
        <v>255.56080745341615</v>
      </c>
      <c r="M27" s="39">
        <f>(0.9566-$K27)/(0.9566-0.9238)*(256.76-247.64)+247.64</f>
        <v>250.00341463414634</v>
      </c>
      <c r="N27" s="39">
        <f t="shared" si="37"/>
        <v>250.53345097428419</v>
      </c>
      <c r="O27" s="39">
        <f>(N27-E27)/$F$2+E27</f>
        <v>256.50431371785521</v>
      </c>
      <c r="P27" s="39">
        <f>E$6*($H27-$H$9)+P$9</f>
        <v>244.31</v>
      </c>
      <c r="Q27" s="39">
        <f>A27+$E$2</f>
        <v>37.5</v>
      </c>
      <c r="R27" s="37">
        <f t="shared" ref="R27" si="45">$F$6*($Q27-$Q$25)+R$25</f>
        <v>102.48</v>
      </c>
      <c r="S27" s="39">
        <f>$G$6*($Q27-$Q$25)+S$25</f>
        <v>9.5252500000000015</v>
      </c>
      <c r="T27" s="37">
        <f t="shared" si="33"/>
        <v>102.48</v>
      </c>
      <c r="U27" s="37">
        <f t="shared" si="33"/>
        <v>102.48</v>
      </c>
      <c r="V27" s="37">
        <f>$G$2*211/(E27-U27)</f>
        <v>33.985664814367397</v>
      </c>
      <c r="W27" s="37">
        <f>$H$2*211/(P27-T27)</f>
        <v>59.507861524360159</v>
      </c>
      <c r="X27" s="39">
        <f t="shared" si="38"/>
        <v>93.493526338727548</v>
      </c>
      <c r="Y27" s="39">
        <f>(V27*O27+W27*P27)/X27</f>
        <v>248.74273320502192</v>
      </c>
      <c r="Z27" s="39">
        <f>I27</f>
        <v>2.4381500000000003</v>
      </c>
      <c r="AA27" s="38">
        <f t="shared" si="40"/>
        <v>0.97262983137411096</v>
      </c>
      <c r="AB27" s="38">
        <f t="shared" si="41"/>
        <v>0.924324464201985</v>
      </c>
      <c r="AC27" s="38">
        <f>(2.8-Z27)/(2.8-2.4)*($AB27-$AA27)+$AA27</f>
        <v>0.92893158859602654</v>
      </c>
      <c r="AD27" s="38">
        <f t="shared" ref="AD26:AD29" si="46">AC27</f>
        <v>0.92893158859602654</v>
      </c>
      <c r="AE27" s="39">
        <f>S27</f>
        <v>9.5252500000000015</v>
      </c>
      <c r="AF27" s="39">
        <f>(0.9711-AD27)/(0.9711-0.9066)*(284.39-264.15)+264.15</f>
        <v>277.38238212118483</v>
      </c>
      <c r="AG27" s="39">
        <f t="shared" ref="AG26:AG29" si="47">(0.9897-AD27)/(0.98979-0.9217)*(293.21-271.25)+271.25</f>
        <v>290.84868283788012</v>
      </c>
      <c r="AH27" s="38">
        <f t="shared" si="42"/>
        <v>270.3092076697406</v>
      </c>
      <c r="AI27" s="32">
        <f>(AH27-Y27)/$F$2+Y27</f>
        <v>275.70082628592024</v>
      </c>
      <c r="AJ27" s="34">
        <f t="shared" si="43"/>
        <v>3.5813033376959456</v>
      </c>
    </row>
    <row r="28" spans="1:36">
      <c r="A28" s="20">
        <f t="shared" si="44"/>
        <v>28.75</v>
      </c>
      <c r="B28" s="31">
        <f t="shared" si="34"/>
        <v>-24</v>
      </c>
      <c r="C28" s="32">
        <f>D$3</f>
        <v>3</v>
      </c>
      <c r="D28" s="20">
        <f>B28-$E$2</f>
        <v>-34</v>
      </c>
      <c r="E28" s="31">
        <f>$C$6*(D28-$D$9)+$E$9</f>
        <v>226.65</v>
      </c>
      <c r="F28" s="38">
        <f>D$6*($D28-$D$9)+F$9</f>
        <v>0.94809999999999994</v>
      </c>
      <c r="G28" s="38">
        <f>E$6*($D28-$D$9)+G$9</f>
        <v>0.70179999999999998</v>
      </c>
      <c r="H28" s="31">
        <f>C28-$E$2</f>
        <v>-7</v>
      </c>
      <c r="I28" s="37">
        <f>E$6*($H28-$H$9)+I$9</f>
        <v>2.4381500000000003</v>
      </c>
      <c r="J28" s="37">
        <f t="shared" si="35"/>
        <v>2.4381500000000003</v>
      </c>
      <c r="K28" s="38">
        <f t="shared" si="36"/>
        <v>0.94809999999999994</v>
      </c>
      <c r="L28" s="39">
        <f>(0.9721-$K28)/(0.9721-0.9399)*(257.84-248.89)+248.89</f>
        <v>255.56080745341615</v>
      </c>
      <c r="M28" s="39">
        <f>(0.9566-$K28)/(0.9566-0.9238)*(256.76-247.64)+247.64</f>
        <v>250.00341463414634</v>
      </c>
      <c r="N28" s="39">
        <f t="shared" si="37"/>
        <v>250.53345097428419</v>
      </c>
      <c r="O28" s="39">
        <f>(N28-E28)/$F$2+E28</f>
        <v>256.50431371785521</v>
      </c>
      <c r="P28" s="39">
        <f>E$6*($H28-$H$9)+P$9</f>
        <v>244.31</v>
      </c>
      <c r="Q28" s="39">
        <f>A28+$E$2</f>
        <v>38.75</v>
      </c>
      <c r="R28" s="37">
        <f>$F$6*($Q28-$Q$25)+R$25</f>
        <v>104.33</v>
      </c>
      <c r="S28" s="39">
        <f t="shared" ref="S27:S29" si="48">$G$6*($Q28-$Q$25)+S$25</f>
        <v>9.8525000000000009</v>
      </c>
      <c r="T28" s="37">
        <f t="shared" si="33"/>
        <v>104.33</v>
      </c>
      <c r="U28" s="37">
        <f t="shared" si="33"/>
        <v>104.33</v>
      </c>
      <c r="V28" s="37">
        <f>$G$2*211/(E28-U28)</f>
        <v>34.49967298888162</v>
      </c>
      <c r="W28" s="37">
        <f>$H$2*211/(P28-T28)</f>
        <v>60.294327761108725</v>
      </c>
      <c r="X28" s="39">
        <f t="shared" si="38"/>
        <v>94.794000749990346</v>
      </c>
      <c r="Y28" s="39">
        <f t="shared" si="39"/>
        <v>248.74804283247201</v>
      </c>
      <c r="Z28" s="39">
        <f t="shared" ref="Z26:Z29" si="49">I28</f>
        <v>2.4381500000000003</v>
      </c>
      <c r="AA28" s="38">
        <f t="shared" si="40"/>
        <v>0.97261072858038</v>
      </c>
      <c r="AB28" s="38">
        <f t="shared" si="41"/>
        <v>0.92432411686297344</v>
      </c>
      <c r="AC28" s="38">
        <f t="shared" ref="AC26:AC29" si="50">(2.8-Z28)/(2.8-2.4)*($AB28-$AA28)+$AA28</f>
        <v>0.92892945245552117</v>
      </c>
      <c r="AD28" s="38">
        <f t="shared" si="46"/>
        <v>0.92892945245552117</v>
      </c>
      <c r="AE28" s="39">
        <f>S28</f>
        <v>9.8525000000000009</v>
      </c>
      <c r="AF28" s="39">
        <f t="shared" ref="AF26:AF29" si="51">(0.9711-AD28)/(0.9711-0.9066)*(284.39-264.15)+264.15</f>
        <v>277.38305243876357</v>
      </c>
      <c r="AG28" s="39">
        <f t="shared" si="47"/>
        <v>290.84937177378112</v>
      </c>
      <c r="AH28" s="38">
        <f t="shared" si="42"/>
        <v>265.90301520566112</v>
      </c>
      <c r="AI28" s="32">
        <f>(AH28-Y28)/$F$2+Y28</f>
        <v>270.1917582989584</v>
      </c>
      <c r="AJ28" s="34">
        <f t="shared" si="43"/>
        <v>4.1336080862232274</v>
      </c>
    </row>
    <row r="29" spans="1:36" ht="14.7" thickBot="1">
      <c r="A29" s="23">
        <f t="shared" si="44"/>
        <v>30</v>
      </c>
      <c r="B29" s="24">
        <f t="shared" si="34"/>
        <v>-24</v>
      </c>
      <c r="C29" s="33">
        <f>D$3</f>
        <v>3</v>
      </c>
      <c r="D29" s="23">
        <f>B29-$E$2</f>
        <v>-34</v>
      </c>
      <c r="E29" s="24">
        <f>$C$6*(D29-$D$9)+$E$9</f>
        <v>226.65</v>
      </c>
      <c r="F29" s="25">
        <f>D$6*($D29-$D$9)+F$9</f>
        <v>0.94809999999999994</v>
      </c>
      <c r="G29" s="25">
        <f>E$6*($D29-$D$9)+G$9</f>
        <v>0.70179999999999998</v>
      </c>
      <c r="H29" s="24">
        <f>C29-$E$2</f>
        <v>-7</v>
      </c>
      <c r="I29" s="26">
        <f>E$6*($H29-$H$9)+I$9</f>
        <v>2.4381500000000003</v>
      </c>
      <c r="J29" s="26">
        <f t="shared" si="35"/>
        <v>2.4381500000000003</v>
      </c>
      <c r="K29" s="25">
        <f t="shared" si="36"/>
        <v>0.94809999999999994</v>
      </c>
      <c r="L29" s="27">
        <f>(0.9721-$K29)/(0.9721-0.9399)*(257.84-248.89)+248.89</f>
        <v>255.56080745341615</v>
      </c>
      <c r="M29" s="27">
        <f>(0.9566-$K29)/(0.9566-0.9238)*(256.76-247.64)+247.64</f>
        <v>250.00341463414634</v>
      </c>
      <c r="N29" s="27">
        <f t="shared" si="37"/>
        <v>250.53345097428419</v>
      </c>
      <c r="O29" s="27">
        <f>(N29-E29)/$F$2+E29</f>
        <v>256.50431371785521</v>
      </c>
      <c r="P29" s="27">
        <f>E$6*($H29-$H$9)+P$9</f>
        <v>244.31</v>
      </c>
      <c r="Q29" s="27">
        <f>A29+$E$2</f>
        <v>40</v>
      </c>
      <c r="R29" s="26">
        <f>$F$6*($Q29-$Q$25)+R$25</f>
        <v>106.17999999999999</v>
      </c>
      <c r="S29" s="27">
        <f t="shared" si="48"/>
        <v>10.179750000000002</v>
      </c>
      <c r="T29" s="26">
        <f t="shared" si="33"/>
        <v>106.17999999999999</v>
      </c>
      <c r="U29" s="26">
        <f t="shared" si="33"/>
        <v>106.17999999999999</v>
      </c>
      <c r="V29" s="26">
        <f>$G$2*211/(E29-U29)</f>
        <v>35.029467917323814</v>
      </c>
      <c r="W29" s="26">
        <f>$H$2*211/(P29-T29)</f>
        <v>61.101860566133354</v>
      </c>
      <c r="X29" s="27">
        <f t="shared" si="38"/>
        <v>96.131328483457168</v>
      </c>
      <c r="Y29" s="27">
        <f t="shared" si="39"/>
        <v>248.75350793744519</v>
      </c>
      <c r="Z29" s="27">
        <f t="shared" si="49"/>
        <v>2.4381500000000003</v>
      </c>
      <c r="AA29" s="25">
        <f t="shared" si="40"/>
        <v>0.97259106641500159</v>
      </c>
      <c r="AB29" s="25">
        <f t="shared" si="41"/>
        <v>0.92432375935311484</v>
      </c>
      <c r="AC29" s="25">
        <f t="shared" si="50"/>
        <v>0.92892725376414231</v>
      </c>
      <c r="AD29" s="25">
        <f t="shared" si="46"/>
        <v>0.92892725376414231</v>
      </c>
      <c r="AE29" s="27">
        <f>S29</f>
        <v>10.179750000000002</v>
      </c>
      <c r="AF29" s="27">
        <f t="shared" si="51"/>
        <v>277.38374238470942</v>
      </c>
      <c r="AG29" s="27">
        <f t="shared" si="47"/>
        <v>290.85008088323445</v>
      </c>
      <c r="AH29" s="25">
        <f t="shared" si="42"/>
        <v>261.49682954107448</v>
      </c>
      <c r="AI29" s="33">
        <f>(AH29-Y29)/$F$2+Y29</f>
        <v>264.6826599419818</v>
      </c>
      <c r="AJ29" s="35">
        <f t="shared" si="43"/>
        <v>4.9125533140326887</v>
      </c>
    </row>
    <row r="47" spans="6:20">
      <c r="F47" s="40">
        <f>SLOPE(AJ9:AJ13,B9:B13)</f>
        <v>2.0015975781860304E-2</v>
      </c>
      <c r="M47" s="40">
        <f>SLOPE(AJ17:AJ21,C17:C21)</f>
        <v>0.11434956165980439</v>
      </c>
      <c r="T47" s="40">
        <f>SLOPE(AJ25:AJ29,A25:A29)</f>
        <v>0.40713412891528505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 Solve</vt:lpstr>
      <vt:lpstr>Parametric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Werle</dc:creator>
  <cp:lastModifiedBy>Jakob Werle</cp:lastModifiedBy>
  <dcterms:created xsi:type="dcterms:W3CDTF">2023-12-13T04:08:16Z</dcterms:created>
  <dcterms:modified xsi:type="dcterms:W3CDTF">2023-12-14T08:08:20Z</dcterms:modified>
</cp:coreProperties>
</file>