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.sharepoint.com/sites/TUFL23-FluidLab-Sec.3.Gr4/Shared Documents/Head Loss in Pipe/"/>
    </mc:Choice>
  </mc:AlternateContent>
  <xr:revisionPtr revIDLastSave="1117" documentId="8_{8442B741-800B-4276-889D-78A921B9AA1B}" xr6:coauthVersionLast="47" xr6:coauthVersionMax="47" xr10:uidLastSave="{5CD3FD6D-B20D-41B2-8927-E6C40F13F47E}"/>
  <bookViews>
    <workbookView xWindow="-78" yWindow="0" windowWidth="11676" windowHeight="1231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1" l="1"/>
  <c r="A103" i="1"/>
  <c r="A104" i="1"/>
  <c r="A105" i="1"/>
  <c r="A106" i="1"/>
  <c r="A107" i="1"/>
  <c r="A111" i="1"/>
  <c r="A112" i="1"/>
  <c r="A113" i="1"/>
  <c r="A114" i="1"/>
  <c r="A115" i="1"/>
  <c r="A119" i="1"/>
  <c r="A120" i="1"/>
  <c r="A121" i="1"/>
  <c r="A122" i="1"/>
  <c r="A123" i="1"/>
  <c r="A87" i="1"/>
  <c r="A88" i="1"/>
  <c r="A89" i="1"/>
  <c r="A90" i="1"/>
  <c r="A91" i="1"/>
  <c r="A96" i="1"/>
  <c r="A97" i="1"/>
  <c r="A98" i="1"/>
  <c r="A99" i="1"/>
  <c r="D119" i="1" l="1"/>
  <c r="D120" i="1"/>
  <c r="D121" i="1"/>
  <c r="D122" i="1"/>
  <c r="D123" i="1"/>
  <c r="C123" i="1"/>
  <c r="C122" i="1"/>
  <c r="C121" i="1"/>
  <c r="C120" i="1"/>
  <c r="C119" i="1"/>
  <c r="B123" i="1"/>
  <c r="B122" i="1"/>
  <c r="B121" i="1"/>
  <c r="B120" i="1"/>
  <c r="B119" i="1"/>
  <c r="D111" i="1"/>
  <c r="D112" i="1"/>
  <c r="D113" i="1"/>
  <c r="D114" i="1"/>
  <c r="D115" i="1"/>
  <c r="C115" i="1"/>
  <c r="C114" i="1"/>
  <c r="C113" i="1"/>
  <c r="C112" i="1"/>
  <c r="C111" i="1"/>
  <c r="B115" i="1"/>
  <c r="B114" i="1"/>
  <c r="B113" i="1"/>
  <c r="B112" i="1"/>
  <c r="B111" i="1"/>
  <c r="D103" i="1"/>
  <c r="D104" i="1"/>
  <c r="D105" i="1"/>
  <c r="D106" i="1"/>
  <c r="D107" i="1"/>
  <c r="C107" i="1"/>
  <c r="C106" i="1"/>
  <c r="C105" i="1"/>
  <c r="C104" i="1"/>
  <c r="C103" i="1"/>
  <c r="B107" i="1"/>
  <c r="B106" i="1"/>
  <c r="B105" i="1"/>
  <c r="B104" i="1"/>
  <c r="B103" i="1"/>
  <c r="D95" i="1"/>
  <c r="D96" i="1"/>
  <c r="D97" i="1"/>
  <c r="D98" i="1"/>
  <c r="D99" i="1"/>
  <c r="C99" i="1"/>
  <c r="C98" i="1"/>
  <c r="C97" i="1"/>
  <c r="C96" i="1"/>
  <c r="C95" i="1"/>
  <c r="B99" i="1"/>
  <c r="B98" i="1"/>
  <c r="B97" i="1"/>
  <c r="B96" i="1"/>
  <c r="B95" i="1"/>
  <c r="D87" i="1"/>
  <c r="D88" i="1"/>
  <c r="D89" i="1"/>
  <c r="D90" i="1"/>
  <c r="D91" i="1"/>
  <c r="C91" i="1"/>
  <c r="C90" i="1"/>
  <c r="C89" i="1"/>
  <c r="C88" i="1"/>
  <c r="C87" i="1"/>
  <c r="B91" i="1"/>
  <c r="B90" i="1"/>
  <c r="B89" i="1"/>
  <c r="B88" i="1"/>
  <c r="B87" i="1"/>
  <c r="S18" i="1"/>
  <c r="R18" i="1"/>
  <c r="D79" i="1"/>
  <c r="D80" i="1"/>
  <c r="D81" i="1"/>
  <c r="D82" i="1"/>
  <c r="D83" i="1"/>
  <c r="C82" i="1"/>
  <c r="C81" i="1"/>
  <c r="C80" i="1"/>
  <c r="C79" i="1"/>
  <c r="C74" i="1"/>
  <c r="C73" i="1"/>
  <c r="C72" i="1"/>
  <c r="C71" i="1"/>
  <c r="B82" i="1"/>
  <c r="B81" i="1"/>
  <c r="B80" i="1"/>
  <c r="B79" i="1"/>
  <c r="B75" i="1"/>
  <c r="B74" i="1"/>
  <c r="B73" i="1"/>
  <c r="B72" i="1"/>
  <c r="B71" i="1"/>
  <c r="D75" i="1"/>
  <c r="D74" i="1"/>
  <c r="D73" i="1"/>
  <c r="D72" i="1"/>
  <c r="D71" i="1"/>
  <c r="X64" i="1"/>
  <c r="W64" i="1"/>
  <c r="V64" i="1"/>
  <c r="U64" i="1"/>
  <c r="T64" i="1"/>
  <c r="S64" i="1"/>
  <c r="R64" i="1"/>
  <c r="Q64" i="1"/>
  <c r="C64" i="1"/>
  <c r="X63" i="1"/>
  <c r="W63" i="1"/>
  <c r="V63" i="1"/>
  <c r="U63" i="1"/>
  <c r="T63" i="1"/>
  <c r="S63" i="1"/>
  <c r="R63" i="1"/>
  <c r="Q63" i="1"/>
  <c r="C63" i="1"/>
  <c r="X62" i="1"/>
  <c r="W62" i="1"/>
  <c r="V62" i="1"/>
  <c r="U62" i="1"/>
  <c r="T62" i="1"/>
  <c r="S62" i="1"/>
  <c r="R62" i="1"/>
  <c r="Q62" i="1"/>
  <c r="C62" i="1"/>
  <c r="X61" i="1"/>
  <c r="W61" i="1"/>
  <c r="V61" i="1"/>
  <c r="U61" i="1"/>
  <c r="T61" i="1"/>
  <c r="S61" i="1"/>
  <c r="R61" i="1"/>
  <c r="Q61" i="1"/>
  <c r="C61" i="1"/>
  <c r="W60" i="1"/>
  <c r="W59" i="1"/>
  <c r="X58" i="1"/>
  <c r="C59" i="1" s="1"/>
  <c r="Q59" i="1" s="1"/>
  <c r="W58" i="1"/>
  <c r="V58" i="1"/>
  <c r="T58" i="1"/>
  <c r="S58" i="1"/>
  <c r="R58" i="1"/>
  <c r="Q58" i="1"/>
  <c r="X54" i="1"/>
  <c r="W54" i="1"/>
  <c r="V54" i="1"/>
  <c r="U54" i="1"/>
  <c r="T54" i="1"/>
  <c r="S54" i="1"/>
  <c r="R54" i="1"/>
  <c r="Q54" i="1"/>
  <c r="C54" i="1"/>
  <c r="X53" i="1"/>
  <c r="W53" i="1"/>
  <c r="V53" i="1"/>
  <c r="U53" i="1"/>
  <c r="T53" i="1"/>
  <c r="S53" i="1"/>
  <c r="R53" i="1"/>
  <c r="Q53" i="1"/>
  <c r="C53" i="1"/>
  <c r="X52" i="1"/>
  <c r="W52" i="1"/>
  <c r="V52" i="1"/>
  <c r="U52" i="1"/>
  <c r="T52" i="1"/>
  <c r="S52" i="1"/>
  <c r="R52" i="1"/>
  <c r="Q52" i="1"/>
  <c r="C52" i="1"/>
  <c r="X51" i="1"/>
  <c r="W51" i="1"/>
  <c r="V51" i="1"/>
  <c r="U51" i="1"/>
  <c r="T51" i="1"/>
  <c r="S51" i="1"/>
  <c r="R51" i="1"/>
  <c r="Q51" i="1"/>
  <c r="C51" i="1"/>
  <c r="X50" i="1"/>
  <c r="W50" i="1"/>
  <c r="V50" i="1"/>
  <c r="U50" i="1"/>
  <c r="T50" i="1"/>
  <c r="S50" i="1"/>
  <c r="R50" i="1"/>
  <c r="Q50" i="1"/>
  <c r="C50" i="1"/>
  <c r="X49" i="1"/>
  <c r="W49" i="1"/>
  <c r="V49" i="1"/>
  <c r="T49" i="1"/>
  <c r="S49" i="1"/>
  <c r="R49" i="1"/>
  <c r="Q49" i="1"/>
  <c r="C49" i="1"/>
  <c r="X48" i="1"/>
  <c r="W48" i="1"/>
  <c r="V48" i="1"/>
  <c r="T48" i="1"/>
  <c r="S48" i="1"/>
  <c r="X44" i="1"/>
  <c r="W44" i="1"/>
  <c r="V44" i="1"/>
  <c r="U44" i="1"/>
  <c r="T44" i="1"/>
  <c r="S44" i="1"/>
  <c r="R44" i="1"/>
  <c r="Q44" i="1"/>
  <c r="C44" i="1"/>
  <c r="X43" i="1"/>
  <c r="W43" i="1"/>
  <c r="V43" i="1"/>
  <c r="U43" i="1"/>
  <c r="T43" i="1"/>
  <c r="S43" i="1"/>
  <c r="R43" i="1"/>
  <c r="Q43" i="1"/>
  <c r="C43" i="1"/>
  <c r="X42" i="1"/>
  <c r="W42" i="1"/>
  <c r="V42" i="1"/>
  <c r="U42" i="1"/>
  <c r="T42" i="1"/>
  <c r="S42" i="1"/>
  <c r="R42" i="1"/>
  <c r="Q42" i="1"/>
  <c r="C42" i="1"/>
  <c r="X41" i="1"/>
  <c r="W41" i="1"/>
  <c r="V41" i="1"/>
  <c r="U41" i="1"/>
  <c r="T41" i="1"/>
  <c r="S41" i="1"/>
  <c r="R41" i="1"/>
  <c r="Q41" i="1"/>
  <c r="C41" i="1"/>
  <c r="X40" i="1"/>
  <c r="W40" i="1"/>
  <c r="V40" i="1"/>
  <c r="U40" i="1"/>
  <c r="T40" i="1"/>
  <c r="S40" i="1"/>
  <c r="R40" i="1"/>
  <c r="Q40" i="1"/>
  <c r="C40" i="1"/>
  <c r="X39" i="1"/>
  <c r="W39" i="1"/>
  <c r="V39" i="1"/>
  <c r="T39" i="1"/>
  <c r="S39" i="1"/>
  <c r="R39" i="1"/>
  <c r="Q39" i="1"/>
  <c r="C39" i="1"/>
  <c r="X38" i="1"/>
  <c r="W38" i="1"/>
  <c r="V38" i="1"/>
  <c r="T38" i="1"/>
  <c r="S38" i="1"/>
  <c r="X34" i="1"/>
  <c r="V34" i="1"/>
  <c r="U34" i="1"/>
  <c r="T34" i="1"/>
  <c r="S34" i="1"/>
  <c r="R34" i="1"/>
  <c r="Q34" i="1"/>
  <c r="C34" i="1"/>
  <c r="X33" i="1"/>
  <c r="V33" i="1"/>
  <c r="U33" i="1"/>
  <c r="T33" i="1"/>
  <c r="S33" i="1"/>
  <c r="R33" i="1"/>
  <c r="Q33" i="1"/>
  <c r="C33" i="1"/>
  <c r="X32" i="1"/>
  <c r="V32" i="1"/>
  <c r="U32" i="1"/>
  <c r="T32" i="1"/>
  <c r="S32" i="1"/>
  <c r="R32" i="1"/>
  <c r="Q32" i="1"/>
  <c r="C32" i="1"/>
  <c r="X31" i="1"/>
  <c r="V31" i="1"/>
  <c r="U31" i="1"/>
  <c r="T31" i="1"/>
  <c r="S31" i="1"/>
  <c r="R31" i="1"/>
  <c r="Q31" i="1"/>
  <c r="C31" i="1"/>
  <c r="X30" i="1"/>
  <c r="V30" i="1"/>
  <c r="T30" i="1"/>
  <c r="U30" i="1"/>
  <c r="R48" i="1"/>
  <c r="Q48" i="1"/>
  <c r="R38" i="1"/>
  <c r="Q38" i="1"/>
  <c r="S30" i="1"/>
  <c r="R30" i="1"/>
  <c r="Q30" i="1"/>
  <c r="C30" i="1"/>
  <c r="X29" i="1"/>
  <c r="W30" i="1"/>
  <c r="W31" i="1"/>
  <c r="W32" i="1"/>
  <c r="W33" i="1"/>
  <c r="W34" i="1"/>
  <c r="W35" i="1"/>
  <c r="W29" i="1"/>
  <c r="V29" i="1"/>
  <c r="T29" i="1"/>
  <c r="C29" i="1"/>
  <c r="Q29" i="1"/>
  <c r="R29" i="1" s="1"/>
  <c r="S29" i="1" s="1"/>
  <c r="X28" i="1"/>
  <c r="W28" i="1"/>
  <c r="V28" i="1"/>
  <c r="T28" i="1"/>
  <c r="S28" i="1"/>
  <c r="R28" i="1"/>
  <c r="Q28" i="1"/>
  <c r="W24" i="1"/>
  <c r="W23" i="1"/>
  <c r="W22" i="1"/>
  <c r="P4" i="1"/>
  <c r="P6" i="1"/>
  <c r="L6" i="1"/>
  <c r="L3" i="1"/>
  <c r="C58" i="1"/>
  <c r="C48" i="1"/>
  <c r="C38" i="1"/>
  <c r="C28" i="1"/>
  <c r="C18" i="1"/>
  <c r="Q18" i="1" s="1"/>
  <c r="P59" i="1"/>
  <c r="P60" i="1"/>
  <c r="P61" i="1"/>
  <c r="P62" i="1"/>
  <c r="P63" i="1"/>
  <c r="P64" i="1"/>
  <c r="P65" i="1"/>
  <c r="P49" i="1"/>
  <c r="P50" i="1"/>
  <c r="P51" i="1"/>
  <c r="P52" i="1"/>
  <c r="P53" i="1"/>
  <c r="P54" i="1"/>
  <c r="P55" i="1"/>
  <c r="P58" i="1"/>
  <c r="P48" i="1"/>
  <c r="P39" i="1"/>
  <c r="P40" i="1"/>
  <c r="P41" i="1"/>
  <c r="P42" i="1"/>
  <c r="P43" i="1"/>
  <c r="P44" i="1"/>
  <c r="P45" i="1"/>
  <c r="P38" i="1"/>
  <c r="P29" i="1"/>
  <c r="P30" i="1"/>
  <c r="P31" i="1"/>
  <c r="P32" i="1"/>
  <c r="P33" i="1"/>
  <c r="P34" i="1"/>
  <c r="P35" i="1"/>
  <c r="P28" i="1"/>
  <c r="P19" i="1"/>
  <c r="W19" i="1" s="1"/>
  <c r="P20" i="1"/>
  <c r="W20" i="1" s="1"/>
  <c r="P21" i="1"/>
  <c r="W21" i="1" s="1"/>
  <c r="P22" i="1"/>
  <c r="P23" i="1"/>
  <c r="P24" i="1"/>
  <c r="P25" i="1"/>
  <c r="P18" i="1"/>
  <c r="W18" i="1" s="1"/>
  <c r="I4" i="1"/>
  <c r="I2" i="1"/>
  <c r="T18" i="1" l="1"/>
  <c r="V18" i="1" s="1"/>
  <c r="C75" i="1" s="1"/>
  <c r="R59" i="1"/>
  <c r="S59" i="1" s="1"/>
  <c r="T59" i="1" s="1"/>
  <c r="V59" i="1" s="1"/>
  <c r="X59" i="1" s="1"/>
  <c r="C60" i="1" s="1"/>
  <c r="Q60" i="1" s="1"/>
  <c r="X18" i="1" l="1"/>
  <c r="C19" i="1" s="1"/>
  <c r="U60" i="1"/>
  <c r="R60" i="1"/>
  <c r="S60" i="1" s="1"/>
  <c r="T60" i="1" s="1"/>
  <c r="V60" i="1" s="1"/>
  <c r="X60" i="1" s="1"/>
  <c r="Q19" i="1" l="1"/>
  <c r="R19" i="1" s="1"/>
  <c r="S19" i="1" s="1"/>
  <c r="T19" i="1" s="1"/>
  <c r="V19" i="1" s="1"/>
  <c r="B83" i="1"/>
  <c r="X19" i="1" l="1"/>
  <c r="C20" i="1" s="1"/>
  <c r="Q20" i="1" s="1"/>
  <c r="C83" i="1"/>
  <c r="U20" i="1" l="1"/>
  <c r="R20" i="1"/>
  <c r="S20" i="1" s="1"/>
  <c r="T20" i="1" s="1"/>
  <c r="V20" i="1" s="1"/>
  <c r="X20" i="1" s="1"/>
  <c r="C21" i="1" s="1"/>
  <c r="Q21" i="1" s="1"/>
  <c r="U21" i="1" l="1"/>
  <c r="R21" i="1"/>
  <c r="S21" i="1" s="1"/>
  <c r="T21" i="1" s="1"/>
  <c r="V21" i="1" s="1"/>
  <c r="X21" i="1" s="1"/>
  <c r="C22" i="1" s="1"/>
  <c r="Q22" i="1" s="1"/>
  <c r="R22" i="1" s="1"/>
  <c r="S22" i="1" s="1"/>
  <c r="T22" i="1" s="1"/>
  <c r="U22" i="1" l="1"/>
  <c r="V22" i="1" s="1"/>
  <c r="X22" i="1" s="1"/>
  <c r="C23" i="1" s="1"/>
  <c r="Q23" i="1" s="1"/>
  <c r="U23" i="1" l="1"/>
  <c r="R23" i="1"/>
  <c r="S23" i="1" s="1"/>
  <c r="T23" i="1" s="1"/>
  <c r="V23" i="1" s="1"/>
  <c r="X23" i="1" s="1"/>
  <c r="C24" i="1" s="1"/>
  <c r="Q24" i="1" s="1"/>
  <c r="R24" i="1" s="1"/>
  <c r="S24" i="1" s="1"/>
  <c r="T24" i="1" s="1"/>
  <c r="U24" i="1" l="1"/>
  <c r="V24" i="1" s="1"/>
  <c r="X24" i="1" s="1"/>
</calcChain>
</file>

<file path=xl/sharedStrings.xml><?xml version="1.0" encoding="utf-8"?>
<sst xmlns="http://schemas.openxmlformats.org/spreadsheetml/2006/main" count="213" uniqueCount="68">
  <si>
    <t>Ball Valve</t>
  </si>
  <si>
    <t>Water density</t>
  </si>
  <si>
    <t>roughness of rough pipe</t>
  </si>
  <si>
    <t>eplison =</t>
  </si>
  <si>
    <t>mm</t>
  </si>
  <si>
    <t>Area from 1in to 0.85in</t>
  </si>
  <si>
    <t>KL=</t>
  </si>
  <si>
    <t>Area of 1 in Diameter in meters</t>
  </si>
  <si>
    <t>Rho =</t>
  </si>
  <si>
    <t>kg/m^3</t>
  </si>
  <si>
    <t>90 Degree Bend</t>
  </si>
  <si>
    <t>KL =</t>
  </si>
  <si>
    <t>Ball</t>
  </si>
  <si>
    <t>A =</t>
  </si>
  <si>
    <t>m</t>
  </si>
  <si>
    <t>Dynamic Viscosity</t>
  </si>
  <si>
    <t>Backflow valve</t>
  </si>
  <si>
    <t>Area from 0.85in to 1in</t>
  </si>
  <si>
    <t>u =</t>
  </si>
  <si>
    <t>N*s/m^2</t>
  </si>
  <si>
    <t>Globe Valve</t>
  </si>
  <si>
    <t>Area of 0.85 in Diameter in meters</t>
  </si>
  <si>
    <t>specific weight of water</t>
  </si>
  <si>
    <t>Length l (in)</t>
  </si>
  <si>
    <t>Flow Rate: 14.60 gal/sec</t>
  </si>
  <si>
    <t>flow rate 1 (m^3/s)</t>
  </si>
  <si>
    <t>flow rate 2</t>
  </si>
  <si>
    <t>flow rate 3</t>
  </si>
  <si>
    <t>flow rate 4</t>
  </si>
  <si>
    <t>flow rate 5</t>
  </si>
  <si>
    <t>St. Dev.</t>
  </si>
  <si>
    <t>Pressure 1</t>
  </si>
  <si>
    <t>Pressure 2</t>
  </si>
  <si>
    <t>Pressure 3</t>
  </si>
  <si>
    <t>Pressure 4</t>
  </si>
  <si>
    <t>Pressure 5</t>
  </si>
  <si>
    <t>Average Pressure</t>
  </si>
  <si>
    <t>Reynolds Number Re</t>
  </si>
  <si>
    <t>friction coefficient f</t>
  </si>
  <si>
    <t>Major Head loss hL</t>
  </si>
  <si>
    <t>Minor Head loss hL</t>
  </si>
  <si>
    <t>smooth straight pipe</t>
  </si>
  <si>
    <t>rough straight pipe</t>
  </si>
  <si>
    <t>180 Degree Bend</t>
  </si>
  <si>
    <t>Backflow Prevention Valve</t>
  </si>
  <si>
    <t>Digital Read</t>
  </si>
  <si>
    <t>Flow Rate: 8.59 gal/sec</t>
  </si>
  <si>
    <t>flow rate 1</t>
  </si>
  <si>
    <t>Flow Rate: 1.89 gal/sec</t>
  </si>
  <si>
    <t>Flow Rate: 1.16 gal/sec</t>
  </si>
  <si>
    <t>Flow Rate: 4.19 gal/sec</t>
  </si>
  <si>
    <t>Pressure 1 (kPa)</t>
  </si>
  <si>
    <t>Pressure 2 (kPa)</t>
  </si>
  <si>
    <t>Pressure 3 (kPa)</t>
  </si>
  <si>
    <t>Pressure 4 (kPa)</t>
  </si>
  <si>
    <t>Pressure 5 (kPa)</t>
  </si>
  <si>
    <t>Total Theoretical Head loss (m)</t>
  </si>
  <si>
    <t>actual head loss (m)</t>
  </si>
  <si>
    <t>Velocity 1 (m/s)</t>
  </si>
  <si>
    <t>Velocity 2 (m/s)</t>
  </si>
  <si>
    <t>x (flowrate)</t>
  </si>
  <si>
    <t>y (theoretical headloss)</t>
  </si>
  <si>
    <t>y (actual)</t>
  </si>
  <si>
    <t>Smooth Straight Pipe</t>
  </si>
  <si>
    <t>Rough Straight Pipe</t>
  </si>
  <si>
    <t>Theory</t>
  </si>
  <si>
    <t>Experiment</t>
  </si>
  <si>
    <t>Backflow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</si>
</sst>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1" fillId="0" borderId="2" xfId="0" applyFont="1" applyBorder="1"/>
    <xf numFmtId="0" fontId="1" fillId="0" borderId="0" xfId="0" applyFont="1"/>
    <xf numFmtId="0" fontId="0" fillId="5" borderId="0" xfId="0" applyFill="1"/>
    <xf numFmtId="0" fontId="0" fillId="0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&amp; Actual Headloss vs Flowrate for Smooth Straight Pipe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Theory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4.391077688E-3</c:v>
                </c:pt>
                <c:pt idx="1">
                  <c:v>7.1544283019999997E-3</c:v>
                </c:pt>
                <c:pt idx="2">
                  <c:v>1.5860875442000003E-2</c:v>
                </c:pt>
                <c:pt idx="3">
                  <c:v>3.2516687362000002E-2</c:v>
                </c:pt>
                <c:pt idx="4">
                  <c:v>5.526701228E-2</c:v>
                </c:pt>
              </c:numCache>
            </c:numRef>
          </c:xVal>
          <c:yVal>
            <c:numRef>
              <c:f>Sheet1!$C$71:$C$75</c:f>
              <c:numCache>
                <c:formatCode>General</c:formatCode>
                <c:ptCount val="5"/>
                <c:pt idx="0">
                  <c:v>7.4265450274612265E-3</c:v>
                </c:pt>
                <c:pt idx="1">
                  <c:v>1.9490555459584235E-2</c:v>
                </c:pt>
                <c:pt idx="2">
                  <c:v>9.4746593924792288E-2</c:v>
                </c:pt>
                <c:pt idx="3">
                  <c:v>0.39625349202742788</c:v>
                </c:pt>
                <c:pt idx="4">
                  <c:v>1.1424155823696833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A-44F5-A601-32CCBD5307A5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Experiment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4.391077688E-3</c:v>
                </c:pt>
                <c:pt idx="1">
                  <c:v>7.1544283019999997E-3</c:v>
                </c:pt>
                <c:pt idx="2">
                  <c:v>1.5860875442000003E-2</c:v>
                </c:pt>
                <c:pt idx="3">
                  <c:v>3.2516687362000002E-2</c:v>
                </c:pt>
                <c:pt idx="4">
                  <c:v>5.526701228E-2</c:v>
                </c:pt>
              </c:numCache>
            </c:numRef>
          </c:xVal>
          <c:yVal>
            <c:numRef>
              <c:f>Sheet1!$D$71:$D$75</c:f>
              <c:numCache>
                <c:formatCode>General</c:formatCode>
                <c:ptCount val="5"/>
                <c:pt idx="0">
                  <c:v>5.4366292898402994E-3</c:v>
                </c:pt>
                <c:pt idx="1">
                  <c:v>7.4753652735304104E-3</c:v>
                </c:pt>
                <c:pt idx="2">
                  <c:v>1.7669045191980974E-2</c:v>
                </c:pt>
                <c:pt idx="3">
                  <c:v>5.3346924906557937E-2</c:v>
                </c:pt>
                <c:pt idx="4">
                  <c:v>0.1291199456337071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A-44F5-A601-32CCBD53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33471"/>
        <c:axId val="1323521967"/>
      </c:scatterChart>
      <c:valAx>
        <c:axId val="7198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(gal/s)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1967"/>
        <c:crosses val="autoZero"/>
        <c:crossBetween val="midCat"/>
      </c:valAx>
      <c:valAx>
        <c:axId val="13235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&amp; Actual Headloss vs Flowrate for Rough Straight Pipe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Theory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Sheet1!$B$79:$B$83</c:f>
              <c:numCache>
                <c:formatCode>General</c:formatCode>
                <c:ptCount val="5"/>
                <c:pt idx="0">
                  <c:v>4.3836931044867944E-3</c:v>
                </c:pt>
                <c:pt idx="1">
                  <c:v>7.1449285475136603E-3</c:v>
                </c:pt>
                <c:pt idx="2">
                  <c:v>1.5843013534841389E-2</c:v>
                </c:pt>
                <c:pt idx="3">
                  <c:v>3.2481842656152296E-2</c:v>
                </c:pt>
                <c:pt idx="4">
                  <c:v>5.5209032840472801E-2</c:v>
                </c:pt>
              </c:numCache>
            </c:numRef>
          </c:xVal>
          <c:yVal>
            <c:numRef>
              <c:f>Sheet1!$C$79:$C$83</c:f>
              <c:numCache>
                <c:formatCode>General</c:formatCode>
                <c:ptCount val="5"/>
                <c:pt idx="0">
                  <c:v>7.401939647971395E-3</c:v>
                </c:pt>
                <c:pt idx="1">
                  <c:v>1.9439323303911571E-2</c:v>
                </c:pt>
                <c:pt idx="2">
                  <c:v>9.4534321765508952E-2</c:v>
                </c:pt>
                <c:pt idx="3">
                  <c:v>0.39540674315934149</c:v>
                </c:pt>
                <c:pt idx="4">
                  <c:v>1.1400233239294506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D-4D7B-A0B1-502D5E640B1F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Experiment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Sheet1!$B$79:$B$83</c:f>
              <c:numCache>
                <c:formatCode>General</c:formatCode>
                <c:ptCount val="5"/>
                <c:pt idx="0">
                  <c:v>4.3836931044867944E-3</c:v>
                </c:pt>
                <c:pt idx="1">
                  <c:v>7.1449285475136603E-3</c:v>
                </c:pt>
                <c:pt idx="2">
                  <c:v>1.5843013534841389E-2</c:v>
                </c:pt>
                <c:pt idx="3">
                  <c:v>3.2481842656152296E-2</c:v>
                </c:pt>
                <c:pt idx="4">
                  <c:v>5.5209032840472801E-2</c:v>
                </c:pt>
              </c:numCache>
            </c:numRef>
          </c:xVal>
          <c:yVal>
            <c:numRef>
              <c:f>Sheet1!$D$79:$D$83</c:f>
              <c:numCache>
                <c:formatCode>General</c:formatCode>
                <c:ptCount val="5"/>
                <c:pt idx="0">
                  <c:v>4.7230716955487598E-2</c:v>
                </c:pt>
                <c:pt idx="1">
                  <c:v>5.5385660890248052E-2</c:v>
                </c:pt>
                <c:pt idx="2">
                  <c:v>8.1889228678219503E-2</c:v>
                </c:pt>
                <c:pt idx="3">
                  <c:v>0.1783893985728848</c:v>
                </c:pt>
                <c:pt idx="4">
                  <c:v>0.40163098878695208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D-4D7B-A0B1-502D5E640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33471"/>
        <c:axId val="1323521967"/>
      </c:scatterChart>
      <c:valAx>
        <c:axId val="7198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(gal/s)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1967"/>
        <c:crosses val="autoZero"/>
        <c:crossBetween val="midCat"/>
      </c:valAx>
      <c:valAx>
        <c:axId val="13235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&amp; Actual Headloss vs Flowrate for 90 Degree Bend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Theory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Sheet1!$B$87:$B$91</c:f>
              <c:numCache>
                <c:formatCode>General</c:formatCode>
                <c:ptCount val="5"/>
                <c:pt idx="0">
                  <c:v>4.3521895789251312E-3</c:v>
                </c:pt>
                <c:pt idx="1">
                  <c:v>7.1185022532565118E-3</c:v>
                </c:pt>
                <c:pt idx="2">
                  <c:v>1.5814940630611764E-2</c:v>
                </c:pt>
                <c:pt idx="3">
                  <c:v>3.2437318227188552E-2</c:v>
                </c:pt>
                <c:pt idx="4">
                  <c:v>5.5138654763204502E-2</c:v>
                </c:pt>
              </c:numCache>
            </c:numRef>
          </c:xVal>
          <c:yVal>
            <c:numRef>
              <c:f>Sheet1!$C$87:$C$91</c:f>
              <c:numCache>
                <c:formatCode>General</c:formatCode>
                <c:ptCount val="5"/>
                <c:pt idx="0">
                  <c:v>1.9928114824495809E-3</c:v>
                </c:pt>
                <c:pt idx="1">
                  <c:v>5.2779082325035993E-3</c:v>
                </c:pt>
                <c:pt idx="2">
                  <c:v>2.5803026237386291E-2</c:v>
                </c:pt>
                <c:pt idx="3">
                  <c:v>0.10808418929766077</c:v>
                </c:pt>
                <c:pt idx="4">
                  <c:v>0.31176867875152248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9-419E-AEE6-2A68BC6E9EBD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Experiment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Sheet1!$B$87:$B$91</c:f>
              <c:numCache>
                <c:formatCode>General</c:formatCode>
                <c:ptCount val="5"/>
                <c:pt idx="0">
                  <c:v>4.3521895789251312E-3</c:v>
                </c:pt>
                <c:pt idx="1">
                  <c:v>7.1185022532565118E-3</c:v>
                </c:pt>
                <c:pt idx="2">
                  <c:v>1.5814940630611764E-2</c:v>
                </c:pt>
                <c:pt idx="3">
                  <c:v>3.2437318227188552E-2</c:v>
                </c:pt>
                <c:pt idx="4">
                  <c:v>5.5138654763204502E-2</c:v>
                </c:pt>
              </c:numCache>
            </c:numRef>
          </c:xVal>
          <c:yVal>
            <c:numRef>
              <c:f>Sheet1!$D$87:$D$91</c:f>
              <c:numCache>
                <c:formatCode>General</c:formatCode>
                <c:ptCount val="5"/>
                <c:pt idx="0">
                  <c:v>1.5290519877675841E-2</c:v>
                </c:pt>
                <c:pt idx="1">
                  <c:v>1.6989466530750934E-2</c:v>
                </c:pt>
                <c:pt idx="2">
                  <c:v>2.4804621134896364E-2</c:v>
                </c:pt>
                <c:pt idx="3">
                  <c:v>5.8103975535168197E-2</c:v>
                </c:pt>
                <c:pt idx="4">
                  <c:v>0.1314984709480122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9-419E-AEE6-2A68BC6E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33471"/>
        <c:axId val="1323521967"/>
      </c:scatterChart>
      <c:valAx>
        <c:axId val="7198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(gal/s)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1967"/>
        <c:crosses val="autoZero"/>
        <c:crossBetween val="midCat"/>
      </c:valAx>
      <c:valAx>
        <c:axId val="13235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&amp; Actual Headloss vs Flowrate for Ball Valve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Theory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Sheet1!$B$95:$B$99</c:f>
              <c:numCache>
                <c:formatCode>General</c:formatCode>
                <c:ptCount val="5"/>
                <c:pt idx="0">
                  <c:v>4.342175679913525E-3</c:v>
                </c:pt>
                <c:pt idx="1">
                  <c:v>7.1106190164987124E-3</c:v>
                </c:pt>
                <c:pt idx="2">
                  <c:v>1.5806878628108045E-2</c:v>
                </c:pt>
                <c:pt idx="3">
                  <c:v>3.2424411230462087E-2</c:v>
                </c:pt>
                <c:pt idx="4">
                  <c:v>5.5118402536409844E-2</c:v>
                </c:pt>
              </c:numCache>
            </c:numRef>
          </c:xVal>
          <c:yVal>
            <c:numRef>
              <c:f>Sheet1!$C$95:$C$99</c:f>
              <c:numCache>
                <c:formatCode>General</c:formatCode>
                <c:ptCount val="5"/>
                <c:pt idx="0">
                  <c:v>1.7600494732722353E-3</c:v>
                </c:pt>
                <c:pt idx="1">
                  <c:v>4.6663992924473006E-3</c:v>
                </c:pt>
                <c:pt idx="2">
                  <c:v>2.2812189419080735E-2</c:v>
                </c:pt>
                <c:pt idx="3">
                  <c:v>9.5523831891412142E-2</c:v>
                </c:pt>
                <c:pt idx="4">
                  <c:v>0.2754926158204743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1-4783-8A06-2DABEE811D9C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Experiment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Sheet1!$B$95:$B$99</c:f>
              <c:numCache>
                <c:formatCode>General</c:formatCode>
                <c:ptCount val="5"/>
                <c:pt idx="0">
                  <c:v>4.342175679913525E-3</c:v>
                </c:pt>
                <c:pt idx="1">
                  <c:v>7.1106190164987124E-3</c:v>
                </c:pt>
                <c:pt idx="2">
                  <c:v>1.5806878628108045E-2</c:v>
                </c:pt>
                <c:pt idx="3">
                  <c:v>3.2424411230462087E-2</c:v>
                </c:pt>
                <c:pt idx="4">
                  <c:v>5.5118402536409844E-2</c:v>
                </c:pt>
              </c:numCache>
            </c:numRef>
          </c:xVal>
          <c:yVal>
            <c:numRef>
              <c:f>Sheet1!$D$95:$D$99</c:f>
              <c:numCache>
                <c:formatCode>General</c:formatCode>
                <c:ptCount val="5"/>
                <c:pt idx="0">
                  <c:v>7.1355759429153924E-3</c:v>
                </c:pt>
                <c:pt idx="1">
                  <c:v>7.1355759429153924E-3</c:v>
                </c:pt>
                <c:pt idx="2">
                  <c:v>1.2572205232755693E-2</c:v>
                </c:pt>
                <c:pt idx="3">
                  <c:v>3.3978933061501869E-2</c:v>
                </c:pt>
                <c:pt idx="4">
                  <c:v>7.2375127420998983E-2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1-4783-8A06-2DABEE81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33471"/>
        <c:axId val="1323521967"/>
      </c:scatterChart>
      <c:valAx>
        <c:axId val="7198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(gal/s)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1967"/>
        <c:crosses val="autoZero"/>
        <c:crossBetween val="midCat"/>
      </c:valAx>
      <c:valAx>
        <c:axId val="13235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&amp; Actual Headloss vs Flowrate for Globe Valve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Theory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Sheet1!$B$103:$B$107</c:f>
              <c:numCache>
                <c:formatCode>General</c:formatCode>
                <c:ptCount val="5"/>
                <c:pt idx="0">
                  <c:v>4.3370125742761001E-3</c:v>
                </c:pt>
                <c:pt idx="1">
                  <c:v>7.1064372608838416E-3</c:v>
                </c:pt>
                <c:pt idx="2">
                  <c:v>1.5801239307767088E-2</c:v>
                </c:pt>
                <c:pt idx="3">
                  <c:v>3.2414349840881471E-2</c:v>
                </c:pt>
                <c:pt idx="4">
                  <c:v>5.5102503755878961E-2</c:v>
                </c:pt>
              </c:numCache>
            </c:numRef>
          </c:xVal>
          <c:yVal>
            <c:numRef>
              <c:f>Sheet1!$C$103:$C$107</c:f>
              <c:numCache>
                <c:formatCode>General</c:formatCode>
                <c:ptCount val="5"/>
                <c:pt idx="0">
                  <c:v>4.3808594658786811E-3</c:v>
                </c:pt>
                <c:pt idx="1">
                  <c:v>1.1708560006648876E-2</c:v>
                </c:pt>
                <c:pt idx="2">
                  <c:v>5.7639305639976435E-2</c:v>
                </c:pt>
                <c:pt idx="3">
                  <c:v>0.24209097166060406</c:v>
                </c:pt>
                <c:pt idx="4">
                  <c:v>0.69905478042549396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8-4AA5-BC78-320EE3EED611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Experiment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Sheet1!$B$103:$B$107</c:f>
              <c:numCache>
                <c:formatCode>General</c:formatCode>
                <c:ptCount val="5"/>
                <c:pt idx="0">
                  <c:v>4.3370125742761001E-3</c:v>
                </c:pt>
                <c:pt idx="1">
                  <c:v>7.1064372608838416E-3</c:v>
                </c:pt>
                <c:pt idx="2">
                  <c:v>1.5801239307767088E-2</c:v>
                </c:pt>
                <c:pt idx="3">
                  <c:v>3.2414349840881471E-2</c:v>
                </c:pt>
                <c:pt idx="4">
                  <c:v>5.5102503755878961E-2</c:v>
                </c:pt>
              </c:numCache>
            </c:numRef>
          </c:xVal>
          <c:yVal>
            <c:numRef>
              <c:f>Sheet1!$D$103:$D$107</c:f>
              <c:numCache>
                <c:formatCode>General</c:formatCode>
                <c:ptCount val="5"/>
                <c:pt idx="0">
                  <c:v>1.3591573224600749E-2</c:v>
                </c:pt>
                <c:pt idx="1">
                  <c:v>2.3785253143051306E-2</c:v>
                </c:pt>
                <c:pt idx="2">
                  <c:v>9.2762487257900109E-2</c:v>
                </c:pt>
                <c:pt idx="3">
                  <c:v>0.3577981651376147</c:v>
                </c:pt>
                <c:pt idx="4">
                  <c:v>1.0057764186204552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58-4AA5-BC78-320EE3EE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33471"/>
        <c:axId val="1323521967"/>
      </c:scatterChart>
      <c:valAx>
        <c:axId val="7198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(gal/s)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1967"/>
        <c:crosses val="autoZero"/>
        <c:crossBetween val="midCat"/>
      </c:valAx>
      <c:valAx>
        <c:axId val="13235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&amp; Actual Headloss vs Flowrate for 180 Degree Bend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Theory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Sheet1!$B$111:$B$115</c:f>
              <c:numCache>
                <c:formatCode>General</c:formatCode>
                <c:ptCount val="5"/>
                <c:pt idx="0">
                  <c:v>4.3265624041738445E-3</c:v>
                </c:pt>
                <c:pt idx="1">
                  <c:v>7.0938459982290997E-3</c:v>
                </c:pt>
                <c:pt idx="2">
                  <c:v>1.5777246816820894E-2</c:v>
                </c:pt>
                <c:pt idx="3">
                  <c:v>3.2367702173758547E-2</c:v>
                </c:pt>
                <c:pt idx="4">
                  <c:v>5.5024520545098279E-2</c:v>
                </c:pt>
              </c:numCache>
            </c:numRef>
          </c:xVal>
          <c:yVal>
            <c:numRef>
              <c:f>Sheet1!$C$111:$C$115</c:f>
              <c:numCache>
                <c:formatCode>General</c:formatCode>
                <c:ptCount val="5"/>
                <c:pt idx="0">
                  <c:v>3.6780313536113633E-3</c:v>
                </c:pt>
                <c:pt idx="1">
                  <c:v>9.7807882392975422E-3</c:v>
                </c:pt>
                <c:pt idx="2">
                  <c:v>4.7885759625339676E-2</c:v>
                </c:pt>
                <c:pt idx="3">
                  <c:v>0.20061525941861533</c:v>
                </c:pt>
                <c:pt idx="4">
                  <c:v>0.57868731367278436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5-4928-A11D-F4235847EE70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Experiment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Sheet1!$B$111:$B$115</c:f>
              <c:numCache>
                <c:formatCode>General</c:formatCode>
                <c:ptCount val="5"/>
                <c:pt idx="0">
                  <c:v>4.3265624041738445E-3</c:v>
                </c:pt>
                <c:pt idx="1">
                  <c:v>7.0938459982290997E-3</c:v>
                </c:pt>
                <c:pt idx="2">
                  <c:v>1.5777246816820894E-2</c:v>
                </c:pt>
                <c:pt idx="3">
                  <c:v>3.2367702173758547E-2</c:v>
                </c:pt>
                <c:pt idx="4">
                  <c:v>5.5024520545098279E-2</c:v>
                </c:pt>
              </c:numCache>
            </c:numRef>
          </c:xVal>
          <c:yVal>
            <c:numRef>
              <c:f>Sheet1!$D$111:$D$115</c:f>
              <c:numCache>
                <c:formatCode>General</c:formatCode>
                <c:ptCount val="5"/>
                <c:pt idx="0">
                  <c:v>7.8151546041454311E-3</c:v>
                </c:pt>
                <c:pt idx="1">
                  <c:v>1.0193679918450563E-2</c:v>
                </c:pt>
                <c:pt idx="2">
                  <c:v>2.9221882432891609E-2</c:v>
                </c:pt>
                <c:pt idx="3">
                  <c:v>9.5820591233435282E-2</c:v>
                </c:pt>
                <c:pt idx="4">
                  <c:v>0.25552157662249403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C5-4928-A11D-F4235847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33471"/>
        <c:axId val="1323521967"/>
      </c:scatterChart>
      <c:valAx>
        <c:axId val="7198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(gal/s)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1967"/>
        <c:crosses val="autoZero"/>
        <c:crossBetween val="midCat"/>
      </c:valAx>
      <c:valAx>
        <c:axId val="13235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&amp; Actual Headloss vs Flowrate for Backflow Valve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Theory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Sheet1!$B$119:$B$123</c:f>
              <c:numCache>
                <c:formatCode>General</c:formatCode>
                <c:ptCount val="5"/>
                <c:pt idx="0">
                  <c:v>4.3198663756152085E-3</c:v>
                </c:pt>
                <c:pt idx="1">
                  <c:v>7.0867503126497752E-3</c:v>
                </c:pt>
                <c:pt idx="2">
                  <c:v>1.5764932243692555E-2</c:v>
                </c:pt>
                <c:pt idx="3">
                  <c:v>3.2344626343764629E-2</c:v>
                </c:pt>
                <c:pt idx="4">
                  <c:v>5.4986321460341242E-2</c:v>
                </c:pt>
              </c:numCache>
            </c:numRef>
          </c:xVal>
          <c:yVal>
            <c:numRef>
              <c:f>Sheet1!$C$119:$C$123</c:f>
              <c:numCache>
                <c:formatCode>General</c:formatCode>
                <c:ptCount val="5"/>
                <c:pt idx="0">
                  <c:v>2.1562705536254472E-3</c:v>
                </c:pt>
                <c:pt idx="1">
                  <c:v>5.7496187450812222E-3</c:v>
                </c:pt>
                <c:pt idx="2">
                  <c:v>2.8205675218933787E-2</c:v>
                </c:pt>
                <c:pt idx="3">
                  <c:v>0.11826535938980112</c:v>
                </c:pt>
                <c:pt idx="4">
                  <c:v>0.34125357337620776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8-4094-B01A-2E42EA4EC3B7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Experiment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Sheet1!$B$119:$B$123</c:f>
              <c:numCache>
                <c:formatCode>General</c:formatCode>
                <c:ptCount val="5"/>
                <c:pt idx="0">
                  <c:v>4.3198663756152085E-3</c:v>
                </c:pt>
                <c:pt idx="1">
                  <c:v>7.0867503126497752E-3</c:v>
                </c:pt>
                <c:pt idx="2">
                  <c:v>1.5764932243692555E-2</c:v>
                </c:pt>
                <c:pt idx="3">
                  <c:v>3.2344626343764629E-2</c:v>
                </c:pt>
                <c:pt idx="4">
                  <c:v>5.4986321460341242E-2</c:v>
                </c:pt>
              </c:numCache>
            </c:numRef>
          </c:xVal>
          <c:yVal>
            <c:numRef>
              <c:f>Sheet1!$D$119:$D$123</c:f>
              <c:numCache>
                <c:formatCode>General</c:formatCode>
                <c:ptCount val="5"/>
                <c:pt idx="0">
                  <c:v>9.8538905878355447E-3</c:v>
                </c:pt>
                <c:pt idx="1">
                  <c:v>1.1213047910295617E-2</c:v>
                </c:pt>
                <c:pt idx="2">
                  <c:v>2.6163778457356436E-2</c:v>
                </c:pt>
                <c:pt idx="3">
                  <c:v>8.0190282025144402E-2</c:v>
                </c:pt>
                <c:pt idx="4">
                  <c:v>0.21474685694869183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B8-4094-B01A-2E42EA4E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33471"/>
        <c:axId val="1323521967"/>
      </c:scatterChart>
      <c:valAx>
        <c:axId val="7198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(gal/s)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1967"/>
        <c:crosses val="autoZero"/>
        <c:crossBetween val="midCat"/>
      </c:valAx>
      <c:valAx>
        <c:axId val="13235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66676</xdr:colOff>
      <xdr:row>69</xdr:row>
      <xdr:rowOff>18409</xdr:rowOff>
    </xdr:from>
    <xdr:to>
      <xdr:col>9</xdr:col>
      <xdr:colOff>629531</xdr:colOff>
      <xdr:row>83</xdr:row>
      <xdr:rowOff>87886</xdr:rowOff>
    </xdr:to>
    <xdr:graphicFrame macro="">
      <xdr:nvGraphicFramePr>
        <xdr:cNvPr id="192" name="Chart 2">
          <a:extLst>
            <a:ext uri="{FF2B5EF4-FFF2-40B4-BE49-F238E27FC236}">
              <a16:creationId xmlns:a16="http://schemas.microsoft.com/office/drawing/2014/main" id="{877C2ACA-C28B-C23B-D4F2-C75CBD619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701489</xdr:colOff>
      <xdr:row>70</xdr:row>
      <xdr:rowOff>178654</xdr:rowOff>
    </xdr:from>
    <xdr:to>
      <xdr:col>14</xdr:col>
      <xdr:colOff>98932</xdr:colOff>
      <xdr:row>85</xdr:row>
      <xdr:rowOff>63073</xdr:rowOff>
    </xdr:to>
    <xdr:graphicFrame macro="">
      <xdr:nvGraphicFramePr>
        <xdr:cNvPr id="191" name="Chart 2">
          <a:extLst>
            <a:ext uri="{FF2B5EF4-FFF2-40B4-BE49-F238E27FC236}">
              <a16:creationId xmlns:a16="http://schemas.microsoft.com/office/drawing/2014/main" id="{7322465E-028C-419A-A47B-481F24915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80041</xdr:colOff>
      <xdr:row>84</xdr:row>
      <xdr:rowOff>6405</xdr:rowOff>
    </xdr:from>
    <xdr:to>
      <xdr:col>9</xdr:col>
      <xdr:colOff>642896</xdr:colOff>
      <xdr:row>98</xdr:row>
      <xdr:rowOff>77162</xdr:rowOff>
    </xdr:to>
    <xdr:graphicFrame macro="">
      <xdr:nvGraphicFramePr>
        <xdr:cNvPr id="187" name="Chart 2">
          <a:extLst>
            <a:ext uri="{FF2B5EF4-FFF2-40B4-BE49-F238E27FC236}">
              <a16:creationId xmlns:a16="http://schemas.microsoft.com/office/drawing/2014/main" id="{6BCD9462-14FB-433E-802D-58BD05546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717498</xdr:colOff>
      <xdr:row>85</xdr:row>
      <xdr:rowOff>131269</xdr:rowOff>
    </xdr:from>
    <xdr:to>
      <xdr:col>14</xdr:col>
      <xdr:colOff>114941</xdr:colOff>
      <xdr:row>100</xdr:row>
      <xdr:rowOff>15688</xdr:rowOff>
    </xdr:to>
    <xdr:graphicFrame macro="">
      <xdr:nvGraphicFramePr>
        <xdr:cNvPr id="188" name="Chart 2">
          <a:extLst>
            <a:ext uri="{FF2B5EF4-FFF2-40B4-BE49-F238E27FC236}">
              <a16:creationId xmlns:a16="http://schemas.microsoft.com/office/drawing/2014/main" id="{733594C7-FC80-451C-B23A-E2CAB92D5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89005</xdr:colOff>
      <xdr:row>100</xdr:row>
      <xdr:rowOff>25934</xdr:rowOff>
    </xdr:from>
    <xdr:to>
      <xdr:col>9</xdr:col>
      <xdr:colOff>651860</xdr:colOff>
      <xdr:row>114</xdr:row>
      <xdr:rowOff>95410</xdr:rowOff>
    </xdr:to>
    <xdr:graphicFrame macro="">
      <xdr:nvGraphicFramePr>
        <xdr:cNvPr id="189" name="Chart 2">
          <a:extLst>
            <a:ext uri="{FF2B5EF4-FFF2-40B4-BE49-F238E27FC236}">
              <a16:creationId xmlns:a16="http://schemas.microsoft.com/office/drawing/2014/main" id="{012663C1-3760-4DF0-B9ED-951BCD5F0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713015</xdr:colOff>
      <xdr:row>101</xdr:row>
      <xdr:rowOff>81645</xdr:rowOff>
    </xdr:from>
    <xdr:to>
      <xdr:col>14</xdr:col>
      <xdr:colOff>121984</xdr:colOff>
      <xdr:row>115</xdr:row>
      <xdr:rowOff>151121</xdr:rowOff>
    </xdr:to>
    <xdr:graphicFrame macro="">
      <xdr:nvGraphicFramePr>
        <xdr:cNvPr id="190" name="Chart 2">
          <a:extLst>
            <a:ext uri="{FF2B5EF4-FFF2-40B4-BE49-F238E27FC236}">
              <a16:creationId xmlns:a16="http://schemas.microsoft.com/office/drawing/2014/main" id="{3CD33621-6703-435F-9B55-FFC8E359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117764</xdr:colOff>
      <xdr:row>116</xdr:row>
      <xdr:rowOff>13855</xdr:rowOff>
    </xdr:from>
    <xdr:to>
      <xdr:col>9</xdr:col>
      <xdr:colOff>704369</xdr:colOff>
      <xdr:row>130</xdr:row>
      <xdr:rowOff>83331</xdr:rowOff>
    </xdr:to>
    <xdr:graphicFrame macro="">
      <xdr:nvGraphicFramePr>
        <xdr:cNvPr id="193" name="Chart 2">
          <a:extLst>
            <a:ext uri="{FF2B5EF4-FFF2-40B4-BE49-F238E27FC236}">
              <a16:creationId xmlns:a16="http://schemas.microsoft.com/office/drawing/2014/main" id="{7BBB6FCA-FDC8-4418-809E-EB893A5B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"/>
  <sheetViews>
    <sheetView tabSelected="1" topLeftCell="A75" zoomScale="70" zoomScaleNormal="70" workbookViewId="0">
      <selection activeCell="A99" sqref="A99"/>
    </sheetView>
  </sheetViews>
  <sheetFormatPr defaultRowHeight="14.4" x14ac:dyDescent="0.55000000000000004"/>
  <cols>
    <col min="1" max="1" width="11.578125" bestFit="1" customWidth="1"/>
    <col min="2" max="2" width="24.68359375" bestFit="1" customWidth="1"/>
    <col min="3" max="3" width="19.05078125" bestFit="1" customWidth="1"/>
    <col min="4" max="6" width="10.578125" bestFit="1" customWidth="1"/>
    <col min="7" max="7" width="21.83984375" bestFit="1" customWidth="1"/>
    <col min="10" max="10" width="15.26171875" bestFit="1" customWidth="1"/>
    <col min="11" max="11" width="15.68359375" customWidth="1"/>
    <col min="12" max="14" width="15.26171875" bestFit="1" customWidth="1"/>
    <col min="16" max="16" width="16.578125" bestFit="1" customWidth="1"/>
    <col min="17" max="17" width="16.41796875" bestFit="1" customWidth="1"/>
    <col min="18" max="18" width="19.83984375" bestFit="1" customWidth="1"/>
    <col min="19" max="19" width="18.83984375" bestFit="1" customWidth="1"/>
    <col min="20" max="20" width="17.83984375" bestFit="1" customWidth="1"/>
    <col min="21" max="21" width="18" bestFit="1" customWidth="1"/>
    <col min="22" max="22" width="28.83984375" bestFit="1" customWidth="1"/>
    <col min="23" max="23" width="18.83984375" bestFit="1" customWidth="1"/>
    <col min="24" max="24" width="15.15625" bestFit="1" customWidth="1"/>
  </cols>
  <sheetData>
    <row r="1" spans="2:17" x14ac:dyDescent="0.55000000000000004">
      <c r="G1" t="s">
        <v>0</v>
      </c>
      <c r="O1" t="s">
        <v>1</v>
      </c>
    </row>
    <row r="2" spans="2:17" x14ac:dyDescent="0.55000000000000004">
      <c r="B2" t="s">
        <v>2</v>
      </c>
      <c r="C2" t="s">
        <v>3</v>
      </c>
      <c r="D2">
        <v>0.7</v>
      </c>
      <c r="E2" t="s">
        <v>4</v>
      </c>
      <c r="G2" t="s">
        <v>5</v>
      </c>
      <c r="H2" t="s">
        <v>6</v>
      </c>
      <c r="I2" s="5">
        <f>(1-(1/0.85))^2</f>
        <v>3.1141868512110739E-2</v>
      </c>
      <c r="K2" t="s">
        <v>7</v>
      </c>
      <c r="O2" t="s">
        <v>8</v>
      </c>
      <c r="P2">
        <v>1000</v>
      </c>
      <c r="Q2" t="s">
        <v>9</v>
      </c>
    </row>
    <row r="3" spans="2:17" x14ac:dyDescent="0.55000000000000004">
      <c r="B3" t="s">
        <v>10</v>
      </c>
      <c r="C3" t="s">
        <v>11</v>
      </c>
      <c r="D3">
        <v>0.69</v>
      </c>
      <c r="G3" t="s">
        <v>12</v>
      </c>
      <c r="H3" t="s">
        <v>6</v>
      </c>
      <c r="I3">
        <v>0.05</v>
      </c>
      <c r="K3" t="s">
        <v>13</v>
      </c>
      <c r="L3">
        <f>(PI()/4)*0.0254^2</f>
        <v>5.0670747909749769E-4</v>
      </c>
      <c r="M3" t="s">
        <v>14</v>
      </c>
      <c r="O3" t="s">
        <v>15</v>
      </c>
    </row>
    <row r="4" spans="2:17" x14ac:dyDescent="0.55000000000000004">
      <c r="B4" t="s">
        <v>16</v>
      </c>
      <c r="C4" t="s">
        <v>11</v>
      </c>
      <c r="D4">
        <v>1.2</v>
      </c>
      <c r="G4" t="s">
        <v>17</v>
      </c>
      <c r="H4" t="s">
        <v>6</v>
      </c>
      <c r="I4" s="5">
        <f>(1-(0.85/1))^2</f>
        <v>2.2500000000000006E-2</v>
      </c>
      <c r="O4" t="s">
        <v>18</v>
      </c>
      <c r="P4">
        <f>1.12*10^(-3)</f>
        <v>1.1200000000000001E-3</v>
      </c>
      <c r="Q4" t="s">
        <v>19</v>
      </c>
    </row>
    <row r="5" spans="2:17" x14ac:dyDescent="0.55000000000000004">
      <c r="B5" t="s">
        <v>20</v>
      </c>
      <c r="C5" t="s">
        <v>11</v>
      </c>
      <c r="D5">
        <v>7</v>
      </c>
      <c r="K5" t="s">
        <v>21</v>
      </c>
      <c r="O5" t="s">
        <v>22</v>
      </c>
    </row>
    <row r="6" spans="2:17" x14ac:dyDescent="0.55000000000000004">
      <c r="K6" t="s">
        <v>13</v>
      </c>
      <c r="L6">
        <f>(PI()/4)*(0.85*0.0254)^2</f>
        <v>3.6609615364794208E-4</v>
      </c>
      <c r="P6">
        <f>P2*9.81</f>
        <v>9810</v>
      </c>
    </row>
    <row r="17" spans="1:24" x14ac:dyDescent="0.55000000000000004">
      <c r="A17" s="7" t="s">
        <v>23</v>
      </c>
      <c r="B17" s="1" t="s">
        <v>24</v>
      </c>
      <c r="C17" s="1" t="s">
        <v>25</v>
      </c>
      <c r="D17" s="1" t="s">
        <v>26</v>
      </c>
      <c r="E17" s="1" t="s">
        <v>27</v>
      </c>
      <c r="F17" s="1" t="s">
        <v>28</v>
      </c>
      <c r="G17" s="1" t="s">
        <v>29</v>
      </c>
      <c r="H17" s="1" t="s">
        <v>30</v>
      </c>
      <c r="I17" s="3"/>
      <c r="J17" s="1" t="s">
        <v>51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30</v>
      </c>
      <c r="P17" s="6" t="s">
        <v>36</v>
      </c>
      <c r="Q17" s="6" t="s">
        <v>58</v>
      </c>
      <c r="R17" s="6" t="s">
        <v>37</v>
      </c>
      <c r="S17" s="6" t="s">
        <v>38</v>
      </c>
      <c r="T17" s="6" t="s">
        <v>39</v>
      </c>
      <c r="U17" s="6" t="s">
        <v>40</v>
      </c>
      <c r="V17" s="6" t="s">
        <v>56</v>
      </c>
      <c r="W17" s="6" t="s">
        <v>57</v>
      </c>
      <c r="X17" s="6" t="s">
        <v>59</v>
      </c>
    </row>
    <row r="18" spans="1:24" x14ac:dyDescent="0.55000000000000004">
      <c r="A18">
        <v>38</v>
      </c>
      <c r="B18" s="2" t="s">
        <v>41</v>
      </c>
      <c r="C18" s="2">
        <f>14.6*0.0037854118</f>
        <v>5.526701228E-2</v>
      </c>
      <c r="D18" s="2"/>
      <c r="E18" s="2"/>
      <c r="F18" s="2"/>
      <c r="G18" s="2"/>
      <c r="H18" s="2"/>
      <c r="I18" s="3"/>
      <c r="J18" s="2">
        <v>1.26</v>
      </c>
      <c r="K18" s="2">
        <v>1.27</v>
      </c>
      <c r="L18" s="2">
        <v>1.27</v>
      </c>
      <c r="M18" s="4"/>
      <c r="N18" s="4"/>
      <c r="O18" s="2">
        <v>0.05</v>
      </c>
      <c r="P18">
        <f>AVERAGE(J18:L18)</f>
        <v>1.2666666666666668</v>
      </c>
      <c r="Q18">
        <f t="shared" ref="Q18:Q24" si="0">C18/$L$3</f>
        <v>109.07084375079027</v>
      </c>
      <c r="R18">
        <f>($P$2*Q18*$L$3)/$P$4</f>
        <v>49345.546678571416</v>
      </c>
      <c r="S18">
        <f>(-1.8*LOG10((((($D$2*10^(-3))/0.0254)/3.7)^1.11)+6.9/R18))^(-1/2)</f>
        <v>0.48639733467572632</v>
      </c>
      <c r="T18">
        <f t="shared" ref="T18:T24" si="1">(S18*(A18*0.0254)*Q18^2)/((0.0254)*2*9.81)</f>
        <v>11207.096863046594</v>
      </c>
      <c r="U18">
        <v>0</v>
      </c>
      <c r="V18">
        <f t="shared" ref="V18:V24" si="2">(T18+U18)/$P$6</f>
        <v>1.1424155823696833</v>
      </c>
      <c r="W18">
        <f t="shared" ref="W18:W24" si="3">(P18*10^3)/$P$6</f>
        <v>0.1291199456337071</v>
      </c>
      <c r="X18">
        <f>SQRT(2*9.81*(((Q18^2)/(2*9.81))-((P18*10^3)/$P$6)-V18))</f>
        <v>108.95641986340171</v>
      </c>
    </row>
    <row r="19" spans="1:24" x14ac:dyDescent="0.55000000000000004">
      <c r="A19">
        <v>38</v>
      </c>
      <c r="B19" s="2" t="s">
        <v>42</v>
      </c>
      <c r="C19" s="2">
        <f t="shared" ref="C19:C24" si="4">X18*$L$3</f>
        <v>5.5209032840472801E-2</v>
      </c>
      <c r="D19" s="2"/>
      <c r="E19" s="2"/>
      <c r="F19" s="2"/>
      <c r="G19" s="2"/>
      <c r="H19" s="2"/>
      <c r="I19" s="3"/>
      <c r="J19" s="2">
        <v>3.91</v>
      </c>
      <c r="K19" s="2">
        <v>3.97</v>
      </c>
      <c r="L19" s="2">
        <v>3.94</v>
      </c>
      <c r="M19" s="4"/>
      <c r="N19" s="4"/>
      <c r="O19" s="2">
        <v>7.0000000000000007E-2</v>
      </c>
      <c r="P19">
        <f t="shared" ref="P19:P21" si="5">AVERAGE(J19:L19)</f>
        <v>3.94</v>
      </c>
      <c r="Q19">
        <f t="shared" si="0"/>
        <v>108.95641986340171</v>
      </c>
      <c r="R19">
        <f t="shared" ref="R18:R24" si="6">($P$2*Q19*$L$3)/$P$4</f>
        <v>49293.779321850707</v>
      </c>
      <c r="S19">
        <f t="shared" ref="S18:S24" si="7">(-1.8*LOG10((((($D$2*10^(-3))/0.0254)/3.7)^1.11)+6.9/R19))^(-1/2)</f>
        <v>0.48639880737651398</v>
      </c>
      <c r="T19">
        <f t="shared" si="1"/>
        <v>11183.628807747911</v>
      </c>
      <c r="U19">
        <v>0</v>
      </c>
      <c r="V19">
        <f t="shared" si="2"/>
        <v>1.1400233239294506</v>
      </c>
      <c r="W19">
        <f t="shared" si="3"/>
        <v>0.40163098878695208</v>
      </c>
      <c r="X19">
        <f t="shared" ref="X19:X21" si="8">SQRT(2*9.81*(((Q19^2)/(2*9.81))-((P19*10^3)/$P$6)-V19))</f>
        <v>108.81752695147222</v>
      </c>
    </row>
    <row r="20" spans="1:24" x14ac:dyDescent="0.55000000000000004">
      <c r="A20">
        <v>9</v>
      </c>
      <c r="B20" s="2" t="s">
        <v>10</v>
      </c>
      <c r="C20" s="2">
        <f t="shared" si="4"/>
        <v>5.5138654763204502E-2</v>
      </c>
      <c r="D20" s="2"/>
      <c r="E20" s="2"/>
      <c r="F20" s="2"/>
      <c r="G20" s="2"/>
      <c r="H20" s="2"/>
      <c r="I20" s="3"/>
      <c r="J20" s="2">
        <v>1.25</v>
      </c>
      <c r="K20" s="2">
        <v>1.39</v>
      </c>
      <c r="L20" s="2">
        <v>1.23</v>
      </c>
      <c r="M20" s="4"/>
      <c r="N20" s="4"/>
      <c r="O20" s="2">
        <v>0.08</v>
      </c>
      <c r="P20">
        <f t="shared" si="5"/>
        <v>1.2899999999999998</v>
      </c>
      <c r="Q20">
        <f t="shared" si="0"/>
        <v>108.81752695147222</v>
      </c>
      <c r="R20">
        <f t="shared" si="6"/>
        <v>49230.941752861152</v>
      </c>
      <c r="S20">
        <f t="shared" si="7"/>
        <v>0.48640059912207451</v>
      </c>
      <c r="T20">
        <f t="shared" si="1"/>
        <v>2642.0151942830307</v>
      </c>
      <c r="U20">
        <f>$D$3*((Q20^2)/(2*9.81))</f>
        <v>416.43554426940483</v>
      </c>
      <c r="V20">
        <f t="shared" si="2"/>
        <v>0.31176867875152248</v>
      </c>
      <c r="W20">
        <f t="shared" si="3"/>
        <v>0.1314984709480122</v>
      </c>
      <c r="X20">
        <f t="shared" si="8"/>
        <v>108.77755867069861</v>
      </c>
    </row>
    <row r="21" spans="1:24" x14ac:dyDescent="0.55000000000000004">
      <c r="A21">
        <v>9</v>
      </c>
      <c r="B21" s="2" t="s">
        <v>0</v>
      </c>
      <c r="C21" s="2">
        <f t="shared" si="4"/>
        <v>5.5118402536409844E-2</v>
      </c>
      <c r="D21" s="2"/>
      <c r="E21" s="2"/>
      <c r="F21" s="2"/>
      <c r="G21" s="2"/>
      <c r="H21" s="2"/>
      <c r="I21" s="3"/>
      <c r="J21" s="2">
        <v>0.72</v>
      </c>
      <c r="K21" s="2">
        <v>0.7</v>
      </c>
      <c r="L21" s="2">
        <v>0.71</v>
      </c>
      <c r="M21" s="4"/>
      <c r="N21" s="4"/>
      <c r="O21" s="2">
        <v>0.05</v>
      </c>
      <c r="P21">
        <f t="shared" si="5"/>
        <v>0.71</v>
      </c>
      <c r="Q21">
        <f t="shared" si="0"/>
        <v>108.77755867069861</v>
      </c>
      <c r="R21">
        <f t="shared" si="6"/>
        <v>49212.859407508789</v>
      </c>
      <c r="S21">
        <f t="shared" si="7"/>
        <v>0.48640111555888055</v>
      </c>
      <c r="T21">
        <f t="shared" si="1"/>
        <v>2640.0775487229921</v>
      </c>
      <c r="U21">
        <f>($I$2*(Q21^2)/(2*9.81))+($I$3*(Q21^2)/(2*9.81))+($I$4*(Q21^2)/(2*9.81))</f>
        <v>62.505012475860802</v>
      </c>
      <c r="V21">
        <f t="shared" si="2"/>
        <v>0.2754926158204743</v>
      </c>
      <c r="W21">
        <f t="shared" si="3"/>
        <v>7.2375127420998983E-2</v>
      </c>
      <c r="X21">
        <f t="shared" si="8"/>
        <v>108.74618202601359</v>
      </c>
    </row>
    <row r="22" spans="1:24" x14ac:dyDescent="0.55000000000000004">
      <c r="A22">
        <v>9</v>
      </c>
      <c r="B22" s="2" t="s">
        <v>20</v>
      </c>
      <c r="C22" s="2">
        <f t="shared" si="4"/>
        <v>5.5102503755878961E-2</v>
      </c>
      <c r="D22" s="2"/>
      <c r="E22" s="2"/>
      <c r="F22" s="2"/>
      <c r="G22" s="2"/>
      <c r="H22" s="2"/>
      <c r="I22" s="3"/>
      <c r="J22" s="2">
        <v>9.7799999999999994</v>
      </c>
      <c r="K22" s="2">
        <v>9.91</v>
      </c>
      <c r="L22" s="2">
        <v>9.91</v>
      </c>
      <c r="M22" s="4"/>
      <c r="N22" s="4"/>
      <c r="O22" s="2">
        <v>0.3</v>
      </c>
      <c r="P22">
        <f>AVERAGE(J22:L22)</f>
        <v>9.8666666666666654</v>
      </c>
      <c r="Q22">
        <f t="shared" si="0"/>
        <v>108.74618202601359</v>
      </c>
      <c r="R22">
        <f t="shared" si="6"/>
        <v>49198.664067749065</v>
      </c>
      <c r="S22">
        <f t="shared" si="7"/>
        <v>0.48640152124470748</v>
      </c>
      <c r="T22">
        <f t="shared" si="1"/>
        <v>2638.5569201002854</v>
      </c>
      <c r="U22">
        <f>$D$5*((Q22^2)/(2*9.81))</f>
        <v>4219.1704758738106</v>
      </c>
      <c r="V22">
        <f t="shared" si="2"/>
        <v>0.69905478042549396</v>
      </c>
      <c r="W22">
        <f t="shared" si="3"/>
        <v>1.0057764186204552</v>
      </c>
      <c r="X22">
        <f>SQRT(2*9.81*(((Q22^2)/(2*9.81))-((P22*10^3)/$P$6)-V22))</f>
        <v>108.59228019113328</v>
      </c>
    </row>
    <row r="23" spans="1:24" x14ac:dyDescent="0.55000000000000004">
      <c r="A23">
        <v>18</v>
      </c>
      <c r="B23" s="2" t="s">
        <v>43</v>
      </c>
      <c r="C23" s="2">
        <f t="shared" si="4"/>
        <v>5.5024520545098279E-2</v>
      </c>
      <c r="D23" s="2"/>
      <c r="E23" s="2"/>
      <c r="F23" s="2"/>
      <c r="G23" s="2"/>
      <c r="H23" s="2"/>
      <c r="I23" s="3"/>
      <c r="J23" s="2">
        <v>2.54</v>
      </c>
      <c r="K23" s="2">
        <v>2.5</v>
      </c>
      <c r="L23" s="2">
        <v>2.48</v>
      </c>
      <c r="M23" s="4"/>
      <c r="N23" s="4"/>
      <c r="O23" s="2">
        <v>0.06</v>
      </c>
      <c r="P23">
        <f>AVERAGE(J23:L23)</f>
        <v>2.5066666666666664</v>
      </c>
      <c r="Q23">
        <f t="shared" si="0"/>
        <v>108.59228019113328</v>
      </c>
      <c r="R23">
        <f t="shared" si="6"/>
        <v>49129.036200980598</v>
      </c>
      <c r="S23">
        <f t="shared" si="7"/>
        <v>0.48640351448253272</v>
      </c>
      <c r="T23">
        <f t="shared" si="1"/>
        <v>5262.2092194640809</v>
      </c>
      <c r="U23">
        <f>($D$3*((Q23^2)/(2*9.81)))</f>
        <v>414.71332766593383</v>
      </c>
      <c r="V23">
        <f t="shared" si="2"/>
        <v>0.57868731367278436</v>
      </c>
      <c r="W23">
        <f t="shared" si="3"/>
        <v>0.25552157662249403</v>
      </c>
      <c r="X23">
        <f>SQRT(2*9.81*(((Q23^2)/(2*9.81))-((P23*10^3)/$P$6)-V23))</f>
        <v>108.51689333316727</v>
      </c>
    </row>
    <row r="24" spans="1:24" x14ac:dyDescent="0.55000000000000004">
      <c r="A24">
        <v>9</v>
      </c>
      <c r="B24" s="2" t="s">
        <v>44</v>
      </c>
      <c r="C24" s="2">
        <f t="shared" si="4"/>
        <v>5.4986321460341242E-2</v>
      </c>
      <c r="D24" s="2"/>
      <c r="E24" s="2"/>
      <c r="F24" s="2"/>
      <c r="G24" s="2"/>
      <c r="H24" s="2"/>
      <c r="I24" s="3"/>
      <c r="J24" s="2">
        <v>2.12</v>
      </c>
      <c r="K24" s="2">
        <v>2.09</v>
      </c>
      <c r="L24" s="2">
        <v>2.11</v>
      </c>
      <c r="M24" s="4"/>
      <c r="N24" s="4"/>
      <c r="O24" s="2">
        <v>0.09</v>
      </c>
      <c r="P24">
        <f>AVERAGE(J24:L24)</f>
        <v>2.1066666666666669</v>
      </c>
      <c r="Q24">
        <f t="shared" si="0"/>
        <v>108.51689333316727</v>
      </c>
      <c r="R24">
        <f t="shared" si="6"/>
        <v>49094.929875304675</v>
      </c>
      <c r="S24">
        <f t="shared" si="7"/>
        <v>0.48640449288438264</v>
      </c>
      <c r="T24">
        <f t="shared" si="1"/>
        <v>2627.4580356351548</v>
      </c>
      <c r="U24">
        <f>($D$4*((Q24^2)/(2*9.81)))</f>
        <v>720.23951918544356</v>
      </c>
      <c r="V24">
        <f t="shared" si="2"/>
        <v>0.34125357337620776</v>
      </c>
      <c r="W24">
        <f t="shared" si="3"/>
        <v>0.21474685694869183</v>
      </c>
      <c r="X24">
        <f>SQRT(2*9.81*(((Q24^2)/(2*9.81))-((P24*10^3)/$P$6)-V24))</f>
        <v>108.46661887529744</v>
      </c>
    </row>
    <row r="25" spans="1:24" x14ac:dyDescent="0.55000000000000004">
      <c r="B25" s="2" t="s">
        <v>45</v>
      </c>
      <c r="C25" s="2"/>
      <c r="D25" s="2"/>
      <c r="E25" s="2"/>
      <c r="F25" s="2"/>
      <c r="G25" s="2"/>
      <c r="H25" s="2"/>
      <c r="I25" s="3"/>
      <c r="J25" s="2">
        <v>3.7</v>
      </c>
      <c r="K25" s="2">
        <v>3.71</v>
      </c>
      <c r="L25" s="2">
        <v>3.68</v>
      </c>
      <c r="M25" s="4"/>
      <c r="N25" s="4"/>
      <c r="O25" s="2">
        <v>7.0000000000000007E-2</v>
      </c>
      <c r="P25">
        <f>AVERAGE(J25:L25)</f>
        <v>3.6966666666666668</v>
      </c>
    </row>
    <row r="27" spans="1:24" x14ac:dyDescent="0.55000000000000004">
      <c r="A27" s="7" t="s">
        <v>23</v>
      </c>
      <c r="B27" s="1" t="s">
        <v>46</v>
      </c>
      <c r="C27" s="1" t="s">
        <v>47</v>
      </c>
      <c r="D27" s="1" t="s">
        <v>26</v>
      </c>
      <c r="E27" s="1" t="s">
        <v>27</v>
      </c>
      <c r="F27" s="1" t="s">
        <v>28</v>
      </c>
      <c r="G27" s="1" t="s">
        <v>29</v>
      </c>
      <c r="H27" s="1" t="s">
        <v>30</v>
      </c>
      <c r="I27" s="3"/>
      <c r="J27" s="1" t="s">
        <v>31</v>
      </c>
      <c r="K27" s="1" t="s">
        <v>32</v>
      </c>
      <c r="L27" s="1" t="s">
        <v>33</v>
      </c>
      <c r="M27" s="1" t="s">
        <v>34</v>
      </c>
      <c r="N27" s="1" t="s">
        <v>35</v>
      </c>
      <c r="O27" s="1" t="s">
        <v>30</v>
      </c>
      <c r="P27" s="6" t="s">
        <v>36</v>
      </c>
      <c r="Q27" s="6" t="s">
        <v>58</v>
      </c>
      <c r="R27" s="6" t="s">
        <v>37</v>
      </c>
      <c r="S27" s="6" t="s">
        <v>38</v>
      </c>
      <c r="T27" s="6" t="s">
        <v>39</v>
      </c>
      <c r="U27" s="6" t="s">
        <v>40</v>
      </c>
      <c r="V27" s="6" t="s">
        <v>56</v>
      </c>
      <c r="W27" s="6" t="s">
        <v>57</v>
      </c>
      <c r="X27" s="6" t="s">
        <v>59</v>
      </c>
    </row>
    <row r="28" spans="1:24" x14ac:dyDescent="0.55000000000000004">
      <c r="A28">
        <v>38</v>
      </c>
      <c r="B28" s="2" t="s">
        <v>41</v>
      </c>
      <c r="C28" s="2">
        <f>8.59*0.0037854118</f>
        <v>3.2516687362000002E-2</v>
      </c>
      <c r="D28" s="2"/>
      <c r="E28" s="2"/>
      <c r="F28" s="2"/>
      <c r="G28" s="2"/>
      <c r="H28" s="2"/>
      <c r="I28" s="3"/>
      <c r="J28" s="2">
        <v>0.52</v>
      </c>
      <c r="K28" s="2">
        <v>0.55000000000000004</v>
      </c>
      <c r="L28" s="2">
        <v>0.5</v>
      </c>
      <c r="M28" s="4"/>
      <c r="N28" s="4"/>
      <c r="O28" s="2">
        <v>0.06</v>
      </c>
      <c r="P28">
        <f>AVERAGE(J28:L28)</f>
        <v>0.52333333333333332</v>
      </c>
      <c r="Q28">
        <f t="shared" ref="Q28:Q34" si="9">C28/$L$3</f>
        <v>64.172503275293735</v>
      </c>
      <c r="R28">
        <f t="shared" ref="R28:R34" si="10">($P$2*Q28*$L$3)/$P$4</f>
        <v>29032.756573214283</v>
      </c>
      <c r="S28">
        <f t="shared" ref="S28:S34" si="11">(-1.8*LOG10((((($D$2*10^(-3))/0.0254)/3.7)^1.11)+6.9/R28))^(-1/2)</f>
        <v>0.48737085508456612</v>
      </c>
      <c r="T28">
        <f t="shared" ref="T28:T34" si="12">(S28*(A28*0.0254)*Q28^2)/((0.0254)*2*9.81)</f>
        <v>3887.2467567890676</v>
      </c>
      <c r="U28">
        <v>0</v>
      </c>
      <c r="V28">
        <f t="shared" ref="V28:V34" si="13">(T28+U28)/$P$6</f>
        <v>0.39625349202742788</v>
      </c>
      <c r="W28">
        <f>(P28*10^3)/$P$6</f>
        <v>5.3346924906557937E-2</v>
      </c>
      <c r="X28">
        <f t="shared" ref="X28:X34" si="14">SQRT(2*9.81*(((Q28^2)/(2*9.81))-((P28*10^3)/$P$6)-V28))</f>
        <v>64.103736368774477</v>
      </c>
    </row>
    <row r="29" spans="1:24" x14ac:dyDescent="0.55000000000000004">
      <c r="A29">
        <v>38</v>
      </c>
      <c r="B29" s="2" t="s">
        <v>42</v>
      </c>
      <c r="C29" s="2">
        <f t="shared" ref="C29:C34" si="15">X28*$L$3</f>
        <v>3.2481842656152296E-2</v>
      </c>
      <c r="D29" s="2"/>
      <c r="E29" s="2"/>
      <c r="F29" s="2"/>
      <c r="G29" s="2"/>
      <c r="H29" s="2"/>
      <c r="I29" s="3"/>
      <c r="J29" s="2">
        <v>1.72</v>
      </c>
      <c r="K29" s="2">
        <v>1.76</v>
      </c>
      <c r="L29" s="2">
        <v>1.77</v>
      </c>
      <c r="M29" s="4"/>
      <c r="N29" s="4"/>
      <c r="O29" s="2">
        <v>0.41</v>
      </c>
      <c r="P29">
        <f t="shared" ref="P29:P35" si="16">AVERAGE(J29:L29)</f>
        <v>1.75</v>
      </c>
      <c r="Q29">
        <f t="shared" si="9"/>
        <v>64.103736368774477</v>
      </c>
      <c r="R29">
        <f t="shared" si="10"/>
        <v>29001.645228707403</v>
      </c>
      <c r="S29">
        <f t="shared" si="11"/>
        <v>0.48737337239125406</v>
      </c>
      <c r="T29">
        <f t="shared" si="12"/>
        <v>3878.9401503931399</v>
      </c>
      <c r="U29">
        <v>0</v>
      </c>
      <c r="V29">
        <f t="shared" si="13"/>
        <v>0.39540674315934149</v>
      </c>
      <c r="W29">
        <f>(P29*10^3)/$P$6</f>
        <v>0.1783893985728848</v>
      </c>
      <c r="X29">
        <f t="shared" si="14"/>
        <v>64.015866284356051</v>
      </c>
    </row>
    <row r="30" spans="1:24" x14ac:dyDescent="0.55000000000000004">
      <c r="A30">
        <v>9</v>
      </c>
      <c r="B30" s="2" t="s">
        <v>10</v>
      </c>
      <c r="C30" s="2">
        <f t="shared" si="15"/>
        <v>3.2437318227188552E-2</v>
      </c>
      <c r="D30" s="2"/>
      <c r="E30" s="2"/>
      <c r="F30" s="2"/>
      <c r="G30" s="2"/>
      <c r="H30" s="2"/>
      <c r="I30" s="3"/>
      <c r="J30" s="2">
        <v>0.54</v>
      </c>
      <c r="K30" s="2">
        <v>0.61</v>
      </c>
      <c r="L30" s="2">
        <v>0.56000000000000005</v>
      </c>
      <c r="M30" s="4"/>
      <c r="N30" s="4"/>
      <c r="O30" s="2">
        <v>0.08</v>
      </c>
      <c r="P30">
        <f t="shared" si="16"/>
        <v>0.56999999999999995</v>
      </c>
      <c r="Q30">
        <f t="shared" si="9"/>
        <v>64.015866284356051</v>
      </c>
      <c r="R30">
        <f t="shared" si="10"/>
        <v>28961.891274275487</v>
      </c>
      <c r="S30">
        <f t="shared" si="11"/>
        <v>0.48737659671884892</v>
      </c>
      <c r="T30">
        <f t="shared" si="12"/>
        <v>916.18553595326205</v>
      </c>
      <c r="U30">
        <f>$D$3*((Q30^2)/(2*9.81))</f>
        <v>144.1203610567901</v>
      </c>
      <c r="V30">
        <f t="shared" si="13"/>
        <v>0.10808418929766077</v>
      </c>
      <c r="W30">
        <f t="shared" ref="W30:W35" si="17">(P30*10^3)/$P$6</f>
        <v>5.8103975535168197E-2</v>
      </c>
      <c r="X30">
        <f t="shared" si="14"/>
        <v>63.990394000525839</v>
      </c>
    </row>
    <row r="31" spans="1:24" x14ac:dyDescent="0.55000000000000004">
      <c r="A31">
        <v>9</v>
      </c>
      <c r="B31" s="2" t="s">
        <v>0</v>
      </c>
      <c r="C31" s="2">
        <f t="shared" si="15"/>
        <v>3.2424411230462087E-2</v>
      </c>
      <c r="D31" s="2"/>
      <c r="E31" s="2"/>
      <c r="F31" s="2"/>
      <c r="G31" s="2"/>
      <c r="H31" s="2"/>
      <c r="I31" s="3"/>
      <c r="J31" s="2">
        <v>0.31</v>
      </c>
      <c r="K31" s="2">
        <v>0.3</v>
      </c>
      <c r="L31" s="2">
        <v>0.39</v>
      </c>
      <c r="M31" s="4"/>
      <c r="N31" s="4"/>
      <c r="O31" s="2">
        <v>7.0000000000000007E-2</v>
      </c>
      <c r="P31">
        <f t="shared" si="16"/>
        <v>0.33333333333333331</v>
      </c>
      <c r="Q31">
        <f t="shared" si="9"/>
        <v>63.990394000525839</v>
      </c>
      <c r="R31">
        <f t="shared" si="10"/>
        <v>28950.367170055437</v>
      </c>
      <c r="S31">
        <f t="shared" si="11"/>
        <v>0.48737753302991504</v>
      </c>
      <c r="T31">
        <f t="shared" si="12"/>
        <v>915.45832865948421</v>
      </c>
      <c r="U31">
        <f>($I$2*(Q31^2)/(2*9.81))+($I$3*(Q31^2)/(2*9.81))+($I$4*(Q31^2)/(2*9.81))</f>
        <v>21.630462195268887</v>
      </c>
      <c r="V31">
        <f t="shared" si="13"/>
        <v>9.5523831891412142E-2</v>
      </c>
      <c r="W31">
        <f t="shared" si="17"/>
        <v>3.3978933061501869E-2</v>
      </c>
      <c r="X31">
        <f t="shared" si="14"/>
        <v>63.970537594225028</v>
      </c>
    </row>
    <row r="32" spans="1:24" x14ac:dyDescent="0.55000000000000004">
      <c r="A32">
        <v>9</v>
      </c>
      <c r="B32" s="2" t="s">
        <v>20</v>
      </c>
      <c r="C32" s="2">
        <f t="shared" si="15"/>
        <v>3.2414349840881471E-2</v>
      </c>
      <c r="D32" s="2"/>
      <c r="E32" s="2"/>
      <c r="F32" s="2"/>
      <c r="G32" s="2"/>
      <c r="H32" s="2"/>
      <c r="I32" s="3"/>
      <c r="J32" s="2">
        <v>3.61</v>
      </c>
      <c r="K32" s="2">
        <v>3.44</v>
      </c>
      <c r="L32" s="2">
        <v>3.48</v>
      </c>
      <c r="M32" s="4"/>
      <c r="N32" s="4"/>
      <c r="O32" s="2">
        <v>0.21</v>
      </c>
      <c r="P32">
        <f t="shared" si="16"/>
        <v>3.51</v>
      </c>
      <c r="Q32">
        <f t="shared" si="9"/>
        <v>63.970537594225036</v>
      </c>
      <c r="R32">
        <f t="shared" si="10"/>
        <v>28941.383786501308</v>
      </c>
      <c r="S32">
        <f t="shared" si="11"/>
        <v>0.48737826341984669</v>
      </c>
      <c r="T32">
        <f t="shared" si="12"/>
        <v>914.89164908231453</v>
      </c>
      <c r="U32">
        <f>$D$5*((Q32^2)/(2*9.81))</f>
        <v>1460.0207829082115</v>
      </c>
      <c r="V32">
        <f t="shared" si="13"/>
        <v>0.24209097166060406</v>
      </c>
      <c r="W32">
        <f t="shared" si="17"/>
        <v>0.3577981651376147</v>
      </c>
      <c r="X32">
        <f t="shared" si="14"/>
        <v>63.878477245705987</v>
      </c>
    </row>
    <row r="33" spans="1:24" x14ac:dyDescent="0.55000000000000004">
      <c r="A33">
        <v>18</v>
      </c>
      <c r="B33" s="2" t="s">
        <v>43</v>
      </c>
      <c r="C33" s="2">
        <f t="shared" si="15"/>
        <v>3.2367702173758547E-2</v>
      </c>
      <c r="D33" s="2"/>
      <c r="E33" s="2"/>
      <c r="F33" s="2"/>
      <c r="G33" s="2"/>
      <c r="H33" s="2"/>
      <c r="I33" s="3"/>
      <c r="J33" s="2">
        <v>0.93</v>
      </c>
      <c r="K33" s="2">
        <v>0.94</v>
      </c>
      <c r="L33" s="2">
        <v>0.95</v>
      </c>
      <c r="M33" s="4"/>
      <c r="N33" s="4"/>
      <c r="O33" s="2">
        <v>0.05</v>
      </c>
      <c r="P33">
        <f t="shared" si="16"/>
        <v>0.94000000000000006</v>
      </c>
      <c r="Q33">
        <f t="shared" si="9"/>
        <v>63.878477245705987</v>
      </c>
      <c r="R33">
        <f t="shared" si="10"/>
        <v>28899.734083712989</v>
      </c>
      <c r="S33">
        <f t="shared" si="11"/>
        <v>0.48738165555149282</v>
      </c>
      <c r="T33">
        <f t="shared" si="12"/>
        <v>1824.5332840857693</v>
      </c>
      <c r="U33">
        <f>($D$3*((Q33^2)/(2*9.81)))</f>
        <v>143.50241081084721</v>
      </c>
      <c r="V33">
        <f t="shared" si="13"/>
        <v>0.20061525941861533</v>
      </c>
      <c r="W33">
        <f t="shared" si="17"/>
        <v>9.5820591233435282E-2</v>
      </c>
      <c r="X33">
        <f t="shared" si="14"/>
        <v>63.832936512746969</v>
      </c>
    </row>
    <row r="34" spans="1:24" x14ac:dyDescent="0.55000000000000004">
      <c r="A34">
        <v>9</v>
      </c>
      <c r="B34" s="2" t="s">
        <v>44</v>
      </c>
      <c r="C34" s="2">
        <f t="shared" si="15"/>
        <v>3.2344626343764629E-2</v>
      </c>
      <c r="D34" s="2"/>
      <c r="E34" s="2"/>
      <c r="F34" s="2"/>
      <c r="G34" s="2"/>
      <c r="H34" s="2"/>
      <c r="I34" s="3"/>
      <c r="J34" s="2">
        <v>0.77</v>
      </c>
      <c r="K34" s="2">
        <v>0.84</v>
      </c>
      <c r="L34" s="2">
        <v>0.75</v>
      </c>
      <c r="M34" s="4"/>
      <c r="N34" s="4"/>
      <c r="O34" s="2">
        <v>0.31</v>
      </c>
      <c r="P34">
        <f t="shared" si="16"/>
        <v>0.78666666666666663</v>
      </c>
      <c r="Q34">
        <f t="shared" si="9"/>
        <v>63.832936512746961</v>
      </c>
      <c r="R34">
        <f t="shared" si="10"/>
        <v>28879.130664075561</v>
      </c>
      <c r="S34">
        <f t="shared" si="11"/>
        <v>0.48738333713218129</v>
      </c>
      <c r="T34">
        <f t="shared" si="12"/>
        <v>910.96948852891035</v>
      </c>
      <c r="U34">
        <f>($D$4*((Q34^2)/(2*9.81)))</f>
        <v>249.21368708503874</v>
      </c>
      <c r="V34">
        <f t="shared" si="13"/>
        <v>0.11826535938980112</v>
      </c>
      <c r="W34">
        <f t="shared" si="17"/>
        <v>8.0190282025144402E-2</v>
      </c>
      <c r="X34">
        <f t="shared" si="14"/>
        <v>63.802430080333323</v>
      </c>
    </row>
    <row r="35" spans="1:24" x14ac:dyDescent="0.55000000000000004">
      <c r="B35" s="2" t="s">
        <v>45</v>
      </c>
      <c r="C35" s="2"/>
      <c r="D35" s="2"/>
      <c r="E35" s="2"/>
      <c r="F35" s="2"/>
      <c r="G35" s="2"/>
      <c r="H35" s="2"/>
      <c r="I35" s="3"/>
      <c r="J35" s="2">
        <v>1.34</v>
      </c>
      <c r="K35" s="2">
        <v>1.3</v>
      </c>
      <c r="L35" s="2">
        <v>1.26</v>
      </c>
      <c r="M35" s="4"/>
      <c r="N35" s="4"/>
      <c r="O35" s="2">
        <v>0.14000000000000001</v>
      </c>
      <c r="P35">
        <f t="shared" si="16"/>
        <v>1.3</v>
      </c>
      <c r="W35">
        <f t="shared" si="17"/>
        <v>0.1325178389398573</v>
      </c>
    </row>
    <row r="37" spans="1:24" x14ac:dyDescent="0.55000000000000004">
      <c r="A37" s="7" t="s">
        <v>23</v>
      </c>
      <c r="B37" s="1" t="s">
        <v>48</v>
      </c>
      <c r="C37" s="1" t="s">
        <v>47</v>
      </c>
      <c r="D37" s="1" t="s">
        <v>26</v>
      </c>
      <c r="E37" s="1" t="s">
        <v>27</v>
      </c>
      <c r="F37" s="1" t="s">
        <v>28</v>
      </c>
      <c r="G37" s="1" t="s">
        <v>29</v>
      </c>
      <c r="H37" s="1" t="s">
        <v>30</v>
      </c>
      <c r="I37" s="3"/>
      <c r="J37" s="1" t="s">
        <v>31</v>
      </c>
      <c r="K37" s="1" t="s">
        <v>32</v>
      </c>
      <c r="L37" s="1" t="s">
        <v>33</v>
      </c>
      <c r="M37" s="1" t="s">
        <v>34</v>
      </c>
      <c r="N37" s="1" t="s">
        <v>35</v>
      </c>
      <c r="O37" s="1" t="s">
        <v>30</v>
      </c>
      <c r="P37" s="6" t="s">
        <v>36</v>
      </c>
      <c r="Q37" s="6" t="s">
        <v>58</v>
      </c>
      <c r="R37" s="6" t="s">
        <v>37</v>
      </c>
      <c r="S37" s="6" t="s">
        <v>38</v>
      </c>
      <c r="T37" s="6" t="s">
        <v>39</v>
      </c>
      <c r="U37" s="6" t="s">
        <v>40</v>
      </c>
      <c r="V37" s="6" t="s">
        <v>56</v>
      </c>
      <c r="W37" s="6" t="s">
        <v>57</v>
      </c>
      <c r="X37" s="6" t="s">
        <v>59</v>
      </c>
    </row>
    <row r="38" spans="1:24" x14ac:dyDescent="0.55000000000000004">
      <c r="A38">
        <v>38</v>
      </c>
      <c r="B38" s="2" t="s">
        <v>41</v>
      </c>
      <c r="C38" s="2">
        <f>1.89*0.0037854118</f>
        <v>7.1544283019999997E-3</v>
      </c>
      <c r="D38" s="2"/>
      <c r="E38" s="2"/>
      <c r="F38" s="2"/>
      <c r="G38" s="2"/>
      <c r="H38" s="2"/>
      <c r="I38" s="3"/>
      <c r="J38" s="2">
        <v>0.06</v>
      </c>
      <c r="K38" s="2">
        <v>0.09</v>
      </c>
      <c r="L38" s="2">
        <v>7.0000000000000007E-2</v>
      </c>
      <c r="M38" s="4"/>
      <c r="N38" s="4"/>
      <c r="O38" s="2">
        <v>0.05</v>
      </c>
      <c r="P38">
        <f>AVERAGE(J38:L38)</f>
        <v>7.3333333333333334E-2</v>
      </c>
      <c r="Q38">
        <f t="shared" ref="Q38:Q44" si="18">C38/$L$3</f>
        <v>14.119444841711891</v>
      </c>
      <c r="R38">
        <f t="shared" ref="R38:R44" si="19">($P$2*Q38*$L$3)/$P$4</f>
        <v>6387.8824124999992</v>
      </c>
      <c r="S38">
        <f t="shared" ref="S38:S44" si="20">(-1.8*LOG10((((($D$2*10^(-3))/0.0254)/3.7)^1.11)+6.9/R38))^(-1/2)</f>
        <v>0.49519173526488353</v>
      </c>
      <c r="T38">
        <f t="shared" ref="T38:T44" si="21">(S38*(A38*0.0254)*Q38^2)/((0.0254)*2*9.81)</f>
        <v>191.20234905852135</v>
      </c>
      <c r="U38">
        <v>0</v>
      </c>
      <c r="V38">
        <f t="shared" ref="V38:V44" si="22">(T38+U38)/$P$6</f>
        <v>1.9490555459584235E-2</v>
      </c>
      <c r="W38">
        <f t="shared" ref="W38:W44" si="23">(P38*10^3)/$P$6</f>
        <v>7.4753652735304104E-3</v>
      </c>
      <c r="X38">
        <f t="shared" ref="X38:X44" si="24">SQRT(2*9.81*(((Q38^2)/(2*9.81))-((P38*10^3)/$P$6)-V38))</f>
        <v>14.100696836446092</v>
      </c>
    </row>
    <row r="39" spans="1:24" x14ac:dyDescent="0.55000000000000004">
      <c r="A39">
        <v>38</v>
      </c>
      <c r="B39" s="2" t="s">
        <v>42</v>
      </c>
      <c r="C39" s="2">
        <f t="shared" ref="C39:C44" si="25">X38*$L$3</f>
        <v>7.1449285475136603E-3</v>
      </c>
      <c r="D39" s="2"/>
      <c r="E39" s="2"/>
      <c r="F39" s="2"/>
      <c r="G39" s="2"/>
      <c r="H39" s="2"/>
      <c r="I39" s="3"/>
      <c r="J39" s="2">
        <v>0.51</v>
      </c>
      <c r="K39" s="2">
        <v>0.56999999999999995</v>
      </c>
      <c r="L39" s="2">
        <v>0.55000000000000004</v>
      </c>
      <c r="M39" s="4"/>
      <c r="N39" s="4"/>
      <c r="O39" s="2">
        <v>0.27</v>
      </c>
      <c r="P39">
        <f t="shared" ref="P39:P45" si="26">AVERAGE(J39:L39)</f>
        <v>0.54333333333333333</v>
      </c>
      <c r="Q39">
        <f t="shared" si="18"/>
        <v>14.100696836446092</v>
      </c>
      <c r="R39">
        <f t="shared" si="19"/>
        <v>6379.400488851481</v>
      </c>
      <c r="S39">
        <f t="shared" si="20"/>
        <v>0.49520429844465058</v>
      </c>
      <c r="T39">
        <f t="shared" si="21"/>
        <v>190.69976161137251</v>
      </c>
      <c r="U39">
        <v>0</v>
      </c>
      <c r="V39">
        <f t="shared" si="22"/>
        <v>1.9439323303911571E-2</v>
      </c>
      <c r="W39">
        <f t="shared" si="23"/>
        <v>5.5385660890248052E-2</v>
      </c>
      <c r="X39">
        <f t="shared" si="24"/>
        <v>14.048543877693211</v>
      </c>
    </row>
    <row r="40" spans="1:24" x14ac:dyDescent="0.55000000000000004">
      <c r="A40">
        <v>9</v>
      </c>
      <c r="B40" s="2" t="s">
        <v>10</v>
      </c>
      <c r="C40" s="2">
        <f t="shared" si="25"/>
        <v>7.1185022532565118E-3</v>
      </c>
      <c r="D40" s="2"/>
      <c r="E40" s="2"/>
      <c r="F40" s="2"/>
      <c r="G40" s="2"/>
      <c r="H40" s="2"/>
      <c r="I40" s="3"/>
      <c r="J40" s="2">
        <v>0.18</v>
      </c>
      <c r="K40" s="2">
        <v>0.17</v>
      </c>
      <c r="L40" s="2">
        <v>0.15</v>
      </c>
      <c r="M40" s="4"/>
      <c r="N40" s="4"/>
      <c r="O40" s="2">
        <v>7.0000000000000007E-2</v>
      </c>
      <c r="P40">
        <f t="shared" si="26"/>
        <v>0.16666666666666666</v>
      </c>
      <c r="Q40">
        <f t="shared" si="18"/>
        <v>14.048543877693211</v>
      </c>
      <c r="R40">
        <f t="shared" si="19"/>
        <v>6355.8055832647424</v>
      </c>
      <c r="S40">
        <f t="shared" si="20"/>
        <v>0.49523941034896779</v>
      </c>
      <c r="T40">
        <f t="shared" si="21"/>
        <v>44.835428909300916</v>
      </c>
      <c r="U40">
        <f>$D$3*((Q40^2)/(2*9.81))</f>
        <v>6.9408508515593912</v>
      </c>
      <c r="V40">
        <f t="shared" si="22"/>
        <v>5.2779082325035993E-3</v>
      </c>
      <c r="W40">
        <f t="shared" si="23"/>
        <v>1.6989466530750934E-2</v>
      </c>
      <c r="X40">
        <f t="shared" si="24"/>
        <v>14.03298611096784</v>
      </c>
    </row>
    <row r="41" spans="1:24" x14ac:dyDescent="0.55000000000000004">
      <c r="A41">
        <v>9</v>
      </c>
      <c r="B41" s="2" t="s">
        <v>0</v>
      </c>
      <c r="C41" s="2">
        <f t="shared" si="25"/>
        <v>7.1106190164987124E-3</v>
      </c>
      <c r="D41" s="2"/>
      <c r="E41" s="2"/>
      <c r="F41" s="2"/>
      <c r="G41" s="2"/>
      <c r="H41" s="2"/>
      <c r="I41" s="3"/>
      <c r="J41" s="2">
        <v>7.0000000000000007E-2</v>
      </c>
      <c r="K41" s="2">
        <v>0.08</v>
      </c>
      <c r="L41" s="2">
        <v>0.06</v>
      </c>
      <c r="M41" s="4"/>
      <c r="N41" s="4"/>
      <c r="O41" s="2">
        <v>0.05</v>
      </c>
      <c r="P41">
        <f t="shared" si="26"/>
        <v>7.0000000000000007E-2</v>
      </c>
      <c r="Q41">
        <f t="shared" si="18"/>
        <v>14.03298611096784</v>
      </c>
      <c r="R41">
        <f t="shared" si="19"/>
        <v>6348.7669790167065</v>
      </c>
      <c r="S41">
        <f t="shared" si="20"/>
        <v>0.49524993152944002</v>
      </c>
      <c r="T41">
        <f t="shared" si="21"/>
        <v>44.737130179178116</v>
      </c>
      <c r="U41">
        <f>($I$2*(Q41^2)/(2*9.81))+($I$3*(Q41^2)/(2*9.81))+($I$4*(Q41^2)/(2*9.81))</f>
        <v>1.0402468797299089</v>
      </c>
      <c r="V41">
        <f t="shared" si="22"/>
        <v>4.6663992924473006E-3</v>
      </c>
      <c r="W41">
        <f t="shared" si="23"/>
        <v>7.1355759429153924E-3</v>
      </c>
      <c r="X41">
        <f t="shared" si="24"/>
        <v>14.024733310708569</v>
      </c>
    </row>
    <row r="42" spans="1:24" x14ac:dyDescent="0.55000000000000004">
      <c r="A42">
        <v>9</v>
      </c>
      <c r="B42" s="2" t="s">
        <v>20</v>
      </c>
      <c r="C42" s="2">
        <f t="shared" si="25"/>
        <v>7.1064372608838416E-3</v>
      </c>
      <c r="D42" s="2"/>
      <c r="E42" s="2"/>
      <c r="F42" s="2"/>
      <c r="G42" s="2"/>
      <c r="H42" s="2"/>
      <c r="I42" s="3"/>
      <c r="J42" s="2">
        <v>0.24</v>
      </c>
      <c r="K42" s="2">
        <v>0.19</v>
      </c>
      <c r="L42" s="2">
        <v>0.27</v>
      </c>
      <c r="M42" s="4"/>
      <c r="N42" s="4"/>
      <c r="O42" s="2">
        <v>0.15</v>
      </c>
      <c r="P42">
        <f t="shared" si="26"/>
        <v>0.23333333333333331</v>
      </c>
      <c r="Q42">
        <f t="shared" si="18"/>
        <v>14.024733310708569</v>
      </c>
      <c r="R42">
        <f t="shared" si="19"/>
        <v>6345.0332686462862</v>
      </c>
      <c r="S42">
        <f t="shared" si="20"/>
        <v>0.49525552141293705</v>
      </c>
      <c r="T42">
        <f t="shared" si="21"/>
        <v>44.685030186352392</v>
      </c>
      <c r="U42">
        <f>$D$5*((Q42^2)/(2*9.81))</f>
        <v>70.17594347887308</v>
      </c>
      <c r="V42">
        <f t="shared" si="22"/>
        <v>1.1708560006648876E-2</v>
      </c>
      <c r="W42">
        <f t="shared" si="23"/>
        <v>2.3785253143051306E-2</v>
      </c>
      <c r="X42">
        <f t="shared" si="24"/>
        <v>13.999884136038464</v>
      </c>
    </row>
    <row r="43" spans="1:24" x14ac:dyDescent="0.55000000000000004">
      <c r="A43">
        <v>18</v>
      </c>
      <c r="B43" s="2" t="s">
        <v>43</v>
      </c>
      <c r="C43" s="2">
        <f t="shared" si="25"/>
        <v>7.0938459982290997E-3</v>
      </c>
      <c r="D43" s="2"/>
      <c r="E43" s="2"/>
      <c r="F43" s="2"/>
      <c r="G43" s="2"/>
      <c r="H43" s="2"/>
      <c r="I43" s="3"/>
      <c r="J43" s="2">
        <v>0.11</v>
      </c>
      <c r="K43" s="2">
        <v>0.09</v>
      </c>
      <c r="L43" s="2">
        <v>0.1</v>
      </c>
      <c r="M43" s="4"/>
      <c r="N43" s="4"/>
      <c r="O43" s="2">
        <v>0.05</v>
      </c>
      <c r="P43">
        <f t="shared" si="26"/>
        <v>0.10000000000000002</v>
      </c>
      <c r="Q43">
        <f t="shared" si="18"/>
        <v>13.999884136038464</v>
      </c>
      <c r="R43">
        <f t="shared" si="19"/>
        <v>6333.7910698474097</v>
      </c>
      <c r="S43">
        <f t="shared" si="20"/>
        <v>0.49527238950168612</v>
      </c>
      <c r="T43">
        <f t="shared" si="21"/>
        <v>89.056680358521831</v>
      </c>
      <c r="U43">
        <f>($D$3*((Q43^2)/(2*9.81)))</f>
        <v>6.8928522689870535</v>
      </c>
      <c r="V43">
        <f t="shared" si="22"/>
        <v>9.7807882392975422E-3</v>
      </c>
      <c r="W43">
        <f t="shared" si="23"/>
        <v>1.0193679918450563E-2</v>
      </c>
      <c r="X43">
        <f t="shared" si="24"/>
        <v>13.9858806214427</v>
      </c>
    </row>
    <row r="44" spans="1:24" x14ac:dyDescent="0.55000000000000004">
      <c r="A44">
        <v>9</v>
      </c>
      <c r="B44" s="2" t="s">
        <v>44</v>
      </c>
      <c r="C44" s="2">
        <f t="shared" si="25"/>
        <v>7.0867503126497752E-3</v>
      </c>
      <c r="D44" s="2"/>
      <c r="E44" s="2"/>
      <c r="F44" s="2"/>
      <c r="G44" s="2"/>
      <c r="H44" s="2"/>
      <c r="I44" s="3"/>
      <c r="J44" s="2">
        <v>0.14000000000000001</v>
      </c>
      <c r="K44" s="2">
        <v>0.12</v>
      </c>
      <c r="L44" s="2">
        <v>7.0000000000000007E-2</v>
      </c>
      <c r="M44" s="4"/>
      <c r="N44" s="4"/>
      <c r="O44" s="2">
        <v>0.35</v>
      </c>
      <c r="P44">
        <f t="shared" si="26"/>
        <v>0.11</v>
      </c>
      <c r="Q44">
        <f t="shared" si="18"/>
        <v>13.9858806214427</v>
      </c>
      <c r="R44">
        <f t="shared" si="19"/>
        <v>6327.4556362944413</v>
      </c>
      <c r="S44">
        <f t="shared" si="20"/>
        <v>0.49528191987153269</v>
      </c>
      <c r="T44">
        <f t="shared" si="21"/>
        <v>44.440160087580345</v>
      </c>
      <c r="U44">
        <f>($D$4*((Q44^2)/(2*9.81)))</f>
        <v>11.963599801666447</v>
      </c>
      <c r="V44">
        <f t="shared" si="22"/>
        <v>5.7496187450812222E-3</v>
      </c>
      <c r="W44">
        <f t="shared" si="23"/>
        <v>1.1213047910295617E-2</v>
      </c>
      <c r="X44">
        <f t="shared" si="24"/>
        <v>13.973977573957528</v>
      </c>
    </row>
    <row r="45" spans="1:24" x14ac:dyDescent="0.55000000000000004">
      <c r="B45" s="2" t="s">
        <v>45</v>
      </c>
      <c r="C45" s="2"/>
      <c r="D45" s="2"/>
      <c r="E45" s="2"/>
      <c r="F45" s="2"/>
      <c r="G45" s="2"/>
      <c r="H45" s="2"/>
      <c r="I45" s="3"/>
      <c r="J45" s="2">
        <v>0.11</v>
      </c>
      <c r="K45" s="2">
        <v>0.13</v>
      </c>
      <c r="L45" s="2">
        <v>0.11</v>
      </c>
      <c r="M45" s="4"/>
      <c r="N45" s="4"/>
      <c r="O45" s="2">
        <v>0.06</v>
      </c>
      <c r="P45">
        <f t="shared" si="26"/>
        <v>0.11666666666666665</v>
      </c>
    </row>
    <row r="47" spans="1:24" x14ac:dyDescent="0.55000000000000004">
      <c r="A47" s="7" t="s">
        <v>23</v>
      </c>
      <c r="B47" s="1" t="s">
        <v>49</v>
      </c>
      <c r="C47" s="1" t="s">
        <v>47</v>
      </c>
      <c r="D47" s="1" t="s">
        <v>26</v>
      </c>
      <c r="E47" s="1" t="s">
        <v>27</v>
      </c>
      <c r="F47" s="1" t="s">
        <v>28</v>
      </c>
      <c r="G47" s="1" t="s">
        <v>29</v>
      </c>
      <c r="H47" s="1" t="s">
        <v>30</v>
      </c>
      <c r="I47" s="3"/>
      <c r="J47" s="1" t="s">
        <v>31</v>
      </c>
      <c r="K47" s="1" t="s">
        <v>32</v>
      </c>
      <c r="L47" s="1" t="s">
        <v>33</v>
      </c>
      <c r="M47" s="1" t="s">
        <v>34</v>
      </c>
      <c r="N47" s="1" t="s">
        <v>35</v>
      </c>
      <c r="O47" s="1" t="s">
        <v>30</v>
      </c>
      <c r="P47" s="6" t="s">
        <v>36</v>
      </c>
      <c r="Q47" s="6" t="s">
        <v>58</v>
      </c>
      <c r="R47" s="6" t="s">
        <v>37</v>
      </c>
      <c r="S47" s="6" t="s">
        <v>38</v>
      </c>
      <c r="T47" s="6" t="s">
        <v>39</v>
      </c>
      <c r="U47" s="6" t="s">
        <v>40</v>
      </c>
      <c r="V47" s="6" t="s">
        <v>56</v>
      </c>
      <c r="W47" s="6" t="s">
        <v>57</v>
      </c>
      <c r="X47" s="6" t="s">
        <v>59</v>
      </c>
    </row>
    <row r="48" spans="1:24" x14ac:dyDescent="0.55000000000000004">
      <c r="A48">
        <v>38</v>
      </c>
      <c r="B48" s="2" t="s">
        <v>41</v>
      </c>
      <c r="C48" s="2">
        <f>1.16*0.0037854118</f>
        <v>4.391077688E-3</v>
      </c>
      <c r="D48" s="2"/>
      <c r="E48" s="2"/>
      <c r="F48" s="2"/>
      <c r="G48" s="2"/>
      <c r="H48" s="2"/>
      <c r="I48" s="3"/>
      <c r="J48" s="2">
        <v>0.05</v>
      </c>
      <c r="K48" s="2">
        <v>0.04</v>
      </c>
      <c r="L48" s="2">
        <v>7.0000000000000007E-2</v>
      </c>
      <c r="M48" s="4"/>
      <c r="N48" s="4"/>
      <c r="O48" s="2">
        <v>0.05</v>
      </c>
      <c r="P48">
        <f>AVERAGE(J48:L48)</f>
        <v>5.3333333333333337E-2</v>
      </c>
      <c r="Q48">
        <f t="shared" ref="Q48:Q54" si="27">C48/$L$3</f>
        <v>8.6659026541723776</v>
      </c>
      <c r="R48">
        <f t="shared" ref="R48:R54" si="28">($P$2*Q48*$L$3)/$P$4</f>
        <v>3920.6050785714283</v>
      </c>
      <c r="S48">
        <f t="shared" ref="S48:S54" si="29">(-1.8*LOG10((((($D$2*10^(-3))/0.0254)/3.7)^1.11)+6.9/R48))^(-1/2)</f>
        <v>0.50089145161140536</v>
      </c>
      <c r="T48">
        <f t="shared" ref="T48:T54" si="30">(S48*(A48*0.0254)*Q48^2)/((0.0254)*2*9.81)</f>
        <v>72.854406719394632</v>
      </c>
      <c r="U48">
        <v>0</v>
      </c>
      <c r="V48">
        <f t="shared" ref="V48:V54" si="31">(T48+U48)/$P$6</f>
        <v>7.4265450274612265E-3</v>
      </c>
      <c r="W48">
        <f t="shared" ref="W48:W54" si="32">(P48*10^3)/$P$6</f>
        <v>5.4366292898402994E-3</v>
      </c>
      <c r="X48">
        <f t="shared" ref="X48:X54" si="33">SQRT(2*9.81*(((Q48^2)/(2*9.81))-((P48*10^3)/$P$6)-V48))</f>
        <v>8.6513289922119139</v>
      </c>
    </row>
    <row r="49" spans="1:24" x14ac:dyDescent="0.55000000000000004">
      <c r="A49">
        <v>38</v>
      </c>
      <c r="B49" s="2" t="s">
        <v>42</v>
      </c>
      <c r="C49" s="2">
        <f t="shared" ref="C49:C54" si="34">X48*$L$3</f>
        <v>4.3836931044867944E-3</v>
      </c>
      <c r="D49" s="2"/>
      <c r="E49" s="2"/>
      <c r="F49" s="2"/>
      <c r="G49" s="2"/>
      <c r="H49" s="2"/>
      <c r="I49" s="3"/>
      <c r="J49" s="2">
        <v>0.46</v>
      </c>
      <c r="K49" s="2">
        <v>0.51</v>
      </c>
      <c r="L49" s="2">
        <v>0.42</v>
      </c>
      <c r="M49" s="4"/>
      <c r="N49" s="4"/>
      <c r="O49" s="2">
        <v>0.17</v>
      </c>
      <c r="P49">
        <f t="shared" ref="P49:P55" si="35">AVERAGE(J49:L49)</f>
        <v>0.46333333333333332</v>
      </c>
      <c r="Q49">
        <f t="shared" si="27"/>
        <v>8.6513289922119139</v>
      </c>
      <c r="R49">
        <f t="shared" si="28"/>
        <v>3914.0117004346375</v>
      </c>
      <c r="S49">
        <f t="shared" si="29"/>
        <v>0.5009153013966593</v>
      </c>
      <c r="T49">
        <f t="shared" si="30"/>
        <v>72.613027946599388</v>
      </c>
      <c r="U49">
        <v>0</v>
      </c>
      <c r="V49">
        <f t="shared" si="31"/>
        <v>7.401939647971395E-3</v>
      </c>
      <c r="W49">
        <f t="shared" si="32"/>
        <v>4.7230716955487598E-2</v>
      </c>
      <c r="X49">
        <f t="shared" si="33"/>
        <v>8.5891559893231975</v>
      </c>
    </row>
    <row r="50" spans="1:24" x14ac:dyDescent="0.55000000000000004">
      <c r="A50">
        <v>9</v>
      </c>
      <c r="B50" s="2" t="s">
        <v>10</v>
      </c>
      <c r="C50" s="2">
        <f t="shared" si="34"/>
        <v>4.3521895789251312E-3</v>
      </c>
      <c r="D50" s="2"/>
      <c r="E50" s="2"/>
      <c r="F50" s="2"/>
      <c r="G50" s="2"/>
      <c r="H50" s="2"/>
      <c r="I50" s="3"/>
      <c r="J50" s="2">
        <v>0.15</v>
      </c>
      <c r="K50" s="2">
        <v>0.17</v>
      </c>
      <c r="L50" s="2">
        <v>0.13</v>
      </c>
      <c r="M50" s="4"/>
      <c r="N50" s="4"/>
      <c r="O50" s="2">
        <v>0.09</v>
      </c>
      <c r="P50">
        <f t="shared" si="35"/>
        <v>0.15</v>
      </c>
      <c r="Q50">
        <f t="shared" si="27"/>
        <v>8.5891559893231975</v>
      </c>
      <c r="R50">
        <f t="shared" si="28"/>
        <v>3885.8835526117236</v>
      </c>
      <c r="S50">
        <f t="shared" si="29"/>
        <v>0.50101786343085863</v>
      </c>
      <c r="T50">
        <f t="shared" si="30"/>
        <v>16.954996217745816</v>
      </c>
      <c r="U50">
        <f>$D$3*((Q50^2)/(2*9.81))</f>
        <v>2.5944844250845729</v>
      </c>
      <c r="V50">
        <f t="shared" si="31"/>
        <v>1.9928114824495809E-3</v>
      </c>
      <c r="W50">
        <f t="shared" si="32"/>
        <v>1.5290519877675841E-2</v>
      </c>
      <c r="X50">
        <f t="shared" si="33"/>
        <v>8.5693933068590624</v>
      </c>
    </row>
    <row r="51" spans="1:24" x14ac:dyDescent="0.55000000000000004">
      <c r="A51">
        <v>9</v>
      </c>
      <c r="B51" s="2" t="s">
        <v>0</v>
      </c>
      <c r="C51" s="2">
        <f t="shared" si="34"/>
        <v>4.342175679913525E-3</v>
      </c>
      <c r="D51" s="2"/>
      <c r="E51" s="2"/>
      <c r="F51" s="2"/>
      <c r="G51" s="2"/>
      <c r="H51" s="2"/>
      <c r="I51" s="3"/>
      <c r="J51" s="2">
        <v>0.06</v>
      </c>
      <c r="K51" s="2">
        <v>0.08</v>
      </c>
      <c r="L51" s="2">
        <v>7.0000000000000007E-2</v>
      </c>
      <c r="M51" s="4"/>
      <c r="N51" s="4"/>
      <c r="O51" s="2">
        <v>0.05</v>
      </c>
      <c r="P51">
        <f t="shared" si="35"/>
        <v>7.0000000000000007E-2</v>
      </c>
      <c r="Q51">
        <f t="shared" si="27"/>
        <v>8.5693933068590624</v>
      </c>
      <c r="R51">
        <f t="shared" si="28"/>
        <v>3876.9425713513619</v>
      </c>
      <c r="S51">
        <f t="shared" si="29"/>
        <v>0.50105074414094775</v>
      </c>
      <c r="T51">
        <f t="shared" si="30"/>
        <v>16.878170502830333</v>
      </c>
      <c r="U51">
        <f>($I$2*(Q51^2)/(2*9.81))+($I$3*(Q51^2)/(2*9.81))+($I$4*(Q51^2)/(2*9.81))</f>
        <v>0.38791482997029447</v>
      </c>
      <c r="V51">
        <f t="shared" si="31"/>
        <v>1.7600494732722353E-3</v>
      </c>
      <c r="W51">
        <f t="shared" si="32"/>
        <v>7.1355759429153924E-3</v>
      </c>
      <c r="X51">
        <f t="shared" si="33"/>
        <v>8.5592037875596407</v>
      </c>
    </row>
    <row r="52" spans="1:24" x14ac:dyDescent="0.55000000000000004">
      <c r="A52">
        <v>9</v>
      </c>
      <c r="B52" s="2" t="s">
        <v>20</v>
      </c>
      <c r="C52" s="2">
        <f t="shared" si="34"/>
        <v>4.3370125742761001E-3</v>
      </c>
      <c r="D52" s="2"/>
      <c r="E52" s="2"/>
      <c r="F52" s="2"/>
      <c r="G52" s="2"/>
      <c r="H52" s="2"/>
      <c r="I52" s="3"/>
      <c r="J52" s="2">
        <v>0.14000000000000001</v>
      </c>
      <c r="K52" s="2">
        <v>0.11</v>
      </c>
      <c r="L52" s="2">
        <v>0.15</v>
      </c>
      <c r="M52" s="4"/>
      <c r="N52" s="4"/>
      <c r="O52" s="2">
        <v>0.21</v>
      </c>
      <c r="P52">
        <f t="shared" si="35"/>
        <v>0.13333333333333333</v>
      </c>
      <c r="Q52">
        <f t="shared" si="27"/>
        <v>8.5592037875596407</v>
      </c>
      <c r="R52">
        <f t="shared" si="28"/>
        <v>3872.3326556036604</v>
      </c>
      <c r="S52">
        <f t="shared" si="29"/>
        <v>0.50106775047259022</v>
      </c>
      <c r="T52">
        <f t="shared" si="30"/>
        <v>16.838627571338822</v>
      </c>
      <c r="U52">
        <f>$D$5*((Q52^2)/(2*9.81))</f>
        <v>26.137603788931045</v>
      </c>
      <c r="V52">
        <f t="shared" si="31"/>
        <v>4.3808594658786811E-3</v>
      </c>
      <c r="W52">
        <f t="shared" si="32"/>
        <v>1.3591573224600749E-2</v>
      </c>
      <c r="X52">
        <f t="shared" si="33"/>
        <v>8.5385801130860219</v>
      </c>
    </row>
    <row r="53" spans="1:24" x14ac:dyDescent="0.55000000000000004">
      <c r="A53">
        <v>18</v>
      </c>
      <c r="B53" s="2" t="s">
        <v>43</v>
      </c>
      <c r="C53" s="2">
        <f t="shared" si="34"/>
        <v>4.3265624041738445E-3</v>
      </c>
      <c r="D53" s="2"/>
      <c r="E53" s="2"/>
      <c r="F53" s="2"/>
      <c r="G53" s="2"/>
      <c r="H53" s="2"/>
      <c r="I53" s="3"/>
      <c r="J53" s="2">
        <v>0.08</v>
      </c>
      <c r="K53" s="2">
        <v>7.0000000000000007E-2</v>
      </c>
      <c r="L53" s="2">
        <v>0.08</v>
      </c>
      <c r="M53" s="4"/>
      <c r="N53" s="4"/>
      <c r="O53" s="2">
        <v>0.05</v>
      </c>
      <c r="P53">
        <f t="shared" si="35"/>
        <v>7.6666666666666675E-2</v>
      </c>
      <c r="Q53">
        <f t="shared" si="27"/>
        <v>8.5385801130860219</v>
      </c>
      <c r="R53">
        <f t="shared" si="28"/>
        <v>3863.0021465837895</v>
      </c>
      <c r="S53">
        <f t="shared" si="29"/>
        <v>0.50110228287723446</v>
      </c>
      <c r="T53">
        <f t="shared" si="30"/>
        <v>33.517467612574983</v>
      </c>
      <c r="U53">
        <f>($D$3*((Q53^2)/(2*9.81)))</f>
        <v>2.5640199663524865</v>
      </c>
      <c r="V53">
        <f t="shared" si="31"/>
        <v>3.6780313536113633E-3</v>
      </c>
      <c r="W53">
        <f t="shared" si="32"/>
        <v>7.8151546041454311E-3</v>
      </c>
      <c r="X53">
        <f t="shared" si="33"/>
        <v>8.5253653317084854</v>
      </c>
    </row>
    <row r="54" spans="1:24" x14ac:dyDescent="0.55000000000000004">
      <c r="A54">
        <v>9</v>
      </c>
      <c r="B54" s="2" t="s">
        <v>44</v>
      </c>
      <c r="C54" s="2">
        <f t="shared" si="34"/>
        <v>4.3198663756152085E-3</v>
      </c>
      <c r="D54" s="2"/>
      <c r="E54" s="2"/>
      <c r="F54" s="2"/>
      <c r="G54" s="2"/>
      <c r="H54" s="2"/>
      <c r="I54" s="3"/>
      <c r="J54" s="2">
        <v>0.06</v>
      </c>
      <c r="K54" s="2">
        <v>0.09</v>
      </c>
      <c r="L54" s="2">
        <v>0.14000000000000001</v>
      </c>
      <c r="M54" s="4"/>
      <c r="N54" s="4"/>
      <c r="O54" s="2">
        <v>0.44</v>
      </c>
      <c r="P54">
        <f t="shared" si="35"/>
        <v>9.6666666666666679E-2</v>
      </c>
      <c r="Q54">
        <f t="shared" si="27"/>
        <v>8.5253653317084854</v>
      </c>
      <c r="R54">
        <f t="shared" si="28"/>
        <v>3857.0235496564364</v>
      </c>
      <c r="S54">
        <f t="shared" si="29"/>
        <v>0.50112448857249936</v>
      </c>
      <c r="T54">
        <f t="shared" si="30"/>
        <v>16.707640795341053</v>
      </c>
      <c r="U54">
        <f>($D$4*((Q54^2)/(2*9.81)))</f>
        <v>4.4453733357245824</v>
      </c>
      <c r="V54">
        <f t="shared" si="31"/>
        <v>2.1562705536254472E-3</v>
      </c>
      <c r="W54">
        <f t="shared" si="32"/>
        <v>9.8538905878355447E-3</v>
      </c>
      <c r="X54">
        <f t="shared" si="33"/>
        <v>8.5115342140827632</v>
      </c>
    </row>
    <row r="55" spans="1:24" x14ac:dyDescent="0.55000000000000004">
      <c r="B55" s="2" t="s">
        <v>45</v>
      </c>
      <c r="C55" s="2"/>
      <c r="D55" s="2"/>
      <c r="E55" s="2"/>
      <c r="F55" s="2"/>
      <c r="G55" s="2"/>
      <c r="H55" s="2"/>
      <c r="I55" s="3"/>
      <c r="J55" s="2">
        <v>0.09</v>
      </c>
      <c r="K55" s="2">
        <v>7.0000000000000007E-2</v>
      </c>
      <c r="L55" s="2">
        <v>0.08</v>
      </c>
      <c r="M55" s="4"/>
      <c r="N55" s="4"/>
      <c r="O55" s="2">
        <v>7.0000000000000007E-2</v>
      </c>
      <c r="P55">
        <f t="shared" si="35"/>
        <v>0.08</v>
      </c>
    </row>
    <row r="57" spans="1:24" x14ac:dyDescent="0.55000000000000004">
      <c r="A57" s="7" t="s">
        <v>23</v>
      </c>
      <c r="B57" s="1" t="s">
        <v>50</v>
      </c>
      <c r="C57" s="1" t="s">
        <v>47</v>
      </c>
      <c r="D57" s="1" t="s">
        <v>26</v>
      </c>
      <c r="E57" s="1" t="s">
        <v>27</v>
      </c>
      <c r="F57" s="1" t="s">
        <v>28</v>
      </c>
      <c r="G57" s="1" t="s">
        <v>29</v>
      </c>
      <c r="H57" s="1" t="s">
        <v>30</v>
      </c>
      <c r="I57" s="3"/>
      <c r="J57" s="1" t="s">
        <v>31</v>
      </c>
      <c r="K57" s="1" t="s">
        <v>32</v>
      </c>
      <c r="L57" s="1" t="s">
        <v>33</v>
      </c>
      <c r="M57" s="1" t="s">
        <v>34</v>
      </c>
      <c r="N57" s="1" t="s">
        <v>35</v>
      </c>
      <c r="O57" s="1" t="s">
        <v>30</v>
      </c>
      <c r="P57" s="6" t="s">
        <v>36</v>
      </c>
      <c r="Q57" s="6" t="s">
        <v>58</v>
      </c>
      <c r="R57" s="6" t="s">
        <v>37</v>
      </c>
      <c r="S57" s="6" t="s">
        <v>38</v>
      </c>
      <c r="T57" s="6" t="s">
        <v>39</v>
      </c>
      <c r="U57" s="6" t="s">
        <v>40</v>
      </c>
      <c r="V57" s="6" t="s">
        <v>56</v>
      </c>
      <c r="W57" s="6" t="s">
        <v>57</v>
      </c>
      <c r="X57" s="6" t="s">
        <v>59</v>
      </c>
    </row>
    <row r="58" spans="1:24" x14ac:dyDescent="0.55000000000000004">
      <c r="A58">
        <v>38</v>
      </c>
      <c r="B58" s="2" t="s">
        <v>41</v>
      </c>
      <c r="C58" s="2">
        <f>4.19*0.0037854118</f>
        <v>1.5860875442000003E-2</v>
      </c>
      <c r="D58" s="2"/>
      <c r="E58" s="2"/>
      <c r="F58" s="2"/>
      <c r="G58" s="2"/>
      <c r="H58" s="2"/>
      <c r="I58" s="3"/>
      <c r="J58" s="2">
        <v>0.17</v>
      </c>
      <c r="K58" s="2">
        <v>0.19</v>
      </c>
      <c r="L58" s="2">
        <v>0.16</v>
      </c>
      <c r="M58" s="4"/>
      <c r="N58" s="4"/>
      <c r="O58" s="2">
        <v>0.06</v>
      </c>
      <c r="P58">
        <f>AVERAGE(J58:L58)</f>
        <v>0.17333333333333334</v>
      </c>
      <c r="Q58">
        <f>C58/$L$3</f>
        <v>31.301838035329542</v>
      </c>
      <c r="R58">
        <f>($P$2*Q58*$L$3)/$P$4</f>
        <v>14161.495930357143</v>
      </c>
      <c r="S58">
        <f>(-1.8*LOG10((((($D$2*10^(-3))/0.0254)/3.7)^1.11)+6.9/R58))^(-1/2)</f>
        <v>0.48978822522923393</v>
      </c>
      <c r="T58">
        <f>(S58*(A58*0.0254)*Q58^2)/((0.0254)*2*9.81)</f>
        <v>929.46408640221239</v>
      </c>
      <c r="U58">
        <v>0</v>
      </c>
      <c r="V58">
        <f>(T58+U58)/$P$6</f>
        <v>9.4746593924792288E-2</v>
      </c>
      <c r="W58">
        <f>(P58*10^3)/$P$6</f>
        <v>1.7669045191980974E-2</v>
      </c>
      <c r="X58">
        <f>SQRT(2*9.81*(((Q58^2)/(2*9.81))-((P58*10^3)/$P$6)-V58))</f>
        <v>31.266587110692658</v>
      </c>
    </row>
    <row r="59" spans="1:24" x14ac:dyDescent="0.55000000000000004">
      <c r="A59">
        <v>38</v>
      </c>
      <c r="B59" s="2" t="s">
        <v>42</v>
      </c>
      <c r="C59" s="2">
        <f>X58*$L$3</f>
        <v>1.5843013534841389E-2</v>
      </c>
      <c r="D59" s="2"/>
      <c r="E59" s="2"/>
      <c r="F59" s="2"/>
      <c r="G59" s="2"/>
      <c r="H59" s="2"/>
      <c r="I59" s="3"/>
      <c r="J59" s="2">
        <v>0.75</v>
      </c>
      <c r="K59" s="2">
        <v>0.86</v>
      </c>
      <c r="L59" s="2">
        <v>0.8</v>
      </c>
      <c r="M59" s="4"/>
      <c r="N59" s="4"/>
      <c r="O59" s="2">
        <v>0.17</v>
      </c>
      <c r="P59">
        <f t="shared" ref="P59:P65" si="36">AVERAGE(J59:L59)</f>
        <v>0.80333333333333334</v>
      </c>
      <c r="Q59">
        <f>C59/$L$3</f>
        <v>31.266587110692655</v>
      </c>
      <c r="R59">
        <f>($P$2*Q59*$L$3)/$P$4</f>
        <v>14145.547798965523</v>
      </c>
      <c r="S59">
        <f>(-1.8*LOG10((((($D$2*10^(-3))/0.0254)/3.7)^1.11)+6.9/R59))^(-1/2)</f>
        <v>0.48979344577808592</v>
      </c>
      <c r="T59">
        <f>(S59*(A59*0.0254)*Q59^2)/((0.0254)*2*9.81)</f>
        <v>927.38169651964279</v>
      </c>
      <c r="U59">
        <v>0</v>
      </c>
      <c r="V59">
        <f>(T59+U59)/$P$6</f>
        <v>9.4534321765508952E-2</v>
      </c>
      <c r="W59">
        <f>(P59*10^3)/$P$6</f>
        <v>8.1889228678219503E-2</v>
      </c>
      <c r="X59">
        <f>SQRT(2*9.81*(((Q59^2)/(2*9.81))-((P59*10^3)/$P$6)-V59))</f>
        <v>31.211184525596366</v>
      </c>
    </row>
    <row r="60" spans="1:24" x14ac:dyDescent="0.55000000000000004">
      <c r="A60">
        <v>9</v>
      </c>
      <c r="B60" s="2" t="s">
        <v>10</v>
      </c>
      <c r="C60" s="2">
        <f>X59*$L$3</f>
        <v>1.5814940630611764E-2</v>
      </c>
      <c r="D60" s="2"/>
      <c r="E60" s="2"/>
      <c r="F60" s="2"/>
      <c r="G60" s="2"/>
      <c r="H60" s="2"/>
      <c r="I60" s="3"/>
      <c r="J60" s="2">
        <v>0.27</v>
      </c>
      <c r="K60" s="2">
        <v>0.22</v>
      </c>
      <c r="L60" s="2">
        <v>0.24</v>
      </c>
      <c r="M60" s="4"/>
      <c r="N60" s="4"/>
      <c r="O60" s="2">
        <v>0.08</v>
      </c>
      <c r="P60">
        <f t="shared" si="36"/>
        <v>0.24333333333333332</v>
      </c>
      <c r="Q60">
        <f>C60/$L$3</f>
        <v>31.211184525596366</v>
      </c>
      <c r="R60">
        <f>($P$2*Q60*$L$3)/$P$4</f>
        <v>14120.48270590336</v>
      </c>
      <c r="S60">
        <f>(-1.8*LOG10((((($D$2*10^(-3))/0.0254)/3.7)^1.11)+6.9/R60))^(-1/2)</f>
        <v>0.48980167368879957</v>
      </c>
      <c r="T60">
        <f>(S60*(A60*0.0254)*Q60^2)/((0.0254)*2*9.81)</f>
        <v>218.86901015895984</v>
      </c>
      <c r="U60">
        <f>$D$3*((Q60^2)/(2*9.81))</f>
        <v>34.258677229799687</v>
      </c>
      <c r="V60">
        <f>(T60+U60)/$P$6</f>
        <v>2.5803026237386291E-2</v>
      </c>
      <c r="W60">
        <f>(P60*10^3)/$P$6</f>
        <v>2.4804621134896364E-2</v>
      </c>
      <c r="X60">
        <f>SQRT(2*9.81*(((Q60^2)/(2*9.81))-((P60*10^3)/$P$6)-V60))</f>
        <v>31.195273960159124</v>
      </c>
    </row>
    <row r="61" spans="1:24" x14ac:dyDescent="0.55000000000000004">
      <c r="A61">
        <v>9</v>
      </c>
      <c r="B61" s="2" t="s">
        <v>0</v>
      </c>
      <c r="C61" s="2">
        <f>X60*$L$3</f>
        <v>1.5806878628108045E-2</v>
      </c>
      <c r="D61" s="2"/>
      <c r="E61" s="2"/>
      <c r="F61" s="2"/>
      <c r="G61" s="2"/>
      <c r="H61" s="2"/>
      <c r="I61" s="3"/>
      <c r="J61" s="2">
        <v>0.11</v>
      </c>
      <c r="K61" s="2">
        <v>0.14000000000000001</v>
      </c>
      <c r="L61" s="2">
        <v>0.12</v>
      </c>
      <c r="M61" s="4"/>
      <c r="N61" s="4"/>
      <c r="O61" s="2">
        <v>0.05</v>
      </c>
      <c r="P61">
        <f t="shared" si="36"/>
        <v>0.12333333333333334</v>
      </c>
      <c r="Q61">
        <f>C61/$L$3</f>
        <v>31.195273960159128</v>
      </c>
      <c r="R61">
        <f>($P$2*Q61*$L$3)/$P$4</f>
        <v>14113.284489382182</v>
      </c>
      <c r="S61">
        <f>(-1.8*LOG10((((($D$2*10^(-3))/0.0254)/3.7)^1.11)+6.9/R61))^(-1/2)</f>
        <v>0.48980404179309367</v>
      </c>
      <c r="T61">
        <f>(S61*(A61*0.0254)*Q61^2)/((0.0254)*2*9.81)</f>
        <v>218.64697787978082</v>
      </c>
      <c r="U61">
        <f>($I$2*(Q61^2)/(2*9.81))+($I$3*(Q61^2)/(2*9.81))+($I$4*(Q61^2)/(2*9.81))</f>
        <v>5.1406003214011946</v>
      </c>
      <c r="V61">
        <f>(T61+U61)/$P$6</f>
        <v>2.2812189419080735E-2</v>
      </c>
      <c r="W61">
        <f>(P61*10^3)/$P$6</f>
        <v>1.2572205232755693E-2</v>
      </c>
      <c r="X61">
        <f>SQRT(2*9.81*(((Q61^2)/(2*9.81))-((P61*10^3)/$P$6)-V61))</f>
        <v>31.184144619121962</v>
      </c>
    </row>
    <row r="62" spans="1:24" x14ac:dyDescent="0.55000000000000004">
      <c r="A62">
        <v>9</v>
      </c>
      <c r="B62" s="2" t="s">
        <v>20</v>
      </c>
      <c r="C62" s="2">
        <f>X61*$L$3</f>
        <v>1.5801239307767088E-2</v>
      </c>
      <c r="D62" s="2"/>
      <c r="E62" s="2"/>
      <c r="F62" s="2"/>
      <c r="G62" s="2"/>
      <c r="H62" s="2"/>
      <c r="I62" s="3"/>
      <c r="J62" s="2">
        <v>0.92</v>
      </c>
      <c r="K62" s="2">
        <v>0.88</v>
      </c>
      <c r="L62" s="2">
        <v>0.93</v>
      </c>
      <c r="M62" s="4"/>
      <c r="N62" s="4"/>
      <c r="O62" s="2">
        <v>0.19</v>
      </c>
      <c r="P62">
        <f t="shared" si="36"/>
        <v>0.91</v>
      </c>
      <c r="Q62">
        <f>C62/$L$3</f>
        <v>31.184144619121966</v>
      </c>
      <c r="R62">
        <f>($P$2*Q62*$L$3)/$P$4</f>
        <v>14108.2493819349</v>
      </c>
      <c r="S62">
        <f>(-1.8*LOG10((((($D$2*10^(-3))/0.0254)/3.7)^1.11)+6.9/R62))^(-1/2)</f>
        <v>0.48980569965135562</v>
      </c>
      <c r="T62">
        <f>(S62*(A62*0.0254)*Q62^2)/((0.0254)*2*9.81)</f>
        <v>218.49173463886234</v>
      </c>
      <c r="U62">
        <f>$D$5*((Q62^2)/(2*9.81))</f>
        <v>346.94985368930651</v>
      </c>
      <c r="V62">
        <f>(T62+U62)/$P$6</f>
        <v>5.7639305639976435E-2</v>
      </c>
      <c r="W62">
        <f>(P62*10^3)/$P$6</f>
        <v>9.2762487257900109E-2</v>
      </c>
      <c r="X62">
        <f>SQRT(2*9.81*(((Q62^2)/(2*9.81))-((P62*10^3)/$P$6)-V62))</f>
        <v>31.136794832635829</v>
      </c>
    </row>
    <row r="63" spans="1:24" x14ac:dyDescent="0.55000000000000004">
      <c r="A63">
        <v>18</v>
      </c>
      <c r="B63" s="2" t="s">
        <v>43</v>
      </c>
      <c r="C63" s="2">
        <f>X62*$L$3</f>
        <v>1.5777246816820894E-2</v>
      </c>
      <c r="D63" s="2"/>
      <c r="E63" s="2"/>
      <c r="F63" s="2"/>
      <c r="G63" s="2"/>
      <c r="H63" s="2"/>
      <c r="I63" s="3"/>
      <c r="J63" s="2">
        <v>0.28999999999999998</v>
      </c>
      <c r="K63" s="2">
        <v>0.28000000000000003</v>
      </c>
      <c r="L63" s="2">
        <v>0.28999999999999998</v>
      </c>
      <c r="M63" s="4"/>
      <c r="N63" s="4"/>
      <c r="O63" s="2">
        <v>0.05</v>
      </c>
      <c r="P63">
        <f t="shared" si="36"/>
        <v>0.28666666666666668</v>
      </c>
      <c r="Q63">
        <f>C63/$L$3</f>
        <v>31.136794832635829</v>
      </c>
      <c r="R63">
        <f>($P$2*Q63*$L$3)/$P$4</f>
        <v>14086.827515018651</v>
      </c>
      <c r="S63">
        <f>(-1.8*LOG10((((($D$2*10^(-3))/0.0254)/3.7)^1.11)+6.9/R63))^(-1/2)</f>
        <v>0.48981276577494798</v>
      </c>
      <c r="T63">
        <f>(S63*(A63*0.0254)*Q63^2)/((0.0254)*2*9.81)</f>
        <v>435.66373644087872</v>
      </c>
      <c r="U63">
        <f>($D$3*((Q63^2)/(2*9.81)))</f>
        <v>34.095565483703538</v>
      </c>
      <c r="V63">
        <f>(T63+U63)/$P$6</f>
        <v>4.7885759625339676E-2</v>
      </c>
      <c r="W63">
        <f>(P63*10^3)/$P$6</f>
        <v>2.9221882432891609E-2</v>
      </c>
      <c r="X63">
        <f>SQRT(2*9.81*(((Q63^2)/(2*9.81))-((P63*10^3)/$P$6)-V63))</f>
        <v>31.112491711730108</v>
      </c>
    </row>
    <row r="64" spans="1:24" x14ac:dyDescent="0.55000000000000004">
      <c r="A64">
        <v>9</v>
      </c>
      <c r="B64" s="2" t="s">
        <v>44</v>
      </c>
      <c r="C64" s="2">
        <f>X63*$L$3</f>
        <v>1.5764932243692555E-2</v>
      </c>
      <c r="D64" s="2"/>
      <c r="E64" s="2"/>
      <c r="F64" s="2"/>
      <c r="G64" s="2"/>
      <c r="H64" s="2"/>
      <c r="I64" s="3"/>
      <c r="J64" s="2">
        <v>0.2</v>
      </c>
      <c r="K64" s="2">
        <v>0.33</v>
      </c>
      <c r="L64" s="2">
        <v>0.24</v>
      </c>
      <c r="M64" s="4"/>
      <c r="N64" s="4"/>
      <c r="O64" s="2">
        <v>0.25</v>
      </c>
      <c r="P64">
        <f t="shared" si="36"/>
        <v>0.25666666666666665</v>
      </c>
      <c r="Q64">
        <f>C64/$L$3</f>
        <v>31.112491711730108</v>
      </c>
      <c r="R64">
        <f>($P$2*Q64*$L$3)/$P$4</f>
        <v>14075.832360439779</v>
      </c>
      <c r="S64">
        <f>(-1.8*LOG10((((($D$2*10^(-3))/0.0254)/3.7)^1.11)+6.9/R64))^(-1/2)</f>
        <v>0.4898164006370227</v>
      </c>
      <c r="T64">
        <f>(S64*(A64*0.0254)*Q64^2)/((0.0254)*2*9.81)</f>
        <v>217.4935674443781</v>
      </c>
      <c r="U64">
        <f>($D$4*((Q64^2)/(2*9.81)))</f>
        <v>59.204106453362357</v>
      </c>
      <c r="V64">
        <f>(T64+U64)/$P$6</f>
        <v>2.8205675218933787E-2</v>
      </c>
      <c r="W64">
        <f>(P64*10^3)/$P$6</f>
        <v>2.6163778457356436E-2</v>
      </c>
      <c r="X64">
        <f>SQRT(2*9.81*(((Q64^2)/(2*9.81))-((P64*10^3)/$P$6)-V64))</f>
        <v>31.095343893119203</v>
      </c>
    </row>
    <row r="65" spans="2:16" x14ac:dyDescent="0.55000000000000004">
      <c r="B65" s="2" t="s">
        <v>45</v>
      </c>
      <c r="C65" s="2"/>
      <c r="D65" s="2"/>
      <c r="E65" s="2"/>
      <c r="F65" s="2"/>
      <c r="G65" s="2"/>
      <c r="H65" s="2"/>
      <c r="I65" s="3"/>
      <c r="J65" s="2">
        <v>0.36</v>
      </c>
      <c r="K65" s="2">
        <v>0.34</v>
      </c>
      <c r="L65" s="2">
        <v>0.35</v>
      </c>
      <c r="M65" s="4"/>
      <c r="N65" s="4"/>
      <c r="O65" s="2">
        <v>0.06</v>
      </c>
      <c r="P65">
        <f t="shared" si="36"/>
        <v>0.34999999999999992</v>
      </c>
    </row>
    <row r="68" spans="2:16" x14ac:dyDescent="0.55000000000000004">
      <c r="C68" t="s">
        <v>65</v>
      </c>
      <c r="D68" t="s">
        <v>66</v>
      </c>
    </row>
    <row r="69" spans="2:16" x14ac:dyDescent="0.55000000000000004">
      <c r="B69" t="s">
        <v>63</v>
      </c>
    </row>
    <row r="70" spans="2:16" x14ac:dyDescent="0.55000000000000004">
      <c r="B70" t="s">
        <v>60</v>
      </c>
      <c r="C70" t="s">
        <v>61</v>
      </c>
      <c r="D70" t="s">
        <v>62</v>
      </c>
    </row>
    <row r="71" spans="2:16" x14ac:dyDescent="0.55000000000000004">
      <c r="B71" s="8">
        <f>$C$48</f>
        <v>4.391077688E-3</v>
      </c>
      <c r="C71" s="8">
        <f>V$48</f>
        <v>7.4265450274612265E-3</v>
      </c>
      <c r="D71" s="8">
        <f>W48</f>
        <v>5.4366292898402994E-3</v>
      </c>
    </row>
    <row r="72" spans="2:16" x14ac:dyDescent="0.55000000000000004">
      <c r="B72" s="8">
        <f>$C$38</f>
        <v>7.1544283019999997E-3</v>
      </c>
      <c r="C72" s="8">
        <f>V$38</f>
        <v>1.9490555459584235E-2</v>
      </c>
      <c r="D72" s="8">
        <f>W38</f>
        <v>7.4753652735304104E-3</v>
      </c>
    </row>
    <row r="73" spans="2:16" x14ac:dyDescent="0.55000000000000004">
      <c r="B73" s="8">
        <f>$C$58</f>
        <v>1.5860875442000003E-2</v>
      </c>
      <c r="C73" s="8">
        <f>V$58</f>
        <v>9.4746593924792288E-2</v>
      </c>
      <c r="D73" s="8">
        <f>W58</f>
        <v>1.7669045191980974E-2</v>
      </c>
    </row>
    <row r="74" spans="2:16" x14ac:dyDescent="0.55000000000000004">
      <c r="B74" s="8">
        <f>$C$28</f>
        <v>3.2516687362000002E-2</v>
      </c>
      <c r="C74" s="8">
        <f>V$28</f>
        <v>0.39625349202742788</v>
      </c>
      <c r="D74" s="8">
        <f>W28</f>
        <v>5.3346924906557937E-2</v>
      </c>
    </row>
    <row r="75" spans="2:16" x14ac:dyDescent="0.55000000000000004">
      <c r="B75" s="8">
        <f>$C$18</f>
        <v>5.526701228E-2</v>
      </c>
      <c r="C75" s="8">
        <f>V$18</f>
        <v>1.1424155823696833</v>
      </c>
      <c r="D75" s="8">
        <f>W18</f>
        <v>0.1291199456337071</v>
      </c>
    </row>
    <row r="76" spans="2:16" x14ac:dyDescent="0.55000000000000004">
      <c r="B76" s="9"/>
      <c r="C76" s="9"/>
      <c r="D76" s="9"/>
    </row>
    <row r="77" spans="2:16" x14ac:dyDescent="0.55000000000000004">
      <c r="B77" t="s">
        <v>64</v>
      </c>
    </row>
    <row r="78" spans="2:16" x14ac:dyDescent="0.55000000000000004">
      <c r="B78" t="s">
        <v>60</v>
      </c>
      <c r="C78" t="s">
        <v>61</v>
      </c>
      <c r="D78" t="s">
        <v>62</v>
      </c>
    </row>
    <row r="79" spans="2:16" x14ac:dyDescent="0.55000000000000004">
      <c r="B79" s="8">
        <f>$C$49</f>
        <v>4.3836931044867944E-3</v>
      </c>
      <c r="C79" s="8">
        <f>V$49</f>
        <v>7.401939647971395E-3</v>
      </c>
      <c r="D79" s="8">
        <f>W$49</f>
        <v>4.7230716955487598E-2</v>
      </c>
    </row>
    <row r="80" spans="2:16" x14ac:dyDescent="0.55000000000000004">
      <c r="B80" s="8">
        <f>$C$39</f>
        <v>7.1449285475136603E-3</v>
      </c>
      <c r="C80" s="8">
        <f>V$39</f>
        <v>1.9439323303911571E-2</v>
      </c>
      <c r="D80" s="8">
        <f>W$39</f>
        <v>5.5385660890248052E-2</v>
      </c>
    </row>
    <row r="81" spans="1:4" x14ac:dyDescent="0.55000000000000004">
      <c r="B81" s="8">
        <f>$C$59</f>
        <v>1.5843013534841389E-2</v>
      </c>
      <c r="C81" s="8">
        <f>V$59</f>
        <v>9.4534321765508952E-2</v>
      </c>
      <c r="D81" s="8">
        <f>W$59</f>
        <v>8.1889228678219503E-2</v>
      </c>
    </row>
    <row r="82" spans="1:4" x14ac:dyDescent="0.55000000000000004">
      <c r="B82" s="8">
        <f>$C$29</f>
        <v>3.2481842656152296E-2</v>
      </c>
      <c r="C82" s="8">
        <f>V$29</f>
        <v>0.39540674315934149</v>
      </c>
      <c r="D82" s="8">
        <f>W$29</f>
        <v>0.1783893985728848</v>
      </c>
    </row>
    <row r="83" spans="1:4" x14ac:dyDescent="0.55000000000000004">
      <c r="B83" s="8">
        <f>$C$19</f>
        <v>5.5209032840472801E-2</v>
      </c>
      <c r="C83" s="8">
        <f>V$19</f>
        <v>1.1400233239294506</v>
      </c>
      <c r="D83" s="8">
        <f>W$19</f>
        <v>0.40163098878695208</v>
      </c>
    </row>
    <row r="85" spans="1:4" x14ac:dyDescent="0.55000000000000004">
      <c r="B85" t="s">
        <v>10</v>
      </c>
    </row>
    <row r="86" spans="1:4" x14ac:dyDescent="0.55000000000000004">
      <c r="B86" t="s">
        <v>60</v>
      </c>
      <c r="C86" t="s">
        <v>61</v>
      </c>
      <c r="D86" t="s">
        <v>62</v>
      </c>
    </row>
    <row r="87" spans="1:4" x14ac:dyDescent="0.55000000000000004">
      <c r="A87" s="10">
        <f t="shared" ref="A87:A123" si="37">(C87-D87)/D87</f>
        <v>-0.86967012904779739</v>
      </c>
      <c r="B87" s="8">
        <f>$C$50</f>
        <v>4.3521895789251312E-3</v>
      </c>
      <c r="C87" s="8">
        <f>V$50</f>
        <v>1.9928114824495809E-3</v>
      </c>
      <c r="D87" s="8">
        <f>W$50</f>
        <v>1.5290519877675841E-2</v>
      </c>
    </row>
    <row r="88" spans="1:4" x14ac:dyDescent="0.55000000000000004">
      <c r="A88" s="10">
        <f t="shared" si="37"/>
        <v>-0.6893423214348382</v>
      </c>
      <c r="B88" s="8">
        <f>$C$40</f>
        <v>7.1185022532565118E-3</v>
      </c>
      <c r="C88" s="8">
        <f>V$40</f>
        <v>5.2779082325035993E-3</v>
      </c>
      <c r="D88" s="8">
        <f>W$40</f>
        <v>1.6989466530750934E-2</v>
      </c>
    </row>
    <row r="89" spans="1:4" x14ac:dyDescent="0.55000000000000004">
      <c r="A89" s="10">
        <f t="shared" si="37"/>
        <v>4.0250770090792538E-2</v>
      </c>
      <c r="B89" s="8">
        <f>$C$60</f>
        <v>1.5814940630611764E-2</v>
      </c>
      <c r="C89" s="8">
        <f>V$60</f>
        <v>2.5803026237386291E-2</v>
      </c>
      <c r="D89" s="8">
        <f>W$60</f>
        <v>2.4804621134896364E-2</v>
      </c>
    </row>
    <row r="90" spans="1:4" x14ac:dyDescent="0.55000000000000004">
      <c r="A90" s="10">
        <f t="shared" si="37"/>
        <v>0.86018578422816161</v>
      </c>
      <c r="B90" s="8">
        <f>$C$30</f>
        <v>3.2437318227188552E-2</v>
      </c>
      <c r="C90" s="8">
        <f>V$30</f>
        <v>0.10808418929766077</v>
      </c>
      <c r="D90" s="8">
        <f>W$30</f>
        <v>5.8103975535168197E-2</v>
      </c>
    </row>
    <row r="91" spans="1:4" x14ac:dyDescent="0.55000000000000004">
      <c r="A91" s="10">
        <f t="shared" si="37"/>
        <v>1.3708920453894855</v>
      </c>
      <c r="B91" s="8">
        <f>$C$20</f>
        <v>5.5138654763204502E-2</v>
      </c>
      <c r="C91" s="8">
        <f>V$20</f>
        <v>0.31176867875152248</v>
      </c>
      <c r="D91" s="8">
        <f>W$20</f>
        <v>0.1314984709480122</v>
      </c>
    </row>
    <row r="92" spans="1:4" x14ac:dyDescent="0.55000000000000004">
      <c r="A92" s="10"/>
    </row>
    <row r="93" spans="1:4" x14ac:dyDescent="0.55000000000000004">
      <c r="A93" s="10"/>
      <c r="B93" t="s">
        <v>0</v>
      </c>
    </row>
    <row r="94" spans="1:4" x14ac:dyDescent="0.55000000000000004">
      <c r="A94" s="10"/>
      <c r="B94" t="s">
        <v>60</v>
      </c>
      <c r="C94" t="s">
        <v>61</v>
      </c>
      <c r="D94" t="s">
        <v>62</v>
      </c>
    </row>
    <row r="95" spans="1:4" x14ac:dyDescent="0.55000000000000004">
      <c r="A95" s="10">
        <f t="shared" si="37"/>
        <v>-0.75334163810284815</v>
      </c>
      <c r="B95" s="8">
        <f>$C$51</f>
        <v>4.342175679913525E-3</v>
      </c>
      <c r="C95" s="8">
        <f>V$51</f>
        <v>1.7600494732722353E-3</v>
      </c>
      <c r="D95" s="8">
        <f>W$51</f>
        <v>7.1355759429153924E-3</v>
      </c>
    </row>
    <row r="96" spans="1:4" x14ac:dyDescent="0.55000000000000004">
      <c r="A96" s="10">
        <f t="shared" si="37"/>
        <v>-0.34603747058702827</v>
      </c>
      <c r="B96" s="8">
        <f>$C$41</f>
        <v>7.1106190164987124E-3</v>
      </c>
      <c r="C96" s="8">
        <f>V$41</f>
        <v>4.6663992924473006E-3</v>
      </c>
      <c r="D96" s="8">
        <f>W$41</f>
        <v>7.1355759429153924E-3</v>
      </c>
    </row>
    <row r="97" spans="1:4" x14ac:dyDescent="0.55000000000000004">
      <c r="A97" s="10">
        <f t="shared" si="37"/>
        <v>0.81449387730688105</v>
      </c>
      <c r="B97" s="8">
        <f>$C$61</f>
        <v>1.5806878628108045E-2</v>
      </c>
      <c r="C97" s="8">
        <f>V$61</f>
        <v>2.2812189419080735E-2</v>
      </c>
      <c r="D97" s="8">
        <f>W$61</f>
        <v>1.2572205232755693E-2</v>
      </c>
    </row>
    <row r="98" spans="1:4" x14ac:dyDescent="0.55000000000000004">
      <c r="A98" s="10">
        <f t="shared" si="37"/>
        <v>1.8112663725642593</v>
      </c>
      <c r="B98" s="8">
        <f>$C$31</f>
        <v>3.2424411230462087E-2</v>
      </c>
      <c r="C98" s="8">
        <f>V$31</f>
        <v>9.5523831891412142E-2</v>
      </c>
      <c r="D98" s="8">
        <f>W$31</f>
        <v>3.3978933061501869E-2</v>
      </c>
    </row>
    <row r="99" spans="1:4" x14ac:dyDescent="0.55000000000000004">
      <c r="A99" s="10">
        <f t="shared" ref="A95:A106" si="38">(C99-D99)/D99</f>
        <v>2.8064543115476797</v>
      </c>
      <c r="B99" s="8">
        <f>$C$21</f>
        <v>5.5118402536409844E-2</v>
      </c>
      <c r="C99" s="8">
        <f>V$21</f>
        <v>0.2754926158204743</v>
      </c>
      <c r="D99" s="8">
        <f>W$21</f>
        <v>7.2375127420998983E-2</v>
      </c>
    </row>
    <row r="100" spans="1:4" x14ac:dyDescent="0.55000000000000004">
      <c r="A100" s="10"/>
    </row>
    <row r="101" spans="1:4" x14ac:dyDescent="0.55000000000000004">
      <c r="A101" s="10"/>
      <c r="B101" t="s">
        <v>20</v>
      </c>
    </row>
    <row r="102" spans="1:4" x14ac:dyDescent="0.55000000000000004">
      <c r="A102" s="10"/>
      <c r="B102" t="s">
        <v>60</v>
      </c>
      <c r="C102" t="s">
        <v>61</v>
      </c>
      <c r="D102" t="s">
        <v>62</v>
      </c>
    </row>
    <row r="103" spans="1:4" x14ac:dyDescent="0.55000000000000004">
      <c r="A103" s="10">
        <f t="shared" si="37"/>
        <v>-0.67767826479797599</v>
      </c>
      <c r="B103" s="8">
        <f>$C$52</f>
        <v>4.3370125742761001E-3</v>
      </c>
      <c r="C103" s="8">
        <f>V$52</f>
        <v>4.3808594658786811E-3</v>
      </c>
      <c r="D103" s="8">
        <f>W$52</f>
        <v>1.3591573224600749E-2</v>
      </c>
    </row>
    <row r="104" spans="1:4" x14ac:dyDescent="0.55000000000000004">
      <c r="A104" s="10">
        <f t="shared" si="37"/>
        <v>-0.50773868429189084</v>
      </c>
      <c r="B104" s="8">
        <f>$C$42</f>
        <v>7.1064372608838416E-3</v>
      </c>
      <c r="C104" s="8">
        <f>V$42</f>
        <v>1.1708560006648876E-2</v>
      </c>
      <c r="D104" s="8">
        <f>W$42</f>
        <v>2.3785253143051306E-2</v>
      </c>
    </row>
    <row r="105" spans="1:4" x14ac:dyDescent="0.55000000000000004">
      <c r="A105" s="10">
        <f t="shared" si="37"/>
        <v>-0.37863561722179256</v>
      </c>
      <c r="B105" s="8">
        <f>$C$62</f>
        <v>1.5801239307767088E-2</v>
      </c>
      <c r="C105" s="8">
        <f>V$62</f>
        <v>5.7639305639976435E-2</v>
      </c>
      <c r="D105" s="8">
        <f>W$62</f>
        <v>9.2762487257900109E-2</v>
      </c>
    </row>
    <row r="106" spans="1:4" x14ac:dyDescent="0.55000000000000004">
      <c r="A106" s="10">
        <f t="shared" si="37"/>
        <v>-0.32338677151267076</v>
      </c>
      <c r="B106" s="8">
        <f>$C$32</f>
        <v>3.2414349840881471E-2</v>
      </c>
      <c r="C106" s="8">
        <f>V$32</f>
        <v>0.24209097166060406</v>
      </c>
      <c r="D106" s="8">
        <f>W$32</f>
        <v>0.3577981651376147</v>
      </c>
    </row>
    <row r="107" spans="1:4" x14ac:dyDescent="0.55000000000000004">
      <c r="A107" s="10">
        <f t="shared" si="37"/>
        <v>-0.30496006121884156</v>
      </c>
      <c r="B107" s="8">
        <f>$C$22</f>
        <v>5.5102503755878961E-2</v>
      </c>
      <c r="C107" s="8">
        <f>V$22</f>
        <v>0.69905478042549396</v>
      </c>
      <c r="D107" s="8">
        <f>W$22</f>
        <v>1.0057764186204552</v>
      </c>
    </row>
    <row r="108" spans="1:4" x14ac:dyDescent="0.55000000000000004">
      <c r="A108" s="10"/>
    </row>
    <row r="109" spans="1:4" x14ac:dyDescent="0.55000000000000004">
      <c r="A109" s="10"/>
      <c r="B109" t="s">
        <v>43</v>
      </c>
    </row>
    <row r="110" spans="1:4" x14ac:dyDescent="0.55000000000000004">
      <c r="A110" s="10"/>
      <c r="B110" t="s">
        <v>60</v>
      </c>
      <c r="C110" t="s">
        <v>61</v>
      </c>
      <c r="D110" t="s">
        <v>62</v>
      </c>
    </row>
    <row r="111" spans="1:4" x14ac:dyDescent="0.55000000000000004">
      <c r="A111" s="10">
        <f t="shared" si="37"/>
        <v>-0.52937190114442434</v>
      </c>
      <c r="B111" s="8">
        <f>$C$53</f>
        <v>4.3265624041738445E-3</v>
      </c>
      <c r="C111" s="8">
        <f>V$53</f>
        <v>3.6780313536113633E-3</v>
      </c>
      <c r="D111" s="8">
        <f>W$53</f>
        <v>7.8151546041454311E-3</v>
      </c>
    </row>
    <row r="112" spans="1:4" x14ac:dyDescent="0.55000000000000004">
      <c r="A112" s="10">
        <f t="shared" si="37"/>
        <v>-4.050467372491131E-2</v>
      </c>
      <c r="B112" s="8">
        <f>$C$43</f>
        <v>7.0938459982290997E-3</v>
      </c>
      <c r="C112" s="8">
        <f>V$43</f>
        <v>9.7807882392975422E-3</v>
      </c>
      <c r="D112" s="8">
        <f>W$43</f>
        <v>1.0193679918450563E-2</v>
      </c>
    </row>
    <row r="113" spans="1:4" x14ac:dyDescent="0.55000000000000004">
      <c r="A113" s="10">
        <f t="shared" si="37"/>
        <v>0.63869523927179839</v>
      </c>
      <c r="B113" s="8">
        <f>$C$63</f>
        <v>1.5777246816820894E-2</v>
      </c>
      <c r="C113" s="8">
        <f>V$63</f>
        <v>4.7885759625339676E-2</v>
      </c>
      <c r="D113" s="8">
        <f>W$63</f>
        <v>2.9221882432891609E-2</v>
      </c>
    </row>
    <row r="114" spans="1:4" x14ac:dyDescent="0.55000000000000004">
      <c r="A114" s="10">
        <f t="shared" si="37"/>
        <v>1.0936549945708682</v>
      </c>
      <c r="B114" s="8">
        <f>$C$33</f>
        <v>3.2367702173758547E-2</v>
      </c>
      <c r="C114" s="8">
        <f>V$33</f>
        <v>0.20061525941861533</v>
      </c>
      <c r="D114" s="8">
        <f>W$33</f>
        <v>9.5820591233435282E-2</v>
      </c>
    </row>
    <row r="115" spans="1:4" x14ac:dyDescent="0.55000000000000004">
      <c r="A115" s="10">
        <f t="shared" si="37"/>
        <v>1.2647297395465487</v>
      </c>
      <c r="B115" s="8">
        <f>$C$23</f>
        <v>5.5024520545098279E-2</v>
      </c>
      <c r="C115" s="8">
        <f>V$23</f>
        <v>0.57868731367278436</v>
      </c>
      <c r="D115" s="8">
        <f>W$23</f>
        <v>0.25552157662249403</v>
      </c>
    </row>
    <row r="116" spans="1:4" x14ac:dyDescent="0.55000000000000004">
      <c r="A116" s="10"/>
    </row>
    <row r="117" spans="1:4" x14ac:dyDescent="0.55000000000000004">
      <c r="A117" s="10"/>
      <c r="B117" t="s">
        <v>67</v>
      </c>
    </row>
    <row r="118" spans="1:4" x14ac:dyDescent="0.55000000000000004">
      <c r="A118" s="10"/>
      <c r="B118" t="s">
        <v>60</v>
      </c>
      <c r="C118" t="s">
        <v>61</v>
      </c>
      <c r="D118" t="s">
        <v>62</v>
      </c>
    </row>
    <row r="119" spans="1:4" x14ac:dyDescent="0.55000000000000004">
      <c r="A119" s="10">
        <f t="shared" si="37"/>
        <v>-0.78117571588552792</v>
      </c>
      <c r="B119" s="8">
        <f>$C$54</f>
        <v>4.3198663756152085E-3</v>
      </c>
      <c r="C119" s="8">
        <f>V$54</f>
        <v>2.1562705536254472E-3</v>
      </c>
      <c r="D119" s="8">
        <f>W$54</f>
        <v>9.8538905878355447E-3</v>
      </c>
    </row>
    <row r="120" spans="1:4" x14ac:dyDescent="0.55000000000000004">
      <c r="A120" s="10">
        <f t="shared" si="37"/>
        <v>-0.48723854646139281</v>
      </c>
      <c r="B120" s="8">
        <f>$C$44</f>
        <v>7.0867503126497752E-3</v>
      </c>
      <c r="C120" s="8">
        <f>V$44</f>
        <v>5.7496187450812222E-3</v>
      </c>
      <c r="D120" s="8">
        <f>W$44</f>
        <v>1.1213047910295617E-2</v>
      </c>
    </row>
    <row r="121" spans="1:4" x14ac:dyDescent="0.55000000000000004">
      <c r="A121" s="10">
        <f t="shared" si="37"/>
        <v>7.8042885315872015E-2</v>
      </c>
      <c r="B121" s="8">
        <f>$C$64</f>
        <v>1.5764932243692555E-2</v>
      </c>
      <c r="C121" s="8">
        <f>V$64</f>
        <v>2.8205675218933787E-2</v>
      </c>
      <c r="D121" s="8">
        <f>W$64</f>
        <v>2.6163778457356436E-2</v>
      </c>
    </row>
    <row r="122" spans="1:4" x14ac:dyDescent="0.55000000000000004">
      <c r="A122" s="10">
        <f t="shared" si="37"/>
        <v>0.47480912154315569</v>
      </c>
      <c r="B122" s="8">
        <f>$C$34</f>
        <v>3.2344626343764629E-2</v>
      </c>
      <c r="C122" s="8">
        <f>V$34</f>
        <v>0.11826535938980112</v>
      </c>
      <c r="D122" s="8">
        <f>W$34</f>
        <v>8.0190282025144402E-2</v>
      </c>
    </row>
    <row r="123" spans="1:4" x14ac:dyDescent="0.55000000000000004">
      <c r="A123" s="10">
        <f t="shared" si="37"/>
        <v>0.58909694057939765</v>
      </c>
      <c r="B123" s="8">
        <f>$C$24</f>
        <v>5.4986321460341242E-2</v>
      </c>
      <c r="C123" s="8">
        <f>V$24</f>
        <v>0.34125357337620776</v>
      </c>
      <c r="D123" s="8">
        <f>W$24</f>
        <v>0.21474685694869183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355b9b-f7d4-46c2-9785-37e5e173906a">
      <Terms xmlns="http://schemas.microsoft.com/office/infopath/2007/PartnerControls"/>
    </lcf76f155ced4ddcb4097134ff3c332f>
    <TaxCatchAll xmlns="c657036f-4754-4f4e-862c-f065a6f161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2570CA10875D4A9DBD16CB95E01F2E" ma:contentTypeVersion="10" ma:contentTypeDescription="Create a new document." ma:contentTypeScope="" ma:versionID="2f3dc0fce9db88abc26cc9af7e63c404">
  <xsd:schema xmlns:xsd="http://www.w3.org/2001/XMLSchema" xmlns:xs="http://www.w3.org/2001/XMLSchema" xmlns:p="http://schemas.microsoft.com/office/2006/metadata/properties" xmlns:ns2="34355b9b-f7d4-46c2-9785-37e5e173906a" xmlns:ns3="c657036f-4754-4f4e-862c-f065a6f161b7" targetNamespace="http://schemas.microsoft.com/office/2006/metadata/properties" ma:root="true" ma:fieldsID="5b87ad1e19b90e3ae422d203bb84db77" ns2:_="" ns3:_="">
    <xsd:import namespace="34355b9b-f7d4-46c2-9785-37e5e173906a"/>
    <xsd:import namespace="c657036f-4754-4f4e-862c-f065a6f16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55b9b-f7d4-46c2-9785-37e5e1739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7036f-4754-4f4e-862c-f065a6f161b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15daac4-68d9-4eeb-824d-03a430c181a0}" ma:internalName="TaxCatchAll" ma:showField="CatchAllData" ma:web="c657036f-4754-4f4e-862c-f065a6f161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44C922-E5F5-47CB-A88E-8E3C0E81A5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C93543-78B4-4892-8817-849F46562CAF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34355b9b-f7d4-46c2-9785-37e5e173906a"/>
    <ds:schemaRef ds:uri="http://purl.org/dc/elements/1.1/"/>
    <ds:schemaRef ds:uri="http://www.w3.org/XML/1998/namespace"/>
    <ds:schemaRef ds:uri="http://schemas.microsoft.com/office/infopath/2007/PartnerControls"/>
    <ds:schemaRef ds:uri="c657036f-4754-4f4e-862c-f065a6f161b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53B0832-CEEB-433C-8305-63C59BBDF3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355b9b-f7d4-46c2-9785-37e5e173906a"/>
    <ds:schemaRef ds:uri="c657036f-4754-4f4e-862c-f065a6f16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Red</dc:creator>
  <cp:keywords/>
  <dc:description/>
  <cp:lastModifiedBy>Jakob Werle</cp:lastModifiedBy>
  <cp:revision/>
  <dcterms:created xsi:type="dcterms:W3CDTF">2023-10-02T20:05:06Z</dcterms:created>
  <dcterms:modified xsi:type="dcterms:W3CDTF">2023-12-19T20:34:32Z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0x010100682570CA10875D4A9DBD16CB95E01F2E</vt:lpwstr>
  </property>
  <property fmtid="{D5CDD505-2E9C-101B-9397-08002B2CF9AE}" pid="3" name="MediaServiceImageTags">
    <vt:lpwstr/>
  </property>
</Properties>
</file>